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codeName="ThisWorkbook"/>
  <xr:revisionPtr revIDLastSave="0" documentId="13_ncr:1_{CDC85CA3-2680-491D-B029-56156099D5DE}" xr6:coauthVersionLast="47" xr6:coauthVersionMax="47" xr10:uidLastSave="{00000000-0000-0000-0000-000000000000}"/>
  <workbookProtection workbookAlgorithmName="SHA-512" workbookHashValue="PilsULDefRWoM63WalfW/lTCWXSsNuxZB0MnBGxQx0Q2eZNprO4XbAtPoo2CBc70rcGIz8Yds/FtU+T797KvlA==" workbookSaltValue="ldHAhl5fOOXj1upv6FX3oQ==" workbookSpinCount="100000" lockStructure="1"/>
  <bookViews>
    <workbookView xWindow="-120" yWindow="-120" windowWidth="29040" windowHeight="15840" tabRatio="846" firstSheet="3" activeTab="3" xr2:uid="{3B1F0775-B64A-49AA-8ECE-FB302C1C0B1A}"/>
  </bookViews>
  <sheets>
    <sheet name="テーブル" sheetId="6" state="hidden" r:id="rId1"/>
    <sheet name="リスト" sheetId="49" state="hidden" r:id="rId2"/>
    <sheet name="計上" sheetId="23" state="hidden" r:id="rId3"/>
    <sheet name="はじめに入力してください" sheetId="5" r:id="rId4"/>
    <sheet name="協議書" sheetId="1" state="hidden" r:id="rId5"/>
    <sheet name="別紙" sheetId="2" state="hidden" r:id="rId6"/>
    <sheet name="《基礎情報》" sheetId="54" state="hidden" r:id="rId7"/>
    <sheet name="基礎情報" sheetId="55" r:id="rId8"/>
    <sheet name="表紙" sheetId="50" r:id="rId9"/>
    <sheet name="振込先情報" sheetId="52" r:id="rId10"/>
    <sheet name="請求書" sheetId="51" state="hidden" r:id="rId11"/>
    <sheet name="経費書" sheetId="25" r:id="rId12"/>
    <sheet name="額内訳書" sheetId="24" r:id="rId13"/>
    <sheet name="歳入歳出抄本" sheetId="53" r:id="rId14"/>
    <sheet name="明細→" sheetId="3" r:id="rId15"/>
    <sheet name="初度設備" sheetId="4" state="hidden" r:id="rId16"/>
    <sheet name="人工呼吸器" sheetId="36" state="hidden" r:id="rId17"/>
    <sheet name="防護具" sheetId="58" r:id="rId18"/>
    <sheet name="増減推移" sheetId="62" r:id="rId19"/>
    <sheet name="簡易陰圧装置" sheetId="37" state="hidden" r:id="rId20"/>
    <sheet name="消毒経費" sheetId="56" state="hidden" r:id="rId21"/>
    <sheet name="人件費積算" sheetId="60" state="hidden" r:id="rId22"/>
    <sheet name="空清機・パーテ・ベッド" sheetId="57" state="hidden" r:id="rId23"/>
    <sheet name="体外式膜型人工肺" sheetId="38" state="hidden" r:id="rId24"/>
    <sheet name="簡易病室" sheetId="40" state="hidden" r:id="rId25"/>
    <sheet name="紫外線照射装置" sheetId="41" state="hidden" r:id="rId26"/>
    <sheet name="超音波画像診断装置" sheetId="42" state="hidden" r:id="rId27"/>
    <sheet name="血液浄化装置" sheetId="43" state="hidden" r:id="rId28"/>
    <sheet name="気管支鏡" sheetId="44" state="hidden" r:id="rId29"/>
    <sheet name="CT撮影装置" sheetId="45" state="hidden" r:id="rId30"/>
    <sheet name="生体情報モニタ" sheetId="46" state="hidden" r:id="rId31"/>
    <sheet name="分娩監視装置" sheetId="47" state="hidden" r:id="rId32"/>
    <sheet name="新生児モニタ" sheetId="48" state="hidden" r:id="rId33"/>
    <sheet name="審査意見書（申請の際は入力不要です。）" sheetId="59" state="hidden" r:id="rId34"/>
  </sheets>
  <definedNames>
    <definedName name="_xlnm._FilterDatabase" localSheetId="1" hidden="1">リスト!$A$2:$DX$2</definedName>
    <definedName name="_xlnm.Print_Area" localSheetId="6">《基礎情報》!$A$1:$AY$150</definedName>
    <definedName name="_xlnm.Print_Area" localSheetId="29">CT撮影装置!$A$1:$M$54</definedName>
    <definedName name="_xlnm.Print_Area" localSheetId="3">はじめに入力してください!$A$1:$AC$59</definedName>
    <definedName name="_xlnm.Print_Area" localSheetId="1">リスト!$A$1:$DX$55</definedName>
    <definedName name="_xlnm.Print_Area" localSheetId="12">額内訳書!$A$1:$R$27</definedName>
    <definedName name="_xlnm.Print_Area" localSheetId="19">簡易陰圧装置!$A$1:$P$54</definedName>
    <definedName name="_xlnm.Print_Area" localSheetId="24">簡易病室!$A$1:$P$76</definedName>
    <definedName name="_xlnm.Print_Area" localSheetId="7">基礎情報!$A$1:$AY$183</definedName>
    <definedName name="_xlnm.Print_Area" localSheetId="28">気管支鏡!$A$1:$M$54</definedName>
    <definedName name="_xlnm.Print_Area" localSheetId="4">協議書!$A$2:$AJ$47</definedName>
    <definedName name="_xlnm.Print_Area" localSheetId="22">空清機・パーテ・ベッド!$A$1:$AL$64</definedName>
    <definedName name="_xlnm.Print_Area" localSheetId="11">経費書!$A$1:$N$49</definedName>
    <definedName name="_xlnm.Print_Area" localSheetId="27">血液浄化装置!$A$1:$M$54</definedName>
    <definedName name="_xlnm.Print_Area" localSheetId="13">歳入歳出抄本!$A$1:$I$45</definedName>
    <definedName name="_xlnm.Print_Area" localSheetId="25">紫外線照射装置!$A$1:$P$75</definedName>
    <definedName name="_xlnm.Print_Area" localSheetId="15">初度設備!$A$1:$P$54</definedName>
    <definedName name="_xlnm.Print_Area" localSheetId="20">消毒経費!$A$1:$P$52</definedName>
    <definedName name="_xlnm.Print_Area" localSheetId="33">'審査意見書（申請の際は入力不要です。）'!$A$1:$E$11</definedName>
    <definedName name="_xlnm.Print_Area" localSheetId="9">振込先情報!$A$2:$AJ$69</definedName>
    <definedName name="_xlnm.Print_Area" localSheetId="32">新生児モニタ!$A$1:$M$54</definedName>
    <definedName name="_xlnm.Print_Area" localSheetId="21">人件費積算!$A$2:$AJ$51</definedName>
    <definedName name="_xlnm.Print_Area" localSheetId="16">人工呼吸器!$A$1:$P$54</definedName>
    <definedName name="_xlnm.Print_Area" localSheetId="30">生体情報モニタ!$A$1:$M$54</definedName>
    <definedName name="_xlnm.Print_Area" localSheetId="10">請求書!$A$1:$I$28</definedName>
    <definedName name="_xlnm.Print_Area" localSheetId="23">体外式膜型人工肺!$A$1:$P$75</definedName>
    <definedName name="_xlnm.Print_Area" localSheetId="26">超音波画像診断装置!$A$1:$M$54</definedName>
    <definedName name="_xlnm.Print_Area" localSheetId="8">表紙!$A$2:$S$47</definedName>
    <definedName name="_xlnm.Print_Area" localSheetId="31">分娩監視装置!$A$1:$M$54</definedName>
    <definedName name="_xlnm.Print_Area" localSheetId="5">別紙!$A$2:$AW$28</definedName>
    <definedName name="_xlnm.Print_Area" localSheetId="17">防護具!$A$1:$T$82</definedName>
    <definedName name="_xlnm.Print_Titles" localSheetId="12">額内訳書!$2:$5</definedName>
    <definedName name="ガウン">防護具!$AY$130:$AY$132</definedName>
    <definedName name="キャップ">防護具!$AY$135</definedName>
    <definedName name="グローブ">防護具!$AY$133:$AY$134</definedName>
    <definedName name="ゴーグル">防護具!$AY$127:$AY$129</definedName>
    <definedName name="フェイスシールド">防護具!$AY$136:$AY$139</definedName>
    <definedName name="マスク">防護具!$AY$123:$AY$126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U60" i="55" l="1"/>
  <c r="AO58" i="55" s="1"/>
  <c r="V62" i="55"/>
  <c r="FG19" i="62"/>
  <c r="FH19" i="62"/>
  <c r="FI19" i="62"/>
  <c r="FJ19" i="62"/>
  <c r="FK19" i="62"/>
  <c r="FL19" i="62"/>
  <c r="FM19" i="62"/>
  <c r="FN19" i="62"/>
  <c r="FO19" i="62"/>
  <c r="FP19" i="62"/>
  <c r="FQ19" i="62"/>
  <c r="FR19" i="62"/>
  <c r="FS19" i="62"/>
  <c r="FT19" i="62"/>
  <c r="FU19" i="62"/>
  <c r="FV19" i="62"/>
  <c r="FW19" i="62"/>
  <c r="FX19" i="62"/>
  <c r="FY19" i="62"/>
  <c r="FZ19" i="62"/>
  <c r="GA19" i="62"/>
  <c r="GB19" i="62"/>
  <c r="GC19" i="62"/>
  <c r="GD19" i="62"/>
  <c r="FF19" i="62"/>
  <c r="EB19" i="62"/>
  <c r="EC19" i="62"/>
  <c r="ED19" i="62"/>
  <c r="EE19" i="62"/>
  <c r="EF19" i="62"/>
  <c r="EG19" i="62"/>
  <c r="EH19" i="62"/>
  <c r="EI19" i="62"/>
  <c r="EJ19" i="62"/>
  <c r="EK19" i="62"/>
  <c r="EL19" i="62"/>
  <c r="EM19" i="62"/>
  <c r="EN19" i="62"/>
  <c r="EO19" i="62"/>
  <c r="EP19" i="62"/>
  <c r="EQ19" i="62"/>
  <c r="ER19" i="62"/>
  <c r="ES19" i="62"/>
  <c r="ET19" i="62"/>
  <c r="EU19" i="62"/>
  <c r="EV19" i="62"/>
  <c r="EW19" i="62"/>
  <c r="EX19" i="62"/>
  <c r="EY19" i="62"/>
  <c r="EZ19" i="62"/>
  <c r="FA19" i="62"/>
  <c r="FB19" i="62"/>
  <c r="FC19" i="62"/>
  <c r="FD19" i="62"/>
  <c r="FE19" i="62"/>
  <c r="EA19" i="62"/>
  <c r="CW19" i="62"/>
  <c r="CX19" i="62"/>
  <c r="CY19" i="62"/>
  <c r="CZ19" i="62"/>
  <c r="DA19" i="62"/>
  <c r="DB19" i="62"/>
  <c r="DC19" i="62"/>
  <c r="DD19" i="62"/>
  <c r="DE19" i="62"/>
  <c r="DF19" i="62"/>
  <c r="DG19" i="62"/>
  <c r="DH19" i="62"/>
  <c r="DI19" i="62"/>
  <c r="DJ19" i="62"/>
  <c r="DK19" i="62"/>
  <c r="DL19" i="62"/>
  <c r="DM19" i="62"/>
  <c r="DN19" i="62"/>
  <c r="DO19" i="62"/>
  <c r="DP19" i="62"/>
  <c r="DQ19" i="62"/>
  <c r="DR19" i="62"/>
  <c r="DS19" i="62"/>
  <c r="DT19" i="62"/>
  <c r="DU19" i="62"/>
  <c r="DV19" i="62"/>
  <c r="DW19" i="62"/>
  <c r="DX19" i="62"/>
  <c r="DY19" i="62"/>
  <c r="DZ19" i="62"/>
  <c r="CV19" i="62"/>
  <c r="BR19" i="62"/>
  <c r="BS19" i="62"/>
  <c r="BT19" i="62"/>
  <c r="BU19" i="62"/>
  <c r="BV19" i="62"/>
  <c r="BW19" i="62"/>
  <c r="BX19" i="62"/>
  <c r="BY19" i="62"/>
  <c r="BZ19" i="62"/>
  <c r="CA19" i="62"/>
  <c r="CB19" i="62"/>
  <c r="CC19" i="62"/>
  <c r="CD19" i="62"/>
  <c r="CE19" i="62"/>
  <c r="CF19" i="62"/>
  <c r="CG19" i="62"/>
  <c r="CH19" i="62"/>
  <c r="CI19" i="62"/>
  <c r="CJ19" i="62"/>
  <c r="CK19" i="62"/>
  <c r="CL19" i="62"/>
  <c r="CM19" i="62"/>
  <c r="CN19" i="62"/>
  <c r="CO19" i="62"/>
  <c r="CP19" i="62"/>
  <c r="CQ19" i="62"/>
  <c r="CR19" i="62"/>
  <c r="CS19" i="62"/>
  <c r="CT19" i="62"/>
  <c r="CU19" i="62"/>
  <c r="BQ19" i="62"/>
  <c r="AM19" i="62"/>
  <c r="AN19" i="62"/>
  <c r="AO19" i="62"/>
  <c r="AP19" i="62"/>
  <c r="AQ19" i="62"/>
  <c r="AR19" i="62"/>
  <c r="AS19" i="62"/>
  <c r="AT19" i="62"/>
  <c r="AU19" i="62"/>
  <c r="AV19" i="62"/>
  <c r="AW19" i="62"/>
  <c r="AX19" i="62"/>
  <c r="AY19" i="62"/>
  <c r="AZ19" i="62"/>
  <c r="BA19" i="62"/>
  <c r="BB19" i="62"/>
  <c r="BC19" i="62"/>
  <c r="BD19" i="62"/>
  <c r="BE19" i="62"/>
  <c r="BF19" i="62"/>
  <c r="BG19" i="62"/>
  <c r="BH19" i="62"/>
  <c r="BI19" i="62"/>
  <c r="BJ19" i="62"/>
  <c r="BK19" i="62"/>
  <c r="BL19" i="62"/>
  <c r="BM19" i="62"/>
  <c r="BN19" i="62"/>
  <c r="BO19" i="62"/>
  <c r="BP19" i="62"/>
  <c r="AL19" i="62"/>
  <c r="H19" i="62"/>
  <c r="I19" i="62"/>
  <c r="J19" i="62"/>
  <c r="K19" i="62"/>
  <c r="L19" i="62"/>
  <c r="M19" i="62"/>
  <c r="N19" i="62"/>
  <c r="O19" i="62"/>
  <c r="P19" i="62"/>
  <c r="Q19" i="62"/>
  <c r="R19" i="62"/>
  <c r="S19" i="62"/>
  <c r="T19" i="62"/>
  <c r="U19" i="62"/>
  <c r="V19" i="62"/>
  <c r="W19" i="62"/>
  <c r="X19" i="62"/>
  <c r="Y19" i="62"/>
  <c r="Z19" i="62"/>
  <c r="AA19" i="62"/>
  <c r="AB19" i="62"/>
  <c r="AC19" i="62"/>
  <c r="AD19" i="62"/>
  <c r="AE19" i="62"/>
  <c r="AF19" i="62"/>
  <c r="AG19" i="62"/>
  <c r="AH19" i="62"/>
  <c r="AI19" i="62"/>
  <c r="AJ19" i="62"/>
  <c r="AK19" i="62"/>
  <c r="G19" i="62"/>
  <c r="AO60" i="55" l="1"/>
  <c r="AO61" i="55"/>
  <c r="AI59" i="55" l="1"/>
  <c r="AJ59" i="55"/>
  <c r="GF19" i="62" s="1"/>
  <c r="AK59" i="55"/>
  <c r="GG19" i="62" s="1"/>
  <c r="AL59" i="55"/>
  <c r="GH19" i="62" s="1"/>
  <c r="AM59" i="55"/>
  <c r="GI19" i="62" s="1"/>
  <c r="AN59" i="55"/>
  <c r="GJ19" i="62" s="1"/>
  <c r="B6" i="55"/>
  <c r="K12" i="5"/>
  <c r="I12" i="5"/>
  <c r="AO59" i="55" l="1"/>
  <c r="GE19" i="62"/>
  <c r="J13" i="56"/>
  <c r="J15" i="56"/>
  <c r="J16" i="56"/>
  <c r="J17" i="56"/>
  <c r="J18" i="56"/>
  <c r="J19" i="56"/>
  <c r="J20" i="56"/>
  <c r="J21" i="56"/>
  <c r="J22" i="56"/>
  <c r="J23" i="56"/>
  <c r="J24" i="56"/>
  <c r="J25" i="56"/>
  <c r="J26" i="56"/>
  <c r="J27" i="56"/>
  <c r="J28" i="56"/>
  <c r="J29" i="56"/>
  <c r="J30" i="56"/>
  <c r="J31" i="56"/>
  <c r="J32" i="56"/>
  <c r="J33" i="56"/>
  <c r="J34" i="56"/>
  <c r="J35" i="56"/>
  <c r="J36" i="56"/>
  <c r="J37" i="56"/>
  <c r="J38" i="56"/>
  <c r="J39" i="56"/>
  <c r="J40" i="56"/>
  <c r="J41" i="56"/>
  <c r="J42" i="56"/>
  <c r="J43" i="56"/>
  <c r="J44" i="56"/>
  <c r="J45" i="56"/>
  <c r="J46" i="56"/>
  <c r="J47" i="56"/>
  <c r="J48" i="56"/>
  <c r="J49" i="56"/>
  <c r="J50" i="56"/>
  <c r="J51" i="56"/>
  <c r="J52" i="56"/>
  <c r="J53" i="56"/>
  <c r="J54" i="56"/>
  <c r="J55" i="56"/>
  <c r="J56" i="56"/>
  <c r="J57" i="56"/>
  <c r="J58" i="56"/>
  <c r="J59" i="56"/>
  <c r="J60" i="56"/>
  <c r="J61" i="56"/>
  <c r="J62" i="56"/>
  <c r="J63" i="56"/>
  <c r="J64" i="56"/>
  <c r="J65" i="56"/>
  <c r="J66" i="56"/>
  <c r="J67" i="56"/>
  <c r="J68" i="56"/>
  <c r="J69" i="56"/>
  <c r="J70" i="56"/>
  <c r="J71" i="56"/>
  <c r="J72" i="56"/>
  <c r="J73" i="56"/>
  <c r="J74" i="56"/>
  <c r="J75" i="56"/>
  <c r="J76" i="56"/>
  <c r="J77" i="56"/>
  <c r="J78" i="56"/>
  <c r="J79" i="56"/>
  <c r="J80" i="56"/>
  <c r="J81" i="56"/>
  <c r="J82" i="56"/>
  <c r="J83" i="56"/>
  <c r="J84" i="56"/>
  <c r="J85" i="56"/>
  <c r="J86" i="56"/>
  <c r="J87" i="56"/>
  <c r="J88" i="56"/>
  <c r="J89" i="56"/>
  <c r="J90" i="56"/>
  <c r="J91" i="56"/>
  <c r="J92" i="56"/>
  <c r="J93" i="56"/>
  <c r="J94" i="56"/>
  <c r="J95" i="56"/>
  <c r="J96" i="56"/>
  <c r="J97" i="56"/>
  <c r="J98" i="56"/>
  <c r="J99" i="56"/>
  <c r="J100" i="56"/>
  <c r="J101" i="56"/>
  <c r="J102" i="56"/>
  <c r="J103" i="56"/>
  <c r="J104" i="56"/>
  <c r="J105" i="56"/>
  <c r="J106" i="56"/>
  <c r="J107" i="56"/>
  <c r="J108" i="56"/>
  <c r="J109" i="56"/>
  <c r="J110" i="56"/>
  <c r="J111" i="56"/>
  <c r="J112" i="56"/>
  <c r="J14" i="56"/>
  <c r="AO24" i="55" l="1"/>
  <c r="AU25" i="55"/>
  <c r="AO23" i="55" s="1"/>
  <c r="M48" i="58"/>
  <c r="M132" i="58"/>
  <c r="O14" i="58"/>
  <c r="P14" i="58"/>
  <c r="O15" i="58"/>
  <c r="P15" i="58"/>
  <c r="O16" i="58"/>
  <c r="P16" i="58"/>
  <c r="O17" i="58"/>
  <c r="P17" i="58"/>
  <c r="O18" i="58"/>
  <c r="P18" i="58"/>
  <c r="O19" i="58"/>
  <c r="P19" i="58"/>
  <c r="O20" i="58"/>
  <c r="P20" i="58"/>
  <c r="O21" i="58"/>
  <c r="P21" i="58"/>
  <c r="O22" i="58"/>
  <c r="P22" i="58"/>
  <c r="O23" i="58"/>
  <c r="P23" i="58"/>
  <c r="O24" i="58"/>
  <c r="P24" i="58"/>
  <c r="O25" i="58"/>
  <c r="P25" i="58"/>
  <c r="O26" i="58"/>
  <c r="P26" i="58"/>
  <c r="O27" i="58"/>
  <c r="P27" i="58"/>
  <c r="O28" i="58"/>
  <c r="P28" i="58"/>
  <c r="O29" i="58"/>
  <c r="P29" i="58"/>
  <c r="P13" i="58"/>
  <c r="O13" i="58"/>
  <c r="T31" i="58"/>
  <c r="T32" i="58"/>
  <c r="T33" i="58"/>
  <c r="T34" i="58"/>
  <c r="T35" i="58"/>
  <c r="T36" i="58"/>
  <c r="T37" i="58"/>
  <c r="T38" i="58"/>
  <c r="T39" i="58"/>
  <c r="T40" i="58"/>
  <c r="T41" i="58"/>
  <c r="T42" i="58"/>
  <c r="T43" i="58"/>
  <c r="T44" i="58"/>
  <c r="T45" i="58"/>
  <c r="T46" i="58"/>
  <c r="T47" i="58"/>
  <c r="T48" i="58"/>
  <c r="T49" i="58"/>
  <c r="T50" i="58"/>
  <c r="T51" i="58"/>
  <c r="T52" i="58"/>
  <c r="T53" i="58"/>
  <c r="T54" i="58"/>
  <c r="T55" i="58"/>
  <c r="T56" i="58"/>
  <c r="T57" i="58"/>
  <c r="T58" i="58"/>
  <c r="T59" i="58"/>
  <c r="T60" i="58"/>
  <c r="T61" i="58"/>
  <c r="T62" i="58"/>
  <c r="T63" i="58"/>
  <c r="T64" i="58"/>
  <c r="T65" i="58"/>
  <c r="T66" i="58"/>
  <c r="T67" i="58"/>
  <c r="T68" i="58"/>
  <c r="T69" i="58"/>
  <c r="T70" i="58"/>
  <c r="T71" i="58"/>
  <c r="T72" i="58"/>
  <c r="T73" i="58"/>
  <c r="T74" i="58"/>
  <c r="T75" i="58"/>
  <c r="T76" i="58"/>
  <c r="T77" i="58"/>
  <c r="T78" i="58"/>
  <c r="T79" i="58"/>
  <c r="T80" i="58"/>
  <c r="T81" i="58"/>
  <c r="T82" i="58"/>
  <c r="T83" i="58"/>
  <c r="T84" i="58"/>
  <c r="T85" i="58"/>
  <c r="T86" i="58"/>
  <c r="T87" i="58"/>
  <c r="T88" i="58"/>
  <c r="T89" i="58"/>
  <c r="T90" i="58"/>
  <c r="T91" i="58"/>
  <c r="T92" i="58"/>
  <c r="T93" i="58"/>
  <c r="T94" i="58"/>
  <c r="T95" i="58"/>
  <c r="T96" i="58"/>
  <c r="T97" i="58"/>
  <c r="T98" i="58"/>
  <c r="T99" i="58"/>
  <c r="T100" i="58"/>
  <c r="T101" i="58"/>
  <c r="T102" i="58"/>
  <c r="T103" i="58"/>
  <c r="T104" i="58"/>
  <c r="T105" i="58"/>
  <c r="T106" i="58"/>
  <c r="T107" i="58"/>
  <c r="T108" i="58"/>
  <c r="T109" i="58"/>
  <c r="T110" i="58"/>
  <c r="T111" i="58"/>
  <c r="T112" i="58"/>
  <c r="T113" i="58"/>
  <c r="T114" i="58"/>
  <c r="T115" i="58"/>
  <c r="T116" i="58"/>
  <c r="T117" i="58"/>
  <c r="T118" i="58"/>
  <c r="T119" i="58"/>
  <c r="T120" i="58"/>
  <c r="T121" i="58"/>
  <c r="T122" i="58"/>
  <c r="T123" i="58"/>
  <c r="T124" i="58"/>
  <c r="T125" i="58"/>
  <c r="T126" i="58"/>
  <c r="T127" i="58"/>
  <c r="T128" i="58"/>
  <c r="T129" i="58"/>
  <c r="T130" i="58"/>
  <c r="T131" i="58"/>
  <c r="T132" i="58"/>
  <c r="T133" i="58"/>
  <c r="T134" i="58"/>
  <c r="T135" i="58"/>
  <c r="T136" i="58"/>
  <c r="T137" i="58"/>
  <c r="T138" i="58"/>
  <c r="T139" i="58"/>
  <c r="T140" i="58"/>
  <c r="T141" i="58"/>
  <c r="T142" i="58"/>
  <c r="T143" i="58"/>
  <c r="T144" i="58"/>
  <c r="T145" i="58"/>
  <c r="T146" i="58"/>
  <c r="T147" i="58"/>
  <c r="T148" i="58"/>
  <c r="T149" i="58"/>
  <c r="T150" i="58"/>
  <c r="T151" i="58"/>
  <c r="T152" i="58"/>
  <c r="T153" i="58"/>
  <c r="T154" i="58"/>
  <c r="T155" i="58"/>
  <c r="T156" i="58"/>
  <c r="T157" i="58"/>
  <c r="T158" i="58"/>
  <c r="T159" i="58"/>
  <c r="T160" i="58"/>
  <c r="T161" i="58"/>
  <c r="T162" i="58"/>
  <c r="T163" i="58"/>
  <c r="T164" i="58"/>
  <c r="T165" i="58"/>
  <c r="T166" i="58"/>
  <c r="T167" i="58"/>
  <c r="T168" i="58"/>
  <c r="T169" i="58"/>
  <c r="T170" i="58"/>
  <c r="T171" i="58"/>
  <c r="T172" i="58"/>
  <c r="T173" i="58"/>
  <c r="T174" i="58"/>
  <c r="T175" i="58"/>
  <c r="T176" i="58"/>
  <c r="T177" i="58"/>
  <c r="T178" i="58"/>
  <c r="T179" i="58"/>
  <c r="T180" i="58"/>
  <c r="T181" i="58"/>
  <c r="T182" i="58"/>
  <c r="T183" i="58"/>
  <c r="T184" i="58"/>
  <c r="T185" i="58"/>
  <c r="T186" i="58"/>
  <c r="T187" i="58"/>
  <c r="T188" i="58"/>
  <c r="T189" i="58"/>
  <c r="T190" i="58"/>
  <c r="T191" i="58"/>
  <c r="T192" i="58"/>
  <c r="T193" i="58"/>
  <c r="T194" i="58"/>
  <c r="T195" i="58"/>
  <c r="T196" i="58"/>
  <c r="T197" i="58"/>
  <c r="T198" i="58"/>
  <c r="T199" i="58"/>
  <c r="T200" i="58"/>
  <c r="T201" i="58"/>
  <c r="T202" i="58"/>
  <c r="T203" i="58"/>
  <c r="T204" i="58"/>
  <c r="T205" i="58"/>
  <c r="T206" i="58"/>
  <c r="T207" i="58"/>
  <c r="T208" i="58"/>
  <c r="T209" i="58"/>
  <c r="T210" i="58"/>
  <c r="T211" i="58"/>
  <c r="T212" i="58"/>
  <c r="T30" i="58"/>
  <c r="AL31" i="58"/>
  <c r="Q31" i="58" s="1"/>
  <c r="BA123" i="58" s="1"/>
  <c r="AM31" i="58"/>
  <c r="AL32" i="58"/>
  <c r="Q32" i="58" s="1"/>
  <c r="BA124" i="58" s="1"/>
  <c r="AM32" i="58"/>
  <c r="AL33" i="58"/>
  <c r="Q33" i="58" s="1"/>
  <c r="BA125" i="58" s="1"/>
  <c r="AM33" i="58"/>
  <c r="AL34" i="58"/>
  <c r="Q34" i="58" s="1"/>
  <c r="BA126" i="58" s="1"/>
  <c r="AM34" i="58"/>
  <c r="AL35" i="58"/>
  <c r="Q35" i="58" s="1"/>
  <c r="BA127" i="58" s="1"/>
  <c r="AM35" i="58"/>
  <c r="AL36" i="58"/>
  <c r="Q36" i="58" s="1"/>
  <c r="BA128" i="58" s="1"/>
  <c r="AM36" i="58"/>
  <c r="AL37" i="58"/>
  <c r="Q37" i="58" s="1"/>
  <c r="BA129" i="58" s="1"/>
  <c r="AM37" i="58"/>
  <c r="AL38" i="58"/>
  <c r="Q38" i="58" s="1"/>
  <c r="BA130" i="58" s="1"/>
  <c r="AM38" i="58"/>
  <c r="AL39" i="58"/>
  <c r="Q39" i="58" s="1"/>
  <c r="BA131" i="58" s="1"/>
  <c r="AM39" i="58"/>
  <c r="AL40" i="58"/>
  <c r="AM40" i="58"/>
  <c r="AL41" i="58"/>
  <c r="Q41" i="58" s="1"/>
  <c r="BA133" i="58" s="1"/>
  <c r="AM41" i="58"/>
  <c r="AL42" i="58"/>
  <c r="Q42" i="58" s="1"/>
  <c r="BA134" i="58" s="1"/>
  <c r="AM42" i="58"/>
  <c r="AL43" i="58"/>
  <c r="AM43" i="58"/>
  <c r="AL44" i="58"/>
  <c r="AM44" i="58"/>
  <c r="AL45" i="58"/>
  <c r="Q45" i="58" s="1"/>
  <c r="BA137" i="58" s="1"/>
  <c r="AM45" i="58"/>
  <c r="AL46" i="58"/>
  <c r="Q46" i="58" s="1"/>
  <c r="BA138" i="58" s="1"/>
  <c r="AM46" i="58"/>
  <c r="AL47" i="58"/>
  <c r="Q47" i="58" s="1"/>
  <c r="BA139" i="58" s="1"/>
  <c r="AM47" i="58"/>
  <c r="AL48" i="58"/>
  <c r="R48" i="58" s="1"/>
  <c r="AM48" i="58"/>
  <c r="AL49" i="58"/>
  <c r="M49" i="58" s="1"/>
  <c r="AM49" i="58"/>
  <c r="AL50" i="58"/>
  <c r="M50" i="58" s="1"/>
  <c r="AM50" i="58"/>
  <c r="AL51" i="58"/>
  <c r="M51" i="58" s="1"/>
  <c r="AM51" i="58"/>
  <c r="AL52" i="58"/>
  <c r="M52" i="58" s="1"/>
  <c r="AM52" i="58"/>
  <c r="AL53" i="58"/>
  <c r="M53" i="58" s="1"/>
  <c r="AM53" i="58"/>
  <c r="AL54" i="58"/>
  <c r="R54" i="58" s="1"/>
  <c r="AM54" i="58"/>
  <c r="AL55" i="58"/>
  <c r="M55" i="58" s="1"/>
  <c r="AM55" i="58"/>
  <c r="AL56" i="58"/>
  <c r="R56" i="58" s="1"/>
  <c r="AM56" i="58"/>
  <c r="AL57" i="58"/>
  <c r="M57" i="58" s="1"/>
  <c r="AM57" i="58"/>
  <c r="AL58" i="58"/>
  <c r="R58" i="58" s="1"/>
  <c r="AM58" i="58"/>
  <c r="AL59" i="58"/>
  <c r="M59" i="58" s="1"/>
  <c r="AM59" i="58"/>
  <c r="AL60" i="58"/>
  <c r="Q60" i="58" s="1"/>
  <c r="AM60" i="58"/>
  <c r="AL61" i="58"/>
  <c r="M61" i="58" s="1"/>
  <c r="AM61" i="58"/>
  <c r="AL62" i="58"/>
  <c r="M62" i="58" s="1"/>
  <c r="AM62" i="58"/>
  <c r="AL63" i="58"/>
  <c r="R63" i="58" s="1"/>
  <c r="AM63" i="58"/>
  <c r="AL64" i="58"/>
  <c r="R64" i="58" s="1"/>
  <c r="AM64" i="58"/>
  <c r="AL65" i="58"/>
  <c r="R65" i="58" s="1"/>
  <c r="AM65" i="58"/>
  <c r="AL66" i="58"/>
  <c r="R66" i="58" s="1"/>
  <c r="AM66" i="58"/>
  <c r="AL67" i="58"/>
  <c r="M67" i="58" s="1"/>
  <c r="AM67" i="58"/>
  <c r="AL68" i="58"/>
  <c r="R68" i="58" s="1"/>
  <c r="AM68" i="58"/>
  <c r="AL69" i="58"/>
  <c r="R69" i="58" s="1"/>
  <c r="AM69" i="58"/>
  <c r="AL70" i="58"/>
  <c r="R70" i="58" s="1"/>
  <c r="AM70" i="58"/>
  <c r="AL71" i="58"/>
  <c r="R71" i="58" s="1"/>
  <c r="AM71" i="58"/>
  <c r="AL72" i="58"/>
  <c r="R72" i="58" s="1"/>
  <c r="AM72" i="58"/>
  <c r="AL73" i="58"/>
  <c r="M73" i="58" s="1"/>
  <c r="AM73" i="58"/>
  <c r="AL74" i="58"/>
  <c r="R74" i="58" s="1"/>
  <c r="AM74" i="58"/>
  <c r="AL75" i="58"/>
  <c r="M75" i="58" s="1"/>
  <c r="AM75" i="58"/>
  <c r="AL76" i="58"/>
  <c r="R76" i="58" s="1"/>
  <c r="AM76" i="58"/>
  <c r="AL77" i="58"/>
  <c r="R77" i="58" s="1"/>
  <c r="AM77" i="58"/>
  <c r="AL78" i="58"/>
  <c r="R78" i="58" s="1"/>
  <c r="AM78" i="58"/>
  <c r="AL79" i="58"/>
  <c r="M79" i="58" s="1"/>
  <c r="AM79" i="58"/>
  <c r="AL80" i="58"/>
  <c r="R80" i="58" s="1"/>
  <c r="AM80" i="58"/>
  <c r="AL81" i="58"/>
  <c r="R81" i="58" s="1"/>
  <c r="AM81" i="58"/>
  <c r="AL82" i="58"/>
  <c r="R82" i="58" s="1"/>
  <c r="AM82" i="58"/>
  <c r="AL83" i="58"/>
  <c r="R83" i="58" s="1"/>
  <c r="AM83" i="58"/>
  <c r="AL84" i="58"/>
  <c r="R84" i="58" s="1"/>
  <c r="AM84" i="58"/>
  <c r="AL85" i="58"/>
  <c r="M85" i="58" s="1"/>
  <c r="AM85" i="58"/>
  <c r="AL86" i="58"/>
  <c r="M86" i="58" s="1"/>
  <c r="AM86" i="58"/>
  <c r="AL87" i="58"/>
  <c r="M87" i="58" s="1"/>
  <c r="AM87" i="58"/>
  <c r="AL88" i="58"/>
  <c r="M88" i="58" s="1"/>
  <c r="AM88" i="58"/>
  <c r="AL89" i="58"/>
  <c r="M89" i="58" s="1"/>
  <c r="AM89" i="58"/>
  <c r="AL90" i="58"/>
  <c r="R90" i="58" s="1"/>
  <c r="AM90" i="58"/>
  <c r="AL91" i="58"/>
  <c r="M91" i="58" s="1"/>
  <c r="AM91" i="58"/>
  <c r="AL92" i="58"/>
  <c r="R92" i="58" s="1"/>
  <c r="AM92" i="58"/>
  <c r="AL93" i="58"/>
  <c r="M93" i="58" s="1"/>
  <c r="AM93" i="58"/>
  <c r="AL94" i="58"/>
  <c r="M94" i="58" s="1"/>
  <c r="AM94" i="58"/>
  <c r="AL95" i="58"/>
  <c r="Q95" i="58" s="1"/>
  <c r="AM95" i="58"/>
  <c r="AL96" i="58"/>
  <c r="Q96" i="58" s="1"/>
  <c r="AM96" i="58"/>
  <c r="AL97" i="58"/>
  <c r="M97" i="58" s="1"/>
  <c r="AM97" i="58"/>
  <c r="AL98" i="58"/>
  <c r="R98" i="58" s="1"/>
  <c r="AM98" i="58"/>
  <c r="AL99" i="58"/>
  <c r="R99" i="58" s="1"/>
  <c r="AM99" i="58"/>
  <c r="AL100" i="58"/>
  <c r="R100" i="58" s="1"/>
  <c r="AM100" i="58"/>
  <c r="AL101" i="58"/>
  <c r="R101" i="58" s="1"/>
  <c r="AM101" i="58"/>
  <c r="AL102" i="58"/>
  <c r="R102" i="58" s="1"/>
  <c r="AM102" i="58"/>
  <c r="AL103" i="58"/>
  <c r="M103" i="58" s="1"/>
  <c r="AM103" i="58"/>
  <c r="AL104" i="58"/>
  <c r="M104" i="58" s="1"/>
  <c r="AM104" i="58"/>
  <c r="AL105" i="58"/>
  <c r="R105" i="58" s="1"/>
  <c r="AM105" i="58"/>
  <c r="AL106" i="58"/>
  <c r="R106" i="58" s="1"/>
  <c r="AM106" i="58"/>
  <c r="AL107" i="58"/>
  <c r="R107" i="58" s="1"/>
  <c r="AM107" i="58"/>
  <c r="AL108" i="58"/>
  <c r="R108" i="58" s="1"/>
  <c r="AM108" i="58"/>
  <c r="AL109" i="58"/>
  <c r="M109" i="58" s="1"/>
  <c r="AM109" i="58"/>
  <c r="AL110" i="58"/>
  <c r="M110" i="58" s="1"/>
  <c r="AM110" i="58"/>
  <c r="AL111" i="58"/>
  <c r="M111" i="58" s="1"/>
  <c r="AM111" i="58"/>
  <c r="AL112" i="58"/>
  <c r="M112" i="58" s="1"/>
  <c r="AM112" i="58"/>
  <c r="AL113" i="58"/>
  <c r="R113" i="58" s="1"/>
  <c r="AM113" i="58"/>
  <c r="AL114" i="58"/>
  <c r="R114" i="58" s="1"/>
  <c r="AM114" i="58"/>
  <c r="AL115" i="58"/>
  <c r="M115" i="58" s="1"/>
  <c r="AM115" i="58"/>
  <c r="AL116" i="58"/>
  <c r="R116" i="58" s="1"/>
  <c r="AM116" i="58"/>
  <c r="AL117" i="58"/>
  <c r="R117" i="58" s="1"/>
  <c r="AM117" i="58"/>
  <c r="AL118" i="58"/>
  <c r="M118" i="58" s="1"/>
  <c r="AM118" i="58"/>
  <c r="AL119" i="58"/>
  <c r="R119" i="58" s="1"/>
  <c r="AM119" i="58"/>
  <c r="AL120" i="58"/>
  <c r="R120" i="58" s="1"/>
  <c r="AM120" i="58"/>
  <c r="AL121" i="58"/>
  <c r="M121" i="58" s="1"/>
  <c r="AM121" i="58"/>
  <c r="AL122" i="58"/>
  <c r="M122" i="58" s="1"/>
  <c r="AM122" i="58"/>
  <c r="AL123" i="58"/>
  <c r="M123" i="58" s="1"/>
  <c r="AM123" i="58"/>
  <c r="AL124" i="58"/>
  <c r="M124" i="58" s="1"/>
  <c r="AM124" i="58"/>
  <c r="AL125" i="58"/>
  <c r="M125" i="58" s="1"/>
  <c r="AM125" i="58"/>
  <c r="AL126" i="58"/>
  <c r="R126" i="58" s="1"/>
  <c r="AM126" i="58"/>
  <c r="AL127" i="58"/>
  <c r="R127" i="58" s="1"/>
  <c r="AM127" i="58"/>
  <c r="AL128" i="58"/>
  <c r="R128" i="58" s="1"/>
  <c r="AM128" i="58"/>
  <c r="AL129" i="58"/>
  <c r="M129" i="58" s="1"/>
  <c r="AM129" i="58"/>
  <c r="AL130" i="58"/>
  <c r="R130" i="58" s="1"/>
  <c r="AM130" i="58"/>
  <c r="AL131" i="58"/>
  <c r="Q131" i="58" s="1"/>
  <c r="AM131" i="58"/>
  <c r="AL132" i="58"/>
  <c r="Q132" i="58" s="1"/>
  <c r="AM132" i="58"/>
  <c r="AL133" i="58"/>
  <c r="M133" i="58" s="1"/>
  <c r="AM133" i="58"/>
  <c r="AL134" i="58"/>
  <c r="R134" i="58" s="1"/>
  <c r="AM134" i="58"/>
  <c r="AL135" i="58"/>
  <c r="R135" i="58" s="1"/>
  <c r="AM135" i="58"/>
  <c r="AL136" i="58"/>
  <c r="R136" i="58" s="1"/>
  <c r="AM136" i="58"/>
  <c r="AL137" i="58"/>
  <c r="R137" i="58" s="1"/>
  <c r="AM137" i="58"/>
  <c r="AL138" i="58"/>
  <c r="R138" i="58" s="1"/>
  <c r="AM138" i="58"/>
  <c r="AL139" i="58"/>
  <c r="R139" i="58" s="1"/>
  <c r="AM139" i="58"/>
  <c r="AL140" i="58"/>
  <c r="R140" i="58" s="1"/>
  <c r="AM140" i="58"/>
  <c r="AL141" i="58"/>
  <c r="R141" i="58" s="1"/>
  <c r="AM141" i="58"/>
  <c r="AL142" i="58"/>
  <c r="R142" i="58" s="1"/>
  <c r="AM142" i="58"/>
  <c r="AL143" i="58"/>
  <c r="R143" i="58" s="1"/>
  <c r="AM143" i="58"/>
  <c r="AL144" i="58"/>
  <c r="R144" i="58" s="1"/>
  <c r="AM144" i="58"/>
  <c r="AL145" i="58"/>
  <c r="M145" i="58" s="1"/>
  <c r="AM145" i="58"/>
  <c r="AL146" i="58"/>
  <c r="M146" i="58" s="1"/>
  <c r="AM146" i="58"/>
  <c r="AL147" i="58"/>
  <c r="M147" i="58" s="1"/>
  <c r="AM147" i="58"/>
  <c r="AL148" i="58"/>
  <c r="M148" i="58" s="1"/>
  <c r="AM148" i="58"/>
  <c r="AL149" i="58"/>
  <c r="R149" i="58" s="1"/>
  <c r="AM149" i="58"/>
  <c r="AL150" i="58"/>
  <c r="R150" i="58" s="1"/>
  <c r="AM150" i="58"/>
  <c r="AL151" i="58"/>
  <c r="M151" i="58" s="1"/>
  <c r="AM151" i="58"/>
  <c r="AL152" i="58"/>
  <c r="R152" i="58" s="1"/>
  <c r="AM152" i="58"/>
  <c r="AL153" i="58"/>
  <c r="R153" i="58" s="1"/>
  <c r="AM153" i="58"/>
  <c r="AL154" i="58"/>
  <c r="R154" i="58" s="1"/>
  <c r="AM154" i="58"/>
  <c r="AL155" i="58"/>
  <c r="R155" i="58" s="1"/>
  <c r="AM155" i="58"/>
  <c r="AL156" i="58"/>
  <c r="R156" i="58" s="1"/>
  <c r="AM156" i="58"/>
  <c r="AL157" i="58"/>
  <c r="M157" i="58" s="1"/>
  <c r="AM157" i="58"/>
  <c r="AL158" i="58"/>
  <c r="M158" i="58" s="1"/>
  <c r="AM158" i="58"/>
  <c r="AL159" i="58"/>
  <c r="R159" i="58" s="1"/>
  <c r="AM159" i="58"/>
  <c r="AL160" i="58"/>
  <c r="R160" i="58" s="1"/>
  <c r="AM160" i="58"/>
  <c r="AL161" i="58"/>
  <c r="R161" i="58" s="1"/>
  <c r="AM161" i="58"/>
  <c r="AL162" i="58"/>
  <c r="R162" i="58" s="1"/>
  <c r="AM162" i="58"/>
  <c r="AL163" i="58"/>
  <c r="M163" i="58" s="1"/>
  <c r="AM163" i="58"/>
  <c r="AL164" i="58"/>
  <c r="M164" i="58" s="1"/>
  <c r="AM164" i="58"/>
  <c r="AL165" i="58"/>
  <c r="M165" i="58" s="1"/>
  <c r="AM165" i="58"/>
  <c r="AL166" i="58"/>
  <c r="M166" i="58" s="1"/>
  <c r="AM166" i="58"/>
  <c r="AL167" i="58"/>
  <c r="Q167" i="58" s="1"/>
  <c r="AM167" i="58"/>
  <c r="AL168" i="58"/>
  <c r="M168" i="58" s="1"/>
  <c r="AM168" i="58"/>
  <c r="AL169" i="58"/>
  <c r="M169" i="58" s="1"/>
  <c r="AM169" i="58"/>
  <c r="AL170" i="58"/>
  <c r="M170" i="58" s="1"/>
  <c r="AM170" i="58"/>
  <c r="AL171" i="58"/>
  <c r="R171" i="58" s="1"/>
  <c r="AM171" i="58"/>
  <c r="AL172" i="58"/>
  <c r="R172" i="58" s="1"/>
  <c r="AM172" i="58"/>
  <c r="AL173" i="58"/>
  <c r="R173" i="58" s="1"/>
  <c r="AM173" i="58"/>
  <c r="AL174" i="58"/>
  <c r="R174" i="58" s="1"/>
  <c r="AM174" i="58"/>
  <c r="AL175" i="58"/>
  <c r="M175" i="58" s="1"/>
  <c r="AM175" i="58"/>
  <c r="AL176" i="58"/>
  <c r="R176" i="58" s="1"/>
  <c r="AM176" i="58"/>
  <c r="AL177" i="58"/>
  <c r="R177" i="58" s="1"/>
  <c r="AM177" i="58"/>
  <c r="AL178" i="58"/>
  <c r="R178" i="58" s="1"/>
  <c r="AM178" i="58"/>
  <c r="AL179" i="58"/>
  <c r="R179" i="58" s="1"/>
  <c r="AM179" i="58"/>
  <c r="AL180" i="58"/>
  <c r="R180" i="58" s="1"/>
  <c r="AM180" i="58"/>
  <c r="AL181" i="58"/>
  <c r="M181" i="58" s="1"/>
  <c r="AM181" i="58"/>
  <c r="AL182" i="58"/>
  <c r="M182" i="58" s="1"/>
  <c r="AM182" i="58"/>
  <c r="AL183" i="58"/>
  <c r="M183" i="58" s="1"/>
  <c r="AM183" i="58"/>
  <c r="AL184" i="58"/>
  <c r="M184" i="58" s="1"/>
  <c r="AM184" i="58"/>
  <c r="AL185" i="58"/>
  <c r="R185" i="58" s="1"/>
  <c r="AM185" i="58"/>
  <c r="AL186" i="58"/>
  <c r="R186" i="58" s="1"/>
  <c r="AM186" i="58"/>
  <c r="AL187" i="58"/>
  <c r="R187" i="58" s="1"/>
  <c r="AM187" i="58"/>
  <c r="AL188" i="58"/>
  <c r="R188" i="58" s="1"/>
  <c r="AM188" i="58"/>
  <c r="AL189" i="58"/>
  <c r="R189" i="58" s="1"/>
  <c r="AM189" i="58"/>
  <c r="AL190" i="58"/>
  <c r="M190" i="58" s="1"/>
  <c r="AM190" i="58"/>
  <c r="AL191" i="58"/>
  <c r="R191" i="58" s="1"/>
  <c r="AM191" i="58"/>
  <c r="AL192" i="58"/>
  <c r="R192" i="58" s="1"/>
  <c r="AM192" i="58"/>
  <c r="AL193" i="58"/>
  <c r="M193" i="58" s="1"/>
  <c r="AM193" i="58"/>
  <c r="AL194" i="58"/>
  <c r="M194" i="58" s="1"/>
  <c r="AM194" i="58"/>
  <c r="AL195" i="58"/>
  <c r="M195" i="58" s="1"/>
  <c r="AM195" i="58"/>
  <c r="AL196" i="58"/>
  <c r="M196" i="58" s="1"/>
  <c r="AM196" i="58"/>
  <c r="AL197" i="58"/>
  <c r="M197" i="58" s="1"/>
  <c r="AM197" i="58"/>
  <c r="AL198" i="58"/>
  <c r="R198" i="58" s="1"/>
  <c r="AM198" i="58"/>
  <c r="AL199" i="58"/>
  <c r="M199" i="58" s="1"/>
  <c r="AM199" i="58"/>
  <c r="AL200" i="58"/>
  <c r="R200" i="58" s="1"/>
  <c r="AM200" i="58"/>
  <c r="AL201" i="58"/>
  <c r="M201" i="58" s="1"/>
  <c r="AM201" i="58"/>
  <c r="AL202" i="58"/>
  <c r="R202" i="58" s="1"/>
  <c r="AM202" i="58"/>
  <c r="AL203" i="58"/>
  <c r="Q203" i="58" s="1"/>
  <c r="AM203" i="58"/>
  <c r="AL204" i="58"/>
  <c r="M204" i="58" s="1"/>
  <c r="AM204" i="58"/>
  <c r="AL205" i="58"/>
  <c r="M205" i="58" s="1"/>
  <c r="AM205" i="58"/>
  <c r="AL206" i="58"/>
  <c r="M206" i="58" s="1"/>
  <c r="AM206" i="58"/>
  <c r="AL207" i="58"/>
  <c r="R207" i="58" s="1"/>
  <c r="AM207" i="58"/>
  <c r="AL208" i="58"/>
  <c r="R208" i="58" s="1"/>
  <c r="AM208" i="58"/>
  <c r="AL209" i="58"/>
  <c r="R209" i="58" s="1"/>
  <c r="AM209" i="58"/>
  <c r="AL210" i="58"/>
  <c r="R210" i="58" s="1"/>
  <c r="AM210" i="58"/>
  <c r="AL211" i="58"/>
  <c r="M211" i="58" s="1"/>
  <c r="AM211" i="58"/>
  <c r="AL212" i="58"/>
  <c r="M212" i="58" s="1"/>
  <c r="AM212" i="58"/>
  <c r="AM30" i="58"/>
  <c r="R67" i="58"/>
  <c r="R73" i="58"/>
  <c r="R75" i="58"/>
  <c r="R88" i="58"/>
  <c r="R91" i="58"/>
  <c r="R97" i="58"/>
  <c r="R103" i="58"/>
  <c r="R123" i="58"/>
  <c r="R124" i="58"/>
  <c r="R125" i="58"/>
  <c r="R132" i="58"/>
  <c r="R147" i="58"/>
  <c r="R157" i="58"/>
  <c r="R158" i="58"/>
  <c r="R163" i="58"/>
  <c r="R183" i="58"/>
  <c r="R184" i="58"/>
  <c r="R193" i="58"/>
  <c r="R195" i="58"/>
  <c r="AL30" i="58"/>
  <c r="Q30" i="58" s="1"/>
  <c r="R57" i="58"/>
  <c r="R104" i="58"/>
  <c r="R118" i="58"/>
  <c r="R129" i="58"/>
  <c r="R131" i="58"/>
  <c r="R166" i="58"/>
  <c r="R190" i="58"/>
  <c r="R49" i="58"/>
  <c r="AU46" i="55"/>
  <c r="AU53" i="55"/>
  <c r="AO53" i="55" s="1"/>
  <c r="AU39" i="55"/>
  <c r="AO39" i="55" s="1"/>
  <c r="AU32" i="55"/>
  <c r="AO32" i="55" s="1"/>
  <c r="AO52" i="55"/>
  <c r="AO45" i="55"/>
  <c r="AO38" i="55"/>
  <c r="AO31" i="55"/>
  <c r="P39" i="5"/>
  <c r="P38" i="5"/>
  <c r="P37" i="5"/>
  <c r="P36" i="5"/>
  <c r="P34" i="5"/>
  <c r="P31" i="5"/>
  <c r="P30" i="5"/>
  <c r="O39" i="5"/>
  <c r="O38" i="5"/>
  <c r="O37" i="5"/>
  <c r="O36" i="5"/>
  <c r="O34" i="5"/>
  <c r="O31" i="5"/>
  <c r="O30" i="5"/>
  <c r="F29" i="6"/>
  <c r="M120" i="58" l="1"/>
  <c r="M108" i="58"/>
  <c r="R95" i="58"/>
  <c r="R121" i="58"/>
  <c r="M84" i="58"/>
  <c r="R60" i="58"/>
  <c r="M96" i="58"/>
  <c r="R175" i="58"/>
  <c r="R53" i="58"/>
  <c r="R94" i="58"/>
  <c r="R169" i="58"/>
  <c r="R112" i="58"/>
  <c r="R51" i="58"/>
  <c r="M72" i="58"/>
  <c r="R59" i="58"/>
  <c r="M60" i="58"/>
  <c r="R203" i="58"/>
  <c r="Q83" i="58"/>
  <c r="R201" i="58"/>
  <c r="R96" i="58"/>
  <c r="R211" i="58"/>
  <c r="R151" i="58"/>
  <c r="Q71" i="58"/>
  <c r="R204" i="58"/>
  <c r="Q59" i="58"/>
  <c r="R165" i="58"/>
  <c r="R197" i="58"/>
  <c r="R145" i="58"/>
  <c r="R79" i="58"/>
  <c r="M203" i="58"/>
  <c r="M191" i="58"/>
  <c r="M179" i="58"/>
  <c r="M167" i="58"/>
  <c r="M155" i="58"/>
  <c r="M143" i="58"/>
  <c r="M131" i="58"/>
  <c r="M119" i="58"/>
  <c r="M107" i="58"/>
  <c r="M95" i="58"/>
  <c r="M83" i="58"/>
  <c r="M71" i="58"/>
  <c r="M30" i="58"/>
  <c r="Q202" i="58"/>
  <c r="Q190" i="58"/>
  <c r="Q178" i="58"/>
  <c r="Q166" i="58"/>
  <c r="Q154" i="58"/>
  <c r="Q142" i="58"/>
  <c r="Q130" i="58"/>
  <c r="Q118" i="58"/>
  <c r="Q106" i="58"/>
  <c r="Q94" i="58"/>
  <c r="Q82" i="58"/>
  <c r="Q70" i="58"/>
  <c r="Q58" i="58"/>
  <c r="R30" i="58"/>
  <c r="R164" i="58"/>
  <c r="R206" i="58"/>
  <c r="R182" i="58"/>
  <c r="R62" i="58"/>
  <c r="M202" i="58"/>
  <c r="M178" i="58"/>
  <c r="M154" i="58"/>
  <c r="M142" i="58"/>
  <c r="M130" i="58"/>
  <c r="M106" i="58"/>
  <c r="M82" i="58"/>
  <c r="M70" i="58"/>
  <c r="M58" i="58"/>
  <c r="Q201" i="58"/>
  <c r="Q189" i="58"/>
  <c r="Q177" i="58"/>
  <c r="Q165" i="58"/>
  <c r="Q153" i="58"/>
  <c r="Q141" i="58"/>
  <c r="Q129" i="58"/>
  <c r="Q117" i="58"/>
  <c r="Q105" i="58"/>
  <c r="Q93" i="58"/>
  <c r="Q81" i="58"/>
  <c r="Q69" i="58"/>
  <c r="Q57" i="58"/>
  <c r="R212" i="58"/>
  <c r="R93" i="58"/>
  <c r="R205" i="58"/>
  <c r="R181" i="58"/>
  <c r="R148" i="58"/>
  <c r="R122" i="58"/>
  <c r="R89" i="58"/>
  <c r="R61" i="58"/>
  <c r="M189" i="58"/>
  <c r="M177" i="58"/>
  <c r="M153" i="58"/>
  <c r="M141" i="58"/>
  <c r="M117" i="58"/>
  <c r="M105" i="58"/>
  <c r="M81" i="58"/>
  <c r="M69" i="58"/>
  <c r="Q212" i="58"/>
  <c r="Q200" i="58"/>
  <c r="Q188" i="58"/>
  <c r="Q176" i="58"/>
  <c r="Q164" i="58"/>
  <c r="Q152" i="58"/>
  <c r="Q140" i="58"/>
  <c r="Q128" i="58"/>
  <c r="Q116" i="58"/>
  <c r="Q104" i="58"/>
  <c r="Q92" i="58"/>
  <c r="Q80" i="58"/>
  <c r="Q68" i="58"/>
  <c r="Q56" i="58"/>
  <c r="M200" i="58"/>
  <c r="M188" i="58"/>
  <c r="M176" i="58"/>
  <c r="M152" i="58"/>
  <c r="M140" i="58"/>
  <c r="M128" i="58"/>
  <c r="M116" i="58"/>
  <c r="M92" i="58"/>
  <c r="M80" i="58"/>
  <c r="M68" i="58"/>
  <c r="M56" i="58"/>
  <c r="Q211" i="58"/>
  <c r="Q199" i="58"/>
  <c r="Q187" i="58"/>
  <c r="Q175" i="58"/>
  <c r="Q163" i="58"/>
  <c r="Q151" i="58"/>
  <c r="Q139" i="58"/>
  <c r="Q127" i="58"/>
  <c r="Q115" i="58"/>
  <c r="Q103" i="58"/>
  <c r="Q91" i="58"/>
  <c r="Q79" i="58"/>
  <c r="Q67" i="58"/>
  <c r="Q55" i="58"/>
  <c r="R199" i="58"/>
  <c r="R170" i="58"/>
  <c r="R146" i="58"/>
  <c r="R115" i="58"/>
  <c r="R87" i="58"/>
  <c r="R55" i="58"/>
  <c r="M187" i="58"/>
  <c r="M139" i="58"/>
  <c r="M127" i="58"/>
  <c r="Q210" i="58"/>
  <c r="Q198" i="58"/>
  <c r="Q186" i="58"/>
  <c r="Q174" i="58"/>
  <c r="Q162" i="58"/>
  <c r="Q150" i="58"/>
  <c r="Q138" i="58"/>
  <c r="Q126" i="58"/>
  <c r="Q114" i="58"/>
  <c r="Q102" i="58"/>
  <c r="Q90" i="58"/>
  <c r="Q78" i="58"/>
  <c r="Q66" i="58"/>
  <c r="Q54" i="58"/>
  <c r="M210" i="58"/>
  <c r="M198" i="58"/>
  <c r="M186" i="58"/>
  <c r="M174" i="58"/>
  <c r="M162" i="58"/>
  <c r="M150" i="58"/>
  <c r="M138" i="58"/>
  <c r="M126" i="58"/>
  <c r="M114" i="58"/>
  <c r="M102" i="58"/>
  <c r="M90" i="58"/>
  <c r="M78" i="58"/>
  <c r="M66" i="58"/>
  <c r="M54" i="58"/>
  <c r="Q209" i="58"/>
  <c r="Q197" i="58"/>
  <c r="Q185" i="58"/>
  <c r="Q173" i="58"/>
  <c r="Q161" i="58"/>
  <c r="Q149" i="58"/>
  <c r="Q137" i="58"/>
  <c r="Q125" i="58"/>
  <c r="Q113" i="58"/>
  <c r="Q101" i="58"/>
  <c r="Q89" i="58"/>
  <c r="Q77" i="58"/>
  <c r="Q65" i="58"/>
  <c r="Q53" i="58"/>
  <c r="R86" i="58"/>
  <c r="R196" i="58"/>
  <c r="R168" i="58"/>
  <c r="R111" i="58"/>
  <c r="R85" i="58"/>
  <c r="R52" i="58"/>
  <c r="M209" i="58"/>
  <c r="M185" i="58"/>
  <c r="M173" i="58"/>
  <c r="M161" i="58"/>
  <c r="M149" i="58"/>
  <c r="M137" i="58"/>
  <c r="M113" i="58"/>
  <c r="M101" i="58"/>
  <c r="M77" i="58"/>
  <c r="M65" i="58"/>
  <c r="Q208" i="58"/>
  <c r="Q196" i="58"/>
  <c r="Q184" i="58"/>
  <c r="Q172" i="58"/>
  <c r="Q160" i="58"/>
  <c r="Q148" i="58"/>
  <c r="Q136" i="58"/>
  <c r="Q124" i="58"/>
  <c r="Q112" i="58"/>
  <c r="Q100" i="58"/>
  <c r="Q88" i="58"/>
  <c r="Q76" i="58"/>
  <c r="Q64" i="58"/>
  <c r="Q52" i="58"/>
  <c r="R110" i="58"/>
  <c r="M208" i="58"/>
  <c r="M172" i="58"/>
  <c r="M160" i="58"/>
  <c r="M136" i="58"/>
  <c r="M100" i="58"/>
  <c r="M76" i="58"/>
  <c r="M64" i="58"/>
  <c r="Q207" i="58"/>
  <c r="Q195" i="58"/>
  <c r="Q183" i="58"/>
  <c r="Q171" i="58"/>
  <c r="Q159" i="58"/>
  <c r="Q147" i="58"/>
  <c r="Q135" i="58"/>
  <c r="Q123" i="58"/>
  <c r="Q111" i="58"/>
  <c r="Q99" i="58"/>
  <c r="Q87" i="58"/>
  <c r="Q75" i="58"/>
  <c r="Q63" i="58"/>
  <c r="Q51" i="58"/>
  <c r="R194" i="58"/>
  <c r="R133" i="58"/>
  <c r="R109" i="58"/>
  <c r="R50" i="58"/>
  <c r="M207" i="58"/>
  <c r="M171" i="58"/>
  <c r="M159" i="58"/>
  <c r="M135" i="58"/>
  <c r="M99" i="58"/>
  <c r="M63" i="58"/>
  <c r="Q206" i="58"/>
  <c r="Q194" i="58"/>
  <c r="Q182" i="58"/>
  <c r="Q170" i="58"/>
  <c r="Q158" i="58"/>
  <c r="Q146" i="58"/>
  <c r="Q134" i="58"/>
  <c r="Q122" i="58"/>
  <c r="Q110" i="58"/>
  <c r="Q98" i="58"/>
  <c r="Q86" i="58"/>
  <c r="Q74" i="58"/>
  <c r="Q62" i="58"/>
  <c r="Q50" i="58"/>
  <c r="M134" i="58"/>
  <c r="M98" i="58"/>
  <c r="M74" i="58"/>
  <c r="Q205" i="58"/>
  <c r="Q193" i="58"/>
  <c r="Q181" i="58"/>
  <c r="Q169" i="58"/>
  <c r="Q157" i="58"/>
  <c r="Q145" i="58"/>
  <c r="Q133" i="58"/>
  <c r="Q121" i="58"/>
  <c r="Q109" i="58"/>
  <c r="Q97" i="58"/>
  <c r="Q85" i="58"/>
  <c r="Q73" i="58"/>
  <c r="Q61" i="58"/>
  <c r="Q49" i="58"/>
  <c r="R167" i="58"/>
  <c r="Q204" i="58"/>
  <c r="Q192" i="58"/>
  <c r="Q180" i="58"/>
  <c r="Q168" i="58"/>
  <c r="Q156" i="58"/>
  <c r="Q144" i="58"/>
  <c r="Q120" i="58"/>
  <c r="Q108" i="58"/>
  <c r="Q84" i="58"/>
  <c r="Q72" i="58"/>
  <c r="Q48" i="58"/>
  <c r="M192" i="58"/>
  <c r="M180" i="58"/>
  <c r="M156" i="58"/>
  <c r="M144" i="58"/>
  <c r="Q191" i="58"/>
  <c r="Q179" i="58"/>
  <c r="Q155" i="58"/>
  <c r="Q143" i="58"/>
  <c r="Q119" i="58"/>
  <c r="Q107" i="58"/>
  <c r="Q43" i="58"/>
  <c r="BA135" i="58" s="1"/>
  <c r="Q44" i="58"/>
  <c r="BA136" i="58" s="1"/>
  <c r="AO46" i="55"/>
  <c r="AO26" i="55"/>
  <c r="AO25" i="55"/>
  <c r="Q40" i="58"/>
  <c r="BA132" i="58" s="1"/>
  <c r="M87" i="55"/>
  <c r="AR25" i="55" l="1"/>
  <c r="AC3" i="1" l="1"/>
  <c r="B1" i="24"/>
  <c r="L7" i="25" s="1"/>
  <c r="B1" i="25"/>
  <c r="N2" i="50"/>
  <c r="K18" i="25"/>
  <c r="J18" i="25"/>
  <c r="I18" i="25"/>
  <c r="H18" i="25"/>
  <c r="G18" i="25"/>
  <c r="F18" i="25"/>
  <c r="E18" i="25"/>
  <c r="D18" i="25"/>
  <c r="K44" i="25"/>
  <c r="J44" i="25"/>
  <c r="I44" i="25"/>
  <c r="H44" i="25"/>
  <c r="G44" i="25"/>
  <c r="F44" i="25"/>
  <c r="E44" i="25"/>
  <c r="D44" i="25"/>
  <c r="O43" i="25"/>
  <c r="K42" i="25"/>
  <c r="J42" i="25"/>
  <c r="I42" i="25"/>
  <c r="H42" i="25"/>
  <c r="G42" i="25"/>
  <c r="F42" i="25"/>
  <c r="E42" i="25"/>
  <c r="D42" i="25"/>
  <c r="O41" i="25"/>
  <c r="K40" i="25"/>
  <c r="J40" i="25"/>
  <c r="I40" i="25"/>
  <c r="H40" i="25"/>
  <c r="G40" i="25"/>
  <c r="F40" i="25"/>
  <c r="E40" i="25"/>
  <c r="D40" i="25"/>
  <c r="O39" i="25"/>
  <c r="K38" i="25"/>
  <c r="J38" i="25"/>
  <c r="I38" i="25"/>
  <c r="H38" i="25"/>
  <c r="G38" i="25"/>
  <c r="F38" i="25"/>
  <c r="E38" i="25"/>
  <c r="D38" i="25"/>
  <c r="O37" i="25"/>
  <c r="K36" i="25"/>
  <c r="J36" i="25"/>
  <c r="I36" i="25"/>
  <c r="H36" i="25"/>
  <c r="G36" i="25"/>
  <c r="F36" i="25"/>
  <c r="E36" i="25"/>
  <c r="D36" i="25"/>
  <c r="O35" i="25"/>
  <c r="K34" i="25"/>
  <c r="J34" i="25"/>
  <c r="I34" i="25"/>
  <c r="H34" i="25"/>
  <c r="G34" i="25"/>
  <c r="F34" i="25"/>
  <c r="E34" i="25"/>
  <c r="D34" i="25"/>
  <c r="O33" i="25"/>
  <c r="K32" i="25"/>
  <c r="J32" i="25"/>
  <c r="I32" i="25"/>
  <c r="H32" i="25"/>
  <c r="G32" i="25"/>
  <c r="F32" i="25"/>
  <c r="E32" i="25"/>
  <c r="D32" i="25"/>
  <c r="O31" i="25"/>
  <c r="K30" i="25"/>
  <c r="J30" i="25"/>
  <c r="I30" i="25"/>
  <c r="H30" i="25"/>
  <c r="G30" i="25"/>
  <c r="F30" i="25"/>
  <c r="E30" i="25"/>
  <c r="D30" i="25"/>
  <c r="K26" i="25"/>
  <c r="J26" i="25"/>
  <c r="I26" i="25"/>
  <c r="H26" i="25"/>
  <c r="G26" i="25"/>
  <c r="F26" i="25"/>
  <c r="E26" i="25"/>
  <c r="D26" i="25"/>
  <c r="O25" i="25"/>
  <c r="K24" i="25"/>
  <c r="J24" i="25"/>
  <c r="I24" i="25"/>
  <c r="H24" i="25"/>
  <c r="G24" i="25"/>
  <c r="F24" i="25"/>
  <c r="E24" i="25"/>
  <c r="D24" i="25"/>
  <c r="O23" i="25"/>
  <c r="K22" i="25"/>
  <c r="J22" i="25"/>
  <c r="I22" i="25"/>
  <c r="H22" i="25"/>
  <c r="G22" i="25"/>
  <c r="F22" i="25"/>
  <c r="E22" i="25"/>
  <c r="D22" i="25"/>
  <c r="O21" i="25"/>
  <c r="K20" i="25"/>
  <c r="J20" i="25"/>
  <c r="I20" i="25"/>
  <c r="H20" i="25"/>
  <c r="G20" i="25"/>
  <c r="F20" i="25"/>
  <c r="E20" i="25"/>
  <c r="D20" i="25"/>
  <c r="O19" i="25"/>
  <c r="K16" i="25"/>
  <c r="J16" i="25"/>
  <c r="I16" i="25"/>
  <c r="H16" i="25"/>
  <c r="G16" i="25"/>
  <c r="F16" i="25"/>
  <c r="E16" i="25"/>
  <c r="D16" i="25"/>
  <c r="K14" i="25"/>
  <c r="J14" i="25"/>
  <c r="I14" i="25"/>
  <c r="H14" i="25"/>
  <c r="G14" i="25"/>
  <c r="F14" i="25"/>
  <c r="E14" i="25"/>
  <c r="D14" i="25"/>
  <c r="O13" i="25"/>
  <c r="K12" i="25"/>
  <c r="J12" i="25"/>
  <c r="I12" i="25"/>
  <c r="H12" i="25"/>
  <c r="G12" i="25"/>
  <c r="F12" i="25"/>
  <c r="E12" i="25"/>
  <c r="D12" i="25"/>
  <c r="O11" i="25"/>
  <c r="K10" i="25"/>
  <c r="J10" i="25"/>
  <c r="I10" i="25"/>
  <c r="H10" i="25"/>
  <c r="G10" i="25"/>
  <c r="F10" i="25"/>
  <c r="E10" i="25"/>
  <c r="D10" i="25"/>
  <c r="O9" i="25"/>
  <c r="K8" i="25"/>
  <c r="J8" i="25"/>
  <c r="I8" i="25"/>
  <c r="H8" i="25"/>
  <c r="G8" i="25"/>
  <c r="F8" i="25"/>
  <c r="E8" i="25"/>
  <c r="D8" i="25"/>
  <c r="O7" i="25"/>
  <c r="O17" i="25"/>
  <c r="O15" i="25"/>
  <c r="AE8" i="53"/>
  <c r="AD8" i="53"/>
  <c r="AC8" i="53"/>
  <c r="AB8" i="53"/>
  <c r="AA8" i="53"/>
  <c r="Z8" i="53"/>
  <c r="AE6" i="53"/>
  <c r="AD6" i="53"/>
  <c r="AC6" i="53"/>
  <c r="AB6" i="53"/>
  <c r="AA6" i="53"/>
  <c r="Z6" i="53"/>
  <c r="AG6" i="53" s="1"/>
  <c r="B23" i="50"/>
  <c r="B25" i="50"/>
  <c r="K181" i="55"/>
  <c r="AU181" i="55" s="1"/>
  <c r="K179" i="55"/>
  <c r="AU179" i="55" s="1"/>
  <c r="K177" i="55"/>
  <c r="AU177" i="55" s="1"/>
  <c r="K175" i="55"/>
  <c r="AU175" i="55" s="1"/>
  <c r="K173" i="55"/>
  <c r="AU173" i="55" s="1"/>
  <c r="K171" i="55"/>
  <c r="AU171" i="55" s="1"/>
  <c r="K169" i="55"/>
  <c r="AU169" i="55" s="1"/>
  <c r="K167" i="55"/>
  <c r="K165" i="55"/>
  <c r="K163" i="55"/>
  <c r="AU163" i="55" s="1"/>
  <c r="K161" i="55"/>
  <c r="AU161" i="55" s="1"/>
  <c r="K159" i="55"/>
  <c r="AU159" i="55" s="1"/>
  <c r="AZ16" i="55"/>
  <c r="BG16" i="55"/>
  <c r="B12" i="41"/>
  <c r="B12" i="40"/>
  <c r="B12" i="38"/>
  <c r="B12" i="37"/>
  <c r="B12" i="36"/>
  <c r="H2" i="62"/>
  <c r="I2" i="62"/>
  <c r="J2" i="62"/>
  <c r="K2" i="62"/>
  <c r="L2" i="62"/>
  <c r="M2" i="62"/>
  <c r="N2" i="62"/>
  <c r="O2" i="62"/>
  <c r="P2" i="62"/>
  <c r="Q2" i="62"/>
  <c r="R2" i="62"/>
  <c r="S2" i="62"/>
  <c r="T2" i="62"/>
  <c r="U2" i="62"/>
  <c r="V2" i="62"/>
  <c r="W2" i="62"/>
  <c r="X2" i="62"/>
  <c r="Y2" i="62"/>
  <c r="Z2" i="62"/>
  <c r="AA2" i="62"/>
  <c r="AB2" i="62"/>
  <c r="AC2" i="62"/>
  <c r="AD2" i="62"/>
  <c r="AE2" i="62"/>
  <c r="AF2" i="62"/>
  <c r="AG2" i="62"/>
  <c r="AH2" i="62"/>
  <c r="AI2" i="62"/>
  <c r="AJ2" i="62"/>
  <c r="AK2" i="62"/>
  <c r="AL2" i="62"/>
  <c r="AM2" i="62"/>
  <c r="AN2" i="62"/>
  <c r="AO2" i="62"/>
  <c r="AP2" i="62"/>
  <c r="AQ2" i="62"/>
  <c r="AR2" i="62"/>
  <c r="AS2" i="62"/>
  <c r="AT2" i="62"/>
  <c r="AU2" i="62"/>
  <c r="AV2" i="62"/>
  <c r="AW2" i="62"/>
  <c r="AX2" i="62"/>
  <c r="AY2" i="62"/>
  <c r="AZ2" i="62"/>
  <c r="BA2" i="62"/>
  <c r="BB2" i="62"/>
  <c r="BC2" i="62"/>
  <c r="BD2" i="62"/>
  <c r="BE2" i="62"/>
  <c r="BF2" i="62"/>
  <c r="BG2" i="62"/>
  <c r="BH2" i="62"/>
  <c r="BI2" i="62"/>
  <c r="BJ2" i="62"/>
  <c r="BK2" i="62"/>
  <c r="BL2" i="62"/>
  <c r="BM2" i="62"/>
  <c r="BN2" i="62"/>
  <c r="BO2" i="62"/>
  <c r="BP2" i="62"/>
  <c r="BQ2" i="62"/>
  <c r="BR2" i="62"/>
  <c r="BS2" i="62"/>
  <c r="BT2" i="62"/>
  <c r="BU2" i="62"/>
  <c r="BV2" i="62"/>
  <c r="BW2" i="62"/>
  <c r="BX2" i="62"/>
  <c r="BY2" i="62"/>
  <c r="BZ2" i="62"/>
  <c r="CA2" i="62"/>
  <c r="CB2" i="62"/>
  <c r="CC2" i="62"/>
  <c r="CD2" i="62"/>
  <c r="CE2" i="62"/>
  <c r="CF2" i="62"/>
  <c r="CG2" i="62"/>
  <c r="CH2" i="62"/>
  <c r="CI2" i="62"/>
  <c r="CJ2" i="62"/>
  <c r="CK2" i="62"/>
  <c r="CL2" i="62"/>
  <c r="CM2" i="62"/>
  <c r="CN2" i="62"/>
  <c r="CO2" i="62"/>
  <c r="CP2" i="62"/>
  <c r="CQ2" i="62"/>
  <c r="CR2" i="62"/>
  <c r="CS2" i="62"/>
  <c r="CT2" i="62"/>
  <c r="CU2" i="62"/>
  <c r="CV2" i="62"/>
  <c r="CW2" i="62"/>
  <c r="CX2" i="62"/>
  <c r="CY2" i="62"/>
  <c r="CZ2" i="62"/>
  <c r="DA2" i="62"/>
  <c r="DB2" i="62"/>
  <c r="DC2" i="62"/>
  <c r="DD2" i="62"/>
  <c r="DE2" i="62"/>
  <c r="DF2" i="62"/>
  <c r="DG2" i="62"/>
  <c r="DH2" i="62"/>
  <c r="DI2" i="62"/>
  <c r="DJ2" i="62"/>
  <c r="DK2" i="62"/>
  <c r="DL2" i="62"/>
  <c r="DM2" i="62"/>
  <c r="DN2" i="62"/>
  <c r="DO2" i="62"/>
  <c r="DP2" i="62"/>
  <c r="DQ2" i="62"/>
  <c r="DR2" i="62"/>
  <c r="DS2" i="62"/>
  <c r="DT2" i="62"/>
  <c r="DU2" i="62"/>
  <c r="DV2" i="62"/>
  <c r="DW2" i="62"/>
  <c r="DX2" i="62"/>
  <c r="DY2" i="62"/>
  <c r="DZ2" i="62"/>
  <c r="EA2" i="62"/>
  <c r="EB2" i="62"/>
  <c r="EC2" i="62"/>
  <c r="ED2" i="62"/>
  <c r="EE2" i="62"/>
  <c r="EF2" i="62"/>
  <c r="EG2" i="62"/>
  <c r="EH2" i="62"/>
  <c r="EI2" i="62"/>
  <c r="EJ2" i="62"/>
  <c r="EK2" i="62"/>
  <c r="EL2" i="62"/>
  <c r="EM2" i="62"/>
  <c r="EN2" i="62"/>
  <c r="EO2" i="62"/>
  <c r="EP2" i="62"/>
  <c r="EQ2" i="62"/>
  <c r="ER2" i="62"/>
  <c r="ES2" i="62"/>
  <c r="ET2" i="62"/>
  <c r="EU2" i="62"/>
  <c r="EV2" i="62"/>
  <c r="EW2" i="62"/>
  <c r="EX2" i="62"/>
  <c r="EY2" i="62"/>
  <c r="EZ2" i="62"/>
  <c r="FA2" i="62"/>
  <c r="FB2" i="62"/>
  <c r="FC2" i="62"/>
  <c r="FD2" i="62"/>
  <c r="FE2" i="62"/>
  <c r="FF2" i="62"/>
  <c r="FG2" i="62"/>
  <c r="FH2" i="62"/>
  <c r="FI2" i="62"/>
  <c r="FJ2" i="62"/>
  <c r="FK2" i="62"/>
  <c r="FL2" i="62"/>
  <c r="FM2" i="62"/>
  <c r="FN2" i="62"/>
  <c r="FO2" i="62"/>
  <c r="FP2" i="62"/>
  <c r="FQ2" i="62"/>
  <c r="FR2" i="62"/>
  <c r="FS2" i="62"/>
  <c r="FT2" i="62"/>
  <c r="FU2" i="62"/>
  <c r="FV2" i="62"/>
  <c r="FW2" i="62"/>
  <c r="FX2" i="62"/>
  <c r="FY2" i="62"/>
  <c r="FZ2" i="62"/>
  <c r="GA2" i="62"/>
  <c r="GB2" i="62"/>
  <c r="GC2" i="62"/>
  <c r="GD2" i="62"/>
  <c r="GE2" i="62"/>
  <c r="GF2" i="62"/>
  <c r="GG2" i="62"/>
  <c r="GH2" i="62"/>
  <c r="GI2" i="62"/>
  <c r="GJ2" i="62"/>
  <c r="G2" i="62"/>
  <c r="AH13" i="56"/>
  <c r="N13" i="56" s="1"/>
  <c r="AL13" i="58"/>
  <c r="P25" i="5"/>
  <c r="O25" i="5"/>
  <c r="O22" i="5"/>
  <c r="AF12" i="5"/>
  <c r="AF24" i="5"/>
  <c r="D25" i="51" s="1"/>
  <c r="O24" i="5"/>
  <c r="P24" i="5"/>
  <c r="O23" i="5"/>
  <c r="P23" i="5"/>
  <c r="P22" i="5"/>
  <c r="O21" i="5"/>
  <c r="P21" i="5"/>
  <c r="O20" i="5"/>
  <c r="P20" i="5"/>
  <c r="O19" i="5"/>
  <c r="P19" i="5"/>
  <c r="C25" i="5"/>
  <c r="C23" i="5"/>
  <c r="C22" i="5"/>
  <c r="C21" i="5"/>
  <c r="C20" i="5"/>
  <c r="C19" i="5"/>
  <c r="AF41" i="5"/>
  <c r="AF42" i="5"/>
  <c r="AF43" i="5"/>
  <c r="AF44" i="5"/>
  <c r="AF45" i="5"/>
  <c r="AF46" i="5"/>
  <c r="AF47" i="5"/>
  <c r="B18" i="24"/>
  <c r="B19" i="24"/>
  <c r="C18" i="24"/>
  <c r="P49" i="5"/>
  <c r="O49" i="5"/>
  <c r="P52" i="5" s="1"/>
  <c r="N1" i="56"/>
  <c r="A11" i="56"/>
  <c r="B7" i="37"/>
  <c r="B7" i="36"/>
  <c r="N1" i="4"/>
  <c r="AL14" i="58"/>
  <c r="J7" i="6"/>
  <c r="J6" i="6"/>
  <c r="J5" i="6"/>
  <c r="J4" i="6"/>
  <c r="J3" i="6"/>
  <c r="J2" i="6"/>
  <c r="L210" i="58"/>
  <c r="L209" i="58"/>
  <c r="L208" i="58"/>
  <c r="L207" i="58"/>
  <c r="L206" i="58"/>
  <c r="L205" i="58"/>
  <c r="L204" i="58"/>
  <c r="L203" i="58"/>
  <c r="L202" i="58"/>
  <c r="L201" i="58"/>
  <c r="L200" i="58"/>
  <c r="L199" i="58"/>
  <c r="L198" i="58"/>
  <c r="L197" i="58"/>
  <c r="L196" i="58"/>
  <c r="L195" i="58"/>
  <c r="L194" i="58"/>
  <c r="L193" i="58"/>
  <c r="L192" i="58"/>
  <c r="L191" i="58"/>
  <c r="L190" i="58"/>
  <c r="L189" i="58"/>
  <c r="L188" i="58"/>
  <c r="L187" i="58"/>
  <c r="L186" i="58"/>
  <c r="L185" i="58"/>
  <c r="L184" i="58"/>
  <c r="L183" i="58"/>
  <c r="L182" i="58"/>
  <c r="L181" i="58"/>
  <c r="L180" i="58"/>
  <c r="L179" i="58"/>
  <c r="L178" i="58"/>
  <c r="L177" i="58"/>
  <c r="L176" i="58"/>
  <c r="L175" i="58"/>
  <c r="L174" i="58"/>
  <c r="L173" i="58"/>
  <c r="L172" i="58"/>
  <c r="L171" i="58"/>
  <c r="L170" i="58"/>
  <c r="L169" i="58"/>
  <c r="L168" i="58"/>
  <c r="L167" i="58"/>
  <c r="L166" i="58"/>
  <c r="L165" i="58"/>
  <c r="L164" i="58"/>
  <c r="L163" i="58"/>
  <c r="L162" i="58"/>
  <c r="L161" i="58"/>
  <c r="L160" i="58"/>
  <c r="L159" i="58"/>
  <c r="L158" i="58"/>
  <c r="L157" i="58"/>
  <c r="L156" i="58"/>
  <c r="L155" i="58"/>
  <c r="L154" i="58"/>
  <c r="L153" i="58"/>
  <c r="L152" i="58"/>
  <c r="L151" i="58"/>
  <c r="L150" i="58"/>
  <c r="L149" i="58"/>
  <c r="L148" i="58"/>
  <c r="L147" i="58"/>
  <c r="L146" i="58"/>
  <c r="L145" i="58"/>
  <c r="L144" i="58"/>
  <c r="L143" i="58"/>
  <c r="L142" i="58"/>
  <c r="L141" i="58"/>
  <c r="L140" i="58"/>
  <c r="L139" i="58"/>
  <c r="L138" i="58"/>
  <c r="L137" i="58"/>
  <c r="L136" i="58"/>
  <c r="L135" i="58"/>
  <c r="L134" i="58"/>
  <c r="L133" i="58"/>
  <c r="L132" i="58"/>
  <c r="L131" i="58"/>
  <c r="L130" i="58"/>
  <c r="L129" i="58"/>
  <c r="L128" i="58"/>
  <c r="L127" i="58"/>
  <c r="L126" i="58"/>
  <c r="L125" i="58"/>
  <c r="L124" i="58"/>
  <c r="L123" i="58"/>
  <c r="L122" i="58"/>
  <c r="L121" i="58"/>
  <c r="L120" i="58"/>
  <c r="L119" i="58"/>
  <c r="L118" i="58"/>
  <c r="L117" i="58"/>
  <c r="L116" i="58"/>
  <c r="L115" i="58"/>
  <c r="L114" i="58"/>
  <c r="L113" i="58"/>
  <c r="L112" i="58"/>
  <c r="L111" i="58"/>
  <c r="L110" i="58"/>
  <c r="L109" i="58"/>
  <c r="L108" i="58"/>
  <c r="L107" i="58"/>
  <c r="L106" i="58"/>
  <c r="L105" i="58"/>
  <c r="L104" i="58"/>
  <c r="L103" i="58"/>
  <c r="L102" i="58"/>
  <c r="L101" i="58"/>
  <c r="L100" i="58"/>
  <c r="L99" i="58"/>
  <c r="L98" i="58"/>
  <c r="L97" i="58"/>
  <c r="L96" i="58"/>
  <c r="L95" i="58"/>
  <c r="L94" i="58"/>
  <c r="L93" i="58"/>
  <c r="L92" i="58"/>
  <c r="L91" i="58"/>
  <c r="L90" i="58"/>
  <c r="L89" i="58"/>
  <c r="L88" i="58"/>
  <c r="L87" i="58"/>
  <c r="L86" i="58"/>
  <c r="L85" i="58"/>
  <c r="L84" i="58"/>
  <c r="L83" i="58"/>
  <c r="L82" i="58"/>
  <c r="L81" i="58"/>
  <c r="L80" i="58"/>
  <c r="L79" i="58"/>
  <c r="L78" i="58"/>
  <c r="L77" i="58"/>
  <c r="L76" i="58"/>
  <c r="L75" i="58"/>
  <c r="L74" i="58"/>
  <c r="L73" i="58"/>
  <c r="L72" i="58"/>
  <c r="L71" i="58"/>
  <c r="L70" i="58"/>
  <c r="L69" i="58"/>
  <c r="L68" i="58"/>
  <c r="L67" i="58"/>
  <c r="L66" i="58"/>
  <c r="L65" i="58"/>
  <c r="L64" i="58"/>
  <c r="L63" i="58"/>
  <c r="L62" i="58"/>
  <c r="L61" i="58"/>
  <c r="L60" i="58"/>
  <c r="L59" i="58"/>
  <c r="L58" i="58"/>
  <c r="L57" i="58"/>
  <c r="L56" i="58"/>
  <c r="L55" i="58"/>
  <c r="L54" i="58"/>
  <c r="L53" i="58"/>
  <c r="L52" i="58"/>
  <c r="L51" i="58"/>
  <c r="L50" i="58"/>
  <c r="L49" i="58"/>
  <c r="L48" i="58"/>
  <c r="L47" i="58"/>
  <c r="L46" i="58"/>
  <c r="L45" i="58"/>
  <c r="L44" i="58"/>
  <c r="L43" i="58"/>
  <c r="L42" i="58"/>
  <c r="L41" i="58"/>
  <c r="L40" i="58"/>
  <c r="L39" i="58"/>
  <c r="L38" i="58"/>
  <c r="L37" i="58"/>
  <c r="L36" i="58"/>
  <c r="L35" i="58"/>
  <c r="L34" i="58"/>
  <c r="L33" i="58"/>
  <c r="L32" i="58"/>
  <c r="L31" i="58"/>
  <c r="L30" i="58"/>
  <c r="BF61" i="55"/>
  <c r="BF54" i="55"/>
  <c r="BF47" i="55"/>
  <c r="BF40" i="55"/>
  <c r="BF34" i="55"/>
  <c r="BF33" i="55"/>
  <c r="BF26" i="55"/>
  <c r="R47" i="6" a="1"/>
  <c r="R47" i="6" s="1"/>
  <c r="L212" i="58"/>
  <c r="L211" i="58"/>
  <c r="O53" i="5" l="1"/>
  <c r="P53" i="5"/>
  <c r="O52" i="5"/>
  <c r="O52" i="56" l="1"/>
  <c r="O53" i="56"/>
  <c r="O78" i="56"/>
  <c r="O104" i="56"/>
  <c r="O112" i="56"/>
  <c r="O13" i="56"/>
  <c r="AH14" i="56"/>
  <c r="AI14" i="56"/>
  <c r="AH15" i="56"/>
  <c r="AI15" i="56"/>
  <c r="AH16" i="56"/>
  <c r="N16" i="56" s="1"/>
  <c r="AI16" i="56"/>
  <c r="AH17" i="56"/>
  <c r="N17" i="56" s="1"/>
  <c r="AI17" i="56"/>
  <c r="AH18" i="56"/>
  <c r="N18" i="56" s="1"/>
  <c r="AI18" i="56"/>
  <c r="AH19" i="56"/>
  <c r="N19" i="56" s="1"/>
  <c r="AI19" i="56"/>
  <c r="AH20" i="56"/>
  <c r="AI20" i="56"/>
  <c r="AH21" i="56"/>
  <c r="AI21" i="56"/>
  <c r="AH22" i="56"/>
  <c r="AI22" i="56"/>
  <c r="AH23" i="56"/>
  <c r="AI23" i="56"/>
  <c r="AH24" i="56"/>
  <c r="AI24" i="56"/>
  <c r="AH25" i="56"/>
  <c r="AI25" i="56"/>
  <c r="AH26" i="56"/>
  <c r="AI26" i="56"/>
  <c r="AH27" i="56"/>
  <c r="AI27" i="56"/>
  <c r="AH28" i="56"/>
  <c r="N28" i="56" s="1"/>
  <c r="AI28" i="56"/>
  <c r="AH29" i="56"/>
  <c r="N29" i="56" s="1"/>
  <c r="AI29" i="56"/>
  <c r="AH30" i="56"/>
  <c r="N30" i="56" s="1"/>
  <c r="AI30" i="56"/>
  <c r="AH31" i="56"/>
  <c r="O31" i="56" s="1"/>
  <c r="AI31" i="56"/>
  <c r="AH32" i="56"/>
  <c r="O32" i="56" s="1"/>
  <c r="AI32" i="56"/>
  <c r="AH33" i="56"/>
  <c r="AI33" i="56"/>
  <c r="AH34" i="56"/>
  <c r="AI34" i="56"/>
  <c r="AH35" i="56"/>
  <c r="AI35" i="56"/>
  <c r="AH36" i="56"/>
  <c r="AI36" i="56"/>
  <c r="AH37" i="56"/>
  <c r="AI37" i="56"/>
  <c r="AH38" i="56"/>
  <c r="AI38" i="56"/>
  <c r="AH39" i="56"/>
  <c r="AI39" i="56"/>
  <c r="AH40" i="56"/>
  <c r="N40" i="56" s="1"/>
  <c r="AI40" i="56"/>
  <c r="AH41" i="56"/>
  <c r="N41" i="56" s="1"/>
  <c r="AI41" i="56"/>
  <c r="AH42" i="56"/>
  <c r="N42" i="56" s="1"/>
  <c r="AI42" i="56"/>
  <c r="AH43" i="56"/>
  <c r="N43" i="56" s="1"/>
  <c r="AI43" i="56"/>
  <c r="AH44" i="56"/>
  <c r="O44" i="56" s="1"/>
  <c r="AI44" i="56"/>
  <c r="AH45" i="56"/>
  <c r="AI45" i="56"/>
  <c r="AH46" i="56"/>
  <c r="AI46" i="56"/>
  <c r="AH47" i="56"/>
  <c r="AI47" i="56"/>
  <c r="AH48" i="56"/>
  <c r="AI48" i="56"/>
  <c r="AH49" i="56"/>
  <c r="Q49" i="56" s="1"/>
  <c r="AI49" i="56"/>
  <c r="AH50" i="56"/>
  <c r="AI50" i="56"/>
  <c r="AH51" i="56"/>
  <c r="AI51" i="56"/>
  <c r="AH52" i="56"/>
  <c r="N52" i="56" s="1"/>
  <c r="AI52" i="56"/>
  <c r="AH53" i="56"/>
  <c r="N53" i="56" s="1"/>
  <c r="AI53" i="56"/>
  <c r="AH54" i="56"/>
  <c r="N54" i="56" s="1"/>
  <c r="AI54" i="56"/>
  <c r="AH55" i="56"/>
  <c r="AI55" i="56"/>
  <c r="AH56" i="56"/>
  <c r="N56" i="56" s="1"/>
  <c r="AI56" i="56"/>
  <c r="AH57" i="56"/>
  <c r="AI57" i="56"/>
  <c r="AH58" i="56"/>
  <c r="AI58" i="56"/>
  <c r="AH59" i="56"/>
  <c r="AI59" i="56"/>
  <c r="AH60" i="56"/>
  <c r="AI60" i="56"/>
  <c r="AH61" i="56"/>
  <c r="AI61" i="56"/>
  <c r="AH62" i="56"/>
  <c r="AI62" i="56"/>
  <c r="AH63" i="56"/>
  <c r="AI63" i="56"/>
  <c r="AH64" i="56"/>
  <c r="N64" i="56" s="1"/>
  <c r="AI64" i="56"/>
  <c r="AH65" i="56"/>
  <c r="N65" i="56" s="1"/>
  <c r="AI65" i="56"/>
  <c r="AH66" i="56"/>
  <c r="N66" i="56" s="1"/>
  <c r="AI66" i="56"/>
  <c r="AH67" i="56"/>
  <c r="N67" i="56" s="1"/>
  <c r="AI67" i="56"/>
  <c r="AH68" i="56"/>
  <c r="O68" i="56" s="1"/>
  <c r="AI68" i="56"/>
  <c r="AH69" i="56"/>
  <c r="AI69" i="56"/>
  <c r="AH70" i="56"/>
  <c r="AI70" i="56"/>
  <c r="AH71" i="56"/>
  <c r="AI71" i="56"/>
  <c r="AH72" i="56"/>
  <c r="AI72" i="56"/>
  <c r="AH73" i="56"/>
  <c r="AI73" i="56"/>
  <c r="AH74" i="56"/>
  <c r="AI74" i="56"/>
  <c r="AH75" i="56"/>
  <c r="AI75" i="56"/>
  <c r="AH76" i="56"/>
  <c r="N76" i="56" s="1"/>
  <c r="AI76" i="56"/>
  <c r="AH77" i="56"/>
  <c r="N77" i="56" s="1"/>
  <c r="AI77" i="56"/>
  <c r="AH78" i="56"/>
  <c r="N78" i="56" s="1"/>
  <c r="AI78" i="56"/>
  <c r="AH79" i="56"/>
  <c r="O79" i="56" s="1"/>
  <c r="AI79" i="56"/>
  <c r="AH80" i="56"/>
  <c r="N80" i="56" s="1"/>
  <c r="AI80" i="56"/>
  <c r="AH81" i="56"/>
  <c r="AI81" i="56"/>
  <c r="AH82" i="56"/>
  <c r="Q82" i="56" s="1"/>
  <c r="AI82" i="56"/>
  <c r="AH83" i="56"/>
  <c r="Q83" i="56" s="1"/>
  <c r="AI83" i="56"/>
  <c r="AH84" i="56"/>
  <c r="AI84" i="56"/>
  <c r="AH85" i="56"/>
  <c r="AI85" i="56"/>
  <c r="AH86" i="56"/>
  <c r="AI86" i="56"/>
  <c r="AH87" i="56"/>
  <c r="AI87" i="56"/>
  <c r="AH88" i="56"/>
  <c r="N88" i="56" s="1"/>
  <c r="AI88" i="56"/>
  <c r="AH89" i="56"/>
  <c r="N89" i="56" s="1"/>
  <c r="AI89" i="56"/>
  <c r="AH90" i="56"/>
  <c r="N90" i="56" s="1"/>
  <c r="AI90" i="56"/>
  <c r="AH91" i="56"/>
  <c r="N91" i="56" s="1"/>
  <c r="AI91" i="56"/>
  <c r="AH92" i="56"/>
  <c r="O92" i="56" s="1"/>
  <c r="AI92" i="56"/>
  <c r="AH93" i="56"/>
  <c r="AI93" i="56"/>
  <c r="AH94" i="56"/>
  <c r="Q94" i="56" s="1"/>
  <c r="AI94" i="56"/>
  <c r="AH95" i="56"/>
  <c r="AI95" i="56"/>
  <c r="AH96" i="56"/>
  <c r="AI96" i="56"/>
  <c r="AH97" i="56"/>
  <c r="Q97" i="56" s="1"/>
  <c r="AI97" i="56"/>
  <c r="AH98" i="56"/>
  <c r="AI98" i="56"/>
  <c r="AH99" i="56"/>
  <c r="AI99" i="56"/>
  <c r="AH100" i="56"/>
  <c r="N100" i="56" s="1"/>
  <c r="AI100" i="56"/>
  <c r="AH101" i="56"/>
  <c r="N101" i="56" s="1"/>
  <c r="AI101" i="56"/>
  <c r="AH102" i="56"/>
  <c r="N102" i="56" s="1"/>
  <c r="AI102" i="56"/>
  <c r="AH103" i="56"/>
  <c r="O103" i="56" s="1"/>
  <c r="AI103" i="56"/>
  <c r="AH104" i="56"/>
  <c r="AI104" i="56"/>
  <c r="AH105" i="56"/>
  <c r="AI105" i="56"/>
  <c r="AH106" i="56"/>
  <c r="AI106" i="56"/>
  <c r="AH107" i="56"/>
  <c r="Q107" i="56" s="1"/>
  <c r="AI107" i="56"/>
  <c r="AH108" i="56"/>
  <c r="AI108" i="56"/>
  <c r="AH109" i="56"/>
  <c r="AI109" i="56"/>
  <c r="AH110" i="56"/>
  <c r="AI110" i="56"/>
  <c r="AH111" i="56"/>
  <c r="AI111" i="56"/>
  <c r="AH112" i="56"/>
  <c r="N112" i="56" s="1"/>
  <c r="AI112" i="56"/>
  <c r="AI13" i="56"/>
  <c r="Q17" i="56"/>
  <c r="Q23" i="56"/>
  <c r="Q25" i="56"/>
  <c r="Q27" i="56"/>
  <c r="Q29" i="56"/>
  <c r="Q51" i="56"/>
  <c r="Q59" i="56"/>
  <c r="Q65" i="56"/>
  <c r="Q67" i="56"/>
  <c r="Q75" i="56"/>
  <c r="Q95" i="56"/>
  <c r="Q112" i="56"/>
  <c r="Q34" i="56"/>
  <c r="Q36" i="56"/>
  <c r="Q40" i="56"/>
  <c r="Q42" i="56"/>
  <c r="Q46" i="56"/>
  <c r="Q54" i="56"/>
  <c r="Q56" i="56"/>
  <c r="Q58" i="56"/>
  <c r="Q64" i="56"/>
  <c r="Q66" i="56"/>
  <c r="Q70" i="56"/>
  <c r="Q76" i="56"/>
  <c r="Q80" i="56"/>
  <c r="Q88" i="56"/>
  <c r="Q90" i="56"/>
  <c r="Q96" i="56"/>
  <c r="Q100" i="56"/>
  <c r="Q101" i="56"/>
  <c r="Q14" i="56"/>
  <c r="Q16" i="56"/>
  <c r="Q18" i="56"/>
  <c r="Q22" i="56"/>
  <c r="Q24" i="56"/>
  <c r="Q28" i="56"/>
  <c r="Q30" i="56"/>
  <c r="Q13" i="56"/>
  <c r="O96" i="56" l="1"/>
  <c r="N96" i="56"/>
  <c r="O84" i="56"/>
  <c r="N84" i="56"/>
  <c r="O72" i="56"/>
  <c r="N72" i="56"/>
  <c r="O60" i="56"/>
  <c r="N60" i="56"/>
  <c r="O48" i="56"/>
  <c r="N48" i="56"/>
  <c r="O36" i="56"/>
  <c r="N36" i="56"/>
  <c r="O24" i="56"/>
  <c r="N24" i="56"/>
  <c r="O77" i="56"/>
  <c r="O73" i="56"/>
  <c r="N73" i="56"/>
  <c r="Q60" i="56"/>
  <c r="Q53" i="56"/>
  <c r="O102" i="56"/>
  <c r="O76" i="56"/>
  <c r="O43" i="56"/>
  <c r="O109" i="56"/>
  <c r="N109" i="56"/>
  <c r="Q55" i="56"/>
  <c r="N55" i="56"/>
  <c r="Q19" i="56"/>
  <c r="O95" i="56"/>
  <c r="N95" i="56"/>
  <c r="O71" i="56"/>
  <c r="N71" i="56"/>
  <c r="O59" i="56"/>
  <c r="N59" i="56"/>
  <c r="O47" i="56"/>
  <c r="N47" i="56"/>
  <c r="O35" i="56"/>
  <c r="N35" i="56"/>
  <c r="O23" i="56"/>
  <c r="N23" i="56"/>
  <c r="O101" i="56"/>
  <c r="O42" i="56"/>
  <c r="O97" i="56"/>
  <c r="N97" i="56"/>
  <c r="Q61" i="56"/>
  <c r="N61" i="56"/>
  <c r="Q91" i="56"/>
  <c r="O100" i="56"/>
  <c r="O67" i="56"/>
  <c r="O41" i="56"/>
  <c r="O85" i="56"/>
  <c r="N85" i="56"/>
  <c r="O108" i="56"/>
  <c r="N108" i="56"/>
  <c r="O94" i="56"/>
  <c r="N94" i="56"/>
  <c r="O58" i="56"/>
  <c r="N58" i="56"/>
  <c r="O46" i="56"/>
  <c r="N46" i="56"/>
  <c r="O34" i="56"/>
  <c r="N34" i="56"/>
  <c r="O22" i="56"/>
  <c r="N22" i="56"/>
  <c r="O66" i="56"/>
  <c r="O40" i="56"/>
  <c r="Q109" i="56"/>
  <c r="Q52" i="56"/>
  <c r="Q43" i="56"/>
  <c r="O91" i="56"/>
  <c r="O65" i="56"/>
  <c r="Q37" i="56"/>
  <c r="N37" i="56"/>
  <c r="O82" i="56"/>
  <c r="N82" i="56"/>
  <c r="O70" i="56"/>
  <c r="N70" i="56"/>
  <c r="Q108" i="56"/>
  <c r="Q48" i="56"/>
  <c r="Q77" i="56"/>
  <c r="Q41" i="56"/>
  <c r="O111" i="56"/>
  <c r="N111" i="56"/>
  <c r="O105" i="56"/>
  <c r="N105" i="56"/>
  <c r="Q99" i="56"/>
  <c r="N99" i="56"/>
  <c r="O93" i="56"/>
  <c r="N93" i="56"/>
  <c r="Q87" i="56"/>
  <c r="N87" i="56"/>
  <c r="O81" i="56"/>
  <c r="N81" i="56"/>
  <c r="O75" i="56"/>
  <c r="N75" i="56"/>
  <c r="O69" i="56"/>
  <c r="N69" i="56"/>
  <c r="Q63" i="56"/>
  <c r="N63" i="56"/>
  <c r="O57" i="56"/>
  <c r="N57" i="56"/>
  <c r="O51" i="56"/>
  <c r="N51" i="56"/>
  <c r="O45" i="56"/>
  <c r="N45" i="56"/>
  <c r="Q39" i="56"/>
  <c r="N39" i="56"/>
  <c r="O33" i="56"/>
  <c r="N33" i="56"/>
  <c r="O27" i="56"/>
  <c r="N27" i="56"/>
  <c r="O21" i="56"/>
  <c r="N21" i="56"/>
  <c r="O90" i="56"/>
  <c r="O64" i="56"/>
  <c r="Q79" i="56"/>
  <c r="N79" i="56"/>
  <c r="O25" i="56"/>
  <c r="N25" i="56"/>
  <c r="Q78" i="56"/>
  <c r="Q35" i="56"/>
  <c r="O89" i="56"/>
  <c r="O56" i="56"/>
  <c r="O30" i="56"/>
  <c r="O49" i="56"/>
  <c r="N49" i="56"/>
  <c r="O107" i="56"/>
  <c r="N107" i="56"/>
  <c r="O83" i="56"/>
  <c r="N83" i="56"/>
  <c r="O106" i="56"/>
  <c r="N106" i="56"/>
  <c r="Q106" i="56"/>
  <c r="Q73" i="56"/>
  <c r="Q104" i="56"/>
  <c r="N104" i="56"/>
  <c r="Q92" i="56"/>
  <c r="N92" i="56"/>
  <c r="Q74" i="56"/>
  <c r="N74" i="56"/>
  <c r="Q68" i="56"/>
  <c r="N68" i="56"/>
  <c r="Q62" i="56"/>
  <c r="N62" i="56"/>
  <c r="Q50" i="56"/>
  <c r="N50" i="56"/>
  <c r="Q44" i="56"/>
  <c r="N44" i="56"/>
  <c r="Q38" i="56"/>
  <c r="N38" i="56"/>
  <c r="Q32" i="56"/>
  <c r="N32" i="56"/>
  <c r="Q26" i="56"/>
  <c r="N26" i="56"/>
  <c r="O88" i="56"/>
  <c r="O55" i="56"/>
  <c r="O29" i="56"/>
  <c r="Q103" i="56"/>
  <c r="N103" i="56"/>
  <c r="Q31" i="56"/>
  <c r="N31" i="56"/>
  <c r="Q84" i="56"/>
  <c r="Q89" i="56"/>
  <c r="Q47" i="56"/>
  <c r="Q110" i="56"/>
  <c r="N110" i="56"/>
  <c r="Q98" i="56"/>
  <c r="N98" i="56"/>
  <c r="Q86" i="56"/>
  <c r="N86" i="56"/>
  <c r="Q102" i="56"/>
  <c r="Q72" i="56"/>
  <c r="Q71" i="56"/>
  <c r="O80" i="56"/>
  <c r="O54" i="56"/>
  <c r="O28" i="56"/>
  <c r="O19" i="56"/>
  <c r="O17" i="56"/>
  <c r="Q20" i="56"/>
  <c r="N20" i="56"/>
  <c r="O20" i="56"/>
  <c r="O18" i="56"/>
  <c r="O16" i="56"/>
  <c r="O14" i="56"/>
  <c r="N14" i="56"/>
  <c r="AP119" i="56"/>
  <c r="N15" i="56"/>
  <c r="Q111" i="56"/>
  <c r="O99" i="56"/>
  <c r="O87" i="56"/>
  <c r="O63" i="56"/>
  <c r="O39" i="56"/>
  <c r="Q15" i="56"/>
  <c r="S76" i="56" s="1"/>
  <c r="O110" i="56"/>
  <c r="O98" i="56"/>
  <c r="O86" i="56"/>
  <c r="O74" i="56"/>
  <c r="O62" i="56"/>
  <c r="O50" i="56"/>
  <c r="O38" i="56"/>
  <c r="O26" i="56"/>
  <c r="Q93" i="56"/>
  <c r="Q45" i="56"/>
  <c r="Q85" i="56"/>
  <c r="O61" i="56"/>
  <c r="O37" i="56"/>
  <c r="Q105" i="56"/>
  <c r="Q81" i="56"/>
  <c r="Q57" i="56"/>
  <c r="Q33" i="56"/>
  <c r="Q69" i="56"/>
  <c r="Q21" i="56"/>
  <c r="O15" i="56"/>
  <c r="J207" i="58"/>
  <c r="S207" i="58" s="1"/>
  <c r="AO207" i="58"/>
  <c r="J208" i="58"/>
  <c r="S208" i="58" s="1"/>
  <c r="AO208" i="58"/>
  <c r="J209" i="58"/>
  <c r="S209" i="58" s="1"/>
  <c r="AO209" i="58"/>
  <c r="J210" i="58"/>
  <c r="S210" i="58" s="1"/>
  <c r="AO210" i="58"/>
  <c r="J211" i="58"/>
  <c r="S211" i="58" s="1"/>
  <c r="AO211" i="58"/>
  <c r="J212" i="58"/>
  <c r="S212" i="58" s="1"/>
  <c r="AO212" i="58"/>
  <c r="J143" i="58"/>
  <c r="S143" i="58" s="1"/>
  <c r="K143" i="58"/>
  <c r="AO143" i="58"/>
  <c r="J144" i="58"/>
  <c r="S144" i="58" s="1"/>
  <c r="U144" i="58"/>
  <c r="Y144" i="58" s="1"/>
  <c r="AO144" i="58"/>
  <c r="J145" i="58"/>
  <c r="S145" i="58" s="1"/>
  <c r="AO145" i="58"/>
  <c r="J146" i="58"/>
  <c r="S146" i="58" s="1"/>
  <c r="AO146" i="58"/>
  <c r="J147" i="58"/>
  <c r="S147" i="58" s="1"/>
  <c r="AO147" i="58"/>
  <c r="J148" i="58"/>
  <c r="AO148" i="58"/>
  <c r="J149" i="58"/>
  <c r="S149" i="58" s="1"/>
  <c r="AO149" i="58"/>
  <c r="J150" i="58"/>
  <c r="AO150" i="58"/>
  <c r="J151" i="58"/>
  <c r="S151" i="58" s="1"/>
  <c r="K151" i="58"/>
  <c r="AO151" i="58"/>
  <c r="J152" i="58"/>
  <c r="U152" i="58"/>
  <c r="Y152" i="58" s="1"/>
  <c r="AO152" i="58"/>
  <c r="J153" i="58"/>
  <c r="S153" i="58" s="1"/>
  <c r="K153" i="58"/>
  <c r="AO153" i="58"/>
  <c r="J154" i="58"/>
  <c r="S154" i="58" s="1"/>
  <c r="AO154" i="58"/>
  <c r="J155" i="58"/>
  <c r="S155" i="58" s="1"/>
  <c r="AO155" i="58"/>
  <c r="J156" i="58"/>
  <c r="S156" i="58" s="1"/>
  <c r="AO156" i="58"/>
  <c r="J157" i="58"/>
  <c r="AO157" i="58"/>
  <c r="J158" i="58"/>
  <c r="S158" i="58" s="1"/>
  <c r="K158" i="58"/>
  <c r="AO158" i="58"/>
  <c r="J159" i="58"/>
  <c r="AO159" i="58"/>
  <c r="J160" i="58"/>
  <c r="S160" i="58" s="1"/>
  <c r="AO160" i="58"/>
  <c r="J161" i="58"/>
  <c r="AO161" i="58"/>
  <c r="J162" i="58"/>
  <c r="S162" i="58" s="1"/>
  <c r="AO162" i="58"/>
  <c r="J163" i="58"/>
  <c r="AO163" i="58"/>
  <c r="J164" i="58"/>
  <c r="S164" i="58" s="1"/>
  <c r="U164" i="58"/>
  <c r="Y164" i="58" s="1"/>
  <c r="AO164" i="58"/>
  <c r="J165" i="58"/>
  <c r="S165" i="58" s="1"/>
  <c r="AO165" i="58"/>
  <c r="J166" i="58"/>
  <c r="S166" i="58" s="1"/>
  <c r="AO166" i="58"/>
  <c r="J167" i="58"/>
  <c r="S167" i="58" s="1"/>
  <c r="AO167" i="58"/>
  <c r="J168" i="58"/>
  <c r="S168" i="58" s="1"/>
  <c r="K168" i="58"/>
  <c r="U168" i="58"/>
  <c r="Y168" i="58" s="1"/>
  <c r="AO168" i="58"/>
  <c r="J169" i="58"/>
  <c r="S169" i="58" s="1"/>
  <c r="K169" i="58"/>
  <c r="AO169" i="58"/>
  <c r="J170" i="58"/>
  <c r="AO170" i="58"/>
  <c r="J171" i="58"/>
  <c r="S171" i="58" s="1"/>
  <c r="AO171" i="58"/>
  <c r="J172" i="58"/>
  <c r="AO172" i="58"/>
  <c r="J173" i="58"/>
  <c r="AO173" i="58"/>
  <c r="J174" i="58"/>
  <c r="AO174" i="58"/>
  <c r="J175" i="58"/>
  <c r="AO175" i="58"/>
  <c r="J176" i="58"/>
  <c r="AO176" i="58"/>
  <c r="J177" i="58"/>
  <c r="AO177" i="58"/>
  <c r="J178" i="58"/>
  <c r="AO178" i="58"/>
  <c r="J179" i="58"/>
  <c r="AO179" i="58"/>
  <c r="J180" i="58"/>
  <c r="AO180" i="58"/>
  <c r="J181" i="58"/>
  <c r="AO181" i="58"/>
  <c r="J182" i="58"/>
  <c r="AO182" i="58"/>
  <c r="J183" i="58"/>
  <c r="AO183" i="58"/>
  <c r="J184" i="58"/>
  <c r="AO184" i="58"/>
  <c r="J185" i="58"/>
  <c r="AO185" i="58"/>
  <c r="J186" i="58"/>
  <c r="AO186" i="58"/>
  <c r="J187" i="58"/>
  <c r="AO187" i="58"/>
  <c r="J188" i="58"/>
  <c r="AO188" i="58"/>
  <c r="J189" i="58"/>
  <c r="AO189" i="58"/>
  <c r="J190" i="58"/>
  <c r="AO190" i="58"/>
  <c r="J191" i="58"/>
  <c r="AO191" i="58"/>
  <c r="J192" i="58"/>
  <c r="AO192" i="58"/>
  <c r="J193" i="58"/>
  <c r="AO193" i="58"/>
  <c r="J194" i="58"/>
  <c r="S194" i="58" s="1"/>
  <c r="AO194" i="58"/>
  <c r="J195" i="58"/>
  <c r="S195" i="58" s="1"/>
  <c r="AO195" i="58"/>
  <c r="J196" i="58"/>
  <c r="S196" i="58" s="1"/>
  <c r="AO196" i="58"/>
  <c r="J197" i="58"/>
  <c r="S197" i="58" s="1"/>
  <c r="AO197" i="58"/>
  <c r="J198" i="58"/>
  <c r="S198" i="58" s="1"/>
  <c r="AO198" i="58"/>
  <c r="J199" i="58"/>
  <c r="S199" i="58" s="1"/>
  <c r="AO199" i="58"/>
  <c r="J200" i="58"/>
  <c r="S200" i="58" s="1"/>
  <c r="AO200" i="58"/>
  <c r="J201" i="58"/>
  <c r="S201" i="58" s="1"/>
  <c r="AO201" i="58"/>
  <c r="J202" i="58"/>
  <c r="S202" i="58" s="1"/>
  <c r="AO202" i="58"/>
  <c r="J203" i="58"/>
  <c r="S203" i="58" s="1"/>
  <c r="AO203" i="58"/>
  <c r="J204" i="58"/>
  <c r="S204" i="58" s="1"/>
  <c r="AO204" i="58"/>
  <c r="J205" i="58"/>
  <c r="S205" i="58" s="1"/>
  <c r="AO205" i="58"/>
  <c r="J206" i="58"/>
  <c r="S206" i="58" s="1"/>
  <c r="AO206" i="58"/>
  <c r="J113" i="58"/>
  <c r="S113" i="58" s="1"/>
  <c r="AO113" i="58"/>
  <c r="J114" i="58"/>
  <c r="S114" i="58" s="1"/>
  <c r="AO114" i="58"/>
  <c r="J115" i="58"/>
  <c r="S115" i="58" s="1"/>
  <c r="AO115" i="58"/>
  <c r="J116" i="58"/>
  <c r="S116" i="58" s="1"/>
  <c r="AO116" i="58"/>
  <c r="J117" i="58"/>
  <c r="S117" i="58" s="1"/>
  <c r="AO117" i="58"/>
  <c r="J118" i="58"/>
  <c r="S118" i="58" s="1"/>
  <c r="AO118" i="58"/>
  <c r="J119" i="58"/>
  <c r="S119" i="58" s="1"/>
  <c r="AO119" i="58"/>
  <c r="J120" i="58"/>
  <c r="S120" i="58" s="1"/>
  <c r="AO120" i="58"/>
  <c r="J121" i="58"/>
  <c r="S121" i="58" s="1"/>
  <c r="K121" i="58"/>
  <c r="AO121" i="58"/>
  <c r="J122" i="58"/>
  <c r="S122" i="58" s="1"/>
  <c r="AO122" i="58"/>
  <c r="J123" i="58"/>
  <c r="S123" i="58" s="1"/>
  <c r="AO123" i="58"/>
  <c r="J124" i="58"/>
  <c r="S124" i="58" s="1"/>
  <c r="AO124" i="58"/>
  <c r="J125" i="58"/>
  <c r="S125" i="58" s="1"/>
  <c r="AO125" i="58"/>
  <c r="J126" i="58"/>
  <c r="S126" i="58" s="1"/>
  <c r="AO126" i="58"/>
  <c r="J127" i="58"/>
  <c r="S127" i="58" s="1"/>
  <c r="AO127" i="58"/>
  <c r="J128" i="58"/>
  <c r="S128" i="58" s="1"/>
  <c r="AO128" i="58"/>
  <c r="J129" i="58"/>
  <c r="S129" i="58" s="1"/>
  <c r="K129" i="58"/>
  <c r="AO129" i="58"/>
  <c r="J130" i="58"/>
  <c r="S130" i="58" s="1"/>
  <c r="AO130" i="58"/>
  <c r="J131" i="58"/>
  <c r="S131" i="58" s="1"/>
  <c r="K131" i="58"/>
  <c r="AO131" i="58"/>
  <c r="J132" i="58"/>
  <c r="S132" i="58" s="1"/>
  <c r="AO132" i="58"/>
  <c r="J133" i="58"/>
  <c r="S133" i="58" s="1"/>
  <c r="K133" i="58"/>
  <c r="AO133" i="58"/>
  <c r="J134" i="58"/>
  <c r="S134" i="58" s="1"/>
  <c r="AO134" i="58"/>
  <c r="J135" i="58"/>
  <c r="S135" i="58" s="1"/>
  <c r="AO135" i="58"/>
  <c r="J136" i="58"/>
  <c r="S136" i="58" s="1"/>
  <c r="AO136" i="58"/>
  <c r="J137" i="58"/>
  <c r="S137" i="58" s="1"/>
  <c r="AO137" i="58"/>
  <c r="J138" i="58"/>
  <c r="S138" i="58" s="1"/>
  <c r="AO138" i="58"/>
  <c r="J139" i="58"/>
  <c r="S139" i="58" s="1"/>
  <c r="AO139" i="58"/>
  <c r="J140" i="58"/>
  <c r="S140" i="58" s="1"/>
  <c r="AO140" i="58"/>
  <c r="J141" i="58"/>
  <c r="S141" i="58" s="1"/>
  <c r="K141" i="58"/>
  <c r="AO141" i="58"/>
  <c r="J142" i="58"/>
  <c r="AO142" i="58"/>
  <c r="U112" i="58"/>
  <c r="Y112" i="58" s="1"/>
  <c r="AL15" i="58"/>
  <c r="U15" i="58" s="1"/>
  <c r="Y15" i="58" s="1"/>
  <c r="AL16" i="58"/>
  <c r="U16" i="58" s="1"/>
  <c r="Y16" i="58" s="1"/>
  <c r="AL17" i="58"/>
  <c r="U17" i="58" s="1"/>
  <c r="Y17" i="58" s="1"/>
  <c r="AL18" i="58"/>
  <c r="U18" i="58" s="1"/>
  <c r="Y18" i="58" s="1"/>
  <c r="AL19" i="58"/>
  <c r="U19" i="58" s="1"/>
  <c r="Y19" i="58" s="1"/>
  <c r="AL20" i="58"/>
  <c r="U20" i="58" s="1"/>
  <c r="Y20" i="58" s="1"/>
  <c r="AL21" i="58"/>
  <c r="U21" i="58" s="1"/>
  <c r="Y21" i="58" s="1"/>
  <c r="AL22" i="58"/>
  <c r="U22" i="58" s="1"/>
  <c r="Y22" i="58" s="1"/>
  <c r="AL23" i="58"/>
  <c r="U23" i="58" s="1"/>
  <c r="Y23" i="58" s="1"/>
  <c r="AL24" i="58"/>
  <c r="U24" i="58" s="1"/>
  <c r="Y24" i="58" s="1"/>
  <c r="AL25" i="58"/>
  <c r="U25" i="58" s="1"/>
  <c r="Y25" i="58" s="1"/>
  <c r="AL26" i="58"/>
  <c r="U26" i="58" s="1"/>
  <c r="Y26" i="58" s="1"/>
  <c r="AL27" i="58"/>
  <c r="U27" i="58" s="1"/>
  <c r="Y27" i="58" s="1"/>
  <c r="AL28" i="58"/>
  <c r="U28" i="58" s="1"/>
  <c r="Y28" i="58" s="1"/>
  <c r="AL29" i="58"/>
  <c r="U29" i="58" s="1"/>
  <c r="Y29" i="58" s="1"/>
  <c r="U30" i="58"/>
  <c r="Y30" i="58" s="1"/>
  <c r="R31" i="58"/>
  <c r="R32" i="58"/>
  <c r="R33" i="58"/>
  <c r="R34" i="58"/>
  <c r="R35" i="58"/>
  <c r="R36" i="58"/>
  <c r="R37" i="58"/>
  <c r="R38" i="58"/>
  <c r="R39" i="58"/>
  <c r="R40" i="58"/>
  <c r="R41" i="58"/>
  <c r="R42" i="58"/>
  <c r="R43" i="58"/>
  <c r="R44" i="58"/>
  <c r="R45" i="58"/>
  <c r="R46" i="58"/>
  <c r="R47" i="58"/>
  <c r="U48" i="58"/>
  <c r="Y48" i="58" s="1"/>
  <c r="U49" i="58"/>
  <c r="Y49" i="58" s="1"/>
  <c r="U50" i="58"/>
  <c r="Y50" i="58" s="1"/>
  <c r="U51" i="58"/>
  <c r="Y51" i="58" s="1"/>
  <c r="U52" i="58"/>
  <c r="Y52" i="58" s="1"/>
  <c r="U54" i="58"/>
  <c r="Y54" i="58" s="1"/>
  <c r="U55" i="58"/>
  <c r="Y55" i="58" s="1"/>
  <c r="U56" i="58"/>
  <c r="Y56" i="58" s="1"/>
  <c r="U57" i="58"/>
  <c r="Y57" i="58" s="1"/>
  <c r="U58" i="58"/>
  <c r="Y58" i="58" s="1"/>
  <c r="U59" i="58"/>
  <c r="Y59" i="58" s="1"/>
  <c r="U60" i="58"/>
  <c r="Y60" i="58" s="1"/>
  <c r="U61" i="58"/>
  <c r="Y61" i="58" s="1"/>
  <c r="U62" i="58"/>
  <c r="Y62" i="58" s="1"/>
  <c r="U63" i="58"/>
  <c r="Y63" i="58" s="1"/>
  <c r="U64" i="58"/>
  <c r="Y64" i="58" s="1"/>
  <c r="U65" i="58"/>
  <c r="Y65" i="58" s="1"/>
  <c r="U66" i="58"/>
  <c r="Y66" i="58" s="1"/>
  <c r="U67" i="58"/>
  <c r="Y67" i="58" s="1"/>
  <c r="U68" i="58"/>
  <c r="Y68" i="58" s="1"/>
  <c r="U70" i="58"/>
  <c r="Y70" i="58" s="1"/>
  <c r="U71" i="58"/>
  <c r="Y71" i="58" s="1"/>
  <c r="U72" i="58"/>
  <c r="Y72" i="58" s="1"/>
  <c r="U74" i="58"/>
  <c r="Y74" i="58" s="1"/>
  <c r="U75" i="58"/>
  <c r="Y75" i="58" s="1"/>
  <c r="U76" i="58"/>
  <c r="Y76" i="58" s="1"/>
  <c r="U77" i="58"/>
  <c r="Y77" i="58" s="1"/>
  <c r="U78" i="58"/>
  <c r="Y78" i="58" s="1"/>
  <c r="U80" i="58"/>
  <c r="Y80" i="58" s="1"/>
  <c r="U82" i="58"/>
  <c r="Y82" i="58" s="1"/>
  <c r="U84" i="58"/>
  <c r="Y84" i="58" s="1"/>
  <c r="U85" i="58"/>
  <c r="Y85" i="58" s="1"/>
  <c r="U86" i="58"/>
  <c r="Y86" i="58" s="1"/>
  <c r="U87" i="58"/>
  <c r="Y87" i="58" s="1"/>
  <c r="U88" i="58"/>
  <c r="Y88" i="58" s="1"/>
  <c r="U89" i="58"/>
  <c r="Y89" i="58" s="1"/>
  <c r="U90" i="58"/>
  <c r="Y90" i="58" s="1"/>
  <c r="U91" i="58"/>
  <c r="Y91" i="58" s="1"/>
  <c r="U92" i="58"/>
  <c r="Y92" i="58" s="1"/>
  <c r="U94" i="58"/>
  <c r="Y94" i="58" s="1"/>
  <c r="U95" i="58"/>
  <c r="Y95" i="58" s="1"/>
  <c r="U96" i="58"/>
  <c r="Y96" i="58" s="1"/>
  <c r="U97" i="58"/>
  <c r="Y97" i="58" s="1"/>
  <c r="U98" i="58"/>
  <c r="Y98" i="58" s="1"/>
  <c r="U99" i="58"/>
  <c r="Y99" i="58" s="1"/>
  <c r="U100" i="58"/>
  <c r="Y100" i="58" s="1"/>
  <c r="U101" i="58"/>
  <c r="Y101" i="58" s="1"/>
  <c r="U102" i="58"/>
  <c r="Y102" i="58" s="1"/>
  <c r="U104" i="58"/>
  <c r="Y104" i="58" s="1"/>
  <c r="U106" i="58"/>
  <c r="Y106" i="58" s="1"/>
  <c r="U108" i="58"/>
  <c r="Y108" i="58" s="1"/>
  <c r="U110" i="58"/>
  <c r="Y110" i="58" s="1"/>
  <c r="U53" i="58"/>
  <c r="Y53" i="58" s="1"/>
  <c r="U69" i="58"/>
  <c r="Y69" i="58" s="1"/>
  <c r="U73" i="58"/>
  <c r="Y73" i="58" s="1"/>
  <c r="U79" i="58"/>
  <c r="Y79" i="58" s="1"/>
  <c r="U81" i="58"/>
  <c r="Y81" i="58" s="1"/>
  <c r="U83" i="58"/>
  <c r="Y83" i="58" s="1"/>
  <c r="U93" i="58"/>
  <c r="Y93" i="58" s="1"/>
  <c r="U103" i="58"/>
  <c r="Y103" i="58" s="1"/>
  <c r="U105" i="58"/>
  <c r="Y105" i="58" s="1"/>
  <c r="U107" i="58"/>
  <c r="Y107" i="58" s="1"/>
  <c r="U109" i="58"/>
  <c r="Y109" i="58" s="1"/>
  <c r="U111" i="58"/>
  <c r="Y111" i="58" s="1"/>
  <c r="U14" i="58"/>
  <c r="Y14" i="58" s="1"/>
  <c r="BH55" i="57"/>
  <c r="BG55" i="57"/>
  <c r="BI5" i="57" s="1"/>
  <c r="B54" i="57"/>
  <c r="B38" i="57"/>
  <c r="B16" i="57"/>
  <c r="BG43" i="57"/>
  <c r="BH39" i="57"/>
  <c r="BG39" i="57"/>
  <c r="BH17" i="57"/>
  <c r="BH22" i="57"/>
  <c r="BH14" i="57"/>
  <c r="BH13" i="57"/>
  <c r="BG17" i="57"/>
  <c r="AB1" i="57"/>
  <c r="K211" i="58" l="1"/>
  <c r="K139" i="58"/>
  <c r="K166" i="58"/>
  <c r="K205" i="58"/>
  <c r="K127" i="58"/>
  <c r="K149" i="58"/>
  <c r="K117" i="58"/>
  <c r="K201" i="58"/>
  <c r="K164" i="58"/>
  <c r="K145" i="58"/>
  <c r="S18" i="56"/>
  <c r="S62" i="56"/>
  <c r="S79" i="56"/>
  <c r="K135" i="58"/>
  <c r="K195" i="58"/>
  <c r="K125" i="58"/>
  <c r="K171" i="58"/>
  <c r="K209" i="58"/>
  <c r="K115" i="58"/>
  <c r="K199" i="58"/>
  <c r="K162" i="58"/>
  <c r="R69" i="56"/>
  <c r="K119" i="58"/>
  <c r="K203" i="58"/>
  <c r="K147" i="58"/>
  <c r="K208" i="58"/>
  <c r="K123" i="58"/>
  <c r="S105" i="56"/>
  <c r="K197" i="58"/>
  <c r="K160" i="58"/>
  <c r="K155" i="58"/>
  <c r="K207" i="58"/>
  <c r="S98" i="56"/>
  <c r="S95" i="56"/>
  <c r="S24" i="56"/>
  <c r="U33" i="58"/>
  <c r="Y33" i="58" s="1"/>
  <c r="U39" i="58"/>
  <c r="Y39" i="58" s="1"/>
  <c r="U36" i="58"/>
  <c r="Y36" i="58" s="1"/>
  <c r="U32" i="58"/>
  <c r="Y32" i="58" s="1"/>
  <c r="U34" i="58"/>
  <c r="Y34" i="58" s="1"/>
  <c r="U44" i="58"/>
  <c r="Y44" i="58" s="1"/>
  <c r="U43" i="58"/>
  <c r="Y43" i="58" s="1"/>
  <c r="U31" i="58"/>
  <c r="Y31" i="58" s="1"/>
  <c r="U37" i="58"/>
  <c r="Y37" i="58" s="1"/>
  <c r="U46" i="58"/>
  <c r="Y46" i="58" s="1"/>
  <c r="U42" i="58"/>
  <c r="Y42" i="58" s="1"/>
  <c r="U38" i="58"/>
  <c r="Y38" i="58" s="1"/>
  <c r="U47" i="58"/>
  <c r="Y47" i="58" s="1"/>
  <c r="U41" i="58"/>
  <c r="Y41" i="58" s="1"/>
  <c r="U35" i="58"/>
  <c r="Y35" i="58" s="1"/>
  <c r="U45" i="58"/>
  <c r="Y45" i="58" s="1"/>
  <c r="U40" i="58"/>
  <c r="Y40" i="58" s="1"/>
  <c r="BI4" i="57"/>
  <c r="S56" i="56"/>
  <c r="T58" i="56"/>
  <c r="S41" i="56"/>
  <c r="S19" i="56"/>
  <c r="T103" i="56"/>
  <c r="T15" i="56"/>
  <c r="T78" i="56"/>
  <c r="R23" i="56"/>
  <c r="T40" i="56"/>
  <c r="R33" i="56"/>
  <c r="S21" i="56"/>
  <c r="S29" i="56"/>
  <c r="S37" i="56"/>
  <c r="S45" i="56"/>
  <c r="S53" i="56"/>
  <c r="S61" i="56"/>
  <c r="S15" i="56"/>
  <c r="S23" i="56"/>
  <c r="S31" i="56"/>
  <c r="S39" i="56"/>
  <c r="S47" i="56"/>
  <c r="S55" i="56"/>
  <c r="S63" i="56"/>
  <c r="S16" i="56"/>
  <c r="S32" i="56"/>
  <c r="S48" i="56"/>
  <c r="S64" i="56"/>
  <c r="S75" i="56"/>
  <c r="S83" i="56"/>
  <c r="S91" i="56"/>
  <c r="S14" i="56"/>
  <c r="S46" i="56"/>
  <c r="S74" i="56"/>
  <c r="S90" i="56"/>
  <c r="T102" i="56"/>
  <c r="T110" i="56"/>
  <c r="S34" i="56"/>
  <c r="S66" i="56"/>
  <c r="S84" i="56"/>
  <c r="T99" i="56"/>
  <c r="T107" i="56"/>
  <c r="R16" i="56"/>
  <c r="R24" i="56"/>
  <c r="R32" i="56"/>
  <c r="R40" i="56"/>
  <c r="R48" i="56"/>
  <c r="R56" i="56"/>
  <c r="R64" i="56"/>
  <c r="T17" i="56"/>
  <c r="T33" i="56"/>
  <c r="T49" i="56"/>
  <c r="T65" i="56"/>
  <c r="R76" i="56"/>
  <c r="R84" i="56"/>
  <c r="R92" i="56"/>
  <c r="R17" i="56"/>
  <c r="R49" i="56"/>
  <c r="T75" i="56"/>
  <c r="T91" i="56"/>
  <c r="S103" i="56"/>
  <c r="S111" i="56"/>
  <c r="R37" i="56"/>
  <c r="T85" i="56"/>
  <c r="S100" i="56"/>
  <c r="S108" i="56"/>
  <c r="T73" i="56"/>
  <c r="R78" i="56"/>
  <c r="T57" i="56"/>
  <c r="S72" i="56"/>
  <c r="S93" i="56"/>
  <c r="T81" i="56"/>
  <c r="K174" i="58"/>
  <c r="S174" i="58"/>
  <c r="R34" i="56"/>
  <c r="S44" i="56"/>
  <c r="K176" i="58"/>
  <c r="S176" i="58"/>
  <c r="S92" i="56"/>
  <c r="S87" i="56"/>
  <c r="R50" i="56"/>
  <c r="R91" i="56"/>
  <c r="T27" i="56"/>
  <c r="S27" i="56"/>
  <c r="K178" i="58"/>
  <c r="S178" i="58"/>
  <c r="S110" i="56"/>
  <c r="T89" i="56"/>
  <c r="R45" i="56"/>
  <c r="T79" i="56"/>
  <c r="R25" i="56"/>
  <c r="R86" i="56"/>
  <c r="T69" i="56"/>
  <c r="T37" i="56"/>
  <c r="R66" i="56"/>
  <c r="T48" i="56"/>
  <c r="T26" i="56"/>
  <c r="R103" i="56"/>
  <c r="T59" i="56"/>
  <c r="T18" i="56"/>
  <c r="S102" i="56"/>
  <c r="T95" i="56"/>
  <c r="R94" i="56"/>
  <c r="T21" i="56"/>
  <c r="R18" i="56"/>
  <c r="T112" i="56"/>
  <c r="S52" i="56"/>
  <c r="S17" i="56"/>
  <c r="R112" i="56"/>
  <c r="T92" i="56"/>
  <c r="R19" i="56"/>
  <c r="S58" i="56"/>
  <c r="S89" i="56"/>
  <c r="T50" i="56"/>
  <c r="S161" i="58"/>
  <c r="K161" i="58"/>
  <c r="S157" i="58"/>
  <c r="K157" i="58"/>
  <c r="S82" i="56"/>
  <c r="T32" i="56"/>
  <c r="K183" i="58"/>
  <c r="S183" i="58"/>
  <c r="S163" i="58"/>
  <c r="K163" i="58"/>
  <c r="T47" i="56"/>
  <c r="T70" i="56"/>
  <c r="K192" i="58"/>
  <c r="S192" i="58"/>
  <c r="K185" i="58"/>
  <c r="S185" i="58"/>
  <c r="K144" i="58"/>
  <c r="K212" i="58"/>
  <c r="K210" i="58"/>
  <c r="T109" i="56"/>
  <c r="S88" i="56"/>
  <c r="S42" i="56"/>
  <c r="T104" i="56"/>
  <c r="S78" i="56"/>
  <c r="S22" i="56"/>
  <c r="S85" i="56"/>
  <c r="S68" i="56"/>
  <c r="S36" i="56"/>
  <c r="S65" i="56"/>
  <c r="S43" i="56"/>
  <c r="R26" i="56"/>
  <c r="T93" i="56"/>
  <c r="R75" i="56"/>
  <c r="R97" i="56"/>
  <c r="T94" i="56"/>
  <c r="R55" i="56"/>
  <c r="R58" i="56"/>
  <c r="K179" i="58"/>
  <c r="S179" i="58"/>
  <c r="T101" i="56"/>
  <c r="S94" i="56"/>
  <c r="S77" i="56"/>
  <c r="T56" i="56"/>
  <c r="K193" i="58"/>
  <c r="S193" i="58"/>
  <c r="K186" i="58"/>
  <c r="S186" i="58"/>
  <c r="R71" i="56"/>
  <c r="T51" i="56"/>
  <c r="T16" i="56"/>
  <c r="S96" i="56"/>
  <c r="T108" i="56"/>
  <c r="S38" i="56"/>
  <c r="S73" i="56"/>
  <c r="S69" i="56"/>
  <c r="S33" i="56"/>
  <c r="T111" i="56"/>
  <c r="T106" i="56"/>
  <c r="S71" i="56"/>
  <c r="S67" i="56"/>
  <c r="R20" i="56"/>
  <c r="K190" i="58"/>
  <c r="S190" i="58"/>
  <c r="R111" i="56"/>
  <c r="R106" i="56"/>
  <c r="T86" i="56"/>
  <c r="R39" i="56"/>
  <c r="S49" i="56"/>
  <c r="U160" i="58"/>
  <c r="Y160" i="58" s="1"/>
  <c r="U156" i="58"/>
  <c r="Y156" i="58" s="1"/>
  <c r="S148" i="58"/>
  <c r="K148" i="58"/>
  <c r="R109" i="56"/>
  <c r="R87" i="56"/>
  <c r="T39" i="56"/>
  <c r="R104" i="56"/>
  <c r="R77" i="56"/>
  <c r="T19" i="56"/>
  <c r="T84" i="56"/>
  <c r="R67" i="56"/>
  <c r="R35" i="56"/>
  <c r="T64" i="56"/>
  <c r="T42" i="56"/>
  <c r="S25" i="56"/>
  <c r="S152" i="58"/>
  <c r="K152" i="58"/>
  <c r="S170" i="58"/>
  <c r="K170" i="58"/>
  <c r="K172" i="58"/>
  <c r="S172" i="58"/>
  <c r="T13" i="56"/>
  <c r="R57" i="56"/>
  <c r="T53" i="56"/>
  <c r="S57" i="56"/>
  <c r="S35" i="56"/>
  <c r="S54" i="56"/>
  <c r="S20" i="56"/>
  <c r="T34" i="56"/>
  <c r="R101" i="56"/>
  <c r="R93" i="56"/>
  <c r="T76" i="56"/>
  <c r="R51" i="56"/>
  <c r="S51" i="56"/>
  <c r="R105" i="56"/>
  <c r="K188" i="58"/>
  <c r="S188" i="58"/>
  <c r="K181" i="58"/>
  <c r="S181" i="58"/>
  <c r="R13" i="56"/>
  <c r="S86" i="56"/>
  <c r="S50" i="56"/>
  <c r="S30" i="56"/>
  <c r="S40" i="56"/>
  <c r="S159" i="58"/>
  <c r="K159" i="58"/>
  <c r="R81" i="56"/>
  <c r="T66" i="56"/>
  <c r="K137" i="58"/>
  <c r="K113" i="58"/>
  <c r="S150" i="58"/>
  <c r="K150" i="58"/>
  <c r="T105" i="56"/>
  <c r="S80" i="56"/>
  <c r="S26" i="56"/>
  <c r="T100" i="56"/>
  <c r="S70" i="56"/>
  <c r="S97" i="56"/>
  <c r="S81" i="56"/>
  <c r="S60" i="56"/>
  <c r="S28" i="56"/>
  <c r="S59" i="56"/>
  <c r="R42" i="56"/>
  <c r="T24" i="56"/>
  <c r="K140" i="58"/>
  <c r="K138" i="58"/>
  <c r="K136" i="58"/>
  <c r="K134" i="58"/>
  <c r="K132" i="58"/>
  <c r="K130" i="58"/>
  <c r="K128" i="58"/>
  <c r="K126" i="58"/>
  <c r="K124" i="58"/>
  <c r="K122" i="58"/>
  <c r="K120" i="58"/>
  <c r="K118" i="58"/>
  <c r="K116" i="58"/>
  <c r="K114" i="58"/>
  <c r="K206" i="58"/>
  <c r="K204" i="58"/>
  <c r="K202" i="58"/>
  <c r="K200" i="58"/>
  <c r="K198" i="58"/>
  <c r="K196" i="58"/>
  <c r="K194" i="58"/>
  <c r="K180" i="58"/>
  <c r="S180" i="58"/>
  <c r="K173" i="58"/>
  <c r="S173" i="58"/>
  <c r="K167" i="58"/>
  <c r="K165" i="58"/>
  <c r="K156" i="58"/>
  <c r="K154" i="58"/>
  <c r="K187" i="58"/>
  <c r="S187" i="58"/>
  <c r="U148" i="58"/>
  <c r="Y148" i="58" s="1"/>
  <c r="R107" i="56"/>
  <c r="R99" i="56"/>
  <c r="R83" i="56"/>
  <c r="T63" i="56"/>
  <c r="T31" i="56"/>
  <c r="R110" i="56"/>
  <c r="R102" i="56"/>
  <c r="R89" i="56"/>
  <c r="R73" i="56"/>
  <c r="T43" i="56"/>
  <c r="T98" i="56"/>
  <c r="T90" i="56"/>
  <c r="T82" i="56"/>
  <c r="T74" i="56"/>
  <c r="R63" i="56"/>
  <c r="R47" i="56"/>
  <c r="R31" i="56"/>
  <c r="R15" i="56"/>
  <c r="T62" i="56"/>
  <c r="T54" i="56"/>
  <c r="T46" i="56"/>
  <c r="T38" i="56"/>
  <c r="T30" i="56"/>
  <c r="T22" i="56"/>
  <c r="T14" i="56"/>
  <c r="K142" i="58"/>
  <c r="S142" i="58"/>
  <c r="K189" i="58"/>
  <c r="S189" i="58"/>
  <c r="K182" i="58"/>
  <c r="S182" i="58"/>
  <c r="K175" i="58"/>
  <c r="S175" i="58"/>
  <c r="S106" i="56"/>
  <c r="T97" i="56"/>
  <c r="R61" i="56"/>
  <c r="R29" i="56"/>
  <c r="S109" i="56"/>
  <c r="S101" i="56"/>
  <c r="T87" i="56"/>
  <c r="T71" i="56"/>
  <c r="R41" i="56"/>
  <c r="R98" i="56"/>
  <c r="R90" i="56"/>
  <c r="R82" i="56"/>
  <c r="R74" i="56"/>
  <c r="T61" i="56"/>
  <c r="T45" i="56"/>
  <c r="T29" i="56"/>
  <c r="R70" i="56"/>
  <c r="R62" i="56"/>
  <c r="R54" i="56"/>
  <c r="R46" i="56"/>
  <c r="R38" i="56"/>
  <c r="R30" i="56"/>
  <c r="R22" i="56"/>
  <c r="R14" i="56"/>
  <c r="K191" i="58"/>
  <c r="S191" i="58"/>
  <c r="K184" i="58"/>
  <c r="S184" i="58"/>
  <c r="K177" i="58"/>
  <c r="S177" i="58"/>
  <c r="K146" i="58"/>
  <c r="S13" i="56"/>
  <c r="R95" i="56"/>
  <c r="R79" i="56"/>
  <c r="T55" i="56"/>
  <c r="T23" i="56"/>
  <c r="R108" i="56"/>
  <c r="R100" i="56"/>
  <c r="R85" i="56"/>
  <c r="T67" i="56"/>
  <c r="T35" i="56"/>
  <c r="T96" i="56"/>
  <c r="T88" i="56"/>
  <c r="T80" i="56"/>
  <c r="T72" i="56"/>
  <c r="R59" i="56"/>
  <c r="R43" i="56"/>
  <c r="R27" i="56"/>
  <c r="T68" i="56"/>
  <c r="T60" i="56"/>
  <c r="T52" i="56"/>
  <c r="T44" i="56"/>
  <c r="T36" i="56"/>
  <c r="T28" i="56"/>
  <c r="T20" i="56"/>
  <c r="S112" i="56"/>
  <c r="S104" i="56"/>
  <c r="T77" i="56"/>
  <c r="R53" i="56"/>
  <c r="R21" i="56"/>
  <c r="S107" i="56"/>
  <c r="S99" i="56"/>
  <c r="T83" i="56"/>
  <c r="R65" i="56"/>
  <c r="R96" i="56"/>
  <c r="R88" i="56"/>
  <c r="R80" i="56"/>
  <c r="R72" i="56"/>
  <c r="T41" i="56"/>
  <c r="T25" i="56"/>
  <c r="R68" i="56"/>
  <c r="R60" i="56"/>
  <c r="R52" i="56"/>
  <c r="R44" i="56"/>
  <c r="R36" i="56"/>
  <c r="R28" i="56"/>
  <c r="U13" i="58"/>
  <c r="Y13" i="58" s="1"/>
  <c r="U212" i="58"/>
  <c r="Y212" i="58" s="1"/>
  <c r="U211" i="58"/>
  <c r="Y211" i="58" s="1"/>
  <c r="U210" i="58"/>
  <c r="Y210" i="58" s="1"/>
  <c r="U209" i="58"/>
  <c r="Y209" i="58" s="1"/>
  <c r="U208" i="58"/>
  <c r="Y208" i="58" s="1"/>
  <c r="U207" i="58"/>
  <c r="Y207" i="58" s="1"/>
  <c r="U206" i="58"/>
  <c r="Y206" i="58" s="1"/>
  <c r="U203" i="58"/>
  <c r="Y203" i="58" s="1"/>
  <c r="U202" i="58"/>
  <c r="Y202" i="58" s="1"/>
  <c r="U205" i="58"/>
  <c r="Y205" i="58" s="1"/>
  <c r="U204" i="58"/>
  <c r="Y204" i="58" s="1"/>
  <c r="U201" i="58"/>
  <c r="Y201" i="58" s="1"/>
  <c r="U200" i="58"/>
  <c r="Y200" i="58" s="1"/>
  <c r="U199" i="58"/>
  <c r="Y199" i="58" s="1"/>
  <c r="U198" i="58"/>
  <c r="Y198" i="58" s="1"/>
  <c r="U197" i="58"/>
  <c r="Y197" i="58" s="1"/>
  <c r="U196" i="58"/>
  <c r="Y196" i="58" s="1"/>
  <c r="U195" i="58"/>
  <c r="Y195" i="58" s="1"/>
  <c r="U194" i="58"/>
  <c r="Y194" i="58" s="1"/>
  <c r="U193" i="58"/>
  <c r="Y193" i="58" s="1"/>
  <c r="U170" i="58"/>
  <c r="Y170" i="58" s="1"/>
  <c r="U166" i="58"/>
  <c r="Y166" i="58" s="1"/>
  <c r="U162" i="58"/>
  <c r="Y162" i="58" s="1"/>
  <c r="U158" i="58"/>
  <c r="Y158" i="58" s="1"/>
  <c r="U154" i="58"/>
  <c r="Y154" i="58" s="1"/>
  <c r="U150" i="58"/>
  <c r="Y150" i="58" s="1"/>
  <c r="U146" i="58"/>
  <c r="Y146" i="58" s="1"/>
  <c r="U192" i="58"/>
  <c r="Y192" i="58" s="1"/>
  <c r="U191" i="58"/>
  <c r="Y191" i="58" s="1"/>
  <c r="U190" i="58"/>
  <c r="Y190" i="58" s="1"/>
  <c r="U189" i="58"/>
  <c r="Y189" i="58" s="1"/>
  <c r="U188" i="58"/>
  <c r="Y188" i="58" s="1"/>
  <c r="U187" i="58"/>
  <c r="Y187" i="58" s="1"/>
  <c r="U186" i="58"/>
  <c r="Y186" i="58" s="1"/>
  <c r="U185" i="58"/>
  <c r="Y185" i="58" s="1"/>
  <c r="U184" i="58"/>
  <c r="Y184" i="58" s="1"/>
  <c r="U183" i="58"/>
  <c r="Y183" i="58" s="1"/>
  <c r="U182" i="58"/>
  <c r="Y182" i="58" s="1"/>
  <c r="U181" i="58"/>
  <c r="Y181" i="58" s="1"/>
  <c r="U180" i="58"/>
  <c r="Y180" i="58" s="1"/>
  <c r="U179" i="58"/>
  <c r="Y179" i="58" s="1"/>
  <c r="U178" i="58"/>
  <c r="Y178" i="58" s="1"/>
  <c r="U177" i="58"/>
  <c r="Y177" i="58" s="1"/>
  <c r="U176" i="58"/>
  <c r="Y176" i="58" s="1"/>
  <c r="U175" i="58"/>
  <c r="Y175" i="58" s="1"/>
  <c r="U174" i="58"/>
  <c r="Y174" i="58" s="1"/>
  <c r="U173" i="58"/>
  <c r="Y173" i="58" s="1"/>
  <c r="U172" i="58"/>
  <c r="Y172" i="58" s="1"/>
  <c r="U171" i="58"/>
  <c r="Y171" i="58" s="1"/>
  <c r="U169" i="58"/>
  <c r="Y169" i="58" s="1"/>
  <c r="U167" i="58"/>
  <c r="Y167" i="58" s="1"/>
  <c r="U165" i="58"/>
  <c r="Y165" i="58" s="1"/>
  <c r="U163" i="58"/>
  <c r="Y163" i="58" s="1"/>
  <c r="U161" i="58"/>
  <c r="Y161" i="58" s="1"/>
  <c r="U159" i="58"/>
  <c r="Y159" i="58" s="1"/>
  <c r="U157" i="58"/>
  <c r="Y157" i="58" s="1"/>
  <c r="U155" i="58"/>
  <c r="Y155" i="58" s="1"/>
  <c r="U153" i="58"/>
  <c r="Y153" i="58" s="1"/>
  <c r="U151" i="58"/>
  <c r="Y151" i="58" s="1"/>
  <c r="U149" i="58"/>
  <c r="Y149" i="58" s="1"/>
  <c r="U147" i="58"/>
  <c r="Y147" i="58" s="1"/>
  <c r="U145" i="58"/>
  <c r="Y145" i="58" s="1"/>
  <c r="U143" i="58"/>
  <c r="Y143" i="58" s="1"/>
  <c r="U140" i="58"/>
  <c r="Y140" i="58" s="1"/>
  <c r="U138" i="58"/>
  <c r="Y138" i="58" s="1"/>
  <c r="U136" i="58"/>
  <c r="Y136" i="58" s="1"/>
  <c r="U134" i="58"/>
  <c r="Y134" i="58" s="1"/>
  <c r="U132" i="58"/>
  <c r="Y132" i="58" s="1"/>
  <c r="U130" i="58"/>
  <c r="Y130" i="58" s="1"/>
  <c r="U128" i="58"/>
  <c r="Y128" i="58" s="1"/>
  <c r="U126" i="58"/>
  <c r="Y126" i="58" s="1"/>
  <c r="U124" i="58"/>
  <c r="Y124" i="58" s="1"/>
  <c r="U122" i="58"/>
  <c r="Y122" i="58" s="1"/>
  <c r="U120" i="58"/>
  <c r="Y120" i="58" s="1"/>
  <c r="U118" i="58"/>
  <c r="Y118" i="58" s="1"/>
  <c r="U116" i="58"/>
  <c r="Y116" i="58" s="1"/>
  <c r="U114" i="58"/>
  <c r="Y114" i="58" s="1"/>
  <c r="U142" i="58"/>
  <c r="Y142" i="58" s="1"/>
  <c r="U141" i="58"/>
  <c r="Y141" i="58" s="1"/>
  <c r="U139" i="58"/>
  <c r="Y139" i="58" s="1"/>
  <c r="U137" i="58"/>
  <c r="Y137" i="58" s="1"/>
  <c r="U135" i="58"/>
  <c r="Y135" i="58" s="1"/>
  <c r="U133" i="58"/>
  <c r="Y133" i="58" s="1"/>
  <c r="U131" i="58"/>
  <c r="Y131" i="58" s="1"/>
  <c r="U129" i="58"/>
  <c r="Y129" i="58" s="1"/>
  <c r="U127" i="58"/>
  <c r="Y127" i="58" s="1"/>
  <c r="U125" i="58"/>
  <c r="Y125" i="58" s="1"/>
  <c r="U123" i="58"/>
  <c r="Y123" i="58" s="1"/>
  <c r="U121" i="58"/>
  <c r="Y121" i="58" s="1"/>
  <c r="U119" i="58"/>
  <c r="Y119" i="58" s="1"/>
  <c r="U117" i="58"/>
  <c r="Y117" i="58" s="1"/>
  <c r="U115" i="58"/>
  <c r="Y115" i="58" s="1"/>
  <c r="U113" i="58"/>
  <c r="Y113" i="58" s="1"/>
  <c r="BJ3" i="57"/>
  <c r="AC74" i="41"/>
  <c r="Q74" i="41" s="1"/>
  <c r="AC73" i="41"/>
  <c r="Q73" i="41" s="1"/>
  <c r="AC72" i="41"/>
  <c r="Q72" i="41" s="1"/>
  <c r="AC71" i="41"/>
  <c r="Q71" i="41" s="1"/>
  <c r="AC70" i="41"/>
  <c r="Q70" i="41" s="1"/>
  <c r="AC69" i="41"/>
  <c r="Q69" i="41" s="1"/>
  <c r="AC68" i="41"/>
  <c r="AC67" i="41"/>
  <c r="Q67" i="41" s="1"/>
  <c r="AC66" i="41"/>
  <c r="AC65" i="41"/>
  <c r="Q65" i="41" s="1"/>
  <c r="AC64" i="41"/>
  <c r="Q64" i="41" s="1"/>
  <c r="AC63" i="41"/>
  <c r="Q63" i="41" s="1"/>
  <c r="AC62" i="41"/>
  <c r="AC61" i="41"/>
  <c r="Q61" i="41" s="1"/>
  <c r="AC60" i="41"/>
  <c r="AC59" i="41"/>
  <c r="Q59" i="41" s="1"/>
  <c r="AC58" i="41"/>
  <c r="Q58" i="41" s="1"/>
  <c r="AC57" i="41"/>
  <c r="Q57" i="41" s="1"/>
  <c r="AC56" i="41"/>
  <c r="AC55" i="41"/>
  <c r="Q55" i="41" s="1"/>
  <c r="AC54" i="41"/>
  <c r="Q54" i="41" s="1"/>
  <c r="AC53" i="41"/>
  <c r="Q53" i="41" s="1"/>
  <c r="AC52" i="41"/>
  <c r="Q52" i="41" s="1"/>
  <c r="AC51" i="41"/>
  <c r="Q51" i="41" s="1"/>
  <c r="AC50" i="41"/>
  <c r="Q50" i="41" s="1"/>
  <c r="AC49" i="41"/>
  <c r="Q49" i="41" s="1"/>
  <c r="AC48" i="41"/>
  <c r="Q48" i="41" s="1"/>
  <c r="AC47" i="41"/>
  <c r="Q47" i="41" s="1"/>
  <c r="AC46" i="41"/>
  <c r="Q46" i="41" s="1"/>
  <c r="AC45" i="41"/>
  <c r="Q45" i="41" s="1"/>
  <c r="AC44" i="41"/>
  <c r="AC43" i="41"/>
  <c r="Q43" i="41" s="1"/>
  <c r="AC42" i="41"/>
  <c r="Q42" i="41" s="1"/>
  <c r="AC41" i="41"/>
  <c r="Q41" i="41" s="1"/>
  <c r="AC40" i="41"/>
  <c r="Q40" i="41" s="1"/>
  <c r="AC39" i="41"/>
  <c r="Q39" i="41" s="1"/>
  <c r="AC38" i="41"/>
  <c r="AC37" i="41"/>
  <c r="Q37" i="41" s="1"/>
  <c r="AC36" i="41"/>
  <c r="Q36" i="41" s="1"/>
  <c r="AC35" i="41"/>
  <c r="Q35" i="41" s="1"/>
  <c r="AC34" i="41"/>
  <c r="Q34" i="41" s="1"/>
  <c r="AC33" i="41"/>
  <c r="Q33" i="41" s="1"/>
  <c r="AC32" i="41"/>
  <c r="AC31" i="41"/>
  <c r="AC30" i="41"/>
  <c r="Q30" i="41" s="1"/>
  <c r="Q68" i="41"/>
  <c r="Q66" i="41"/>
  <c r="Q62" i="41"/>
  <c r="Q60" i="41"/>
  <c r="Q56" i="41"/>
  <c r="Q44" i="41"/>
  <c r="Q38" i="41"/>
  <c r="Q32" i="41"/>
  <c r="Q31" i="41"/>
  <c r="K28" i="41"/>
  <c r="Q28" i="41" s="1"/>
  <c r="AC30" i="40"/>
  <c r="Q30" i="40" s="1"/>
  <c r="AC74" i="40"/>
  <c r="Q74" i="40" s="1"/>
  <c r="AC73" i="40"/>
  <c r="Q73" i="40" s="1"/>
  <c r="AC72" i="40"/>
  <c r="Q72" i="40" s="1"/>
  <c r="AC71" i="40"/>
  <c r="Q71" i="40" s="1"/>
  <c r="AC70" i="40"/>
  <c r="Q70" i="40" s="1"/>
  <c r="AC69" i="40"/>
  <c r="Q69" i="40" s="1"/>
  <c r="AC68" i="40"/>
  <c r="AC67" i="40"/>
  <c r="Q67" i="40" s="1"/>
  <c r="AC66" i="40"/>
  <c r="AC65" i="40"/>
  <c r="Q65" i="40" s="1"/>
  <c r="AC64" i="40"/>
  <c r="AC63" i="40"/>
  <c r="Q63" i="40" s="1"/>
  <c r="AC62" i="40"/>
  <c r="AC61" i="40"/>
  <c r="Q61" i="40" s="1"/>
  <c r="AC60" i="40"/>
  <c r="Q60" i="40" s="1"/>
  <c r="AC59" i="40"/>
  <c r="Q59" i="40" s="1"/>
  <c r="AC58" i="40"/>
  <c r="Q58" i="40" s="1"/>
  <c r="AC57" i="40"/>
  <c r="Q57" i="40" s="1"/>
  <c r="AC56" i="40"/>
  <c r="AC55" i="40"/>
  <c r="Q55" i="40" s="1"/>
  <c r="AC54" i="40"/>
  <c r="AC53" i="40"/>
  <c r="Q53" i="40" s="1"/>
  <c r="AC52" i="40"/>
  <c r="Q52" i="40" s="1"/>
  <c r="AC51" i="40"/>
  <c r="Q51" i="40" s="1"/>
  <c r="AC50" i="40"/>
  <c r="Q50" i="40" s="1"/>
  <c r="AC49" i="40"/>
  <c r="Q49" i="40" s="1"/>
  <c r="AC48" i="40"/>
  <c r="Q48" i="40" s="1"/>
  <c r="AC47" i="40"/>
  <c r="Q47" i="40" s="1"/>
  <c r="AC46" i="40"/>
  <c r="Q46" i="40" s="1"/>
  <c r="AC45" i="40"/>
  <c r="Q45" i="40" s="1"/>
  <c r="AC44" i="40"/>
  <c r="Q44" i="40" s="1"/>
  <c r="AC43" i="40"/>
  <c r="Q43" i="40" s="1"/>
  <c r="AC42" i="40"/>
  <c r="Q42" i="40" s="1"/>
  <c r="AC41" i="40"/>
  <c r="Q41" i="40" s="1"/>
  <c r="AC40" i="40"/>
  <c r="Q40" i="40" s="1"/>
  <c r="AC39" i="40"/>
  <c r="Q39" i="40" s="1"/>
  <c r="AC38" i="40"/>
  <c r="AC37" i="40"/>
  <c r="Q37" i="40" s="1"/>
  <c r="AC36" i="40"/>
  <c r="Q36" i="40" s="1"/>
  <c r="AC35" i="40"/>
  <c r="Q35" i="40" s="1"/>
  <c r="AC34" i="40"/>
  <c r="Q34" i="40" s="1"/>
  <c r="AC33" i="40"/>
  <c r="Q33" i="40" s="1"/>
  <c r="AC32" i="40"/>
  <c r="Q32" i="40" s="1"/>
  <c r="AC31" i="40"/>
  <c r="Q31" i="40" s="1"/>
  <c r="Q68" i="40"/>
  <c r="Q66" i="40"/>
  <c r="Q64" i="40"/>
  <c r="Q62" i="40"/>
  <c r="Q56" i="40"/>
  <c r="Q54" i="40"/>
  <c r="Q38" i="40"/>
  <c r="K28" i="40"/>
  <c r="Q28" i="40" s="1"/>
  <c r="AC31" i="38"/>
  <c r="Q31" i="38" s="1"/>
  <c r="AC32" i="38"/>
  <c r="AC33" i="38"/>
  <c r="AC34" i="38"/>
  <c r="AC35" i="38"/>
  <c r="AC36" i="38"/>
  <c r="AC37" i="38"/>
  <c r="AC38" i="38"/>
  <c r="AC39" i="38"/>
  <c r="AC40" i="38"/>
  <c r="AC41" i="38"/>
  <c r="AC42" i="38"/>
  <c r="AC43" i="38"/>
  <c r="AC44" i="38"/>
  <c r="AC45" i="38"/>
  <c r="AC46" i="38"/>
  <c r="AC47" i="38"/>
  <c r="AC48" i="38"/>
  <c r="AC49" i="38"/>
  <c r="AC50" i="38"/>
  <c r="AC51" i="38"/>
  <c r="AC52" i="38"/>
  <c r="AC53" i="38"/>
  <c r="AC54" i="38"/>
  <c r="AC55" i="38"/>
  <c r="AC56" i="38"/>
  <c r="AC57" i="38"/>
  <c r="AC58" i="38"/>
  <c r="AC59" i="38"/>
  <c r="AC60" i="38"/>
  <c r="AC61" i="38"/>
  <c r="AC62" i="38"/>
  <c r="AC63" i="38"/>
  <c r="AC64" i="38"/>
  <c r="AC65" i="38"/>
  <c r="AC66" i="38"/>
  <c r="AC67" i="38"/>
  <c r="AC68" i="38"/>
  <c r="AC69" i="38"/>
  <c r="AC70" i="38"/>
  <c r="AC71" i="38"/>
  <c r="AC72" i="38"/>
  <c r="AC73" i="38"/>
  <c r="AC74" i="38"/>
  <c r="AC30" i="38"/>
  <c r="Q30" i="38" s="1"/>
  <c r="K28" i="38"/>
  <c r="Q28" i="38" s="1"/>
  <c r="AC30" i="37"/>
  <c r="Q30" i="37" s="1"/>
  <c r="AC74" i="37"/>
  <c r="Q74" i="37" s="1"/>
  <c r="AC73" i="37"/>
  <c r="Q73" i="37" s="1"/>
  <c r="AC72" i="37"/>
  <c r="Q72" i="37" s="1"/>
  <c r="AC71" i="37"/>
  <c r="Q71" i="37" s="1"/>
  <c r="AC70" i="37"/>
  <c r="AC69" i="37"/>
  <c r="Q69" i="37" s="1"/>
  <c r="AC68" i="37"/>
  <c r="Q68" i="37" s="1"/>
  <c r="AC67" i="37"/>
  <c r="Q67" i="37" s="1"/>
  <c r="AC66" i="37"/>
  <c r="Q66" i="37" s="1"/>
  <c r="AC65" i="37"/>
  <c r="Q65" i="37" s="1"/>
  <c r="AC64" i="37"/>
  <c r="AC63" i="37"/>
  <c r="Q63" i="37" s="1"/>
  <c r="AC62" i="37"/>
  <c r="Q62" i="37" s="1"/>
  <c r="AC61" i="37"/>
  <c r="Q61" i="37" s="1"/>
  <c r="AC60" i="37"/>
  <c r="AC59" i="37"/>
  <c r="Q59" i="37" s="1"/>
  <c r="AC58" i="37"/>
  <c r="Q58" i="37" s="1"/>
  <c r="AC57" i="37"/>
  <c r="Q57" i="37" s="1"/>
  <c r="AC56" i="37"/>
  <c r="Q56" i="37" s="1"/>
  <c r="AC55" i="37"/>
  <c r="Q55" i="37" s="1"/>
  <c r="AC54" i="37"/>
  <c r="Q54" i="37" s="1"/>
  <c r="AC53" i="37"/>
  <c r="Q53" i="37" s="1"/>
  <c r="AC52" i="37"/>
  <c r="Q52" i="37" s="1"/>
  <c r="AC51" i="37"/>
  <c r="Q51" i="37" s="1"/>
  <c r="AC50" i="37"/>
  <c r="Q50" i="37" s="1"/>
  <c r="AC49" i="37"/>
  <c r="Q49" i="37" s="1"/>
  <c r="AC48" i="37"/>
  <c r="Q48" i="37" s="1"/>
  <c r="AC47" i="37"/>
  <c r="Q47" i="37" s="1"/>
  <c r="AC46" i="37"/>
  <c r="AC45" i="37"/>
  <c r="Q45" i="37" s="1"/>
  <c r="AC44" i="37"/>
  <c r="Q44" i="37" s="1"/>
  <c r="AC43" i="37"/>
  <c r="Q43" i="37" s="1"/>
  <c r="AC42" i="37"/>
  <c r="Q42" i="37" s="1"/>
  <c r="AC41" i="37"/>
  <c r="Q41" i="37" s="1"/>
  <c r="AC40" i="37"/>
  <c r="AC39" i="37"/>
  <c r="Q39" i="37" s="1"/>
  <c r="AC38" i="37"/>
  <c r="Q38" i="37" s="1"/>
  <c r="AC37" i="37"/>
  <c r="Q37" i="37" s="1"/>
  <c r="AC36" i="37"/>
  <c r="Q36" i="37" s="1"/>
  <c r="AC35" i="37"/>
  <c r="Q35" i="37" s="1"/>
  <c r="AC34" i="37"/>
  <c r="Q34" i="37" s="1"/>
  <c r="AC33" i="37"/>
  <c r="Q33" i="37" s="1"/>
  <c r="AC32" i="37"/>
  <c r="Q32" i="37" s="1"/>
  <c r="AC31" i="37"/>
  <c r="Q31" i="37" s="1"/>
  <c r="Q70" i="37"/>
  <c r="Q64" i="37"/>
  <c r="Q60" i="37"/>
  <c r="Q46" i="37"/>
  <c r="Q40" i="37"/>
  <c r="K28" i="37"/>
  <c r="Q28" i="37" s="1"/>
  <c r="AC30" i="36"/>
  <c r="Q30" i="36" s="1"/>
  <c r="AC74" i="36"/>
  <c r="Q74" i="36" s="1"/>
  <c r="AC73" i="36"/>
  <c r="Q73" i="36" s="1"/>
  <c r="AC72" i="36"/>
  <c r="Q72" i="36" s="1"/>
  <c r="AC71" i="36"/>
  <c r="Q71" i="36" s="1"/>
  <c r="AC70" i="36"/>
  <c r="Q70" i="36" s="1"/>
  <c r="AC69" i="36"/>
  <c r="Q69" i="36" s="1"/>
  <c r="AC68" i="36"/>
  <c r="Q68" i="36" s="1"/>
  <c r="AC67" i="36"/>
  <c r="Q67" i="36" s="1"/>
  <c r="AC66" i="36"/>
  <c r="Q66" i="36" s="1"/>
  <c r="AC65" i="36"/>
  <c r="AC64" i="36"/>
  <c r="Q64" i="36" s="1"/>
  <c r="AC63" i="36"/>
  <c r="Q63" i="36" s="1"/>
  <c r="AC62" i="36"/>
  <c r="Q62" i="36" s="1"/>
  <c r="AC61" i="36"/>
  <c r="Q61" i="36" s="1"/>
  <c r="AC60" i="36"/>
  <c r="Q60" i="36" s="1"/>
  <c r="AC59" i="36"/>
  <c r="Q59" i="36" s="1"/>
  <c r="AC58" i="36"/>
  <c r="Q58" i="36" s="1"/>
  <c r="AC57" i="36"/>
  <c r="Q57" i="36" s="1"/>
  <c r="AC56" i="36"/>
  <c r="Q56" i="36" s="1"/>
  <c r="AC55" i="36"/>
  <c r="Q55" i="36" s="1"/>
  <c r="AC54" i="36"/>
  <c r="AC53" i="36"/>
  <c r="AC52" i="36"/>
  <c r="Q52" i="36" s="1"/>
  <c r="AC51" i="36"/>
  <c r="Q51" i="36" s="1"/>
  <c r="AC50" i="36"/>
  <c r="Q50" i="36" s="1"/>
  <c r="AC49" i="36"/>
  <c r="Q49" i="36" s="1"/>
  <c r="AC48" i="36"/>
  <c r="Q48" i="36" s="1"/>
  <c r="AC47" i="36"/>
  <c r="Q47" i="36" s="1"/>
  <c r="AC46" i="36"/>
  <c r="Q46" i="36" s="1"/>
  <c r="AC45" i="36"/>
  <c r="Q45" i="36" s="1"/>
  <c r="AC44" i="36"/>
  <c r="Q44" i="36" s="1"/>
  <c r="AC43" i="36"/>
  <c r="Q43" i="36" s="1"/>
  <c r="AC42" i="36"/>
  <c r="AC41" i="36"/>
  <c r="AC40" i="36"/>
  <c r="Q40" i="36" s="1"/>
  <c r="AC39" i="36"/>
  <c r="Q39" i="36" s="1"/>
  <c r="AC38" i="36"/>
  <c r="Q38" i="36" s="1"/>
  <c r="AC37" i="36"/>
  <c r="Q37" i="36" s="1"/>
  <c r="AC36" i="36"/>
  <c r="Q36" i="36" s="1"/>
  <c r="AC35" i="36"/>
  <c r="Q35" i="36" s="1"/>
  <c r="AC34" i="36"/>
  <c r="Q34" i="36" s="1"/>
  <c r="AC33" i="36"/>
  <c r="Q33" i="36" s="1"/>
  <c r="AC32" i="36"/>
  <c r="Q32" i="36" s="1"/>
  <c r="AC31" i="36"/>
  <c r="Q31" i="36" s="1"/>
  <c r="Q65" i="36"/>
  <c r="Q54" i="36"/>
  <c r="Q53" i="36"/>
  <c r="Q42" i="36"/>
  <c r="Q41" i="36"/>
  <c r="K28" i="36"/>
  <c r="Q28" i="36" s="1"/>
  <c r="I2" i="6"/>
  <c r="I3" i="6"/>
  <c r="B3" i="50"/>
  <c r="AC31" i="4"/>
  <c r="Q31" i="4" s="1"/>
  <c r="AD31" i="4"/>
  <c r="AC32" i="4"/>
  <c r="Q32" i="4" s="1"/>
  <c r="AD32" i="4"/>
  <c r="AC33" i="4"/>
  <c r="Q33" i="4" s="1"/>
  <c r="AD33" i="4"/>
  <c r="AC34" i="4"/>
  <c r="Q34" i="4" s="1"/>
  <c r="AD34" i="4"/>
  <c r="AC35" i="4"/>
  <c r="Q35" i="4" s="1"/>
  <c r="AD35" i="4"/>
  <c r="AC36" i="4"/>
  <c r="Q36" i="4" s="1"/>
  <c r="AD36" i="4"/>
  <c r="AC37" i="4"/>
  <c r="Q37" i="4" s="1"/>
  <c r="AD37" i="4"/>
  <c r="AC38" i="4"/>
  <c r="Q38" i="4" s="1"/>
  <c r="AD38" i="4"/>
  <c r="AC39" i="4"/>
  <c r="Q39" i="4" s="1"/>
  <c r="AD39" i="4"/>
  <c r="AC40" i="4"/>
  <c r="Q40" i="4" s="1"/>
  <c r="AD40" i="4"/>
  <c r="AC41" i="4"/>
  <c r="Q41" i="4" s="1"/>
  <c r="AD41" i="4"/>
  <c r="AC42" i="4"/>
  <c r="Q42" i="4" s="1"/>
  <c r="AD42" i="4"/>
  <c r="AC43" i="4"/>
  <c r="Q43" i="4" s="1"/>
  <c r="AD43" i="4"/>
  <c r="AC44" i="4"/>
  <c r="Q44" i="4" s="1"/>
  <c r="AD44" i="4"/>
  <c r="AC45" i="4"/>
  <c r="Q45" i="4" s="1"/>
  <c r="AD45" i="4"/>
  <c r="AC46" i="4"/>
  <c r="Q46" i="4" s="1"/>
  <c r="AD46" i="4"/>
  <c r="AC47" i="4"/>
  <c r="Q47" i="4" s="1"/>
  <c r="AD47" i="4"/>
  <c r="AC48" i="4"/>
  <c r="Q48" i="4" s="1"/>
  <c r="AD48" i="4"/>
  <c r="AC49" i="4"/>
  <c r="Q49" i="4" s="1"/>
  <c r="AD49" i="4"/>
  <c r="AC50" i="4"/>
  <c r="Q50" i="4" s="1"/>
  <c r="AD50" i="4"/>
  <c r="AC51" i="4"/>
  <c r="Q51" i="4" s="1"/>
  <c r="AD51" i="4"/>
  <c r="AC52" i="4"/>
  <c r="Q52" i="4" s="1"/>
  <c r="AD52" i="4"/>
  <c r="AC53" i="4"/>
  <c r="Q53" i="4" s="1"/>
  <c r="AD53" i="4"/>
  <c r="AC54" i="4"/>
  <c r="Q54" i="4" s="1"/>
  <c r="AD54" i="4"/>
  <c r="AC55" i="4"/>
  <c r="Q55" i="4" s="1"/>
  <c r="AD55" i="4"/>
  <c r="AC56" i="4"/>
  <c r="Q56" i="4" s="1"/>
  <c r="AD56" i="4"/>
  <c r="AC57" i="4"/>
  <c r="Q57" i="4" s="1"/>
  <c r="AD57" i="4"/>
  <c r="AC58" i="4"/>
  <c r="Q58" i="4" s="1"/>
  <c r="AD58" i="4"/>
  <c r="AC59" i="4"/>
  <c r="Q59" i="4" s="1"/>
  <c r="AD59" i="4"/>
  <c r="AC60" i="4"/>
  <c r="Q60" i="4" s="1"/>
  <c r="AD60" i="4"/>
  <c r="AC61" i="4"/>
  <c r="Q61" i="4" s="1"/>
  <c r="AD61" i="4"/>
  <c r="AC62" i="4"/>
  <c r="Q62" i="4" s="1"/>
  <c r="AD62" i="4"/>
  <c r="AC63" i="4"/>
  <c r="Q63" i="4" s="1"/>
  <c r="AD63" i="4"/>
  <c r="AC64" i="4"/>
  <c r="Q64" i="4" s="1"/>
  <c r="AD64" i="4"/>
  <c r="AC65" i="4"/>
  <c r="Q65" i="4" s="1"/>
  <c r="AD65" i="4"/>
  <c r="AC66" i="4"/>
  <c r="Q66" i="4" s="1"/>
  <c r="AD66" i="4"/>
  <c r="AC67" i="4"/>
  <c r="Q67" i="4" s="1"/>
  <c r="AD67" i="4"/>
  <c r="AC68" i="4"/>
  <c r="Q68" i="4" s="1"/>
  <c r="AD68" i="4"/>
  <c r="AC69" i="4"/>
  <c r="Q69" i="4" s="1"/>
  <c r="AD69" i="4"/>
  <c r="AC70" i="4"/>
  <c r="Q70" i="4" s="1"/>
  <c r="AD70" i="4"/>
  <c r="AC71" i="4"/>
  <c r="Q71" i="4" s="1"/>
  <c r="AD71" i="4"/>
  <c r="AC72" i="4"/>
  <c r="Q72" i="4" s="1"/>
  <c r="AD72" i="4"/>
  <c r="AC73" i="4"/>
  <c r="Q73" i="4" s="1"/>
  <c r="AD73" i="4"/>
  <c r="AC74" i="4"/>
  <c r="Q74" i="4" s="1"/>
  <c r="AD74" i="4"/>
  <c r="AD30" i="4"/>
  <c r="AC30" i="4"/>
  <c r="Q30" i="4" s="1"/>
  <c r="K28" i="4"/>
  <c r="Q28" i="4" s="1"/>
  <c r="N1" i="41"/>
  <c r="N1" i="40"/>
  <c r="N1" i="38"/>
  <c r="N1" i="37"/>
  <c r="R1" i="58"/>
  <c r="A11" i="58" s="1"/>
  <c r="N1" i="36"/>
  <c r="H1" i="53"/>
  <c r="D39" i="5"/>
  <c r="D38" i="5"/>
  <c r="D37" i="5"/>
  <c r="D36" i="5"/>
  <c r="D33" i="5"/>
  <c r="D32" i="5"/>
  <c r="D31" i="5"/>
  <c r="D30" i="5"/>
  <c r="R30" i="36" l="1"/>
  <c r="X59" i="58"/>
  <c r="V166" i="58"/>
  <c r="X195" i="58"/>
  <c r="V118" i="58"/>
  <c r="X92" i="58"/>
  <c r="X204" i="58"/>
  <c r="W123" i="58"/>
  <c r="X144" i="58"/>
  <c r="V185" i="58"/>
  <c r="W206" i="58"/>
  <c r="W107" i="58"/>
  <c r="X30" i="58"/>
  <c r="V168" i="58"/>
  <c r="V194" i="58"/>
  <c r="W75" i="58"/>
  <c r="V134" i="58"/>
  <c r="W155" i="58"/>
  <c r="X176" i="58"/>
  <c r="W190" i="58"/>
  <c r="V201" i="58"/>
  <c r="X211" i="58"/>
  <c r="X112" i="58"/>
  <c r="V102" i="58"/>
  <c r="W71" i="58"/>
  <c r="V210" i="58"/>
  <c r="W199" i="58"/>
  <c r="V186" i="58"/>
  <c r="W129" i="58"/>
  <c r="X169" i="58"/>
  <c r="V131" i="58"/>
  <c r="X128" i="58"/>
  <c r="W139" i="58"/>
  <c r="V150" i="58"/>
  <c r="X160" i="58"/>
  <c r="W171" i="58"/>
  <c r="V182" i="58"/>
  <c r="X187" i="58"/>
  <c r="V193" i="58"/>
  <c r="W198" i="58"/>
  <c r="X203" i="58"/>
  <c r="V209" i="58"/>
  <c r="X120" i="58"/>
  <c r="W115" i="58"/>
  <c r="V110" i="58"/>
  <c r="X104" i="58"/>
  <c r="W99" i="58"/>
  <c r="V82" i="58"/>
  <c r="V52" i="58"/>
  <c r="V13" i="58"/>
  <c r="W207" i="58"/>
  <c r="V202" i="58"/>
  <c r="X196" i="58"/>
  <c r="W191" i="58"/>
  <c r="X178" i="58"/>
  <c r="X150" i="58"/>
  <c r="V108" i="58"/>
  <c r="W180" i="58"/>
  <c r="W152" i="58"/>
  <c r="X109" i="58"/>
  <c r="V16" i="58"/>
  <c r="X188" i="58"/>
  <c r="W183" i="58"/>
  <c r="W173" i="58"/>
  <c r="W161" i="58"/>
  <c r="V140" i="58"/>
  <c r="X118" i="58"/>
  <c r="X96" i="58"/>
  <c r="X38" i="58"/>
  <c r="V175" i="58"/>
  <c r="V163" i="58"/>
  <c r="X141" i="58"/>
  <c r="W120" i="58"/>
  <c r="W85" i="58"/>
  <c r="X77" i="58"/>
  <c r="V126" i="58"/>
  <c r="W131" i="58"/>
  <c r="X136" i="58"/>
  <c r="V142" i="58"/>
  <c r="W147" i="58"/>
  <c r="X152" i="58"/>
  <c r="V158" i="58"/>
  <c r="W163" i="58"/>
  <c r="X168" i="58"/>
  <c r="V174" i="58"/>
  <c r="W179" i="58"/>
  <c r="X183" i="58"/>
  <c r="W186" i="58"/>
  <c r="V189" i="58"/>
  <c r="X191" i="58"/>
  <c r="W194" i="58"/>
  <c r="V197" i="58"/>
  <c r="X199" i="58"/>
  <c r="W202" i="58"/>
  <c r="V205" i="58"/>
  <c r="X207" i="58"/>
  <c r="W210" i="58"/>
  <c r="V122" i="58"/>
  <c r="W119" i="58"/>
  <c r="X116" i="58"/>
  <c r="V114" i="58"/>
  <c r="W111" i="58"/>
  <c r="X108" i="58"/>
  <c r="V106" i="58"/>
  <c r="W103" i="58"/>
  <c r="X100" i="58"/>
  <c r="V98" i="58"/>
  <c r="W87" i="58"/>
  <c r="X76" i="58"/>
  <c r="X62" i="58"/>
  <c r="W41" i="58"/>
  <c r="V20" i="58"/>
  <c r="W211" i="58"/>
  <c r="X208" i="58"/>
  <c r="V206" i="58"/>
  <c r="W203" i="58"/>
  <c r="X200" i="58"/>
  <c r="V198" i="58"/>
  <c r="W195" i="58"/>
  <c r="X192" i="58"/>
  <c r="V190" i="58"/>
  <c r="W187" i="58"/>
  <c r="X184" i="58"/>
  <c r="W181" i="58"/>
  <c r="V176" i="58"/>
  <c r="X170" i="58"/>
  <c r="W165" i="58"/>
  <c r="V156" i="58"/>
  <c r="W145" i="58"/>
  <c r="X134" i="58"/>
  <c r="V124" i="58"/>
  <c r="W113" i="58"/>
  <c r="X102" i="58"/>
  <c r="V86" i="58"/>
  <c r="V60" i="58"/>
  <c r="W17" i="58"/>
  <c r="X177" i="58"/>
  <c r="W172" i="58"/>
  <c r="V167" i="58"/>
  <c r="X157" i="58"/>
  <c r="V147" i="58"/>
  <c r="W136" i="58"/>
  <c r="X125" i="58"/>
  <c r="V115" i="58"/>
  <c r="W102" i="58"/>
  <c r="X58" i="58"/>
  <c r="W88" i="58"/>
  <c r="V58" i="58"/>
  <c r="W95" i="58"/>
  <c r="V90" i="58"/>
  <c r="X84" i="58"/>
  <c r="W79" i="58"/>
  <c r="V74" i="58"/>
  <c r="V68" i="58"/>
  <c r="W57" i="58"/>
  <c r="X46" i="58"/>
  <c r="V36" i="58"/>
  <c r="W25" i="58"/>
  <c r="X14" i="58"/>
  <c r="X13" i="58"/>
  <c r="X210" i="58"/>
  <c r="W209" i="58"/>
  <c r="V208" i="58"/>
  <c r="X206" i="58"/>
  <c r="W205" i="58"/>
  <c r="V204" i="58"/>
  <c r="X202" i="58"/>
  <c r="W201" i="58"/>
  <c r="V200" i="58"/>
  <c r="X198" i="58"/>
  <c r="W197" i="58"/>
  <c r="V196" i="58"/>
  <c r="X194" i="58"/>
  <c r="W193" i="58"/>
  <c r="V192" i="58"/>
  <c r="X190" i="58"/>
  <c r="W189" i="58"/>
  <c r="V188" i="58"/>
  <c r="X186" i="58"/>
  <c r="W185" i="58"/>
  <c r="V184" i="58"/>
  <c r="X182" i="58"/>
  <c r="V180" i="58"/>
  <c r="W177" i="58"/>
  <c r="X174" i="58"/>
  <c r="V172" i="58"/>
  <c r="W169" i="58"/>
  <c r="X166" i="58"/>
  <c r="V164" i="58"/>
  <c r="X158" i="58"/>
  <c r="W153" i="58"/>
  <c r="V148" i="58"/>
  <c r="X142" i="58"/>
  <c r="W137" i="58"/>
  <c r="V132" i="58"/>
  <c r="X126" i="58"/>
  <c r="W121" i="58"/>
  <c r="V116" i="58"/>
  <c r="X110" i="58"/>
  <c r="W105" i="58"/>
  <c r="V100" i="58"/>
  <c r="W91" i="58"/>
  <c r="X80" i="58"/>
  <c r="V70" i="58"/>
  <c r="W49" i="58"/>
  <c r="V28" i="58"/>
  <c r="X181" i="58"/>
  <c r="V179" i="58"/>
  <c r="W176" i="58"/>
  <c r="X173" i="58"/>
  <c r="V171" i="58"/>
  <c r="W168" i="58"/>
  <c r="X165" i="58"/>
  <c r="W160" i="58"/>
  <c r="V155" i="58"/>
  <c r="X149" i="58"/>
  <c r="W144" i="58"/>
  <c r="V139" i="58"/>
  <c r="X133" i="58"/>
  <c r="W128" i="58"/>
  <c r="V123" i="58"/>
  <c r="X117" i="58"/>
  <c r="W112" i="58"/>
  <c r="V107" i="58"/>
  <c r="V96" i="58"/>
  <c r="X74" i="58"/>
  <c r="W37" i="58"/>
  <c r="X93" i="58"/>
  <c r="V83" i="58"/>
  <c r="W72" i="58"/>
  <c r="X19" i="58"/>
  <c r="W38" i="58"/>
  <c r="X36" i="58"/>
  <c r="X69" i="58"/>
  <c r="V75" i="58"/>
  <c r="W80" i="58"/>
  <c r="X85" i="58"/>
  <c r="V91" i="58"/>
  <c r="W96" i="58"/>
  <c r="X26" i="58"/>
  <c r="V48" i="58"/>
  <c r="W69" i="58"/>
  <c r="V80" i="58"/>
  <c r="X90" i="58"/>
  <c r="X99" i="58"/>
  <c r="V105" i="58"/>
  <c r="W108" i="58"/>
  <c r="V111" i="58"/>
  <c r="X113" i="58"/>
  <c r="W116" i="58"/>
  <c r="V119" i="58"/>
  <c r="X121" i="58"/>
  <c r="W124" i="58"/>
  <c r="V127" i="58"/>
  <c r="X129" i="58"/>
  <c r="W132" i="58"/>
  <c r="V135" i="58"/>
  <c r="X137" i="58"/>
  <c r="W140" i="58"/>
  <c r="V143" i="58"/>
  <c r="X145" i="58"/>
  <c r="W148" i="58"/>
  <c r="V151" i="58"/>
  <c r="X153" i="58"/>
  <c r="W156" i="58"/>
  <c r="V159" i="58"/>
  <c r="X161" i="58"/>
  <c r="W164" i="58"/>
  <c r="W166" i="58"/>
  <c r="X167" i="58"/>
  <c r="V169" i="58"/>
  <c r="W170" i="58"/>
  <c r="X171" i="58"/>
  <c r="V173" i="58"/>
  <c r="W174" i="58"/>
  <c r="X175" i="58"/>
  <c r="V177" i="58"/>
  <c r="W178" i="58"/>
  <c r="X179" i="58"/>
  <c r="V181" i="58"/>
  <c r="W182" i="58"/>
  <c r="X22" i="58"/>
  <c r="W33" i="58"/>
  <c r="V44" i="58"/>
  <c r="X54" i="58"/>
  <c r="W65" i="58"/>
  <c r="X72" i="58"/>
  <c r="V78" i="58"/>
  <c r="W83" i="58"/>
  <c r="X88" i="58"/>
  <c r="V94" i="58"/>
  <c r="X98" i="58"/>
  <c r="W101" i="58"/>
  <c r="V104" i="58"/>
  <c r="X106" i="58"/>
  <c r="W109" i="58"/>
  <c r="V112" i="58"/>
  <c r="X114" i="58"/>
  <c r="W117" i="58"/>
  <c r="V120" i="58"/>
  <c r="X122" i="58"/>
  <c r="W125" i="58"/>
  <c r="V128" i="58"/>
  <c r="X130" i="58"/>
  <c r="W133" i="58"/>
  <c r="V136" i="58"/>
  <c r="X138" i="58"/>
  <c r="W141" i="58"/>
  <c r="V144" i="58"/>
  <c r="X146" i="58"/>
  <c r="W149" i="58"/>
  <c r="V152" i="58"/>
  <c r="X154" i="58"/>
  <c r="W157" i="58"/>
  <c r="V160" i="58"/>
  <c r="X162" i="58"/>
  <c r="W15" i="58"/>
  <c r="V49" i="58"/>
  <c r="X124" i="58"/>
  <c r="V195" i="58"/>
  <c r="X156" i="58"/>
  <c r="W30" i="58"/>
  <c r="X35" i="58"/>
  <c r="V41" i="58"/>
  <c r="W46" i="58"/>
  <c r="X51" i="58"/>
  <c r="V57" i="58"/>
  <c r="W62" i="58"/>
  <c r="X67" i="58"/>
  <c r="X20" i="58"/>
  <c r="W31" i="58"/>
  <c r="V42" i="58"/>
  <c r="X52" i="58"/>
  <c r="V62" i="58"/>
  <c r="W67" i="58"/>
  <c r="V71" i="58"/>
  <c r="X73" i="58"/>
  <c r="W76" i="58"/>
  <c r="V79" i="58"/>
  <c r="X81" i="58"/>
  <c r="W84" i="58"/>
  <c r="V87" i="58"/>
  <c r="X89" i="58"/>
  <c r="W92" i="58"/>
  <c r="V95" i="58"/>
  <c r="X97" i="58"/>
  <c r="W21" i="58"/>
  <c r="V32" i="58"/>
  <c r="X42" i="58"/>
  <c r="W53" i="58"/>
  <c r="V64" i="58"/>
  <c r="V72" i="58"/>
  <c r="W77" i="58"/>
  <c r="X82" i="58"/>
  <c r="V88" i="58"/>
  <c r="W93" i="58"/>
  <c r="W98" i="58"/>
  <c r="V101" i="58"/>
  <c r="X103" i="58"/>
  <c r="W106" i="58"/>
  <c r="X107" i="58"/>
  <c r="V109" i="58"/>
  <c r="W110" i="58"/>
  <c r="X111" i="58"/>
  <c r="V113" i="58"/>
  <c r="W114" i="58"/>
  <c r="X115" i="58"/>
  <c r="V117" i="58"/>
  <c r="W118" i="58"/>
  <c r="X119" i="58"/>
  <c r="V121" i="58"/>
  <c r="W122" i="58"/>
  <c r="X123" i="58"/>
  <c r="V125" i="58"/>
  <c r="W126" i="58"/>
  <c r="X127" i="58"/>
  <c r="V129" i="58"/>
  <c r="W130" i="58"/>
  <c r="X131" i="58"/>
  <c r="V133" i="58"/>
  <c r="W134" i="58"/>
  <c r="X135" i="58"/>
  <c r="V137" i="58"/>
  <c r="W138" i="58"/>
  <c r="X139" i="58"/>
  <c r="V141" i="58"/>
  <c r="W142" i="58"/>
  <c r="X143" i="58"/>
  <c r="V145" i="58"/>
  <c r="W146" i="58"/>
  <c r="X147" i="58"/>
  <c r="V149" i="58"/>
  <c r="W150" i="58"/>
  <c r="X151" i="58"/>
  <c r="V153" i="58"/>
  <c r="W154" i="58"/>
  <c r="X155" i="58"/>
  <c r="V157" i="58"/>
  <c r="W158" i="58"/>
  <c r="X159" i="58"/>
  <c r="V161" i="58"/>
  <c r="W162" i="58"/>
  <c r="X163" i="58"/>
  <c r="V165" i="58"/>
  <c r="X64" i="58"/>
  <c r="W47" i="58"/>
  <c r="V26" i="58"/>
  <c r="V65" i="58"/>
  <c r="W54" i="58"/>
  <c r="X43" i="58"/>
  <c r="V33" i="58"/>
  <c r="W13" i="58"/>
  <c r="V25" i="58"/>
  <c r="W14" i="58"/>
  <c r="V191" i="58"/>
  <c r="X164" i="58"/>
  <c r="V211" i="58"/>
  <c r="X205" i="58"/>
  <c r="W184" i="58"/>
  <c r="W143" i="58"/>
  <c r="X201" i="58"/>
  <c r="V178" i="58"/>
  <c r="W135" i="58"/>
  <c r="V17" i="58"/>
  <c r="W22" i="58"/>
  <c r="X27" i="58"/>
  <c r="X31" i="58"/>
  <c r="W34" i="58"/>
  <c r="V37" i="58"/>
  <c r="X39" i="58"/>
  <c r="W42" i="58"/>
  <c r="V45" i="58"/>
  <c r="X47" i="58"/>
  <c r="W50" i="58"/>
  <c r="V53" i="58"/>
  <c r="X55" i="58"/>
  <c r="W58" i="58"/>
  <c r="V61" i="58"/>
  <c r="X63" i="58"/>
  <c r="W66" i="58"/>
  <c r="V69" i="58"/>
  <c r="V18" i="58"/>
  <c r="W23" i="58"/>
  <c r="X28" i="58"/>
  <c r="V34" i="58"/>
  <c r="W39" i="58"/>
  <c r="X44" i="58"/>
  <c r="V50" i="58"/>
  <c r="W55" i="58"/>
  <c r="X60" i="58"/>
  <c r="W63" i="58"/>
  <c r="V66" i="58"/>
  <c r="X68" i="58"/>
  <c r="W70" i="58"/>
  <c r="X71" i="58"/>
  <c r="V73" i="58"/>
  <c r="W74" i="58"/>
  <c r="X75" i="58"/>
  <c r="V77" i="58"/>
  <c r="W78" i="58"/>
  <c r="X79" i="58"/>
  <c r="V81" i="58"/>
  <c r="W82" i="58"/>
  <c r="X83" i="58"/>
  <c r="V85" i="58"/>
  <c r="W86" i="58"/>
  <c r="X87" i="58"/>
  <c r="V89" i="58"/>
  <c r="W90" i="58"/>
  <c r="X91" i="58"/>
  <c r="V93" i="58"/>
  <c r="W94" i="58"/>
  <c r="X95" i="58"/>
  <c r="V97" i="58"/>
  <c r="W212" i="58"/>
  <c r="X18" i="58"/>
  <c r="V24" i="58"/>
  <c r="W29" i="58"/>
  <c r="X34" i="58"/>
  <c r="V40" i="58"/>
  <c r="W45" i="58"/>
  <c r="X50" i="58"/>
  <c r="V56" i="58"/>
  <c r="W61" i="58"/>
  <c r="X66" i="58"/>
  <c r="X70" i="58"/>
  <c r="W73" i="58"/>
  <c r="V76" i="58"/>
  <c r="X78" i="58"/>
  <c r="W81" i="58"/>
  <c r="V84" i="58"/>
  <c r="X86" i="58"/>
  <c r="W89" i="58"/>
  <c r="V92" i="58"/>
  <c r="X94" i="58"/>
  <c r="W97" i="58"/>
  <c r="V99" i="58"/>
  <c r="W100" i="58"/>
  <c r="X101" i="58"/>
  <c r="V103" i="58"/>
  <c r="W104" i="58"/>
  <c r="X105" i="58"/>
  <c r="V29" i="58"/>
  <c r="W26" i="58"/>
  <c r="X23" i="58"/>
  <c r="V21" i="58"/>
  <c r="W18" i="58"/>
  <c r="X15" i="58"/>
  <c r="X212" i="58"/>
  <c r="V146" i="58"/>
  <c r="W167" i="58"/>
  <c r="X185" i="58"/>
  <c r="W196" i="58"/>
  <c r="V207" i="58"/>
  <c r="X132" i="58"/>
  <c r="V154" i="58"/>
  <c r="W175" i="58"/>
  <c r="X189" i="58"/>
  <c r="W200" i="58"/>
  <c r="W208" i="58"/>
  <c r="V203" i="58"/>
  <c r="X197" i="58"/>
  <c r="W192" i="58"/>
  <c r="V187" i="58"/>
  <c r="X180" i="58"/>
  <c r="V170" i="58"/>
  <c r="W159" i="58"/>
  <c r="X148" i="58"/>
  <c r="V138" i="58"/>
  <c r="W127" i="58"/>
  <c r="X209" i="58"/>
  <c r="W204" i="58"/>
  <c r="V199" i="58"/>
  <c r="X193" i="58"/>
  <c r="W188" i="58"/>
  <c r="V183" i="58"/>
  <c r="X172" i="58"/>
  <c r="V162" i="58"/>
  <c r="W151" i="58"/>
  <c r="X140" i="58"/>
  <c r="V130" i="58"/>
  <c r="V212" i="58"/>
  <c r="V15" i="58"/>
  <c r="W16" i="58"/>
  <c r="X17" i="58"/>
  <c r="V19" i="58"/>
  <c r="W20" i="58"/>
  <c r="X21" i="58"/>
  <c r="V23" i="58"/>
  <c r="W24" i="58"/>
  <c r="X25" i="58"/>
  <c r="V27" i="58"/>
  <c r="W28" i="58"/>
  <c r="X29" i="58"/>
  <c r="V31" i="58"/>
  <c r="W32" i="58"/>
  <c r="X33" i="58"/>
  <c r="V35" i="58"/>
  <c r="W36" i="58"/>
  <c r="X37" i="58"/>
  <c r="V39" i="58"/>
  <c r="W40" i="58"/>
  <c r="X41" i="58"/>
  <c r="V43" i="58"/>
  <c r="W44" i="58"/>
  <c r="X45" i="58"/>
  <c r="V47" i="58"/>
  <c r="W48" i="58"/>
  <c r="X49" i="58"/>
  <c r="V51" i="58"/>
  <c r="W52" i="58"/>
  <c r="X53" i="58"/>
  <c r="V55" i="58"/>
  <c r="W56" i="58"/>
  <c r="X57" i="58"/>
  <c r="V59" i="58"/>
  <c r="W60" i="58"/>
  <c r="X61" i="58"/>
  <c r="V63" i="58"/>
  <c r="W64" i="58"/>
  <c r="X65" i="58"/>
  <c r="V67" i="58"/>
  <c r="W68" i="58"/>
  <c r="V14" i="58"/>
  <c r="X16" i="58"/>
  <c r="W19" i="58"/>
  <c r="V22" i="58"/>
  <c r="X24" i="58"/>
  <c r="W27" i="58"/>
  <c r="V30" i="58"/>
  <c r="X32" i="58"/>
  <c r="W35" i="58"/>
  <c r="V38" i="58"/>
  <c r="X40" i="58"/>
  <c r="W43" i="58"/>
  <c r="V46" i="58"/>
  <c r="X48" i="58"/>
  <c r="W51" i="58"/>
  <c r="V54" i="58"/>
  <c r="X56" i="58"/>
  <c r="W59" i="58"/>
  <c r="R30" i="41"/>
  <c r="S31" i="41"/>
  <c r="T31" i="41"/>
  <c r="R32" i="41"/>
  <c r="S30" i="41"/>
  <c r="T30" i="41"/>
  <c r="R31" i="41"/>
  <c r="T34" i="41"/>
  <c r="R34" i="41"/>
  <c r="T36" i="41"/>
  <c r="R36" i="41"/>
  <c r="T38" i="41"/>
  <c r="R38" i="41"/>
  <c r="T40" i="41"/>
  <c r="R40" i="41"/>
  <c r="T42" i="41"/>
  <c r="R42" i="41"/>
  <c r="T45" i="41"/>
  <c r="R45" i="41"/>
  <c r="T47" i="41"/>
  <c r="R47" i="41"/>
  <c r="T49" i="41"/>
  <c r="R49" i="41"/>
  <c r="T51" i="41"/>
  <c r="R51" i="41"/>
  <c r="T53" i="41"/>
  <c r="R53" i="41"/>
  <c r="T55" i="41"/>
  <c r="R55" i="41"/>
  <c r="T57" i="41"/>
  <c r="R57" i="41"/>
  <c r="T59" i="41"/>
  <c r="R59" i="41"/>
  <c r="T61" i="41"/>
  <c r="R61" i="41"/>
  <c r="T63" i="41"/>
  <c r="R63" i="41"/>
  <c r="T66" i="41"/>
  <c r="R66" i="41"/>
  <c r="T67" i="41"/>
  <c r="R67" i="41"/>
  <c r="T68" i="41"/>
  <c r="R68" i="41"/>
  <c r="T69" i="41"/>
  <c r="R69" i="41"/>
  <c r="T70" i="41"/>
  <c r="R70" i="41"/>
  <c r="T71" i="41"/>
  <c r="R71" i="41"/>
  <c r="T72" i="41"/>
  <c r="R72" i="41"/>
  <c r="T73" i="41"/>
  <c r="R73" i="41"/>
  <c r="T74" i="41"/>
  <c r="R74" i="41"/>
  <c r="T33" i="41"/>
  <c r="R33" i="41"/>
  <c r="T35" i="41"/>
  <c r="R35" i="41"/>
  <c r="T37" i="41"/>
  <c r="R37" i="41"/>
  <c r="T39" i="41"/>
  <c r="R39" i="41"/>
  <c r="T41" i="41"/>
  <c r="R41" i="41"/>
  <c r="T43" i="41"/>
  <c r="R43" i="41"/>
  <c r="T44" i="41"/>
  <c r="R44" i="41"/>
  <c r="T46" i="41"/>
  <c r="R46" i="41"/>
  <c r="T48" i="41"/>
  <c r="R48" i="41"/>
  <c r="T50" i="41"/>
  <c r="R50" i="41"/>
  <c r="T52" i="41"/>
  <c r="R52" i="41"/>
  <c r="T54" i="41"/>
  <c r="R54" i="41"/>
  <c r="T56" i="41"/>
  <c r="R56" i="41"/>
  <c r="T58" i="41"/>
  <c r="R58" i="41"/>
  <c r="T60" i="41"/>
  <c r="R60" i="41"/>
  <c r="T62" i="41"/>
  <c r="R62" i="41"/>
  <c r="T64" i="41"/>
  <c r="R64" i="41"/>
  <c r="T65" i="41"/>
  <c r="R65" i="41"/>
  <c r="T32" i="41"/>
  <c r="S32" i="41"/>
  <c r="S33" i="41"/>
  <c r="S34" i="41"/>
  <c r="S35" i="41"/>
  <c r="S36" i="41"/>
  <c r="S37" i="41"/>
  <c r="S38" i="41"/>
  <c r="S39" i="41"/>
  <c r="S40" i="41"/>
  <c r="S41" i="41"/>
  <c r="S42" i="41"/>
  <c r="S43" i="41"/>
  <c r="S44" i="41"/>
  <c r="S45" i="41"/>
  <c r="S46" i="41"/>
  <c r="S47" i="41"/>
  <c r="S48" i="41"/>
  <c r="S49" i="41"/>
  <c r="S50" i="41"/>
  <c r="S51" i="41"/>
  <c r="S52" i="41"/>
  <c r="S53" i="41"/>
  <c r="S54" i="41"/>
  <c r="S55" i="41"/>
  <c r="S56" i="41"/>
  <c r="S57" i="41"/>
  <c r="S58" i="41"/>
  <c r="S59" i="41"/>
  <c r="S60" i="41"/>
  <c r="S61" i="41"/>
  <c r="S62" i="41"/>
  <c r="S63" i="41"/>
  <c r="S64" i="41"/>
  <c r="S65" i="41"/>
  <c r="S66" i="41"/>
  <c r="S67" i="41"/>
  <c r="S68" i="41"/>
  <c r="S69" i="41"/>
  <c r="S70" i="41"/>
  <c r="S71" i="41"/>
  <c r="S72" i="41"/>
  <c r="S73" i="41"/>
  <c r="S74" i="41"/>
  <c r="R30" i="40"/>
  <c r="S31" i="40"/>
  <c r="T31" i="40"/>
  <c r="R32" i="40"/>
  <c r="S30" i="40"/>
  <c r="T30" i="40"/>
  <c r="R31" i="40"/>
  <c r="T34" i="40"/>
  <c r="R34" i="40"/>
  <c r="T36" i="40"/>
  <c r="R36" i="40"/>
  <c r="T38" i="40"/>
  <c r="R38" i="40"/>
  <c r="T40" i="40"/>
  <c r="R40" i="40"/>
  <c r="T42" i="40"/>
  <c r="R42" i="40"/>
  <c r="T44" i="40"/>
  <c r="R44" i="40"/>
  <c r="T46" i="40"/>
  <c r="R46" i="40"/>
  <c r="T48" i="40"/>
  <c r="R48" i="40"/>
  <c r="T50" i="40"/>
  <c r="R50" i="40"/>
  <c r="T52" i="40"/>
  <c r="R52" i="40"/>
  <c r="T54" i="40"/>
  <c r="R54" i="40"/>
  <c r="T55" i="40"/>
  <c r="R55" i="40"/>
  <c r="T56" i="40"/>
  <c r="R56" i="40"/>
  <c r="T57" i="40"/>
  <c r="R57" i="40"/>
  <c r="T58" i="40"/>
  <c r="R58" i="40"/>
  <c r="T59" i="40"/>
  <c r="R59" i="40"/>
  <c r="T60" i="40"/>
  <c r="R60" i="40"/>
  <c r="T61" i="40"/>
  <c r="R61" i="40"/>
  <c r="T62" i="40"/>
  <c r="R62" i="40"/>
  <c r="T63" i="40"/>
  <c r="R63" i="40"/>
  <c r="T64" i="40"/>
  <c r="R64" i="40"/>
  <c r="T65" i="40"/>
  <c r="R65" i="40"/>
  <c r="T66" i="40"/>
  <c r="R66" i="40"/>
  <c r="T67" i="40"/>
  <c r="R67" i="40"/>
  <c r="T68" i="40"/>
  <c r="R68" i="40"/>
  <c r="T69" i="40"/>
  <c r="R69" i="40"/>
  <c r="T70" i="40"/>
  <c r="R70" i="40"/>
  <c r="T71" i="40"/>
  <c r="R71" i="40"/>
  <c r="T72" i="40"/>
  <c r="R72" i="40"/>
  <c r="T73" i="40"/>
  <c r="R73" i="40"/>
  <c r="T74" i="40"/>
  <c r="R74" i="40"/>
  <c r="T33" i="40"/>
  <c r="R33" i="40"/>
  <c r="T35" i="40"/>
  <c r="R35" i="40"/>
  <c r="T37" i="40"/>
  <c r="R37" i="40"/>
  <c r="T39" i="40"/>
  <c r="R39" i="40"/>
  <c r="T41" i="40"/>
  <c r="R41" i="40"/>
  <c r="T43" i="40"/>
  <c r="R43" i="40"/>
  <c r="T45" i="40"/>
  <c r="R45" i="40"/>
  <c r="T47" i="40"/>
  <c r="R47" i="40"/>
  <c r="T49" i="40"/>
  <c r="R49" i="40"/>
  <c r="T51" i="40"/>
  <c r="R51" i="40"/>
  <c r="T53" i="40"/>
  <c r="R53" i="40"/>
  <c r="T32" i="40"/>
  <c r="S32" i="40"/>
  <c r="S33" i="40"/>
  <c r="S34" i="40"/>
  <c r="S35" i="40"/>
  <c r="S36" i="40"/>
  <c r="S37" i="40"/>
  <c r="S38" i="40"/>
  <c r="S39" i="40"/>
  <c r="S40" i="40"/>
  <c r="S41" i="40"/>
  <c r="S42" i="40"/>
  <c r="S43" i="40"/>
  <c r="S44" i="40"/>
  <c r="S45" i="40"/>
  <c r="S46" i="40"/>
  <c r="S47" i="40"/>
  <c r="S48" i="40"/>
  <c r="S49" i="40"/>
  <c r="S50" i="40"/>
  <c r="S51" i="40"/>
  <c r="S52" i="40"/>
  <c r="S53" i="40"/>
  <c r="S54" i="40"/>
  <c r="S55" i="40"/>
  <c r="S56" i="40"/>
  <c r="S57" i="40"/>
  <c r="S58" i="40"/>
  <c r="S59" i="40"/>
  <c r="S60" i="40"/>
  <c r="S61" i="40"/>
  <c r="S62" i="40"/>
  <c r="S63" i="40"/>
  <c r="S64" i="40"/>
  <c r="S65" i="40"/>
  <c r="S66" i="40"/>
  <c r="S67" i="40"/>
  <c r="S68" i="40"/>
  <c r="S69" i="40"/>
  <c r="S70" i="40"/>
  <c r="S71" i="40"/>
  <c r="S72" i="40"/>
  <c r="S73" i="40"/>
  <c r="S74" i="40"/>
  <c r="AC26" i="37"/>
  <c r="S31" i="37"/>
  <c r="T31" i="37"/>
  <c r="R31" i="37"/>
  <c r="S30" i="37"/>
  <c r="T30" i="37"/>
  <c r="R30" i="37"/>
  <c r="T33" i="37"/>
  <c r="R33" i="37"/>
  <c r="T35" i="37"/>
  <c r="R35" i="37"/>
  <c r="T37" i="37"/>
  <c r="R37" i="37"/>
  <c r="T39" i="37"/>
  <c r="R39" i="37"/>
  <c r="T41" i="37"/>
  <c r="R41" i="37"/>
  <c r="T43" i="37"/>
  <c r="R43" i="37"/>
  <c r="T45" i="37"/>
  <c r="R45" i="37"/>
  <c r="T47" i="37"/>
  <c r="R47" i="37"/>
  <c r="T49" i="37"/>
  <c r="R49" i="37"/>
  <c r="T51" i="37"/>
  <c r="R51" i="37"/>
  <c r="T52" i="37"/>
  <c r="R52" i="37"/>
  <c r="T54" i="37"/>
  <c r="R54" i="37"/>
  <c r="T55" i="37"/>
  <c r="R55" i="37"/>
  <c r="T56" i="37"/>
  <c r="R56" i="37"/>
  <c r="T57" i="37"/>
  <c r="R57" i="37"/>
  <c r="T58" i="37"/>
  <c r="R58" i="37"/>
  <c r="T59" i="37"/>
  <c r="R59" i="37"/>
  <c r="T60" i="37"/>
  <c r="R60" i="37"/>
  <c r="T61" i="37"/>
  <c r="R61" i="37"/>
  <c r="T62" i="37"/>
  <c r="R62" i="37"/>
  <c r="T63" i="37"/>
  <c r="R63" i="37"/>
  <c r="T64" i="37"/>
  <c r="R64" i="37"/>
  <c r="T65" i="37"/>
  <c r="R65" i="37"/>
  <c r="T66" i="37"/>
  <c r="R66" i="37"/>
  <c r="T67" i="37"/>
  <c r="R67" i="37"/>
  <c r="T68" i="37"/>
  <c r="R68" i="37"/>
  <c r="T69" i="37"/>
  <c r="R69" i="37"/>
  <c r="T70" i="37"/>
  <c r="R70" i="37"/>
  <c r="T71" i="37"/>
  <c r="R71" i="37"/>
  <c r="T72" i="37"/>
  <c r="R72" i="37"/>
  <c r="T73" i="37"/>
  <c r="R73" i="37"/>
  <c r="T74" i="37"/>
  <c r="R74" i="37"/>
  <c r="R32" i="37"/>
  <c r="T34" i="37"/>
  <c r="R34" i="37"/>
  <c r="T36" i="37"/>
  <c r="R36" i="37"/>
  <c r="T38" i="37"/>
  <c r="R38" i="37"/>
  <c r="T40" i="37"/>
  <c r="R40" i="37"/>
  <c r="T42" i="37"/>
  <c r="R42" i="37"/>
  <c r="T44" i="37"/>
  <c r="R44" i="37"/>
  <c r="T46" i="37"/>
  <c r="R46" i="37"/>
  <c r="T48" i="37"/>
  <c r="R48" i="37"/>
  <c r="T50" i="37"/>
  <c r="R50" i="37"/>
  <c r="T53" i="37"/>
  <c r="R53" i="37"/>
  <c r="T32" i="37"/>
  <c r="S32" i="37"/>
  <c r="S33" i="37"/>
  <c r="S34" i="37"/>
  <c r="S35" i="37"/>
  <c r="S36" i="37"/>
  <c r="S37" i="37"/>
  <c r="S38" i="37"/>
  <c r="S39" i="37"/>
  <c r="S40" i="37"/>
  <c r="S41" i="37"/>
  <c r="S42" i="37"/>
  <c r="S43" i="37"/>
  <c r="S44" i="37"/>
  <c r="S45" i="37"/>
  <c r="S46" i="37"/>
  <c r="S47" i="37"/>
  <c r="S48" i="37"/>
  <c r="S49" i="37"/>
  <c r="S50" i="37"/>
  <c r="S51" i="37"/>
  <c r="S52" i="37"/>
  <c r="S53" i="37"/>
  <c r="S54" i="37"/>
  <c r="S55" i="37"/>
  <c r="S56" i="37"/>
  <c r="S57" i="37"/>
  <c r="S58" i="37"/>
  <c r="S59" i="37"/>
  <c r="S60" i="37"/>
  <c r="S61" i="37"/>
  <c r="S62" i="37"/>
  <c r="S63" i="37"/>
  <c r="S64" i="37"/>
  <c r="S65" i="37"/>
  <c r="S66" i="37"/>
  <c r="S67" i="37"/>
  <c r="S68" i="37"/>
  <c r="S69" i="37"/>
  <c r="S70" i="37"/>
  <c r="S71" i="37"/>
  <c r="S72" i="37"/>
  <c r="S73" i="37"/>
  <c r="S74" i="37"/>
  <c r="T31" i="36"/>
  <c r="R33" i="36"/>
  <c r="T35" i="36"/>
  <c r="S37" i="36"/>
  <c r="S39" i="36"/>
  <c r="S41" i="36"/>
  <c r="S43" i="36"/>
  <c r="S45" i="36"/>
  <c r="S47" i="36"/>
  <c r="S34" i="36"/>
  <c r="T36" i="36"/>
  <c r="R38" i="36"/>
  <c r="R40" i="36"/>
  <c r="R42" i="36"/>
  <c r="R44" i="36"/>
  <c r="R46" i="36"/>
  <c r="T47" i="36"/>
  <c r="R47" i="36"/>
  <c r="S46" i="36"/>
  <c r="T45" i="36"/>
  <c r="R45" i="36"/>
  <c r="S44" i="36"/>
  <c r="T43" i="36"/>
  <c r="R43" i="36"/>
  <c r="S42" i="36"/>
  <c r="T41" i="36"/>
  <c r="R41" i="36"/>
  <c r="S40" i="36"/>
  <c r="T39" i="36"/>
  <c r="R39" i="36"/>
  <c r="S38" i="36"/>
  <c r="T37" i="36"/>
  <c r="R37" i="36"/>
  <c r="S36" i="36"/>
  <c r="R35" i="36"/>
  <c r="T33" i="36"/>
  <c r="S32" i="36"/>
  <c r="R31" i="36"/>
  <c r="T46" i="36"/>
  <c r="T44" i="36"/>
  <c r="T42" i="36"/>
  <c r="T40" i="36"/>
  <c r="T38" i="36"/>
  <c r="S30" i="36"/>
  <c r="R36" i="36"/>
  <c r="S35" i="36"/>
  <c r="T34" i="36"/>
  <c r="R34" i="36"/>
  <c r="S33" i="36"/>
  <c r="T32" i="36"/>
  <c r="R32" i="36"/>
  <c r="S31" i="36"/>
  <c r="T30" i="36"/>
  <c r="T48" i="36"/>
  <c r="R48" i="36"/>
  <c r="T49" i="36"/>
  <c r="R49" i="36"/>
  <c r="T50" i="36"/>
  <c r="R50" i="36"/>
  <c r="T51" i="36"/>
  <c r="R51" i="36"/>
  <c r="T52" i="36"/>
  <c r="R52" i="36"/>
  <c r="T53" i="36"/>
  <c r="R53" i="36"/>
  <c r="T54" i="36"/>
  <c r="R54" i="36"/>
  <c r="T55" i="36"/>
  <c r="R55" i="36"/>
  <c r="T56" i="36"/>
  <c r="R56" i="36"/>
  <c r="T57" i="36"/>
  <c r="R57" i="36"/>
  <c r="T58" i="36"/>
  <c r="R58" i="36"/>
  <c r="T59" i="36"/>
  <c r="R59" i="36"/>
  <c r="T60" i="36"/>
  <c r="R60" i="36"/>
  <c r="T61" i="36"/>
  <c r="R61" i="36"/>
  <c r="T62" i="36"/>
  <c r="R62" i="36"/>
  <c r="T63" i="36"/>
  <c r="R63" i="36"/>
  <c r="T64" i="36"/>
  <c r="R64" i="36"/>
  <c r="T65" i="36"/>
  <c r="R65" i="36"/>
  <c r="T66" i="36"/>
  <c r="R66" i="36"/>
  <c r="T67" i="36"/>
  <c r="R67" i="36"/>
  <c r="T68" i="36"/>
  <c r="R68" i="36"/>
  <c r="T69" i="36"/>
  <c r="R69" i="36"/>
  <c r="T70" i="36"/>
  <c r="R70" i="36"/>
  <c r="T71" i="36"/>
  <c r="R71" i="36"/>
  <c r="T72" i="36"/>
  <c r="R72" i="36"/>
  <c r="T73" i="36"/>
  <c r="R73" i="36"/>
  <c r="T74" i="36"/>
  <c r="R74" i="36"/>
  <c r="S48" i="36"/>
  <c r="S49" i="36"/>
  <c r="S50" i="36"/>
  <c r="S51" i="36"/>
  <c r="S52" i="36"/>
  <c r="S53" i="36"/>
  <c r="S54" i="36"/>
  <c r="S55" i="36"/>
  <c r="S56" i="36"/>
  <c r="S57" i="36"/>
  <c r="S58" i="36"/>
  <c r="S59" i="36"/>
  <c r="S60" i="36"/>
  <c r="S61" i="36"/>
  <c r="S62" i="36"/>
  <c r="S63" i="36"/>
  <c r="S64" i="36"/>
  <c r="S65" i="36"/>
  <c r="S66" i="36"/>
  <c r="S67" i="36"/>
  <c r="S68" i="36"/>
  <c r="S69" i="36"/>
  <c r="S70" i="36"/>
  <c r="S71" i="36"/>
  <c r="S72" i="36"/>
  <c r="S73" i="36"/>
  <c r="S74" i="36"/>
  <c r="R31" i="4"/>
  <c r="T31" i="4"/>
  <c r="S32" i="4"/>
  <c r="R33" i="4"/>
  <c r="T33" i="4"/>
  <c r="S34" i="4"/>
  <c r="R35" i="4"/>
  <c r="T35" i="4"/>
  <c r="S36" i="4"/>
  <c r="R37" i="4"/>
  <c r="T37" i="4"/>
  <c r="S38" i="4"/>
  <c r="R39" i="4"/>
  <c r="T39" i="4"/>
  <c r="S40" i="4"/>
  <c r="R41" i="4"/>
  <c r="T41" i="4"/>
  <c r="S42" i="4"/>
  <c r="R43" i="4"/>
  <c r="T43" i="4"/>
  <c r="S44" i="4"/>
  <c r="R45" i="4"/>
  <c r="T45" i="4"/>
  <c r="S46" i="4"/>
  <c r="R47" i="4"/>
  <c r="T47" i="4"/>
  <c r="S48" i="4"/>
  <c r="R49" i="4"/>
  <c r="T49" i="4"/>
  <c r="S50" i="4"/>
  <c r="R51" i="4"/>
  <c r="T51" i="4"/>
  <c r="S52" i="4"/>
  <c r="R53" i="4"/>
  <c r="T53" i="4"/>
  <c r="S54" i="4"/>
  <c r="R55" i="4"/>
  <c r="T55" i="4"/>
  <c r="S56" i="4"/>
  <c r="R57" i="4"/>
  <c r="T57" i="4"/>
  <c r="S58" i="4"/>
  <c r="R59" i="4"/>
  <c r="T59" i="4"/>
  <c r="S60" i="4"/>
  <c r="R61" i="4"/>
  <c r="T61" i="4"/>
  <c r="S62" i="4"/>
  <c r="R63" i="4"/>
  <c r="T63" i="4"/>
  <c r="S64" i="4"/>
  <c r="R65" i="4"/>
  <c r="T65" i="4"/>
  <c r="S66" i="4"/>
  <c r="R67" i="4"/>
  <c r="T67" i="4"/>
  <c r="S68" i="4"/>
  <c r="R69" i="4"/>
  <c r="T69" i="4"/>
  <c r="S70" i="4"/>
  <c r="R71" i="4"/>
  <c r="T71" i="4"/>
  <c r="S72" i="4"/>
  <c r="R73" i="4"/>
  <c r="T73" i="4"/>
  <c r="S74" i="4"/>
  <c r="S31" i="4"/>
  <c r="R32" i="4"/>
  <c r="T32" i="4"/>
  <c r="S33" i="4"/>
  <c r="R34" i="4"/>
  <c r="T34" i="4"/>
  <c r="S35" i="4"/>
  <c r="R36" i="4"/>
  <c r="T36" i="4"/>
  <c r="S37" i="4"/>
  <c r="R38" i="4"/>
  <c r="T38" i="4"/>
  <c r="S39" i="4"/>
  <c r="R40" i="4"/>
  <c r="T40" i="4"/>
  <c r="S41" i="4"/>
  <c r="R42" i="4"/>
  <c r="T42" i="4"/>
  <c r="S43" i="4"/>
  <c r="T74" i="4"/>
  <c r="S73" i="4"/>
  <c r="R72" i="4"/>
  <c r="T70" i="4"/>
  <c r="S69" i="4"/>
  <c r="R68" i="4"/>
  <c r="T66" i="4"/>
  <c r="S65" i="4"/>
  <c r="R64" i="4"/>
  <c r="T62" i="4"/>
  <c r="S61" i="4"/>
  <c r="R60" i="4"/>
  <c r="T58" i="4"/>
  <c r="S57" i="4"/>
  <c r="R56" i="4"/>
  <c r="T54" i="4"/>
  <c r="S53" i="4"/>
  <c r="R52" i="4"/>
  <c r="T50" i="4"/>
  <c r="S49" i="4"/>
  <c r="R48" i="4"/>
  <c r="T46" i="4"/>
  <c r="S45" i="4"/>
  <c r="R44" i="4"/>
  <c r="R74" i="4"/>
  <c r="T72" i="4"/>
  <c r="S71" i="4"/>
  <c r="R70" i="4"/>
  <c r="T68" i="4"/>
  <c r="S67" i="4"/>
  <c r="R66" i="4"/>
  <c r="T64" i="4"/>
  <c r="S63" i="4"/>
  <c r="R62" i="4"/>
  <c r="T60" i="4"/>
  <c r="S59" i="4"/>
  <c r="R58" i="4"/>
  <c r="T56" i="4"/>
  <c r="S55" i="4"/>
  <c r="R54" i="4"/>
  <c r="T52" i="4"/>
  <c r="S51" i="4"/>
  <c r="R50" i="4"/>
  <c r="T48" i="4"/>
  <c r="S47" i="4"/>
  <c r="R46" i="4"/>
  <c r="T44" i="4"/>
  <c r="T30" i="4"/>
  <c r="S30" i="4"/>
  <c r="R30" i="4"/>
  <c r="O30" i="4"/>
  <c r="AC26" i="4"/>
  <c r="C18" i="5"/>
  <c r="P18" i="5" s="1"/>
  <c r="B2" i="53"/>
  <c r="B1" i="53"/>
  <c r="L1" i="24"/>
  <c r="H4" i="24"/>
  <c r="L4" i="24"/>
  <c r="K1" i="25"/>
  <c r="B2" i="24"/>
  <c r="C29" i="25"/>
  <c r="D40" i="5" s="1"/>
  <c r="B29" i="25"/>
  <c r="C43" i="25"/>
  <c r="D47" i="5" s="1"/>
  <c r="C41" i="25"/>
  <c r="D46" i="5" s="1"/>
  <c r="C39" i="25"/>
  <c r="D45" i="5" s="1"/>
  <c r="C37" i="25"/>
  <c r="D44" i="5" s="1"/>
  <c r="C35" i="25"/>
  <c r="D43" i="5" s="1"/>
  <c r="C33" i="25"/>
  <c r="D42" i="5" s="1"/>
  <c r="C31" i="25"/>
  <c r="D41" i="5" s="1"/>
  <c r="B31" i="25"/>
  <c r="G5" i="25"/>
  <c r="E5" i="25"/>
  <c r="I4" i="25"/>
  <c r="B2" i="25"/>
  <c r="AJ2" i="52"/>
  <c r="L18" i="2"/>
  <c r="B18" i="2"/>
  <c r="A12" i="1"/>
  <c r="BE61" i="55" l="1"/>
  <c r="BD61" i="55"/>
  <c r="BC61" i="55"/>
  <c r="BB61" i="55"/>
  <c r="BA61" i="55"/>
  <c r="BF60" i="55"/>
  <c r="BE60" i="55"/>
  <c r="BD60" i="55"/>
  <c r="BC60" i="55"/>
  <c r="BB60" i="55"/>
  <c r="BA60" i="55"/>
  <c r="BE54" i="55"/>
  <c r="BD54" i="55"/>
  <c r="BC54" i="55"/>
  <c r="BB54" i="55"/>
  <c r="BA54" i="55"/>
  <c r="BF53" i="55"/>
  <c r="BE53" i="55"/>
  <c r="BD53" i="55"/>
  <c r="BC53" i="55"/>
  <c r="BB53" i="55"/>
  <c r="BA53" i="55"/>
  <c r="BE47" i="55"/>
  <c r="BD47" i="55"/>
  <c r="BC47" i="55"/>
  <c r="BB47" i="55"/>
  <c r="BA47" i="55"/>
  <c r="BF46" i="55"/>
  <c r="BE46" i="55"/>
  <c r="BD46" i="55"/>
  <c r="BC46" i="55"/>
  <c r="BB46" i="55"/>
  <c r="BA46" i="55"/>
  <c r="G16" i="55"/>
  <c r="B5" i="55"/>
  <c r="B7" i="55"/>
  <c r="B43" i="50"/>
  <c r="B14" i="50"/>
  <c r="B19" i="50"/>
  <c r="G22" i="50"/>
  <c r="B21" i="50"/>
  <c r="B20" i="50"/>
  <c r="G21" i="50"/>
  <c r="B22" i="50"/>
  <c r="B36" i="50"/>
  <c r="B34" i="50"/>
  <c r="C30" i="50"/>
  <c r="B29" i="50"/>
  <c r="C31" i="50"/>
  <c r="C32" i="50"/>
  <c r="B27" i="50"/>
  <c r="B28" i="50"/>
  <c r="B26" i="50"/>
  <c r="B12" i="50"/>
  <c r="L16" i="55" l="1"/>
  <c r="J28" i="55" s="1"/>
  <c r="BG18" i="55" s="1"/>
  <c r="M83" i="55"/>
  <c r="J21" i="55"/>
  <c r="BG17" i="55" l="1"/>
  <c r="J22" i="55"/>
  <c r="K22" i="55" s="1"/>
  <c r="L22" i="55" s="1"/>
  <c r="M22" i="55" s="1"/>
  <c r="N22" i="55" s="1"/>
  <c r="O22" i="55" s="1"/>
  <c r="P22" i="55" s="1"/>
  <c r="Q22" i="55" s="1"/>
  <c r="R22" i="55" s="1"/>
  <c r="S22" i="55" s="1"/>
  <c r="T22" i="55" s="1"/>
  <c r="U22" i="55" s="1"/>
  <c r="V22" i="55" s="1"/>
  <c r="W22" i="55" s="1"/>
  <c r="X22" i="55" s="1"/>
  <c r="Y22" i="55" s="1"/>
  <c r="Z22" i="55" s="1"/>
  <c r="Q16" i="55"/>
  <c r="Q83" i="55"/>
  <c r="J29" i="55"/>
  <c r="K29" i="55" s="1"/>
  <c r="L29" i="55" s="1"/>
  <c r="M29" i="55" s="1"/>
  <c r="N29" i="55" s="1"/>
  <c r="O29" i="55" s="1"/>
  <c r="P29" i="55" s="1"/>
  <c r="Q29" i="55" s="1"/>
  <c r="R29" i="55" s="1"/>
  <c r="S29" i="55" s="1"/>
  <c r="T29" i="55" s="1"/>
  <c r="U29" i="55" s="1"/>
  <c r="V29" i="55" s="1"/>
  <c r="W29" i="55" s="1"/>
  <c r="X29" i="55" s="1"/>
  <c r="Y29" i="55" s="1"/>
  <c r="Z29" i="55" s="1"/>
  <c r="AA29" i="55" s="1"/>
  <c r="AB29" i="55" s="1"/>
  <c r="AC29" i="55" s="1"/>
  <c r="AD29" i="55" s="1"/>
  <c r="AE29" i="55" s="1"/>
  <c r="AF29" i="55" s="1"/>
  <c r="AG29" i="55" s="1"/>
  <c r="AH29" i="55" s="1"/>
  <c r="AI29" i="55" s="1"/>
  <c r="AJ29" i="55" s="1"/>
  <c r="AK29" i="55" s="1"/>
  <c r="AL29" i="55" s="1"/>
  <c r="AM29" i="55" s="1"/>
  <c r="AN29" i="55" s="1"/>
  <c r="S41" i="60"/>
  <c r="Q41" i="60"/>
  <c r="B40" i="60"/>
  <c r="S38" i="60"/>
  <c r="Q38" i="60"/>
  <c r="S37" i="60"/>
  <c r="Q37" i="60"/>
  <c r="S36" i="60"/>
  <c r="Q36" i="60"/>
  <c r="S35" i="60"/>
  <c r="Q35" i="60"/>
  <c r="S34" i="60"/>
  <c r="Q34" i="60"/>
  <c r="S33" i="60"/>
  <c r="Q33" i="60"/>
  <c r="S32" i="60"/>
  <c r="Q32" i="60"/>
  <c r="S31" i="60"/>
  <c r="Q31" i="60"/>
  <c r="S30" i="60"/>
  <c r="Q30" i="60"/>
  <c r="S29" i="60"/>
  <c r="Q29" i="60"/>
  <c r="AD25" i="60"/>
  <c r="AB25" i="60"/>
  <c r="AK25" i="60" s="1"/>
  <c r="P25" i="60"/>
  <c r="AD24" i="60"/>
  <c r="AB24" i="60"/>
  <c r="AK24" i="60" s="1"/>
  <c r="P24" i="60"/>
  <c r="AD23" i="60"/>
  <c r="AB23" i="60"/>
  <c r="AK23" i="60" s="1"/>
  <c r="P23" i="60"/>
  <c r="AD22" i="60"/>
  <c r="AB22" i="60"/>
  <c r="AK22" i="60" s="1"/>
  <c r="P22" i="60"/>
  <c r="AD21" i="60"/>
  <c r="AB21" i="60"/>
  <c r="AK21" i="60" s="1"/>
  <c r="P21" i="60"/>
  <c r="AD20" i="60"/>
  <c r="AB20" i="60"/>
  <c r="AK20" i="60" s="1"/>
  <c r="P20" i="60"/>
  <c r="AD19" i="60"/>
  <c r="AB19" i="60"/>
  <c r="AK19" i="60" s="1"/>
  <c r="P19" i="60"/>
  <c r="AD18" i="60"/>
  <c r="AB18" i="60"/>
  <c r="AK18" i="60" s="1"/>
  <c r="P18" i="60"/>
  <c r="AD17" i="60"/>
  <c r="AB17" i="60"/>
  <c r="AK17" i="60" s="1"/>
  <c r="P17" i="60"/>
  <c r="AD16" i="60"/>
  <c r="AB16" i="60"/>
  <c r="AK16" i="60" s="1"/>
  <c r="P16" i="60"/>
  <c r="AK15" i="60"/>
  <c r="AD15" i="60"/>
  <c r="AB15" i="60"/>
  <c r="P15" i="60"/>
  <c r="AD14" i="60"/>
  <c r="AB14" i="60"/>
  <c r="AK14" i="60" s="1"/>
  <c r="P14" i="60"/>
  <c r="AD13" i="60"/>
  <c r="AB13" i="60"/>
  <c r="AK13" i="60" s="1"/>
  <c r="P13" i="60"/>
  <c r="AD12" i="60"/>
  <c r="AB12" i="60"/>
  <c r="AL7" i="60" s="1"/>
  <c r="P12" i="60"/>
  <c r="AK12" i="60" s="1"/>
  <c r="AD11" i="60"/>
  <c r="AB11" i="60"/>
  <c r="AK11" i="60" s="1"/>
  <c r="P11" i="60"/>
  <c r="O48" i="5"/>
  <c r="B37" i="50" s="1"/>
  <c r="A2" i="59"/>
  <c r="AA22" i="55" l="1"/>
  <c r="AB22" i="55" s="1"/>
  <c r="AC22" i="55" s="1"/>
  <c r="AD22" i="55" s="1"/>
  <c r="AE22" i="55" s="1"/>
  <c r="AF22" i="55" s="1"/>
  <c r="AG22" i="55" s="1"/>
  <c r="AH22" i="55" s="1"/>
  <c r="AI22" i="55" s="1"/>
  <c r="AJ22" i="55" s="1"/>
  <c r="AK22" i="55" s="1"/>
  <c r="AL22" i="55" s="1"/>
  <c r="AM22" i="55" s="1"/>
  <c r="AN22" i="55" s="1"/>
  <c r="W17" i="62"/>
  <c r="Z23" i="55"/>
  <c r="J23" i="55"/>
  <c r="G17" i="62"/>
  <c r="J30" i="55"/>
  <c r="AL17" i="62"/>
  <c r="V16" i="55"/>
  <c r="U83" i="55"/>
  <c r="J35" i="55"/>
  <c r="BG19" i="55" s="1"/>
  <c r="AM17" i="62"/>
  <c r="H17" i="62"/>
  <c r="AK7" i="60"/>
  <c r="A7" i="60" s="1"/>
  <c r="AK27" i="60"/>
  <c r="AL46" i="60" s="1"/>
  <c r="H47" i="60" s="1"/>
  <c r="AL27" i="60"/>
  <c r="A27" i="60" s="1"/>
  <c r="AN54" i="50"/>
  <c r="AD74" i="41"/>
  <c r="Z74" i="41"/>
  <c r="O74" i="41"/>
  <c r="N74" i="41"/>
  <c r="H74" i="41"/>
  <c r="I74" i="41" s="1"/>
  <c r="AD73" i="41"/>
  <c r="Z73" i="41"/>
  <c r="O73" i="41"/>
  <c r="N73" i="41"/>
  <c r="H73" i="41"/>
  <c r="I73" i="41" s="1"/>
  <c r="AD72" i="41"/>
  <c r="Z72" i="41"/>
  <c r="O72" i="41"/>
  <c r="N72" i="41"/>
  <c r="H72" i="41"/>
  <c r="I72" i="41" s="1"/>
  <c r="AD71" i="41"/>
  <c r="O71" i="41"/>
  <c r="Z71" i="41"/>
  <c r="N71" i="41"/>
  <c r="H71" i="41"/>
  <c r="I71" i="41" s="1"/>
  <c r="AD70" i="41"/>
  <c r="Z70" i="41"/>
  <c r="O70" i="41"/>
  <c r="N70" i="41"/>
  <c r="H70" i="41"/>
  <c r="I70" i="41" s="1"/>
  <c r="AD69" i="41"/>
  <c r="O69" i="41"/>
  <c r="Z69" i="41"/>
  <c r="N69" i="41"/>
  <c r="H69" i="41"/>
  <c r="I69" i="41" s="1"/>
  <c r="AD68" i="41"/>
  <c r="Z68" i="41"/>
  <c r="O68" i="41"/>
  <c r="N68" i="41"/>
  <c r="H68" i="41"/>
  <c r="I68" i="41" s="1"/>
  <c r="AD67" i="41"/>
  <c r="Z67" i="41"/>
  <c r="O67" i="41"/>
  <c r="N67" i="41"/>
  <c r="H67" i="41"/>
  <c r="I67" i="41" s="1"/>
  <c r="AD66" i="41"/>
  <c r="Z66" i="41"/>
  <c r="O66" i="41"/>
  <c r="N66" i="41"/>
  <c r="H66" i="41"/>
  <c r="I66" i="41" s="1"/>
  <c r="AD65" i="41"/>
  <c r="Z65" i="41"/>
  <c r="O65" i="41"/>
  <c r="N65" i="41"/>
  <c r="H65" i="41"/>
  <c r="I65" i="41" s="1"/>
  <c r="AD64" i="41"/>
  <c r="O64" i="41"/>
  <c r="Z64" i="41"/>
  <c r="N64" i="41"/>
  <c r="H64" i="41"/>
  <c r="I64" i="41" s="1"/>
  <c r="AD63" i="41"/>
  <c r="Z63" i="41"/>
  <c r="O63" i="41"/>
  <c r="N63" i="41"/>
  <c r="H63" i="41"/>
  <c r="I63" i="41" s="1"/>
  <c r="AD62" i="41"/>
  <c r="Z62" i="41"/>
  <c r="O62" i="41"/>
  <c r="N62" i="41"/>
  <c r="H62" i="41"/>
  <c r="I62" i="41" s="1"/>
  <c r="AD61" i="41"/>
  <c r="Z61" i="41"/>
  <c r="O61" i="41"/>
  <c r="N61" i="41"/>
  <c r="H61" i="41"/>
  <c r="I61" i="41" s="1"/>
  <c r="AD60" i="41"/>
  <c r="Z60" i="41"/>
  <c r="O60" i="41"/>
  <c r="N60" i="41"/>
  <c r="H60" i="41"/>
  <c r="I60" i="41" s="1"/>
  <c r="AD59" i="41"/>
  <c r="O59" i="41"/>
  <c r="Z59" i="41"/>
  <c r="N59" i="41"/>
  <c r="H59" i="41"/>
  <c r="I59" i="41" s="1"/>
  <c r="AD58" i="41"/>
  <c r="Z58" i="41"/>
  <c r="O58" i="41"/>
  <c r="N58" i="41"/>
  <c r="H58" i="41"/>
  <c r="I58" i="41" s="1"/>
  <c r="AD57" i="41"/>
  <c r="O57" i="41"/>
  <c r="Z57" i="41"/>
  <c r="N57" i="41"/>
  <c r="H57" i="41"/>
  <c r="I57" i="41" s="1"/>
  <c r="AD56" i="41"/>
  <c r="Z56" i="41"/>
  <c r="O56" i="41"/>
  <c r="N56" i="41"/>
  <c r="H56" i="41"/>
  <c r="I56" i="41" s="1"/>
  <c r="AD55" i="41"/>
  <c r="Z55" i="41"/>
  <c r="O55" i="41"/>
  <c r="N55" i="41"/>
  <c r="H55" i="41"/>
  <c r="I55" i="41" s="1"/>
  <c r="AD54" i="41"/>
  <c r="Z54" i="41"/>
  <c r="O54" i="41"/>
  <c r="N54" i="41"/>
  <c r="H54" i="41"/>
  <c r="I54" i="41" s="1"/>
  <c r="AD53" i="41"/>
  <c r="Z53" i="41"/>
  <c r="O53" i="41"/>
  <c r="N53" i="41"/>
  <c r="H53" i="41"/>
  <c r="I53" i="41" s="1"/>
  <c r="AD52" i="41"/>
  <c r="O52" i="41"/>
  <c r="Z52" i="41"/>
  <c r="N52" i="41"/>
  <c r="H52" i="41"/>
  <c r="I52" i="41" s="1"/>
  <c r="AD51" i="41"/>
  <c r="Z51" i="41"/>
  <c r="O51" i="41"/>
  <c r="N51" i="41"/>
  <c r="H51" i="41"/>
  <c r="I51" i="41" s="1"/>
  <c r="AD50" i="41"/>
  <c r="Z50" i="41"/>
  <c r="O50" i="41"/>
  <c r="N50" i="41"/>
  <c r="H50" i="41"/>
  <c r="I50" i="41" s="1"/>
  <c r="AD49" i="41"/>
  <c r="Z49" i="41"/>
  <c r="O49" i="41"/>
  <c r="N49" i="41"/>
  <c r="H49" i="41"/>
  <c r="I49" i="41" s="1"/>
  <c r="AD48" i="41"/>
  <c r="Z48" i="41"/>
  <c r="O48" i="41"/>
  <c r="N48" i="41"/>
  <c r="H48" i="41"/>
  <c r="I48" i="41" s="1"/>
  <c r="AD47" i="41"/>
  <c r="O47" i="41"/>
  <c r="Z47" i="41"/>
  <c r="N47" i="41"/>
  <c r="H47" i="41"/>
  <c r="I47" i="41" s="1"/>
  <c r="AD46" i="41"/>
  <c r="Z46" i="41"/>
  <c r="O46" i="41"/>
  <c r="N46" i="41"/>
  <c r="H46" i="41"/>
  <c r="I46" i="41" s="1"/>
  <c r="AD45" i="41"/>
  <c r="O45" i="41"/>
  <c r="Z45" i="41"/>
  <c r="N45" i="41"/>
  <c r="H45" i="41"/>
  <c r="I45" i="41" s="1"/>
  <c r="AD44" i="41"/>
  <c r="Z44" i="41"/>
  <c r="O44" i="41"/>
  <c r="N44" i="41"/>
  <c r="H44" i="41"/>
  <c r="I44" i="41" s="1"/>
  <c r="AD43" i="41"/>
  <c r="Z43" i="41"/>
  <c r="O43" i="41"/>
  <c r="N43" i="41"/>
  <c r="H43" i="41"/>
  <c r="I43" i="41" s="1"/>
  <c r="AD42" i="41"/>
  <c r="Z42" i="41"/>
  <c r="O42" i="41"/>
  <c r="N42" i="41"/>
  <c r="H42" i="41"/>
  <c r="I42" i="41" s="1"/>
  <c r="AD41" i="41"/>
  <c r="Z41" i="41"/>
  <c r="O41" i="41"/>
  <c r="N41" i="41"/>
  <c r="H41" i="41"/>
  <c r="I41" i="41" s="1"/>
  <c r="AD40" i="41"/>
  <c r="O40" i="41"/>
  <c r="Z40" i="41"/>
  <c r="N40" i="41"/>
  <c r="H40" i="41"/>
  <c r="I40" i="41" s="1"/>
  <c r="AD39" i="41"/>
  <c r="Z39" i="41"/>
  <c r="O39" i="41"/>
  <c r="N39" i="41"/>
  <c r="H39" i="41"/>
  <c r="I39" i="41" s="1"/>
  <c r="AD38" i="41"/>
  <c r="Z38" i="41"/>
  <c r="O38" i="41"/>
  <c r="N38" i="41"/>
  <c r="H38" i="41"/>
  <c r="I38" i="41" s="1"/>
  <c r="AD37" i="41"/>
  <c r="Z37" i="41"/>
  <c r="O37" i="41"/>
  <c r="N37" i="41"/>
  <c r="H37" i="41"/>
  <c r="I37" i="41" s="1"/>
  <c r="AD36" i="41"/>
  <c r="Z36" i="41"/>
  <c r="O36" i="41"/>
  <c r="N36" i="41"/>
  <c r="H36" i="41"/>
  <c r="I36" i="41" s="1"/>
  <c r="AD35" i="41"/>
  <c r="O35" i="41"/>
  <c r="Z35" i="41"/>
  <c r="N35" i="41"/>
  <c r="H35" i="41"/>
  <c r="I35" i="41" s="1"/>
  <c r="AD34" i="41"/>
  <c r="Z34" i="41"/>
  <c r="O34" i="41"/>
  <c r="N34" i="41"/>
  <c r="H34" i="41"/>
  <c r="I34" i="41" s="1"/>
  <c r="AD33" i="41"/>
  <c r="O33" i="41"/>
  <c r="Z33" i="41"/>
  <c r="N33" i="41"/>
  <c r="H33" i="41"/>
  <c r="I33" i="41" s="1"/>
  <c r="AD32" i="41"/>
  <c r="Z32" i="41"/>
  <c r="H32" i="41"/>
  <c r="I32" i="41" s="1"/>
  <c r="N32" i="41" s="1"/>
  <c r="AD31" i="41"/>
  <c r="Z31" i="41"/>
  <c r="N31" i="41"/>
  <c r="H31" i="41"/>
  <c r="I31" i="41" s="1"/>
  <c r="AD30" i="41"/>
  <c r="O31" i="41"/>
  <c r="Z30" i="41"/>
  <c r="H30" i="41"/>
  <c r="I30" i="41" s="1"/>
  <c r="N30" i="41" s="1"/>
  <c r="AD74" i="40"/>
  <c r="O74" i="40"/>
  <c r="Z74" i="40"/>
  <c r="N74" i="40"/>
  <c r="H74" i="40"/>
  <c r="I74" i="40" s="1"/>
  <c r="AD73" i="40"/>
  <c r="Z73" i="40"/>
  <c r="O73" i="40"/>
  <c r="N73" i="40"/>
  <c r="H73" i="40"/>
  <c r="I73" i="40" s="1"/>
  <c r="AD72" i="40"/>
  <c r="Z72" i="40"/>
  <c r="O72" i="40"/>
  <c r="N72" i="40"/>
  <c r="H72" i="40"/>
  <c r="I72" i="40" s="1"/>
  <c r="AD71" i="40"/>
  <c r="O71" i="40"/>
  <c r="Z71" i="40"/>
  <c r="N71" i="40"/>
  <c r="H71" i="40"/>
  <c r="I71" i="40" s="1"/>
  <c r="AD70" i="40"/>
  <c r="Z70" i="40"/>
  <c r="O70" i="40"/>
  <c r="N70" i="40"/>
  <c r="H70" i="40"/>
  <c r="I70" i="40" s="1"/>
  <c r="AD69" i="40"/>
  <c r="O69" i="40"/>
  <c r="Z69" i="40"/>
  <c r="N69" i="40"/>
  <c r="H69" i="40"/>
  <c r="I69" i="40" s="1"/>
  <c r="AD68" i="40"/>
  <c r="Z68" i="40"/>
  <c r="O68" i="40"/>
  <c r="N68" i="40"/>
  <c r="H68" i="40"/>
  <c r="I68" i="40" s="1"/>
  <c r="AD67" i="40"/>
  <c r="Z67" i="40"/>
  <c r="O67" i="40"/>
  <c r="N67" i="40"/>
  <c r="H67" i="40"/>
  <c r="I67" i="40" s="1"/>
  <c r="AD66" i="40"/>
  <c r="Z66" i="40"/>
  <c r="O66" i="40"/>
  <c r="N66" i="40"/>
  <c r="H66" i="40"/>
  <c r="I66" i="40" s="1"/>
  <c r="AD65" i="40"/>
  <c r="Z65" i="40"/>
  <c r="O65" i="40"/>
  <c r="N65" i="40"/>
  <c r="H65" i="40"/>
  <c r="I65" i="40" s="1"/>
  <c r="AD64" i="40"/>
  <c r="O64" i="40"/>
  <c r="Z64" i="40"/>
  <c r="N64" i="40"/>
  <c r="H64" i="40"/>
  <c r="I64" i="40" s="1"/>
  <c r="AD63" i="40"/>
  <c r="Z63" i="40"/>
  <c r="O63" i="40"/>
  <c r="N63" i="40"/>
  <c r="H63" i="40"/>
  <c r="I63" i="40" s="1"/>
  <c r="AD62" i="40"/>
  <c r="O62" i="40"/>
  <c r="Z62" i="40"/>
  <c r="N62" i="40"/>
  <c r="H62" i="40"/>
  <c r="I62" i="40" s="1"/>
  <c r="AD61" i="40"/>
  <c r="Z61" i="40"/>
  <c r="O61" i="40"/>
  <c r="N61" i="40"/>
  <c r="H61" i="40"/>
  <c r="I61" i="40" s="1"/>
  <c r="AD60" i="40"/>
  <c r="Z60" i="40"/>
  <c r="O60" i="40"/>
  <c r="N60" i="40"/>
  <c r="H60" i="40"/>
  <c r="I60" i="40" s="1"/>
  <c r="AD59" i="40"/>
  <c r="O59" i="40"/>
  <c r="Z59" i="40"/>
  <c r="N59" i="40"/>
  <c r="H59" i="40"/>
  <c r="I59" i="40" s="1"/>
  <c r="AD58" i="40"/>
  <c r="Z58" i="40"/>
  <c r="O58" i="40"/>
  <c r="N58" i="40"/>
  <c r="H58" i="40"/>
  <c r="I58" i="40" s="1"/>
  <c r="AD57" i="40"/>
  <c r="O57" i="40"/>
  <c r="Z57" i="40"/>
  <c r="N57" i="40"/>
  <c r="H57" i="40"/>
  <c r="I57" i="40" s="1"/>
  <c r="AD56" i="40"/>
  <c r="Z56" i="40"/>
  <c r="O56" i="40"/>
  <c r="N56" i="40"/>
  <c r="H56" i="40"/>
  <c r="I56" i="40" s="1"/>
  <c r="AD55" i="40"/>
  <c r="Z55" i="40"/>
  <c r="O55" i="40"/>
  <c r="N55" i="40"/>
  <c r="H55" i="40"/>
  <c r="I55" i="40" s="1"/>
  <c r="AD54" i="40"/>
  <c r="Z54" i="40"/>
  <c r="O54" i="40"/>
  <c r="N54" i="40"/>
  <c r="H54" i="40"/>
  <c r="I54" i="40" s="1"/>
  <c r="AD53" i="40"/>
  <c r="Z53" i="40"/>
  <c r="O53" i="40"/>
  <c r="N53" i="40"/>
  <c r="H53" i="40"/>
  <c r="I53" i="40" s="1"/>
  <c r="AD52" i="40"/>
  <c r="O52" i="40"/>
  <c r="Z52" i="40"/>
  <c r="N52" i="40"/>
  <c r="H52" i="40"/>
  <c r="I52" i="40" s="1"/>
  <c r="AD51" i="40"/>
  <c r="Z51" i="40"/>
  <c r="O51" i="40"/>
  <c r="N51" i="40"/>
  <c r="H51" i="40"/>
  <c r="I51" i="40" s="1"/>
  <c r="AD50" i="40"/>
  <c r="O50" i="40"/>
  <c r="Z50" i="40"/>
  <c r="N50" i="40"/>
  <c r="H50" i="40"/>
  <c r="I50" i="40" s="1"/>
  <c r="AD49" i="40"/>
  <c r="Z49" i="40"/>
  <c r="O49" i="40"/>
  <c r="N49" i="40"/>
  <c r="H49" i="40"/>
  <c r="I49" i="40" s="1"/>
  <c r="AD48" i="40"/>
  <c r="Z48" i="40"/>
  <c r="O48" i="40"/>
  <c r="N48" i="40"/>
  <c r="H48" i="40"/>
  <c r="I48" i="40" s="1"/>
  <c r="AD47" i="40"/>
  <c r="O47" i="40"/>
  <c r="Z47" i="40"/>
  <c r="N47" i="40"/>
  <c r="H47" i="40"/>
  <c r="I47" i="40" s="1"/>
  <c r="AD46" i="40"/>
  <c r="Z46" i="40"/>
  <c r="O46" i="40"/>
  <c r="N46" i="40"/>
  <c r="H46" i="40"/>
  <c r="I46" i="40" s="1"/>
  <c r="AD45" i="40"/>
  <c r="O45" i="40"/>
  <c r="Z45" i="40"/>
  <c r="N45" i="40"/>
  <c r="H45" i="40"/>
  <c r="I45" i="40" s="1"/>
  <c r="AD44" i="40"/>
  <c r="Z44" i="40"/>
  <c r="O44" i="40"/>
  <c r="N44" i="40"/>
  <c r="H44" i="40"/>
  <c r="I44" i="40" s="1"/>
  <c r="AD43" i="40"/>
  <c r="O43" i="40"/>
  <c r="Z43" i="40"/>
  <c r="N43" i="40"/>
  <c r="H43" i="40"/>
  <c r="I43" i="40" s="1"/>
  <c r="AD42" i="40"/>
  <c r="Z42" i="40"/>
  <c r="O42" i="40"/>
  <c r="N42" i="40"/>
  <c r="H42" i="40"/>
  <c r="I42" i="40" s="1"/>
  <c r="AD41" i="40"/>
  <c r="Z41" i="40"/>
  <c r="O41" i="40"/>
  <c r="N41" i="40"/>
  <c r="H41" i="40"/>
  <c r="I41" i="40" s="1"/>
  <c r="AD40" i="40"/>
  <c r="O40" i="40"/>
  <c r="Z40" i="40"/>
  <c r="N40" i="40"/>
  <c r="H40" i="40"/>
  <c r="I40" i="40" s="1"/>
  <c r="AD39" i="40"/>
  <c r="O39" i="40"/>
  <c r="Z39" i="40"/>
  <c r="N39" i="40"/>
  <c r="H39" i="40"/>
  <c r="I39" i="40" s="1"/>
  <c r="AD38" i="40"/>
  <c r="O38" i="40"/>
  <c r="Z38" i="40"/>
  <c r="N38" i="40"/>
  <c r="H38" i="40"/>
  <c r="I38" i="40" s="1"/>
  <c r="AD37" i="40"/>
  <c r="O37" i="40"/>
  <c r="Z37" i="40"/>
  <c r="N37" i="40"/>
  <c r="H37" i="40"/>
  <c r="I37" i="40" s="1"/>
  <c r="AD36" i="40"/>
  <c r="Z36" i="40"/>
  <c r="O36" i="40"/>
  <c r="N36" i="40"/>
  <c r="H36" i="40"/>
  <c r="I36" i="40" s="1"/>
  <c r="AD35" i="40"/>
  <c r="O35" i="40"/>
  <c r="Z35" i="40"/>
  <c r="N35" i="40"/>
  <c r="H35" i="40"/>
  <c r="I35" i="40" s="1"/>
  <c r="AD34" i="40"/>
  <c r="Z34" i="40"/>
  <c r="O34" i="40"/>
  <c r="N34" i="40"/>
  <c r="H34" i="40"/>
  <c r="I34" i="40" s="1"/>
  <c r="AD33" i="40"/>
  <c r="O33" i="40"/>
  <c r="Z33" i="40"/>
  <c r="N33" i="40"/>
  <c r="H33" i="40"/>
  <c r="I33" i="40" s="1"/>
  <c r="AD32" i="40"/>
  <c r="Z32" i="40"/>
  <c r="O32" i="40"/>
  <c r="H32" i="40"/>
  <c r="I32" i="40" s="1"/>
  <c r="N32" i="40" s="1"/>
  <c r="AD31" i="40"/>
  <c r="Z31" i="40"/>
  <c r="N31" i="40"/>
  <c r="H31" i="40"/>
  <c r="I31" i="40" s="1"/>
  <c r="AD30" i="40"/>
  <c r="Z30" i="40"/>
  <c r="O30" i="40"/>
  <c r="H30" i="40"/>
  <c r="I30" i="40" s="1"/>
  <c r="N30" i="40" s="1"/>
  <c r="AD74" i="37"/>
  <c r="Z74" i="37"/>
  <c r="O74" i="37"/>
  <c r="N74" i="37"/>
  <c r="H74" i="37"/>
  <c r="I74" i="37" s="1"/>
  <c r="AD73" i="37"/>
  <c r="Z73" i="37"/>
  <c r="O73" i="37"/>
  <c r="N73" i="37"/>
  <c r="H73" i="37"/>
  <c r="I73" i="37" s="1"/>
  <c r="AD72" i="37"/>
  <c r="Z72" i="37"/>
  <c r="O72" i="37"/>
  <c r="N72" i="37"/>
  <c r="H72" i="37"/>
  <c r="I72" i="37" s="1"/>
  <c r="AD71" i="37"/>
  <c r="O71" i="37"/>
  <c r="Z71" i="37"/>
  <c r="N71" i="37"/>
  <c r="H71" i="37"/>
  <c r="I71" i="37" s="1"/>
  <c r="AD70" i="37"/>
  <c r="Z70" i="37"/>
  <c r="O70" i="37"/>
  <c r="N70" i="37"/>
  <c r="H70" i="37"/>
  <c r="I70" i="37" s="1"/>
  <c r="AD69" i="37"/>
  <c r="O69" i="37"/>
  <c r="Z69" i="37"/>
  <c r="N69" i="37"/>
  <c r="H69" i="37"/>
  <c r="I69" i="37" s="1"/>
  <c r="AD68" i="37"/>
  <c r="Z68" i="37"/>
  <c r="O68" i="37"/>
  <c r="N68" i="37"/>
  <c r="H68" i="37"/>
  <c r="I68" i="37" s="1"/>
  <c r="AD67" i="37"/>
  <c r="O67" i="37"/>
  <c r="Z67" i="37"/>
  <c r="N67" i="37"/>
  <c r="H67" i="37"/>
  <c r="I67" i="37" s="1"/>
  <c r="AD66" i="37"/>
  <c r="Z66" i="37"/>
  <c r="O66" i="37"/>
  <c r="N66" i="37"/>
  <c r="H66" i="37"/>
  <c r="I66" i="37" s="1"/>
  <c r="AD65" i="37"/>
  <c r="Z65" i="37"/>
  <c r="O65" i="37"/>
  <c r="N65" i="37"/>
  <c r="H65" i="37"/>
  <c r="I65" i="37" s="1"/>
  <c r="AD64" i="37"/>
  <c r="O64" i="37"/>
  <c r="Z64" i="37"/>
  <c r="N64" i="37"/>
  <c r="H64" i="37"/>
  <c r="I64" i="37" s="1"/>
  <c r="AD63" i="37"/>
  <c r="Z63" i="37"/>
  <c r="O63" i="37"/>
  <c r="N63" i="37"/>
  <c r="H63" i="37"/>
  <c r="I63" i="37" s="1"/>
  <c r="AD62" i="37"/>
  <c r="Z62" i="37"/>
  <c r="O62" i="37"/>
  <c r="N62" i="37"/>
  <c r="H62" i="37"/>
  <c r="I62" i="37" s="1"/>
  <c r="AD61" i="37"/>
  <c r="Z61" i="37"/>
  <c r="O61" i="37"/>
  <c r="N61" i="37"/>
  <c r="H61" i="37"/>
  <c r="I61" i="37" s="1"/>
  <c r="AD60" i="37"/>
  <c r="Z60" i="37"/>
  <c r="O60" i="37"/>
  <c r="N60" i="37"/>
  <c r="H60" i="37"/>
  <c r="I60" i="37" s="1"/>
  <c r="AD59" i="37"/>
  <c r="O59" i="37"/>
  <c r="Z59" i="37"/>
  <c r="N59" i="37"/>
  <c r="H59" i="37"/>
  <c r="I59" i="37" s="1"/>
  <c r="AD58" i="37"/>
  <c r="Z58" i="37"/>
  <c r="O58" i="37"/>
  <c r="N58" i="37"/>
  <c r="H58" i="37"/>
  <c r="I58" i="37" s="1"/>
  <c r="AD57" i="37"/>
  <c r="O57" i="37"/>
  <c r="Z57" i="37"/>
  <c r="N57" i="37"/>
  <c r="H57" i="37"/>
  <c r="I57" i="37" s="1"/>
  <c r="AD56" i="37"/>
  <c r="Z56" i="37"/>
  <c r="O56" i="37"/>
  <c r="N56" i="37"/>
  <c r="H56" i="37"/>
  <c r="I56" i="37" s="1"/>
  <c r="AD55" i="37"/>
  <c r="O55" i="37"/>
  <c r="Z55" i="37"/>
  <c r="N55" i="37"/>
  <c r="H55" i="37"/>
  <c r="I55" i="37" s="1"/>
  <c r="AD54" i="37"/>
  <c r="Z54" i="37"/>
  <c r="O54" i="37"/>
  <c r="N54" i="37"/>
  <c r="H54" i="37"/>
  <c r="I54" i="37" s="1"/>
  <c r="AD53" i="37"/>
  <c r="Z53" i="37"/>
  <c r="O53" i="37"/>
  <c r="N53" i="37"/>
  <c r="H53" i="37"/>
  <c r="I53" i="37" s="1"/>
  <c r="AD52" i="37"/>
  <c r="O52" i="37"/>
  <c r="Z52" i="37"/>
  <c r="N52" i="37"/>
  <c r="H52" i="37"/>
  <c r="I52" i="37" s="1"/>
  <c r="AD51" i="37"/>
  <c r="Z51" i="37"/>
  <c r="O51" i="37"/>
  <c r="N51" i="37"/>
  <c r="H51" i="37"/>
  <c r="I51" i="37" s="1"/>
  <c r="AD50" i="37"/>
  <c r="Z50" i="37"/>
  <c r="O50" i="37"/>
  <c r="N50" i="37"/>
  <c r="H50" i="37"/>
  <c r="I50" i="37" s="1"/>
  <c r="AD49" i="37"/>
  <c r="Z49" i="37"/>
  <c r="O49" i="37"/>
  <c r="N49" i="37"/>
  <c r="H49" i="37"/>
  <c r="I49" i="37" s="1"/>
  <c r="AD48" i="37"/>
  <c r="Z48" i="37"/>
  <c r="O48" i="37"/>
  <c r="N48" i="37"/>
  <c r="H48" i="37"/>
  <c r="I48" i="37" s="1"/>
  <c r="AD47" i="37"/>
  <c r="O47" i="37"/>
  <c r="Z47" i="37"/>
  <c r="N47" i="37"/>
  <c r="H47" i="37"/>
  <c r="I47" i="37" s="1"/>
  <c r="AD46" i="37"/>
  <c r="Z46" i="37"/>
  <c r="O46" i="37"/>
  <c r="N46" i="37"/>
  <c r="H46" i="37"/>
  <c r="I46" i="37" s="1"/>
  <c r="AD45" i="37"/>
  <c r="O45" i="37"/>
  <c r="Z45" i="37"/>
  <c r="N45" i="37"/>
  <c r="H45" i="37"/>
  <c r="I45" i="37" s="1"/>
  <c r="AD44" i="37"/>
  <c r="Z44" i="37"/>
  <c r="O44" i="37"/>
  <c r="N44" i="37"/>
  <c r="H44" i="37"/>
  <c r="I44" i="37" s="1"/>
  <c r="AD43" i="37"/>
  <c r="O43" i="37"/>
  <c r="Z43" i="37"/>
  <c r="N43" i="37"/>
  <c r="H43" i="37"/>
  <c r="I43" i="37" s="1"/>
  <c r="AD42" i="37"/>
  <c r="Z42" i="37"/>
  <c r="O42" i="37"/>
  <c r="N42" i="37"/>
  <c r="H42" i="37"/>
  <c r="I42" i="37" s="1"/>
  <c r="AD41" i="37"/>
  <c r="Z41" i="37"/>
  <c r="O41" i="37"/>
  <c r="N41" i="37"/>
  <c r="H41" i="37"/>
  <c r="I41" i="37" s="1"/>
  <c r="AD40" i="37"/>
  <c r="O40" i="37"/>
  <c r="Z40" i="37"/>
  <c r="N40" i="37"/>
  <c r="H40" i="37"/>
  <c r="I40" i="37" s="1"/>
  <c r="AD39" i="37"/>
  <c r="Z39" i="37"/>
  <c r="O39" i="37"/>
  <c r="N39" i="37"/>
  <c r="H39" i="37"/>
  <c r="I39" i="37" s="1"/>
  <c r="AD38" i="37"/>
  <c r="Z38" i="37"/>
  <c r="O38" i="37"/>
  <c r="N38" i="37"/>
  <c r="H38" i="37"/>
  <c r="I38" i="37" s="1"/>
  <c r="AD37" i="37"/>
  <c r="Z37" i="37"/>
  <c r="O37" i="37"/>
  <c r="N37" i="37"/>
  <c r="H37" i="37"/>
  <c r="I37" i="37" s="1"/>
  <c r="AD36" i="37"/>
  <c r="O36" i="37"/>
  <c r="Z36" i="37"/>
  <c r="N36" i="37"/>
  <c r="H36" i="37"/>
  <c r="I36" i="37" s="1"/>
  <c r="AD35" i="37"/>
  <c r="O35" i="37"/>
  <c r="Z35" i="37"/>
  <c r="N35" i="37"/>
  <c r="H35" i="37"/>
  <c r="I35" i="37" s="1"/>
  <c r="AD34" i="37"/>
  <c r="Z34" i="37"/>
  <c r="O34" i="37"/>
  <c r="N34" i="37"/>
  <c r="H34" i="37"/>
  <c r="I34" i="37" s="1"/>
  <c r="AD33" i="37"/>
  <c r="O33" i="37"/>
  <c r="Z33" i="37"/>
  <c r="N33" i="37"/>
  <c r="H33" i="37"/>
  <c r="I33" i="37" s="1"/>
  <c r="AD32" i="37"/>
  <c r="Z32" i="37"/>
  <c r="O32" i="37"/>
  <c r="H32" i="37"/>
  <c r="I32" i="37" s="1"/>
  <c r="N32" i="37" s="1"/>
  <c r="AD31" i="37"/>
  <c r="O31" i="37"/>
  <c r="Z31" i="37"/>
  <c r="N31" i="37"/>
  <c r="H31" i="37"/>
  <c r="I31" i="37" s="1"/>
  <c r="AD30" i="37"/>
  <c r="O30" i="37"/>
  <c r="Z30" i="37"/>
  <c r="H30" i="37"/>
  <c r="I30" i="37" s="1"/>
  <c r="N30" i="37" s="1"/>
  <c r="AD74" i="36"/>
  <c r="O74" i="36"/>
  <c r="Z74" i="36"/>
  <c r="N74" i="36"/>
  <c r="H74" i="36"/>
  <c r="I74" i="36" s="1"/>
  <c r="AD73" i="36"/>
  <c r="Z73" i="36"/>
  <c r="O73" i="36"/>
  <c r="N73" i="36"/>
  <c r="H73" i="36"/>
  <c r="I73" i="36" s="1"/>
  <c r="AD72" i="36"/>
  <c r="Z72" i="36"/>
  <c r="O72" i="36"/>
  <c r="N72" i="36"/>
  <c r="H72" i="36"/>
  <c r="I72" i="36" s="1"/>
  <c r="AD71" i="36"/>
  <c r="O71" i="36"/>
  <c r="Z71" i="36"/>
  <c r="N71" i="36"/>
  <c r="H71" i="36"/>
  <c r="I71" i="36" s="1"/>
  <c r="AD70" i="36"/>
  <c r="Z70" i="36"/>
  <c r="O70" i="36"/>
  <c r="N70" i="36"/>
  <c r="H70" i="36"/>
  <c r="I70" i="36" s="1"/>
  <c r="AD69" i="36"/>
  <c r="Z69" i="36"/>
  <c r="O69" i="36"/>
  <c r="N69" i="36"/>
  <c r="H69" i="36"/>
  <c r="I69" i="36" s="1"/>
  <c r="AD68" i="36"/>
  <c r="Z68" i="36"/>
  <c r="O68" i="36"/>
  <c r="N68" i="36"/>
  <c r="I68" i="36"/>
  <c r="H68" i="36"/>
  <c r="AD67" i="36"/>
  <c r="Z67" i="36"/>
  <c r="O67" i="36"/>
  <c r="N67" i="36"/>
  <c r="H67" i="36"/>
  <c r="I67" i="36" s="1"/>
  <c r="AD66" i="36"/>
  <c r="Z66" i="36"/>
  <c r="O66" i="36"/>
  <c r="N66" i="36"/>
  <c r="H66" i="36"/>
  <c r="I66" i="36" s="1"/>
  <c r="AD65" i="36"/>
  <c r="Z65" i="36"/>
  <c r="O65" i="36"/>
  <c r="N65" i="36"/>
  <c r="H65" i="36"/>
  <c r="I65" i="36" s="1"/>
  <c r="AD64" i="36"/>
  <c r="O64" i="36"/>
  <c r="Z64" i="36"/>
  <c r="N64" i="36"/>
  <c r="H64" i="36"/>
  <c r="I64" i="36" s="1"/>
  <c r="AD63" i="36"/>
  <c r="Z63" i="36"/>
  <c r="O63" i="36"/>
  <c r="N63" i="36"/>
  <c r="H63" i="36"/>
  <c r="I63" i="36" s="1"/>
  <c r="AD62" i="36"/>
  <c r="O62" i="36"/>
  <c r="Z62" i="36"/>
  <c r="N62" i="36"/>
  <c r="H62" i="36"/>
  <c r="I62" i="36" s="1"/>
  <c r="AD61" i="36"/>
  <c r="Z61" i="36"/>
  <c r="O61" i="36"/>
  <c r="N61" i="36"/>
  <c r="H61" i="36"/>
  <c r="I61" i="36" s="1"/>
  <c r="AD60" i="36"/>
  <c r="Z60" i="36"/>
  <c r="O60" i="36"/>
  <c r="N60" i="36"/>
  <c r="H60" i="36"/>
  <c r="I60" i="36" s="1"/>
  <c r="AD59" i="36"/>
  <c r="O59" i="36"/>
  <c r="Z59" i="36"/>
  <c r="N59" i="36"/>
  <c r="H59" i="36"/>
  <c r="I59" i="36" s="1"/>
  <c r="AD58" i="36"/>
  <c r="Z58" i="36"/>
  <c r="O58" i="36"/>
  <c r="N58" i="36"/>
  <c r="H58" i="36"/>
  <c r="I58" i="36" s="1"/>
  <c r="AD57" i="36"/>
  <c r="Z57" i="36"/>
  <c r="O57" i="36"/>
  <c r="N57" i="36"/>
  <c r="H57" i="36"/>
  <c r="I57" i="36" s="1"/>
  <c r="AD56" i="36"/>
  <c r="Z56" i="36"/>
  <c r="O56" i="36"/>
  <c r="N56" i="36"/>
  <c r="H56" i="36"/>
  <c r="I56" i="36" s="1"/>
  <c r="AD55" i="36"/>
  <c r="Z55" i="36"/>
  <c r="O55" i="36"/>
  <c r="N55" i="36"/>
  <c r="H55" i="36"/>
  <c r="I55" i="36" s="1"/>
  <c r="AD54" i="36"/>
  <c r="Z54" i="36"/>
  <c r="O54" i="36"/>
  <c r="N54" i="36"/>
  <c r="H54" i="36"/>
  <c r="I54" i="36" s="1"/>
  <c r="AD53" i="36"/>
  <c r="Z53" i="36"/>
  <c r="O53" i="36"/>
  <c r="N53" i="36"/>
  <c r="H53" i="36"/>
  <c r="I53" i="36" s="1"/>
  <c r="AD52" i="36"/>
  <c r="O52" i="36"/>
  <c r="Z52" i="36"/>
  <c r="N52" i="36"/>
  <c r="H52" i="36"/>
  <c r="I52" i="36" s="1"/>
  <c r="AD51" i="36"/>
  <c r="Z51" i="36"/>
  <c r="O51" i="36"/>
  <c r="N51" i="36"/>
  <c r="H51" i="36"/>
  <c r="I51" i="36" s="1"/>
  <c r="AD50" i="36"/>
  <c r="O50" i="36"/>
  <c r="Z50" i="36"/>
  <c r="N50" i="36"/>
  <c r="H50" i="36"/>
  <c r="I50" i="36" s="1"/>
  <c r="AD49" i="36"/>
  <c r="Z49" i="36"/>
  <c r="O49" i="36"/>
  <c r="N49" i="36"/>
  <c r="H49" i="36"/>
  <c r="I49" i="36" s="1"/>
  <c r="AD48" i="36"/>
  <c r="Z48" i="36"/>
  <c r="O48" i="36"/>
  <c r="N48" i="36"/>
  <c r="H48" i="36"/>
  <c r="I48" i="36" s="1"/>
  <c r="AD47" i="36"/>
  <c r="O47" i="36"/>
  <c r="Z47" i="36"/>
  <c r="N47" i="36"/>
  <c r="H47" i="36"/>
  <c r="I47" i="36" s="1"/>
  <c r="AD46" i="36"/>
  <c r="Z46" i="36"/>
  <c r="O46" i="36"/>
  <c r="N46" i="36"/>
  <c r="H46" i="36"/>
  <c r="I46" i="36" s="1"/>
  <c r="AD45" i="36"/>
  <c r="Z45" i="36"/>
  <c r="O45" i="36"/>
  <c r="N45" i="36"/>
  <c r="H45" i="36"/>
  <c r="I45" i="36" s="1"/>
  <c r="AD44" i="36"/>
  <c r="Z44" i="36"/>
  <c r="O44" i="36"/>
  <c r="N44" i="36"/>
  <c r="H44" i="36"/>
  <c r="I44" i="36" s="1"/>
  <c r="AD43" i="36"/>
  <c r="Z43" i="36"/>
  <c r="O43" i="36"/>
  <c r="N43" i="36"/>
  <c r="H43" i="36"/>
  <c r="I43" i="36" s="1"/>
  <c r="AD42" i="36"/>
  <c r="Z42" i="36"/>
  <c r="O42" i="36"/>
  <c r="N42" i="36"/>
  <c r="H42" i="36"/>
  <c r="I42" i="36" s="1"/>
  <c r="AD41" i="36"/>
  <c r="Z41" i="36"/>
  <c r="O41" i="36"/>
  <c r="N41" i="36"/>
  <c r="H41" i="36"/>
  <c r="I41" i="36" s="1"/>
  <c r="AD40" i="36"/>
  <c r="O40" i="36"/>
  <c r="Z40" i="36"/>
  <c r="N40" i="36"/>
  <c r="H40" i="36"/>
  <c r="I40" i="36" s="1"/>
  <c r="AD39" i="36"/>
  <c r="Z39" i="36"/>
  <c r="O39" i="36"/>
  <c r="N39" i="36"/>
  <c r="H39" i="36"/>
  <c r="I39" i="36" s="1"/>
  <c r="AD38" i="36"/>
  <c r="O38" i="36"/>
  <c r="Z38" i="36"/>
  <c r="N38" i="36"/>
  <c r="H38" i="36"/>
  <c r="I38" i="36" s="1"/>
  <c r="AD37" i="36"/>
  <c r="Z37" i="36"/>
  <c r="O37" i="36"/>
  <c r="N37" i="36"/>
  <c r="H37" i="36"/>
  <c r="I37" i="36" s="1"/>
  <c r="AD36" i="36"/>
  <c r="Z36" i="36"/>
  <c r="O36" i="36"/>
  <c r="N36" i="36"/>
  <c r="H36" i="36"/>
  <c r="I36" i="36" s="1"/>
  <c r="AD35" i="36"/>
  <c r="O35" i="36"/>
  <c r="Z35" i="36"/>
  <c r="N35" i="36"/>
  <c r="H35" i="36"/>
  <c r="I35" i="36" s="1"/>
  <c r="AD34" i="36"/>
  <c r="Z34" i="36"/>
  <c r="O34" i="36"/>
  <c r="N34" i="36"/>
  <c r="H34" i="36"/>
  <c r="I34" i="36" s="1"/>
  <c r="AD33" i="36"/>
  <c r="Z33" i="36"/>
  <c r="O33" i="36"/>
  <c r="N33" i="36"/>
  <c r="H33" i="36"/>
  <c r="I33" i="36" s="1"/>
  <c r="AD32" i="36"/>
  <c r="O32" i="36"/>
  <c r="Z32" i="36"/>
  <c r="H32" i="36"/>
  <c r="I32" i="36" s="1"/>
  <c r="N32" i="36" s="1"/>
  <c r="AD31" i="36"/>
  <c r="Z31" i="36"/>
  <c r="N31" i="36"/>
  <c r="H31" i="36"/>
  <c r="I31" i="36" s="1"/>
  <c r="AD30" i="36"/>
  <c r="O30" i="36"/>
  <c r="Z30" i="36"/>
  <c r="H30" i="36"/>
  <c r="I30" i="36" s="1"/>
  <c r="N30" i="36" s="1"/>
  <c r="E27" i="25"/>
  <c r="P63" i="57"/>
  <c r="D35" i="5"/>
  <c r="D34" i="5"/>
  <c r="AM20" i="62" l="1"/>
  <c r="AM21" i="62"/>
  <c r="AL20" i="62"/>
  <c r="AL21" i="62"/>
  <c r="G38" i="62"/>
  <c r="G56" i="62"/>
  <c r="G47" i="62"/>
  <c r="G41" i="62"/>
  <c r="G26" i="62"/>
  <c r="G59" i="62"/>
  <c r="G53" i="62"/>
  <c r="G50" i="62"/>
  <c r="G44" i="62"/>
  <c r="G35" i="62"/>
  <c r="G32" i="62"/>
  <c r="G29" i="62"/>
  <c r="G20" i="62"/>
  <c r="G21" i="62"/>
  <c r="H20" i="62"/>
  <c r="H21" i="62"/>
  <c r="W20" i="62"/>
  <c r="W21" i="62"/>
  <c r="G18" i="62"/>
  <c r="BF22" i="55"/>
  <c r="J36" i="55"/>
  <c r="K36" i="55" s="1"/>
  <c r="L36" i="55" s="1"/>
  <c r="M36" i="55" s="1"/>
  <c r="N36" i="55" s="1"/>
  <c r="O36" i="55" s="1"/>
  <c r="P36" i="55" s="1"/>
  <c r="Q36" i="55" s="1"/>
  <c r="R36" i="55" s="1"/>
  <c r="S36" i="55" s="1"/>
  <c r="T36" i="55" s="1"/>
  <c r="U36" i="55" s="1"/>
  <c r="V36" i="55" s="1"/>
  <c r="W36" i="55" s="1"/>
  <c r="X36" i="55" s="1"/>
  <c r="Y36" i="55" s="1"/>
  <c r="Z36" i="55" s="1"/>
  <c r="AA36" i="55" s="1"/>
  <c r="AB36" i="55" s="1"/>
  <c r="AC36" i="55" s="1"/>
  <c r="AD36" i="55" s="1"/>
  <c r="AE36" i="55" s="1"/>
  <c r="AF36" i="55" s="1"/>
  <c r="AG36" i="55" s="1"/>
  <c r="AH36" i="55" s="1"/>
  <c r="AI36" i="55" s="1"/>
  <c r="AJ36" i="55" s="1"/>
  <c r="AK36" i="55" s="1"/>
  <c r="AL36" i="55" s="1"/>
  <c r="AM36" i="55" s="1"/>
  <c r="AN36" i="55" s="1"/>
  <c r="AL18" i="62"/>
  <c r="AM18" i="62"/>
  <c r="H18" i="62"/>
  <c r="AA16" i="55"/>
  <c r="Y83" i="55"/>
  <c r="J42" i="55"/>
  <c r="I17" i="62"/>
  <c r="K23" i="55"/>
  <c r="AN17" i="62"/>
  <c r="K30" i="55"/>
  <c r="X11" i="60"/>
  <c r="AL45" i="60"/>
  <c r="B47" i="60" s="1"/>
  <c r="O31" i="36"/>
  <c r="O32" i="41"/>
  <c r="O30" i="41"/>
  <c r="O31" i="40"/>
  <c r="T76" i="54"/>
  <c r="AN56" i="54"/>
  <c r="J56" i="54"/>
  <c r="Y17" i="2"/>
  <c r="Z7" i="1"/>
  <c r="O16" i="5"/>
  <c r="P16" i="5"/>
  <c r="AF16" i="5"/>
  <c r="AS68" i="55"/>
  <c r="AS65" i="55"/>
  <c r="AS35" i="54"/>
  <c r="AZ61" i="54" s="1"/>
  <c r="AS32" i="54"/>
  <c r="AN53" i="1"/>
  <c r="E1" i="59"/>
  <c r="A4" i="59"/>
  <c r="AA47" i="60" l="1"/>
  <c r="AN20" i="62"/>
  <c r="AN21" i="62"/>
  <c r="I20" i="62"/>
  <c r="I21" i="62"/>
  <c r="Z35" i="1"/>
  <c r="L45" i="50"/>
  <c r="J43" i="55"/>
  <c r="CV17" i="62" s="1"/>
  <c r="BG20" i="55"/>
  <c r="J37" i="55"/>
  <c r="BR17" i="62"/>
  <c r="BQ17" i="62"/>
  <c r="AN18" i="62"/>
  <c r="I18" i="62"/>
  <c r="AF16" i="55"/>
  <c r="AL16" i="55" s="1"/>
  <c r="AC83" i="55"/>
  <c r="J49" i="55"/>
  <c r="K37" i="55"/>
  <c r="BS17" i="62"/>
  <c r="L30" i="55"/>
  <c r="AO17" i="62"/>
  <c r="J17" i="62"/>
  <c r="L23" i="55"/>
  <c r="W74" i="48"/>
  <c r="K74" i="48"/>
  <c r="H74" i="48"/>
  <c r="I74" i="48" s="1"/>
  <c r="W73" i="48"/>
  <c r="K73" i="48"/>
  <c r="H73" i="48"/>
  <c r="I73" i="48" s="1"/>
  <c r="W72" i="48"/>
  <c r="K72" i="48"/>
  <c r="H72" i="48"/>
  <c r="I72" i="48" s="1"/>
  <c r="W71" i="48"/>
  <c r="K71" i="48"/>
  <c r="H71" i="48"/>
  <c r="I71" i="48" s="1"/>
  <c r="W70" i="48"/>
  <c r="K70" i="48"/>
  <c r="H70" i="48"/>
  <c r="I70" i="48" s="1"/>
  <c r="W69" i="48"/>
  <c r="K69" i="48"/>
  <c r="H69" i="48"/>
  <c r="I69" i="48" s="1"/>
  <c r="W68" i="48"/>
  <c r="K68" i="48"/>
  <c r="H68" i="48"/>
  <c r="I68" i="48" s="1"/>
  <c r="W67" i="48"/>
  <c r="K67" i="48"/>
  <c r="H67" i="48"/>
  <c r="I67" i="48" s="1"/>
  <c r="W66" i="48"/>
  <c r="K66" i="48"/>
  <c r="H66" i="48"/>
  <c r="I66" i="48" s="1"/>
  <c r="W65" i="48"/>
  <c r="K65" i="48"/>
  <c r="H65" i="48"/>
  <c r="I65" i="48" s="1"/>
  <c r="W64" i="48"/>
  <c r="K64" i="48"/>
  <c r="H64" i="48"/>
  <c r="I64" i="48" s="1"/>
  <c r="W63" i="48"/>
  <c r="K63" i="48"/>
  <c r="H63" i="48"/>
  <c r="I63" i="48" s="1"/>
  <c r="W62" i="48"/>
  <c r="K62" i="48"/>
  <c r="H62" i="48"/>
  <c r="I62" i="48" s="1"/>
  <c r="W61" i="48"/>
  <c r="K61" i="48"/>
  <c r="H61" i="48"/>
  <c r="I61" i="48" s="1"/>
  <c r="W60" i="48"/>
  <c r="K60" i="48"/>
  <c r="H60" i="48"/>
  <c r="I60" i="48" s="1"/>
  <c r="W59" i="48"/>
  <c r="K59" i="48"/>
  <c r="H59" i="48"/>
  <c r="I59" i="48" s="1"/>
  <c r="W58" i="48"/>
  <c r="K58" i="48"/>
  <c r="H58" i="48"/>
  <c r="I58" i="48" s="1"/>
  <c r="W57" i="48"/>
  <c r="K57" i="48"/>
  <c r="H57" i="48"/>
  <c r="I57" i="48" s="1"/>
  <c r="W56" i="48"/>
  <c r="K56" i="48"/>
  <c r="H56" i="48"/>
  <c r="I56" i="48" s="1"/>
  <c r="W55" i="48"/>
  <c r="K55" i="48"/>
  <c r="H55" i="48"/>
  <c r="I55" i="48" s="1"/>
  <c r="W54" i="48"/>
  <c r="K54" i="48"/>
  <c r="H54" i="48"/>
  <c r="I54" i="48" s="1"/>
  <c r="W53" i="48"/>
  <c r="K53" i="48"/>
  <c r="H53" i="48"/>
  <c r="I53" i="48" s="1"/>
  <c r="W52" i="48"/>
  <c r="K52" i="48"/>
  <c r="H52" i="48"/>
  <c r="I52" i="48" s="1"/>
  <c r="W51" i="48"/>
  <c r="K51" i="48"/>
  <c r="H51" i="48"/>
  <c r="I51" i="48" s="1"/>
  <c r="W50" i="48"/>
  <c r="K50" i="48"/>
  <c r="H50" i="48"/>
  <c r="I50" i="48" s="1"/>
  <c r="W49" i="48"/>
  <c r="K49" i="48"/>
  <c r="H49" i="48"/>
  <c r="I49" i="48" s="1"/>
  <c r="W48" i="48"/>
  <c r="K48" i="48"/>
  <c r="H48" i="48"/>
  <c r="I48" i="48" s="1"/>
  <c r="W47" i="48"/>
  <c r="K47" i="48"/>
  <c r="H47" i="48"/>
  <c r="I47" i="48" s="1"/>
  <c r="W46" i="48"/>
  <c r="K46" i="48"/>
  <c r="H46" i="48"/>
  <c r="I46" i="48" s="1"/>
  <c r="W45" i="48"/>
  <c r="K45" i="48"/>
  <c r="H45" i="48"/>
  <c r="I45" i="48" s="1"/>
  <c r="W44" i="48"/>
  <c r="K44" i="48"/>
  <c r="H44" i="48"/>
  <c r="I44" i="48" s="1"/>
  <c r="W43" i="48"/>
  <c r="K43" i="48"/>
  <c r="H43" i="48"/>
  <c r="I43" i="48" s="1"/>
  <c r="W42" i="48"/>
  <c r="K42" i="48"/>
  <c r="H42" i="48"/>
  <c r="I42" i="48" s="1"/>
  <c r="W41" i="48"/>
  <c r="K41" i="48"/>
  <c r="H41" i="48"/>
  <c r="I41" i="48" s="1"/>
  <c r="W40" i="48"/>
  <c r="K40" i="48"/>
  <c r="I40" i="48"/>
  <c r="H40" i="48"/>
  <c r="W39" i="48"/>
  <c r="K39" i="48"/>
  <c r="H39" i="48"/>
  <c r="I39" i="48" s="1"/>
  <c r="W38" i="48"/>
  <c r="K38" i="48"/>
  <c r="H38" i="48"/>
  <c r="I38" i="48" s="1"/>
  <c r="W37" i="48"/>
  <c r="K37" i="48"/>
  <c r="H37" i="48"/>
  <c r="I37" i="48" s="1"/>
  <c r="W36" i="48"/>
  <c r="K36" i="48"/>
  <c r="H36" i="48"/>
  <c r="I36" i="48" s="1"/>
  <c r="W35" i="48"/>
  <c r="H35" i="48"/>
  <c r="I35" i="48" s="1"/>
  <c r="K35" i="48" s="1"/>
  <c r="W34" i="48"/>
  <c r="K34" i="48"/>
  <c r="H34" i="48"/>
  <c r="I34" i="48" s="1"/>
  <c r="W33" i="48"/>
  <c r="H33" i="48"/>
  <c r="I33" i="48" s="1"/>
  <c r="K33" i="48" s="1"/>
  <c r="W32" i="48"/>
  <c r="K32" i="48"/>
  <c r="H32" i="48"/>
  <c r="I32" i="48" s="1"/>
  <c r="W31" i="48"/>
  <c r="K31" i="48"/>
  <c r="H31" i="48"/>
  <c r="I31" i="48" s="1"/>
  <c r="W30" i="48"/>
  <c r="K30" i="48"/>
  <c r="H30" i="48"/>
  <c r="I30" i="48" s="1"/>
  <c r="W74" i="47"/>
  <c r="K74" i="47"/>
  <c r="H74" i="47"/>
  <c r="I74" i="47" s="1"/>
  <c r="W73" i="47"/>
  <c r="K73" i="47"/>
  <c r="H73" i="47"/>
  <c r="I73" i="47" s="1"/>
  <c r="W72" i="47"/>
  <c r="K72" i="47"/>
  <c r="H72" i="47"/>
  <c r="I72" i="47" s="1"/>
  <c r="W71" i="47"/>
  <c r="K71" i="47"/>
  <c r="H71" i="47"/>
  <c r="I71" i="47" s="1"/>
  <c r="W70" i="47"/>
  <c r="K70" i="47"/>
  <c r="H70" i="47"/>
  <c r="I70" i="47" s="1"/>
  <c r="W69" i="47"/>
  <c r="K69" i="47"/>
  <c r="H69" i="47"/>
  <c r="I69" i="47" s="1"/>
  <c r="W68" i="47"/>
  <c r="K68" i="47"/>
  <c r="H68" i="47"/>
  <c r="I68" i="47" s="1"/>
  <c r="W67" i="47"/>
  <c r="K67" i="47"/>
  <c r="H67" i="47"/>
  <c r="I67" i="47" s="1"/>
  <c r="W66" i="47"/>
  <c r="K66" i="47"/>
  <c r="H66" i="47"/>
  <c r="I66" i="47" s="1"/>
  <c r="W65" i="47"/>
  <c r="K65" i="47"/>
  <c r="H65" i="47"/>
  <c r="I65" i="47" s="1"/>
  <c r="W64" i="47"/>
  <c r="K64" i="47"/>
  <c r="H64" i="47"/>
  <c r="I64" i="47" s="1"/>
  <c r="W63" i="47"/>
  <c r="K63" i="47"/>
  <c r="H63" i="47"/>
  <c r="I63" i="47" s="1"/>
  <c r="W62" i="47"/>
  <c r="K62" i="47"/>
  <c r="H62" i="47"/>
  <c r="I62" i="47" s="1"/>
  <c r="W61" i="47"/>
  <c r="K61" i="47"/>
  <c r="H61" i="47"/>
  <c r="I61" i="47" s="1"/>
  <c r="W60" i="47"/>
  <c r="K60" i="47"/>
  <c r="H60" i="47"/>
  <c r="I60" i="47" s="1"/>
  <c r="W59" i="47"/>
  <c r="K59" i="47"/>
  <c r="H59" i="47"/>
  <c r="I59" i="47" s="1"/>
  <c r="W58" i="47"/>
  <c r="K58" i="47"/>
  <c r="H58" i="47"/>
  <c r="I58" i="47" s="1"/>
  <c r="W57" i="47"/>
  <c r="K57" i="47"/>
  <c r="H57" i="47"/>
  <c r="I57" i="47" s="1"/>
  <c r="W56" i="47"/>
  <c r="K56" i="47"/>
  <c r="H56" i="47"/>
  <c r="I56" i="47" s="1"/>
  <c r="W55" i="47"/>
  <c r="K55" i="47"/>
  <c r="H55" i="47"/>
  <c r="I55" i="47" s="1"/>
  <c r="W54" i="47"/>
  <c r="K54" i="47"/>
  <c r="H54" i="47"/>
  <c r="I54" i="47" s="1"/>
  <c r="W53" i="47"/>
  <c r="K53" i="47"/>
  <c r="H53" i="47"/>
  <c r="I53" i="47" s="1"/>
  <c r="W52" i="47"/>
  <c r="K52" i="47"/>
  <c r="H52" i="47"/>
  <c r="I52" i="47" s="1"/>
  <c r="W51" i="47"/>
  <c r="K51" i="47"/>
  <c r="H51" i="47"/>
  <c r="I51" i="47" s="1"/>
  <c r="W50" i="47"/>
  <c r="K50" i="47"/>
  <c r="H50" i="47"/>
  <c r="I50" i="47" s="1"/>
  <c r="W49" i="47"/>
  <c r="K49" i="47"/>
  <c r="H49" i="47"/>
  <c r="I49" i="47" s="1"/>
  <c r="W48" i="47"/>
  <c r="K48" i="47"/>
  <c r="H48" i="47"/>
  <c r="I48" i="47" s="1"/>
  <c r="W47" i="47"/>
  <c r="K47" i="47"/>
  <c r="H47" i="47"/>
  <c r="I47" i="47" s="1"/>
  <c r="W46" i="47"/>
  <c r="K46" i="47"/>
  <c r="H46" i="47"/>
  <c r="I46" i="47" s="1"/>
  <c r="W45" i="47"/>
  <c r="K45" i="47"/>
  <c r="H45" i="47"/>
  <c r="I45" i="47" s="1"/>
  <c r="W44" i="47"/>
  <c r="K44" i="47"/>
  <c r="H44" i="47"/>
  <c r="I44" i="47" s="1"/>
  <c r="W43" i="47"/>
  <c r="K43" i="47"/>
  <c r="H43" i="47"/>
  <c r="I43" i="47" s="1"/>
  <c r="W42" i="47"/>
  <c r="K42" i="47"/>
  <c r="H42" i="47"/>
  <c r="I42" i="47" s="1"/>
  <c r="W41" i="47"/>
  <c r="K41" i="47"/>
  <c r="H41" i="47"/>
  <c r="I41" i="47" s="1"/>
  <c r="W40" i="47"/>
  <c r="K40" i="47"/>
  <c r="H40" i="47"/>
  <c r="I40" i="47" s="1"/>
  <c r="W39" i="47"/>
  <c r="K39" i="47"/>
  <c r="H39" i="47"/>
  <c r="I39" i="47" s="1"/>
  <c r="W38" i="47"/>
  <c r="K38" i="47"/>
  <c r="H38" i="47"/>
  <c r="I38" i="47" s="1"/>
  <c r="W37" i="47"/>
  <c r="K37" i="47"/>
  <c r="H37" i="47"/>
  <c r="I37" i="47" s="1"/>
  <c r="W36" i="47"/>
  <c r="H36" i="47"/>
  <c r="I36" i="47" s="1"/>
  <c r="K36" i="47" s="1"/>
  <c r="W35" i="47"/>
  <c r="K35" i="47"/>
  <c r="H35" i="47"/>
  <c r="I35" i="47" s="1"/>
  <c r="W34" i="47"/>
  <c r="H34" i="47"/>
  <c r="I34" i="47" s="1"/>
  <c r="K34" i="47" s="1"/>
  <c r="W33" i="47"/>
  <c r="K33" i="47"/>
  <c r="H33" i="47"/>
  <c r="I33" i="47" s="1"/>
  <c r="W32" i="47"/>
  <c r="K32" i="47"/>
  <c r="H32" i="47"/>
  <c r="I32" i="47" s="1"/>
  <c r="W31" i="47"/>
  <c r="K31" i="47"/>
  <c r="H31" i="47"/>
  <c r="I31" i="47" s="1"/>
  <c r="W30" i="47"/>
  <c r="K30" i="47"/>
  <c r="H30" i="47"/>
  <c r="I30" i="47" s="1"/>
  <c r="W74" i="46"/>
  <c r="K74" i="46"/>
  <c r="H74" i="46"/>
  <c r="I74" i="46" s="1"/>
  <c r="W73" i="46"/>
  <c r="K73" i="46"/>
  <c r="H73" i="46"/>
  <c r="I73" i="46" s="1"/>
  <c r="W72" i="46"/>
  <c r="K72" i="46"/>
  <c r="H72" i="46"/>
  <c r="I72" i="46" s="1"/>
  <c r="W71" i="46"/>
  <c r="K71" i="46"/>
  <c r="H71" i="46"/>
  <c r="I71" i="46" s="1"/>
  <c r="W70" i="46"/>
  <c r="K70" i="46"/>
  <c r="H70" i="46"/>
  <c r="I70" i="46" s="1"/>
  <c r="W69" i="46"/>
  <c r="K69" i="46"/>
  <c r="H69" i="46"/>
  <c r="I69" i="46" s="1"/>
  <c r="W68" i="46"/>
  <c r="K68" i="46"/>
  <c r="H68" i="46"/>
  <c r="I68" i="46" s="1"/>
  <c r="W67" i="46"/>
  <c r="K67" i="46"/>
  <c r="H67" i="46"/>
  <c r="I67" i="46" s="1"/>
  <c r="W66" i="46"/>
  <c r="K66" i="46"/>
  <c r="H66" i="46"/>
  <c r="I66" i="46" s="1"/>
  <c r="W65" i="46"/>
  <c r="K65" i="46"/>
  <c r="H65" i="46"/>
  <c r="I65" i="46" s="1"/>
  <c r="W64" i="46"/>
  <c r="K64" i="46"/>
  <c r="H64" i="46"/>
  <c r="I64" i="46" s="1"/>
  <c r="W63" i="46"/>
  <c r="K63" i="46"/>
  <c r="H63" i="46"/>
  <c r="I63" i="46" s="1"/>
  <c r="W62" i="46"/>
  <c r="K62" i="46"/>
  <c r="H62" i="46"/>
  <c r="I62" i="46" s="1"/>
  <c r="W61" i="46"/>
  <c r="K61" i="46"/>
  <c r="H61" i="46"/>
  <c r="I61" i="46" s="1"/>
  <c r="W60" i="46"/>
  <c r="K60" i="46"/>
  <c r="H60" i="46"/>
  <c r="I60" i="46" s="1"/>
  <c r="W59" i="46"/>
  <c r="K59" i="46"/>
  <c r="H59" i="46"/>
  <c r="I59" i="46" s="1"/>
  <c r="W58" i="46"/>
  <c r="K58" i="46"/>
  <c r="H58" i="46"/>
  <c r="I58" i="46" s="1"/>
  <c r="W57" i="46"/>
  <c r="K57" i="46"/>
  <c r="H57" i="46"/>
  <c r="I57" i="46" s="1"/>
  <c r="W56" i="46"/>
  <c r="K56" i="46"/>
  <c r="H56" i="46"/>
  <c r="I56" i="46" s="1"/>
  <c r="W55" i="46"/>
  <c r="K55" i="46"/>
  <c r="H55" i="46"/>
  <c r="I55" i="46" s="1"/>
  <c r="W54" i="46"/>
  <c r="K54" i="46"/>
  <c r="H54" i="46"/>
  <c r="I54" i="46" s="1"/>
  <c r="W53" i="46"/>
  <c r="K53" i="46"/>
  <c r="H53" i="46"/>
  <c r="I53" i="46" s="1"/>
  <c r="W52" i="46"/>
  <c r="K52" i="46"/>
  <c r="H52" i="46"/>
  <c r="I52" i="46" s="1"/>
  <c r="W51" i="46"/>
  <c r="K51" i="46"/>
  <c r="H51" i="46"/>
  <c r="I51" i="46" s="1"/>
  <c r="W50" i="46"/>
  <c r="K50" i="46"/>
  <c r="H50" i="46"/>
  <c r="I50" i="46" s="1"/>
  <c r="W49" i="46"/>
  <c r="K49" i="46"/>
  <c r="H49" i="46"/>
  <c r="I49" i="46" s="1"/>
  <c r="W48" i="46"/>
  <c r="K48" i="46"/>
  <c r="H48" i="46"/>
  <c r="I48" i="46" s="1"/>
  <c r="W47" i="46"/>
  <c r="K47" i="46"/>
  <c r="H47" i="46"/>
  <c r="I47" i="46" s="1"/>
  <c r="W46" i="46"/>
  <c r="K46" i="46"/>
  <c r="H46" i="46"/>
  <c r="I46" i="46" s="1"/>
  <c r="W45" i="46"/>
  <c r="K45" i="46"/>
  <c r="H45" i="46"/>
  <c r="I45" i="46" s="1"/>
  <c r="W44" i="46"/>
  <c r="K44" i="46"/>
  <c r="H44" i="46"/>
  <c r="I44" i="46" s="1"/>
  <c r="W43" i="46"/>
  <c r="K43" i="46"/>
  <c r="H43" i="46"/>
  <c r="I43" i="46" s="1"/>
  <c r="W42" i="46"/>
  <c r="K42" i="46"/>
  <c r="H42" i="46"/>
  <c r="I42" i="46" s="1"/>
  <c r="W41" i="46"/>
  <c r="K41" i="46"/>
  <c r="H41" i="46"/>
  <c r="I41" i="46" s="1"/>
  <c r="W40" i="46"/>
  <c r="K40" i="46"/>
  <c r="H40" i="46"/>
  <c r="I40" i="46" s="1"/>
  <c r="W39" i="46"/>
  <c r="K39" i="46"/>
  <c r="H39" i="46"/>
  <c r="I39" i="46" s="1"/>
  <c r="W38" i="46"/>
  <c r="K38" i="46"/>
  <c r="H38" i="46"/>
  <c r="I38" i="46" s="1"/>
  <c r="W37" i="46"/>
  <c r="K37" i="46"/>
  <c r="H37" i="46"/>
  <c r="I37" i="46" s="1"/>
  <c r="W36" i="46"/>
  <c r="H36" i="46"/>
  <c r="I36" i="46" s="1"/>
  <c r="K36" i="46" s="1"/>
  <c r="W35" i="46"/>
  <c r="K35" i="46"/>
  <c r="H35" i="46"/>
  <c r="I35" i="46" s="1"/>
  <c r="W34" i="46"/>
  <c r="H34" i="46"/>
  <c r="I34" i="46" s="1"/>
  <c r="K34" i="46" s="1"/>
  <c r="W33" i="46"/>
  <c r="K33" i="46"/>
  <c r="H33" i="46"/>
  <c r="I33" i="46" s="1"/>
  <c r="W32" i="46"/>
  <c r="K32" i="46"/>
  <c r="H32" i="46"/>
  <c r="I32" i="46" s="1"/>
  <c r="W31" i="46"/>
  <c r="K31" i="46"/>
  <c r="H31" i="46"/>
  <c r="I31" i="46" s="1"/>
  <c r="W30" i="46"/>
  <c r="K30" i="46"/>
  <c r="H30" i="46"/>
  <c r="I30" i="46" s="1"/>
  <c r="W74" i="45"/>
  <c r="K74" i="45"/>
  <c r="H74" i="45"/>
  <c r="I74" i="45" s="1"/>
  <c r="W73" i="45"/>
  <c r="K73" i="45"/>
  <c r="H73" i="45"/>
  <c r="I73" i="45" s="1"/>
  <c r="W72" i="45"/>
  <c r="K72" i="45"/>
  <c r="H72" i="45"/>
  <c r="I72" i="45" s="1"/>
  <c r="W71" i="45"/>
  <c r="K71" i="45"/>
  <c r="H71" i="45"/>
  <c r="I71" i="45" s="1"/>
  <c r="W70" i="45"/>
  <c r="K70" i="45"/>
  <c r="H70" i="45"/>
  <c r="I70" i="45" s="1"/>
  <c r="W69" i="45"/>
  <c r="K69" i="45"/>
  <c r="H69" i="45"/>
  <c r="I69" i="45" s="1"/>
  <c r="W68" i="45"/>
  <c r="K68" i="45"/>
  <c r="H68" i="45"/>
  <c r="I68" i="45" s="1"/>
  <c r="W67" i="45"/>
  <c r="K67" i="45"/>
  <c r="H67" i="45"/>
  <c r="I67" i="45" s="1"/>
  <c r="W66" i="45"/>
  <c r="K66" i="45"/>
  <c r="H66" i="45"/>
  <c r="I66" i="45" s="1"/>
  <c r="W65" i="45"/>
  <c r="K65" i="45"/>
  <c r="H65" i="45"/>
  <c r="I65" i="45" s="1"/>
  <c r="W64" i="45"/>
  <c r="K64" i="45"/>
  <c r="H64" i="45"/>
  <c r="I64" i="45" s="1"/>
  <c r="W63" i="45"/>
  <c r="K63" i="45"/>
  <c r="H63" i="45"/>
  <c r="I63" i="45" s="1"/>
  <c r="W62" i="45"/>
  <c r="K62" i="45"/>
  <c r="H62" i="45"/>
  <c r="I62" i="45" s="1"/>
  <c r="W61" i="45"/>
  <c r="K61" i="45"/>
  <c r="H61" i="45"/>
  <c r="I61" i="45" s="1"/>
  <c r="W60" i="45"/>
  <c r="K60" i="45"/>
  <c r="H60" i="45"/>
  <c r="I60" i="45" s="1"/>
  <c r="W59" i="45"/>
  <c r="K59" i="45"/>
  <c r="H59" i="45"/>
  <c r="I59" i="45" s="1"/>
  <c r="W58" i="45"/>
  <c r="K58" i="45"/>
  <c r="H58" i="45"/>
  <c r="I58" i="45" s="1"/>
  <c r="W57" i="45"/>
  <c r="K57" i="45"/>
  <c r="H57" i="45"/>
  <c r="I57" i="45" s="1"/>
  <c r="W56" i="45"/>
  <c r="K56" i="45"/>
  <c r="H56" i="45"/>
  <c r="I56" i="45" s="1"/>
  <c r="W55" i="45"/>
  <c r="K55" i="45"/>
  <c r="H55" i="45"/>
  <c r="I55" i="45" s="1"/>
  <c r="W54" i="45"/>
  <c r="K54" i="45"/>
  <c r="H54" i="45"/>
  <c r="I54" i="45" s="1"/>
  <c r="W53" i="45"/>
  <c r="K53" i="45"/>
  <c r="H53" i="45"/>
  <c r="I53" i="45" s="1"/>
  <c r="W52" i="45"/>
  <c r="K52" i="45"/>
  <c r="H52" i="45"/>
  <c r="I52" i="45" s="1"/>
  <c r="W51" i="45"/>
  <c r="K51" i="45"/>
  <c r="H51" i="45"/>
  <c r="I51" i="45" s="1"/>
  <c r="W50" i="45"/>
  <c r="K50" i="45"/>
  <c r="H50" i="45"/>
  <c r="I50" i="45" s="1"/>
  <c r="W49" i="45"/>
  <c r="K49" i="45"/>
  <c r="H49" i="45"/>
  <c r="I49" i="45" s="1"/>
  <c r="W48" i="45"/>
  <c r="K48" i="45"/>
  <c r="H48" i="45"/>
  <c r="I48" i="45" s="1"/>
  <c r="W47" i="45"/>
  <c r="K47" i="45"/>
  <c r="H47" i="45"/>
  <c r="I47" i="45" s="1"/>
  <c r="W46" i="45"/>
  <c r="K46" i="45"/>
  <c r="H46" i="45"/>
  <c r="I46" i="45" s="1"/>
  <c r="W45" i="45"/>
  <c r="H45" i="45"/>
  <c r="I45" i="45" s="1"/>
  <c r="K45" i="45" s="1"/>
  <c r="W44" i="45"/>
  <c r="K44" i="45"/>
  <c r="H44" i="45"/>
  <c r="I44" i="45" s="1"/>
  <c r="W43" i="45"/>
  <c r="H43" i="45"/>
  <c r="I43" i="45" s="1"/>
  <c r="K43" i="45" s="1"/>
  <c r="W42" i="45"/>
  <c r="K42" i="45"/>
  <c r="H42" i="45"/>
  <c r="I42" i="45" s="1"/>
  <c r="W41" i="45"/>
  <c r="K41" i="45"/>
  <c r="H41" i="45"/>
  <c r="I41" i="45" s="1"/>
  <c r="W40" i="45"/>
  <c r="K40" i="45"/>
  <c r="H40" i="45"/>
  <c r="I40" i="45" s="1"/>
  <c r="W39" i="45"/>
  <c r="K39" i="45"/>
  <c r="H39" i="45"/>
  <c r="I39" i="45" s="1"/>
  <c r="W38" i="45"/>
  <c r="K38" i="45"/>
  <c r="H38" i="45"/>
  <c r="I38" i="45" s="1"/>
  <c r="W37" i="45"/>
  <c r="K37" i="45"/>
  <c r="H37" i="45"/>
  <c r="I37" i="45" s="1"/>
  <c r="W36" i="45"/>
  <c r="K36" i="45"/>
  <c r="H36" i="45"/>
  <c r="I36" i="45" s="1"/>
  <c r="W35" i="45"/>
  <c r="K35" i="45"/>
  <c r="H35" i="45"/>
  <c r="I35" i="45" s="1"/>
  <c r="W34" i="45"/>
  <c r="K34" i="45"/>
  <c r="H34" i="45"/>
  <c r="I34" i="45" s="1"/>
  <c r="W33" i="45"/>
  <c r="K33" i="45"/>
  <c r="H33" i="45"/>
  <c r="I33" i="45" s="1"/>
  <c r="W32" i="45"/>
  <c r="K32" i="45"/>
  <c r="H32" i="45"/>
  <c r="I32" i="45" s="1"/>
  <c r="W31" i="45"/>
  <c r="K31" i="45"/>
  <c r="H31" i="45"/>
  <c r="I31" i="45" s="1"/>
  <c r="W30" i="45"/>
  <c r="K30" i="45"/>
  <c r="H30" i="45"/>
  <c r="I30" i="45" s="1"/>
  <c r="W74" i="44"/>
  <c r="K74" i="44"/>
  <c r="H74" i="44"/>
  <c r="I74" i="44" s="1"/>
  <c r="W73" i="44"/>
  <c r="K73" i="44"/>
  <c r="H73" i="44"/>
  <c r="I73" i="44" s="1"/>
  <c r="W72" i="44"/>
  <c r="K72" i="44"/>
  <c r="H72" i="44"/>
  <c r="I72" i="44" s="1"/>
  <c r="W71" i="44"/>
  <c r="K71" i="44"/>
  <c r="H71" i="44"/>
  <c r="I71" i="44" s="1"/>
  <c r="W70" i="44"/>
  <c r="K70" i="44"/>
  <c r="H70" i="44"/>
  <c r="I70" i="44" s="1"/>
  <c r="W69" i="44"/>
  <c r="K69" i="44"/>
  <c r="H69" i="44"/>
  <c r="I69" i="44" s="1"/>
  <c r="W68" i="44"/>
  <c r="K68" i="44"/>
  <c r="H68" i="44"/>
  <c r="I68" i="44" s="1"/>
  <c r="W67" i="44"/>
  <c r="K67" i="44"/>
  <c r="H67" i="44"/>
  <c r="I67" i="44" s="1"/>
  <c r="W66" i="44"/>
  <c r="K66" i="44"/>
  <c r="H66" i="44"/>
  <c r="I66" i="44" s="1"/>
  <c r="W65" i="44"/>
  <c r="K65" i="44"/>
  <c r="H65" i="44"/>
  <c r="I65" i="44" s="1"/>
  <c r="W64" i="44"/>
  <c r="K64" i="44"/>
  <c r="H64" i="44"/>
  <c r="I64" i="44" s="1"/>
  <c r="W63" i="44"/>
  <c r="K63" i="44"/>
  <c r="H63" i="44"/>
  <c r="I63" i="44" s="1"/>
  <c r="W62" i="44"/>
  <c r="K62" i="44"/>
  <c r="H62" i="44"/>
  <c r="I62" i="44" s="1"/>
  <c r="W61" i="44"/>
  <c r="K61" i="44"/>
  <c r="H61" i="44"/>
  <c r="I61" i="44" s="1"/>
  <c r="W60" i="44"/>
  <c r="K60" i="44"/>
  <c r="H60" i="44"/>
  <c r="I60" i="44" s="1"/>
  <c r="W59" i="44"/>
  <c r="K59" i="44"/>
  <c r="H59" i="44"/>
  <c r="I59" i="44" s="1"/>
  <c r="W58" i="44"/>
  <c r="K58" i="44"/>
  <c r="H58" i="44"/>
  <c r="I58" i="44" s="1"/>
  <c r="W57" i="44"/>
  <c r="K57" i="44"/>
  <c r="H57" i="44"/>
  <c r="I57" i="44" s="1"/>
  <c r="W56" i="44"/>
  <c r="K56" i="44"/>
  <c r="H56" i="44"/>
  <c r="I56" i="44" s="1"/>
  <c r="W55" i="44"/>
  <c r="K55" i="44"/>
  <c r="H55" i="44"/>
  <c r="I55" i="44" s="1"/>
  <c r="W54" i="44"/>
  <c r="K54" i="44"/>
  <c r="H54" i="44"/>
  <c r="I54" i="44" s="1"/>
  <c r="W53" i="44"/>
  <c r="K53" i="44"/>
  <c r="H53" i="44"/>
  <c r="I53" i="44" s="1"/>
  <c r="W52" i="44"/>
  <c r="K52" i="44"/>
  <c r="H52" i="44"/>
  <c r="I52" i="44" s="1"/>
  <c r="W51" i="44"/>
  <c r="K51" i="44"/>
  <c r="H51" i="44"/>
  <c r="I51" i="44" s="1"/>
  <c r="W50" i="44"/>
  <c r="K50" i="44"/>
  <c r="H50" i="44"/>
  <c r="I50" i="44" s="1"/>
  <c r="W49" i="44"/>
  <c r="K49" i="44"/>
  <c r="H49" i="44"/>
  <c r="I49" i="44" s="1"/>
  <c r="W48" i="44"/>
  <c r="K48" i="44"/>
  <c r="H48" i="44"/>
  <c r="I48" i="44" s="1"/>
  <c r="W47" i="44"/>
  <c r="K47" i="44"/>
  <c r="H47" i="44"/>
  <c r="I47" i="44" s="1"/>
  <c r="W46" i="44"/>
  <c r="K46" i="44"/>
  <c r="H46" i="44"/>
  <c r="I46" i="44" s="1"/>
  <c r="W45" i="44"/>
  <c r="K45" i="44"/>
  <c r="H45" i="44"/>
  <c r="I45" i="44" s="1"/>
  <c r="W44" i="44"/>
  <c r="K44" i="44"/>
  <c r="H44" i="44"/>
  <c r="I44" i="44" s="1"/>
  <c r="W43" i="44"/>
  <c r="K43" i="44"/>
  <c r="H43" i="44"/>
  <c r="I43" i="44" s="1"/>
  <c r="W42" i="44"/>
  <c r="K42" i="44"/>
  <c r="H42" i="44"/>
  <c r="I42" i="44" s="1"/>
  <c r="W41" i="44"/>
  <c r="K41" i="44"/>
  <c r="H41" i="44"/>
  <c r="I41" i="44" s="1"/>
  <c r="W40" i="44"/>
  <c r="K40" i="44"/>
  <c r="H40" i="44"/>
  <c r="I40" i="44" s="1"/>
  <c r="W39" i="44"/>
  <c r="H39" i="44"/>
  <c r="I39" i="44" s="1"/>
  <c r="K39" i="44" s="1"/>
  <c r="W38" i="44"/>
  <c r="H38" i="44"/>
  <c r="I38" i="44" s="1"/>
  <c r="K38" i="44" s="1"/>
  <c r="W37" i="44"/>
  <c r="H37" i="44"/>
  <c r="I37" i="44" s="1"/>
  <c r="K37" i="44" s="1"/>
  <c r="W36" i="44"/>
  <c r="K36" i="44"/>
  <c r="H36" i="44"/>
  <c r="I36" i="44" s="1"/>
  <c r="W35" i="44"/>
  <c r="K35" i="44"/>
  <c r="H35" i="44"/>
  <c r="I35" i="44" s="1"/>
  <c r="W34" i="44"/>
  <c r="K34" i="44"/>
  <c r="H34" i="44"/>
  <c r="I34" i="44" s="1"/>
  <c r="W33" i="44"/>
  <c r="K33" i="44"/>
  <c r="H33" i="44"/>
  <c r="I33" i="44" s="1"/>
  <c r="W32" i="44"/>
  <c r="K32" i="44"/>
  <c r="H32" i="44"/>
  <c r="I32" i="44" s="1"/>
  <c r="W31" i="44"/>
  <c r="K31" i="44"/>
  <c r="H31" i="44"/>
  <c r="I31" i="44" s="1"/>
  <c r="W30" i="44"/>
  <c r="K30" i="44"/>
  <c r="H30" i="44"/>
  <c r="I30" i="44" s="1"/>
  <c r="W74" i="43"/>
  <c r="K74" i="43"/>
  <c r="H74" i="43"/>
  <c r="I74" i="43" s="1"/>
  <c r="W73" i="43"/>
  <c r="K73" i="43"/>
  <c r="H73" i="43"/>
  <c r="I73" i="43" s="1"/>
  <c r="W72" i="43"/>
  <c r="K72" i="43"/>
  <c r="H72" i="43"/>
  <c r="I72" i="43" s="1"/>
  <c r="W71" i="43"/>
  <c r="K71" i="43"/>
  <c r="H71" i="43"/>
  <c r="I71" i="43" s="1"/>
  <c r="W70" i="43"/>
  <c r="K70" i="43"/>
  <c r="H70" i="43"/>
  <c r="I70" i="43" s="1"/>
  <c r="W69" i="43"/>
  <c r="K69" i="43"/>
  <c r="H69" i="43"/>
  <c r="I69" i="43" s="1"/>
  <c r="W68" i="43"/>
  <c r="K68" i="43"/>
  <c r="H68" i="43"/>
  <c r="I68" i="43" s="1"/>
  <c r="W67" i="43"/>
  <c r="K67" i="43"/>
  <c r="H67" i="43"/>
  <c r="I67" i="43" s="1"/>
  <c r="W66" i="43"/>
  <c r="K66" i="43"/>
  <c r="H66" i="43"/>
  <c r="I66" i="43" s="1"/>
  <c r="W65" i="43"/>
  <c r="K65" i="43"/>
  <c r="H65" i="43"/>
  <c r="I65" i="43" s="1"/>
  <c r="W64" i="43"/>
  <c r="K64" i="43"/>
  <c r="H64" i="43"/>
  <c r="I64" i="43" s="1"/>
  <c r="W63" i="43"/>
  <c r="K63" i="43"/>
  <c r="H63" i="43"/>
  <c r="I63" i="43" s="1"/>
  <c r="W62" i="43"/>
  <c r="K62" i="43"/>
  <c r="H62" i="43"/>
  <c r="I62" i="43" s="1"/>
  <c r="W61" i="43"/>
  <c r="K61" i="43"/>
  <c r="H61" i="43"/>
  <c r="I61" i="43" s="1"/>
  <c r="W60" i="43"/>
  <c r="K60" i="43"/>
  <c r="H60" i="43"/>
  <c r="I60" i="43" s="1"/>
  <c r="W59" i="43"/>
  <c r="K59" i="43"/>
  <c r="H59" i="43"/>
  <c r="I59" i="43" s="1"/>
  <c r="W58" i="43"/>
  <c r="K58" i="43"/>
  <c r="H58" i="43"/>
  <c r="I58" i="43" s="1"/>
  <c r="W57" i="43"/>
  <c r="K57" i="43"/>
  <c r="H57" i="43"/>
  <c r="I57" i="43" s="1"/>
  <c r="W56" i="43"/>
  <c r="K56" i="43"/>
  <c r="H56" i="43"/>
  <c r="I56" i="43" s="1"/>
  <c r="W55" i="43"/>
  <c r="K55" i="43"/>
  <c r="H55" i="43"/>
  <c r="I55" i="43" s="1"/>
  <c r="W54" i="43"/>
  <c r="K54" i="43"/>
  <c r="H54" i="43"/>
  <c r="I54" i="43" s="1"/>
  <c r="W53" i="43"/>
  <c r="K53" i="43"/>
  <c r="H53" i="43"/>
  <c r="I53" i="43" s="1"/>
  <c r="W52" i="43"/>
  <c r="K52" i="43"/>
  <c r="H52" i="43"/>
  <c r="I52" i="43" s="1"/>
  <c r="W51" i="43"/>
  <c r="K51" i="43"/>
  <c r="H51" i="43"/>
  <c r="I51" i="43" s="1"/>
  <c r="W50" i="43"/>
  <c r="K50" i="43"/>
  <c r="H50" i="43"/>
  <c r="I50" i="43" s="1"/>
  <c r="W49" i="43"/>
  <c r="K49" i="43"/>
  <c r="H49" i="43"/>
  <c r="I49" i="43" s="1"/>
  <c r="W48" i="43"/>
  <c r="K48" i="43"/>
  <c r="H48" i="43"/>
  <c r="I48" i="43" s="1"/>
  <c r="W47" i="43"/>
  <c r="K47" i="43"/>
  <c r="H47" i="43"/>
  <c r="I47" i="43" s="1"/>
  <c r="W46" i="43"/>
  <c r="K46" i="43"/>
  <c r="H46" i="43"/>
  <c r="I46" i="43" s="1"/>
  <c r="W45" i="43"/>
  <c r="K45" i="43"/>
  <c r="H45" i="43"/>
  <c r="I45" i="43" s="1"/>
  <c r="W44" i="43"/>
  <c r="K44" i="43"/>
  <c r="H44" i="43"/>
  <c r="I44" i="43" s="1"/>
  <c r="W43" i="43"/>
  <c r="K43" i="43"/>
  <c r="H43" i="43"/>
  <c r="I43" i="43" s="1"/>
  <c r="W42" i="43"/>
  <c r="K42" i="43"/>
  <c r="H42" i="43"/>
  <c r="I42" i="43" s="1"/>
  <c r="W41" i="43"/>
  <c r="K41" i="43"/>
  <c r="H41" i="43"/>
  <c r="I41" i="43" s="1"/>
  <c r="W40" i="43"/>
  <c r="K40" i="43"/>
  <c r="H40" i="43"/>
  <c r="I40" i="43" s="1"/>
  <c r="W39" i="43"/>
  <c r="K39" i="43"/>
  <c r="H39" i="43"/>
  <c r="I39" i="43" s="1"/>
  <c r="W38" i="43"/>
  <c r="H38" i="43"/>
  <c r="I38" i="43" s="1"/>
  <c r="K38" i="43" s="1"/>
  <c r="W37" i="43"/>
  <c r="H37" i="43"/>
  <c r="I37" i="43" s="1"/>
  <c r="K37" i="43" s="1"/>
  <c r="W36" i="43"/>
  <c r="K36" i="43"/>
  <c r="H36" i="43"/>
  <c r="I36" i="43" s="1"/>
  <c r="W35" i="43"/>
  <c r="K35" i="43"/>
  <c r="H35" i="43"/>
  <c r="I35" i="43" s="1"/>
  <c r="W34" i="43"/>
  <c r="K34" i="43"/>
  <c r="H34" i="43"/>
  <c r="I34" i="43" s="1"/>
  <c r="W33" i="43"/>
  <c r="K33" i="43"/>
  <c r="H33" i="43"/>
  <c r="I33" i="43" s="1"/>
  <c r="W32" i="43"/>
  <c r="K32" i="43"/>
  <c r="H32" i="43"/>
  <c r="I32" i="43" s="1"/>
  <c r="W31" i="43"/>
  <c r="K31" i="43"/>
  <c r="H31" i="43"/>
  <c r="I31" i="43" s="1"/>
  <c r="W30" i="43"/>
  <c r="K30" i="43"/>
  <c r="H30" i="43"/>
  <c r="I30" i="43" s="1"/>
  <c r="W74" i="42"/>
  <c r="K74" i="42"/>
  <c r="H74" i="42"/>
  <c r="I74" i="42" s="1"/>
  <c r="W73" i="42"/>
  <c r="K73" i="42"/>
  <c r="H73" i="42"/>
  <c r="I73" i="42" s="1"/>
  <c r="W72" i="42"/>
  <c r="K72" i="42"/>
  <c r="H72" i="42"/>
  <c r="I72" i="42" s="1"/>
  <c r="W71" i="42"/>
  <c r="K71" i="42"/>
  <c r="H71" i="42"/>
  <c r="I71" i="42" s="1"/>
  <c r="W70" i="42"/>
  <c r="K70" i="42"/>
  <c r="H70" i="42"/>
  <c r="I70" i="42" s="1"/>
  <c r="W69" i="42"/>
  <c r="K69" i="42"/>
  <c r="H69" i="42"/>
  <c r="I69" i="42" s="1"/>
  <c r="W68" i="42"/>
  <c r="K68" i="42"/>
  <c r="H68" i="42"/>
  <c r="I68" i="42" s="1"/>
  <c r="W67" i="42"/>
  <c r="K67" i="42"/>
  <c r="H67" i="42"/>
  <c r="I67" i="42" s="1"/>
  <c r="W66" i="42"/>
  <c r="K66" i="42"/>
  <c r="H66" i="42"/>
  <c r="I66" i="42" s="1"/>
  <c r="W65" i="42"/>
  <c r="K65" i="42"/>
  <c r="H65" i="42"/>
  <c r="I65" i="42" s="1"/>
  <c r="W64" i="42"/>
  <c r="K64" i="42"/>
  <c r="H64" i="42"/>
  <c r="I64" i="42" s="1"/>
  <c r="W63" i="42"/>
  <c r="K63" i="42"/>
  <c r="H63" i="42"/>
  <c r="I63" i="42" s="1"/>
  <c r="W62" i="42"/>
  <c r="K62" i="42"/>
  <c r="H62" i="42"/>
  <c r="I62" i="42" s="1"/>
  <c r="W61" i="42"/>
  <c r="K61" i="42"/>
  <c r="H61" i="42"/>
  <c r="I61" i="42" s="1"/>
  <c r="W60" i="42"/>
  <c r="K60" i="42"/>
  <c r="H60" i="42"/>
  <c r="I60" i="42" s="1"/>
  <c r="W59" i="42"/>
  <c r="K59" i="42"/>
  <c r="H59" i="42"/>
  <c r="I59" i="42" s="1"/>
  <c r="W58" i="42"/>
  <c r="K58" i="42"/>
  <c r="H58" i="42"/>
  <c r="I58" i="42" s="1"/>
  <c r="W57" i="42"/>
  <c r="K57" i="42"/>
  <c r="H57" i="42"/>
  <c r="I57" i="42" s="1"/>
  <c r="W56" i="42"/>
  <c r="K56" i="42"/>
  <c r="H56" i="42"/>
  <c r="I56" i="42" s="1"/>
  <c r="W55" i="42"/>
  <c r="K55" i="42"/>
  <c r="H55" i="42"/>
  <c r="I55" i="42" s="1"/>
  <c r="W54" i="42"/>
  <c r="K54" i="42"/>
  <c r="H54" i="42"/>
  <c r="I54" i="42" s="1"/>
  <c r="W53" i="42"/>
  <c r="K53" i="42"/>
  <c r="H53" i="42"/>
  <c r="I53" i="42" s="1"/>
  <c r="W52" i="42"/>
  <c r="K52" i="42"/>
  <c r="H52" i="42"/>
  <c r="I52" i="42" s="1"/>
  <c r="W51" i="42"/>
  <c r="K51" i="42"/>
  <c r="H51" i="42"/>
  <c r="I51" i="42" s="1"/>
  <c r="W50" i="42"/>
  <c r="K50" i="42"/>
  <c r="H50" i="42"/>
  <c r="I50" i="42" s="1"/>
  <c r="W49" i="42"/>
  <c r="K49" i="42"/>
  <c r="H49" i="42"/>
  <c r="I49" i="42" s="1"/>
  <c r="W48" i="42"/>
  <c r="K48" i="42"/>
  <c r="H48" i="42"/>
  <c r="I48" i="42" s="1"/>
  <c r="W47" i="42"/>
  <c r="K47" i="42"/>
  <c r="H47" i="42"/>
  <c r="I47" i="42" s="1"/>
  <c r="W46" i="42"/>
  <c r="K46" i="42"/>
  <c r="H46" i="42"/>
  <c r="I46" i="42" s="1"/>
  <c r="W45" i="42"/>
  <c r="K45" i="42"/>
  <c r="H45" i="42"/>
  <c r="I45" i="42" s="1"/>
  <c r="W44" i="42"/>
  <c r="K44" i="42"/>
  <c r="H44" i="42"/>
  <c r="I44" i="42" s="1"/>
  <c r="W43" i="42"/>
  <c r="K43" i="42"/>
  <c r="H43" i="42"/>
  <c r="I43" i="42" s="1"/>
  <c r="W42" i="42"/>
  <c r="K42" i="42"/>
  <c r="H42" i="42"/>
  <c r="I42" i="42" s="1"/>
  <c r="W41" i="42"/>
  <c r="K41" i="42"/>
  <c r="H41" i="42"/>
  <c r="I41" i="42" s="1"/>
  <c r="W40" i="42"/>
  <c r="K40" i="42"/>
  <c r="H40" i="42"/>
  <c r="I40" i="42" s="1"/>
  <c r="W39" i="42"/>
  <c r="K39" i="42"/>
  <c r="H39" i="42"/>
  <c r="I39" i="42" s="1"/>
  <c r="W38" i="42"/>
  <c r="K38" i="42"/>
  <c r="H38" i="42"/>
  <c r="I38" i="42" s="1"/>
  <c r="W37" i="42"/>
  <c r="K37" i="42"/>
  <c r="H37" i="42"/>
  <c r="I37" i="42" s="1"/>
  <c r="W36" i="42"/>
  <c r="K36" i="42"/>
  <c r="H36" i="42"/>
  <c r="I36" i="42" s="1"/>
  <c r="W35" i="42"/>
  <c r="H35" i="42"/>
  <c r="I35" i="42" s="1"/>
  <c r="K35" i="42" s="1"/>
  <c r="W34" i="42"/>
  <c r="H34" i="42"/>
  <c r="I34" i="42" s="1"/>
  <c r="K34" i="42" s="1"/>
  <c r="W33" i="42"/>
  <c r="H33" i="42"/>
  <c r="I33" i="42" s="1"/>
  <c r="K33" i="42" s="1"/>
  <c r="W32" i="42"/>
  <c r="K32" i="42"/>
  <c r="H32" i="42"/>
  <c r="I32" i="42" s="1"/>
  <c r="W31" i="42"/>
  <c r="K31" i="42"/>
  <c r="H31" i="42"/>
  <c r="I31" i="42" s="1"/>
  <c r="W30" i="42"/>
  <c r="K30" i="42"/>
  <c r="H30" i="42"/>
  <c r="I30" i="42" s="1"/>
  <c r="Z74" i="38"/>
  <c r="N74" i="38"/>
  <c r="H74" i="38"/>
  <c r="I74" i="38" s="1"/>
  <c r="Z73" i="38"/>
  <c r="N73" i="38"/>
  <c r="H73" i="38"/>
  <c r="I73" i="38" s="1"/>
  <c r="Z72" i="38"/>
  <c r="N72" i="38"/>
  <c r="H72" i="38"/>
  <c r="I72" i="38" s="1"/>
  <c r="Z71" i="38"/>
  <c r="N71" i="38"/>
  <c r="H71" i="38"/>
  <c r="I71" i="38" s="1"/>
  <c r="Z70" i="38"/>
  <c r="N70" i="38"/>
  <c r="H70" i="38"/>
  <c r="I70" i="38" s="1"/>
  <c r="Z69" i="38"/>
  <c r="N69" i="38"/>
  <c r="H69" i="38"/>
  <c r="I69" i="38" s="1"/>
  <c r="Z68" i="38"/>
  <c r="N68" i="38"/>
  <c r="H68" i="38"/>
  <c r="I68" i="38" s="1"/>
  <c r="Z67" i="38"/>
  <c r="N67" i="38"/>
  <c r="H67" i="38"/>
  <c r="I67" i="38" s="1"/>
  <c r="Z66" i="38"/>
  <c r="N66" i="38"/>
  <c r="H66" i="38"/>
  <c r="I66" i="38" s="1"/>
  <c r="Z65" i="38"/>
  <c r="N65" i="38"/>
  <c r="H65" i="38"/>
  <c r="I65" i="38" s="1"/>
  <c r="Z64" i="38"/>
  <c r="N64" i="38"/>
  <c r="H64" i="38"/>
  <c r="I64" i="38" s="1"/>
  <c r="Z63" i="38"/>
  <c r="N63" i="38"/>
  <c r="H63" i="38"/>
  <c r="I63" i="38" s="1"/>
  <c r="Z62" i="38"/>
  <c r="N62" i="38"/>
  <c r="H62" i="38"/>
  <c r="I62" i="38" s="1"/>
  <c r="Z61" i="38"/>
  <c r="N61" i="38"/>
  <c r="H61" i="38"/>
  <c r="I61" i="38" s="1"/>
  <c r="Z60" i="38"/>
  <c r="N60" i="38"/>
  <c r="H60" i="38"/>
  <c r="I60" i="38" s="1"/>
  <c r="Z59" i="38"/>
  <c r="N59" i="38"/>
  <c r="H59" i="38"/>
  <c r="I59" i="38" s="1"/>
  <c r="Z58" i="38"/>
  <c r="N58" i="38"/>
  <c r="H58" i="38"/>
  <c r="I58" i="38" s="1"/>
  <c r="Z57" i="38"/>
  <c r="N57" i="38"/>
  <c r="H57" i="38"/>
  <c r="I57" i="38" s="1"/>
  <c r="Z56" i="38"/>
  <c r="N56" i="38"/>
  <c r="H56" i="38"/>
  <c r="I56" i="38" s="1"/>
  <c r="Z55" i="38"/>
  <c r="N55" i="38"/>
  <c r="H55" i="38"/>
  <c r="I55" i="38" s="1"/>
  <c r="Z54" i="38"/>
  <c r="N54" i="38"/>
  <c r="H54" i="38"/>
  <c r="I54" i="38" s="1"/>
  <c r="Z53" i="38"/>
  <c r="N53" i="38"/>
  <c r="H53" i="38"/>
  <c r="I53" i="38" s="1"/>
  <c r="Z52" i="38"/>
  <c r="N52" i="38"/>
  <c r="H52" i="38"/>
  <c r="I52" i="38" s="1"/>
  <c r="Z51" i="38"/>
  <c r="N51" i="38"/>
  <c r="H51" i="38"/>
  <c r="I51" i="38" s="1"/>
  <c r="Z50" i="38"/>
  <c r="N50" i="38"/>
  <c r="H50" i="38"/>
  <c r="I50" i="38" s="1"/>
  <c r="Z49" i="38"/>
  <c r="N49" i="38"/>
  <c r="H49" i="38"/>
  <c r="I49" i="38" s="1"/>
  <c r="Z48" i="38"/>
  <c r="N48" i="38"/>
  <c r="H48" i="38"/>
  <c r="I48" i="38" s="1"/>
  <c r="Z47" i="38"/>
  <c r="N47" i="38"/>
  <c r="H47" i="38"/>
  <c r="I47" i="38" s="1"/>
  <c r="Z46" i="38"/>
  <c r="N46" i="38"/>
  <c r="H46" i="38"/>
  <c r="I46" i="38" s="1"/>
  <c r="Z45" i="38"/>
  <c r="N45" i="38"/>
  <c r="H45" i="38"/>
  <c r="I45" i="38" s="1"/>
  <c r="Z44" i="38"/>
  <c r="N44" i="38"/>
  <c r="H44" i="38"/>
  <c r="I44" i="38" s="1"/>
  <c r="Z43" i="38"/>
  <c r="N43" i="38"/>
  <c r="H43" i="38"/>
  <c r="I43" i="38" s="1"/>
  <c r="Z42" i="38"/>
  <c r="N42" i="38"/>
  <c r="H42" i="38"/>
  <c r="I42" i="38" s="1"/>
  <c r="Z41" i="38"/>
  <c r="N41" i="38"/>
  <c r="H41" i="38"/>
  <c r="I41" i="38" s="1"/>
  <c r="Z40" i="38"/>
  <c r="N40" i="38"/>
  <c r="H40" i="38"/>
  <c r="I40" i="38" s="1"/>
  <c r="Z39" i="38"/>
  <c r="N39" i="38"/>
  <c r="H39" i="38"/>
  <c r="I39" i="38" s="1"/>
  <c r="Z38" i="38"/>
  <c r="N38" i="38"/>
  <c r="H38" i="38"/>
  <c r="I38" i="38" s="1"/>
  <c r="Z37" i="38"/>
  <c r="N37" i="38"/>
  <c r="H37" i="38"/>
  <c r="I37" i="38" s="1"/>
  <c r="Z36" i="38"/>
  <c r="N36" i="38"/>
  <c r="H36" i="38"/>
  <c r="I36" i="38" s="1"/>
  <c r="Z35" i="38"/>
  <c r="N35" i="38"/>
  <c r="H35" i="38"/>
  <c r="I35" i="38" s="1"/>
  <c r="Z34" i="38"/>
  <c r="N34" i="38"/>
  <c r="H34" i="38"/>
  <c r="I34" i="38" s="1"/>
  <c r="Z33" i="38"/>
  <c r="N33" i="38"/>
  <c r="H33" i="38"/>
  <c r="I33" i="38" s="1"/>
  <c r="Z32" i="38"/>
  <c r="N32" i="38"/>
  <c r="H32" i="38"/>
  <c r="I32" i="38" s="1"/>
  <c r="Z31" i="38"/>
  <c r="N31" i="38"/>
  <c r="H31" i="38"/>
  <c r="I31" i="38" s="1"/>
  <c r="Z30" i="38"/>
  <c r="H30" i="38"/>
  <c r="I30" i="38" s="1"/>
  <c r="N30" i="38" s="1"/>
  <c r="Z31" i="4"/>
  <c r="Z32" i="4"/>
  <c r="Z33" i="4"/>
  <c r="Z34" i="4"/>
  <c r="Z35" i="4"/>
  <c r="Z36" i="4"/>
  <c r="Z37" i="4"/>
  <c r="Z38" i="4"/>
  <c r="Z39" i="4"/>
  <c r="Z40" i="4"/>
  <c r="Z41" i="4"/>
  <c r="Z42" i="4"/>
  <c r="Z43" i="4"/>
  <c r="Z44" i="4"/>
  <c r="Z45" i="4"/>
  <c r="Z46" i="4"/>
  <c r="Z47" i="4"/>
  <c r="Z48" i="4"/>
  <c r="Z49" i="4"/>
  <c r="Z50" i="4"/>
  <c r="Z51" i="4"/>
  <c r="Z52" i="4"/>
  <c r="Z53" i="4"/>
  <c r="Z54" i="4"/>
  <c r="Z55" i="4"/>
  <c r="Z56" i="4"/>
  <c r="Z57" i="4"/>
  <c r="Z58" i="4"/>
  <c r="Z59" i="4"/>
  <c r="Z60" i="4"/>
  <c r="Z61" i="4"/>
  <c r="Z62" i="4"/>
  <c r="Z63" i="4"/>
  <c r="Z64" i="4"/>
  <c r="Z65" i="4"/>
  <c r="Z66" i="4"/>
  <c r="Z67" i="4"/>
  <c r="Z68" i="4"/>
  <c r="Z69" i="4"/>
  <c r="Z70" i="4"/>
  <c r="Z71" i="4"/>
  <c r="Z72" i="4"/>
  <c r="Z73" i="4"/>
  <c r="Z74" i="4"/>
  <c r="Z30" i="4"/>
  <c r="AH22" i="4" s="1" a="1"/>
  <c r="AH22" i="4" s="1"/>
  <c r="K43" i="55" l="1"/>
  <c r="L43" i="55" s="1"/>
  <c r="M43" i="55" s="1"/>
  <c r="N43" i="55" s="1"/>
  <c r="O43" i="55" s="1"/>
  <c r="P43" i="55" s="1"/>
  <c r="Q43" i="55" s="1"/>
  <c r="R43" i="55" s="1"/>
  <c r="S43" i="55" s="1"/>
  <c r="T43" i="55" s="1"/>
  <c r="U43" i="55" s="1"/>
  <c r="V43" i="55" s="1"/>
  <c r="W43" i="55" s="1"/>
  <c r="X43" i="55" s="1"/>
  <c r="Y43" i="55" s="1"/>
  <c r="Z43" i="55" s="1"/>
  <c r="AA43" i="55" s="1"/>
  <c r="AB43" i="55" s="1"/>
  <c r="AC43" i="55" s="1"/>
  <c r="AD43" i="55" s="1"/>
  <c r="AE43" i="55" s="1"/>
  <c r="AF43" i="55" s="1"/>
  <c r="AG43" i="55" s="1"/>
  <c r="AH43" i="55" s="1"/>
  <c r="AI43" i="55" s="1"/>
  <c r="AJ43" i="55" s="1"/>
  <c r="AK43" i="55" s="1"/>
  <c r="AL43" i="55" s="1"/>
  <c r="AM43" i="55" s="1"/>
  <c r="AN43" i="55" s="1"/>
  <c r="CV20" i="62"/>
  <c r="CV21" i="62"/>
  <c r="J20" i="62"/>
  <c r="J21" i="62"/>
  <c r="AO20" i="62"/>
  <c r="AO21" i="62"/>
  <c r="BS20" i="62"/>
  <c r="BS21" i="62"/>
  <c r="BR20" i="62"/>
  <c r="BR21" i="62"/>
  <c r="BQ20" i="62"/>
  <c r="BQ21" i="62"/>
  <c r="J44" i="55"/>
  <c r="BA44" i="55" s="1"/>
  <c r="BA43" i="55"/>
  <c r="J50" i="55"/>
  <c r="EA17" i="62" s="1"/>
  <c r="BG21" i="55"/>
  <c r="CW17" i="62"/>
  <c r="AO18" i="62"/>
  <c r="J18" i="62"/>
  <c r="BA50" i="55"/>
  <c r="J56" i="55"/>
  <c r="AG83" i="55"/>
  <c r="BT17" i="62"/>
  <c r="L37" i="55"/>
  <c r="CX17" i="62"/>
  <c r="K44" i="55"/>
  <c r="K17" i="62"/>
  <c r="M23" i="55"/>
  <c r="AP17" i="62"/>
  <c r="M30" i="55"/>
  <c r="Y26" i="2"/>
  <c r="AK26" i="2"/>
  <c r="AC22" i="4"/>
  <c r="B7" i="48"/>
  <c r="B7" i="47"/>
  <c r="B7" i="46"/>
  <c r="B7" i="45"/>
  <c r="B7" i="44"/>
  <c r="B7" i="43"/>
  <c r="B7" i="42"/>
  <c r="B7" i="41"/>
  <c r="B7" i="40"/>
  <c r="B7" i="38"/>
  <c r="AO112" i="58"/>
  <c r="J112" i="58"/>
  <c r="S112" i="58" s="1"/>
  <c r="AO111" i="58"/>
  <c r="J111" i="58"/>
  <c r="S111" i="58" s="1"/>
  <c r="AO110" i="58"/>
  <c r="J110" i="58"/>
  <c r="AO109" i="58"/>
  <c r="J109" i="58"/>
  <c r="AO108" i="58"/>
  <c r="J108" i="58"/>
  <c r="S108" i="58" s="1"/>
  <c r="AO107" i="58"/>
  <c r="J107" i="58"/>
  <c r="S107" i="58" s="1"/>
  <c r="AO106" i="58"/>
  <c r="J106" i="58"/>
  <c r="AO105" i="58"/>
  <c r="J105" i="58"/>
  <c r="AO104" i="58"/>
  <c r="J104" i="58"/>
  <c r="S104" i="58" s="1"/>
  <c r="AO103" i="58"/>
  <c r="J103" i="58"/>
  <c r="S103" i="58" s="1"/>
  <c r="AO102" i="58"/>
  <c r="J102" i="58"/>
  <c r="AO101" i="58"/>
  <c r="J101" i="58"/>
  <c r="AO100" i="58"/>
  <c r="J100" i="58"/>
  <c r="S100" i="58" s="1"/>
  <c r="AO99" i="58"/>
  <c r="J99" i="58"/>
  <c r="S99" i="58" s="1"/>
  <c r="AO98" i="58"/>
  <c r="J98" i="58"/>
  <c r="AO97" i="58"/>
  <c r="J97" i="58"/>
  <c r="AO96" i="58"/>
  <c r="J96" i="58"/>
  <c r="S96" i="58" s="1"/>
  <c r="AO95" i="58"/>
  <c r="J95" i="58"/>
  <c r="S95" i="58" s="1"/>
  <c r="AO94" i="58"/>
  <c r="J94" i="58"/>
  <c r="AO93" i="58"/>
  <c r="J93" i="58"/>
  <c r="AO92" i="58"/>
  <c r="J92" i="58"/>
  <c r="S92" i="58" s="1"/>
  <c r="AO91" i="58"/>
  <c r="J91" i="58"/>
  <c r="S91" i="58" s="1"/>
  <c r="AO90" i="58"/>
  <c r="J90" i="58"/>
  <c r="AO89" i="58"/>
  <c r="J89" i="58"/>
  <c r="AO88" i="58"/>
  <c r="J88" i="58"/>
  <c r="S88" i="58" s="1"/>
  <c r="AO87" i="58"/>
  <c r="J87" i="58"/>
  <c r="S87" i="58" s="1"/>
  <c r="AO86" i="58"/>
  <c r="J86" i="58"/>
  <c r="AO85" i="58"/>
  <c r="J85" i="58"/>
  <c r="AO84" i="58"/>
  <c r="J84" i="58"/>
  <c r="S84" i="58" s="1"/>
  <c r="AO83" i="58"/>
  <c r="J83" i="58"/>
  <c r="S83" i="58" s="1"/>
  <c r="AO82" i="58"/>
  <c r="J82" i="58"/>
  <c r="AO81" i="58"/>
  <c r="J81" i="58"/>
  <c r="AO80" i="58"/>
  <c r="J80" i="58"/>
  <c r="S80" i="58" s="1"/>
  <c r="AO79" i="58"/>
  <c r="J79" i="58"/>
  <c r="S79" i="58" s="1"/>
  <c r="AO78" i="58"/>
  <c r="J78" i="58"/>
  <c r="AO77" i="58"/>
  <c r="J77" i="58"/>
  <c r="AO76" i="58"/>
  <c r="J76" i="58"/>
  <c r="S76" i="58" s="1"/>
  <c r="AO75" i="58"/>
  <c r="J75" i="58"/>
  <c r="S75" i="58" s="1"/>
  <c r="AO74" i="58"/>
  <c r="J74" i="58"/>
  <c r="AO73" i="58"/>
  <c r="J73" i="58"/>
  <c r="AO72" i="58"/>
  <c r="J72" i="58"/>
  <c r="S72" i="58" s="1"/>
  <c r="AO71" i="58"/>
  <c r="J71" i="58"/>
  <c r="S71" i="58" s="1"/>
  <c r="AO70" i="58"/>
  <c r="J70" i="58"/>
  <c r="AO69" i="58"/>
  <c r="J69" i="58"/>
  <c r="AO68" i="58"/>
  <c r="J68" i="58"/>
  <c r="S68" i="58" s="1"/>
  <c r="AO67" i="58"/>
  <c r="J67" i="58"/>
  <c r="S67" i="58" s="1"/>
  <c r="AO66" i="58"/>
  <c r="J66" i="58"/>
  <c r="AO65" i="58"/>
  <c r="J65" i="58"/>
  <c r="AO64" i="58"/>
  <c r="J64" i="58"/>
  <c r="S64" i="58" s="1"/>
  <c r="AO63" i="58"/>
  <c r="J63" i="58"/>
  <c r="S63" i="58" s="1"/>
  <c r="AO62" i="58"/>
  <c r="J62" i="58"/>
  <c r="AO61" i="58"/>
  <c r="J61" i="58"/>
  <c r="AO60" i="58"/>
  <c r="J60" i="58"/>
  <c r="S60" i="58" s="1"/>
  <c r="AO59" i="58"/>
  <c r="J59" i="58"/>
  <c r="S59" i="58" s="1"/>
  <c r="AO58" i="58"/>
  <c r="J58" i="58"/>
  <c r="AO57" i="58"/>
  <c r="J57" i="58"/>
  <c r="AO56" i="58"/>
  <c r="J56" i="58"/>
  <c r="S56" i="58" s="1"/>
  <c r="AO55" i="58"/>
  <c r="J55" i="58"/>
  <c r="S55" i="58" s="1"/>
  <c r="AO54" i="58"/>
  <c r="J54" i="58"/>
  <c r="AO53" i="58"/>
  <c r="J53" i="58"/>
  <c r="AO52" i="58"/>
  <c r="J52" i="58"/>
  <c r="S52" i="58" s="1"/>
  <c r="AO51" i="58"/>
  <c r="J51" i="58"/>
  <c r="S51" i="58" s="1"/>
  <c r="AO50" i="58"/>
  <c r="J50" i="58"/>
  <c r="AO49" i="58"/>
  <c r="J49" i="58"/>
  <c r="AO48" i="58"/>
  <c r="J48" i="58"/>
  <c r="S48" i="58" s="1"/>
  <c r="AO47" i="58"/>
  <c r="J47" i="58"/>
  <c r="S47" i="58" s="1"/>
  <c r="AO46" i="58"/>
  <c r="J46" i="58"/>
  <c r="AO45" i="58"/>
  <c r="J45" i="58"/>
  <c r="AO44" i="58"/>
  <c r="J44" i="58"/>
  <c r="S44" i="58" s="1"/>
  <c r="AO43" i="58"/>
  <c r="J43" i="58"/>
  <c r="S43" i="58" s="1"/>
  <c r="AO42" i="58"/>
  <c r="J42" i="58"/>
  <c r="AO41" i="58"/>
  <c r="J41" i="58"/>
  <c r="AO40" i="58"/>
  <c r="J40" i="58"/>
  <c r="S40" i="58" s="1"/>
  <c r="AO39" i="58"/>
  <c r="J39" i="58"/>
  <c r="S39" i="58" s="1"/>
  <c r="AO38" i="58"/>
  <c r="J38" i="58"/>
  <c r="AO37" i="58"/>
  <c r="J37" i="58"/>
  <c r="S37" i="58" s="1"/>
  <c r="AO36" i="58"/>
  <c r="J36" i="58"/>
  <c r="S36" i="58" s="1"/>
  <c r="AO35" i="58"/>
  <c r="J35" i="58"/>
  <c r="AO34" i="58"/>
  <c r="J34" i="58"/>
  <c r="AO33" i="58"/>
  <c r="J33" i="58"/>
  <c r="AO32" i="58"/>
  <c r="J32" i="58"/>
  <c r="S32" i="58" s="1"/>
  <c r="AO31" i="58"/>
  <c r="J31" i="58"/>
  <c r="S31" i="58" s="1"/>
  <c r="AO30" i="58"/>
  <c r="J30" i="58"/>
  <c r="AO29" i="58"/>
  <c r="AM29" i="58"/>
  <c r="J29" i="58"/>
  <c r="AO28" i="58"/>
  <c r="AM28" i="58"/>
  <c r="J28" i="58"/>
  <c r="AO27" i="58"/>
  <c r="AM27" i="58"/>
  <c r="J27" i="58"/>
  <c r="AO26" i="58"/>
  <c r="AM26" i="58"/>
  <c r="J26" i="58"/>
  <c r="AO25" i="58"/>
  <c r="AM25" i="58"/>
  <c r="J25" i="58"/>
  <c r="AO24" i="58"/>
  <c r="AM24" i="58"/>
  <c r="J24" i="58"/>
  <c r="AO23" i="58"/>
  <c r="AM23" i="58"/>
  <c r="J23" i="58"/>
  <c r="AO22" i="58"/>
  <c r="AM22" i="58"/>
  <c r="J22" i="58"/>
  <c r="AO21" i="58"/>
  <c r="AM21" i="58"/>
  <c r="J21" i="58"/>
  <c r="AO20" i="58"/>
  <c r="AM20" i="58"/>
  <c r="J20" i="58"/>
  <c r="AO19" i="58"/>
  <c r="AM19" i="58"/>
  <c r="J19" i="58"/>
  <c r="AO18" i="58"/>
  <c r="AM18" i="58"/>
  <c r="J18" i="58"/>
  <c r="AO17" i="58"/>
  <c r="AM17" i="58"/>
  <c r="J17" i="58"/>
  <c r="AO16" i="58"/>
  <c r="AM16" i="58"/>
  <c r="J16" i="58"/>
  <c r="AO15" i="58"/>
  <c r="AM15" i="58"/>
  <c r="J15" i="58"/>
  <c r="AO14" i="58"/>
  <c r="AM14" i="58"/>
  <c r="J14" i="58"/>
  <c r="AO13" i="58"/>
  <c r="AM13" i="58"/>
  <c r="J13" i="58"/>
  <c r="F8" i="58"/>
  <c r="K50" i="55" l="1"/>
  <c r="L50" i="55" s="1"/>
  <c r="M50" i="55" s="1"/>
  <c r="N50" i="55" s="1"/>
  <c r="O50" i="55" s="1"/>
  <c r="P50" i="55" s="1"/>
  <c r="Q50" i="55" s="1"/>
  <c r="R50" i="55" s="1"/>
  <c r="S50" i="55" s="1"/>
  <c r="T50" i="55" s="1"/>
  <c r="U50" i="55" s="1"/>
  <c r="V50" i="55" s="1"/>
  <c r="W50" i="55" s="1"/>
  <c r="X50" i="55" s="1"/>
  <c r="Y50" i="55" s="1"/>
  <c r="Z50" i="55" s="1"/>
  <c r="AA50" i="55" s="1"/>
  <c r="AB50" i="55" s="1"/>
  <c r="AC50" i="55" s="1"/>
  <c r="AD50" i="55" s="1"/>
  <c r="AE50" i="55" s="1"/>
  <c r="AF50" i="55" s="1"/>
  <c r="AG50" i="55" s="1"/>
  <c r="AH50" i="55" s="1"/>
  <c r="AI50" i="55" s="1"/>
  <c r="AJ50" i="55" s="1"/>
  <c r="AK50" i="55" s="1"/>
  <c r="AL50" i="55" s="1"/>
  <c r="AM50" i="55" s="1"/>
  <c r="AN50" i="55" s="1"/>
  <c r="EA18" i="62"/>
  <c r="EA20" i="62"/>
  <c r="EA21" i="62"/>
  <c r="CW20" i="62"/>
  <c r="CW21" i="62"/>
  <c r="AP20" i="62"/>
  <c r="AP21" i="62"/>
  <c r="K20" i="62"/>
  <c r="K21" i="62"/>
  <c r="CX20" i="62"/>
  <c r="CX21" i="62"/>
  <c r="BT20" i="62"/>
  <c r="BT21" i="62"/>
  <c r="J51" i="55"/>
  <c r="BA51" i="55" s="1"/>
  <c r="J57" i="55"/>
  <c r="FF17" i="62" s="1"/>
  <c r="BG22" i="55"/>
  <c r="K17" i="58"/>
  <c r="M17" i="58" s="1"/>
  <c r="Q17" i="58" s="1"/>
  <c r="K35" i="58"/>
  <c r="M35" i="58" s="1"/>
  <c r="S35" i="58"/>
  <c r="K50" i="58"/>
  <c r="S50" i="58"/>
  <c r="K53" i="58"/>
  <c r="S53" i="58"/>
  <c r="K21" i="58"/>
  <c r="M21" i="58" s="1"/>
  <c r="Q21" i="58" s="1"/>
  <c r="K39" i="58"/>
  <c r="M39" i="58" s="1"/>
  <c r="K42" i="58"/>
  <c r="M42" i="58" s="1"/>
  <c r="S42" i="58"/>
  <c r="K45" i="58"/>
  <c r="S45" i="58"/>
  <c r="K105" i="58"/>
  <c r="S105" i="58"/>
  <c r="K26" i="58"/>
  <c r="M26" i="58" s="1"/>
  <c r="Q26" i="58" s="1"/>
  <c r="K24" i="58"/>
  <c r="M24" i="58" s="1"/>
  <c r="Q24" i="58" s="1"/>
  <c r="K33" i="58"/>
  <c r="M33" i="58" s="1"/>
  <c r="S33" i="58"/>
  <c r="K22" i="58"/>
  <c r="M22" i="58" s="1"/>
  <c r="Q22" i="58" s="1"/>
  <c r="K25" i="58"/>
  <c r="M25" i="58" s="1"/>
  <c r="Q25" i="58" s="1"/>
  <c r="K23" i="58"/>
  <c r="M23" i="58" s="1"/>
  <c r="Q23" i="58" s="1"/>
  <c r="K41" i="58"/>
  <c r="M41" i="58" s="1"/>
  <c r="S41" i="58"/>
  <c r="K62" i="58"/>
  <c r="S62" i="58"/>
  <c r="K74" i="58"/>
  <c r="S74" i="58"/>
  <c r="K77" i="58"/>
  <c r="S77" i="58"/>
  <c r="K86" i="58"/>
  <c r="S86" i="58"/>
  <c r="K98" i="58"/>
  <c r="S98" i="58"/>
  <c r="K101" i="58"/>
  <c r="S101" i="58"/>
  <c r="K110" i="58"/>
  <c r="S110" i="58"/>
  <c r="K18" i="58"/>
  <c r="M18" i="58" s="1"/>
  <c r="Q18" i="58" s="1"/>
  <c r="K30" i="58"/>
  <c r="S30" i="58"/>
  <c r="K69" i="58"/>
  <c r="S69" i="58"/>
  <c r="K81" i="58"/>
  <c r="S81" i="58"/>
  <c r="K37" i="58"/>
  <c r="M37" i="58" s="1"/>
  <c r="K38" i="58"/>
  <c r="M38" i="58" s="1"/>
  <c r="S38" i="58"/>
  <c r="K65" i="58"/>
  <c r="S65" i="58"/>
  <c r="K89" i="58"/>
  <c r="S89" i="58"/>
  <c r="K54" i="58"/>
  <c r="S54" i="58"/>
  <c r="K57" i="58"/>
  <c r="S57" i="58"/>
  <c r="K66" i="58"/>
  <c r="S66" i="58"/>
  <c r="K90" i="58"/>
  <c r="S90" i="58"/>
  <c r="K93" i="58"/>
  <c r="S93" i="58"/>
  <c r="K46" i="58"/>
  <c r="M46" i="58" s="1"/>
  <c r="S46" i="58"/>
  <c r="K49" i="58"/>
  <c r="S49" i="58"/>
  <c r="K58" i="58"/>
  <c r="S58" i="58"/>
  <c r="K61" i="58"/>
  <c r="S61" i="58"/>
  <c r="K70" i="58"/>
  <c r="S70" i="58"/>
  <c r="K73" i="58"/>
  <c r="S73" i="58"/>
  <c r="K82" i="58"/>
  <c r="S82" i="58"/>
  <c r="K85" i="58"/>
  <c r="S85" i="58"/>
  <c r="K94" i="58"/>
  <c r="S94" i="58"/>
  <c r="K97" i="58"/>
  <c r="S97" i="58"/>
  <c r="K106" i="58"/>
  <c r="S106" i="58"/>
  <c r="K109" i="58"/>
  <c r="S109" i="58"/>
  <c r="EB17" i="62"/>
  <c r="K29" i="58"/>
  <c r="M29" i="58" s="1"/>
  <c r="Q29" i="58" s="1"/>
  <c r="K78" i="58"/>
  <c r="S78" i="58"/>
  <c r="K102" i="58"/>
  <c r="S102" i="58"/>
  <c r="K34" i="58"/>
  <c r="M34" i="58" s="1"/>
  <c r="S34" i="58"/>
  <c r="AP18" i="62"/>
  <c r="K18" i="62"/>
  <c r="K15" i="58"/>
  <c r="M15" i="58" s="1"/>
  <c r="Q15" i="58" s="1"/>
  <c r="K13" i="58"/>
  <c r="M13" i="58" s="1"/>
  <c r="Q13" i="58" s="1"/>
  <c r="BU17" i="62"/>
  <c r="M37" i="55"/>
  <c r="EC17" i="62"/>
  <c r="K51" i="55"/>
  <c r="CY17" i="62"/>
  <c r="L44" i="55"/>
  <c r="N30" i="55"/>
  <c r="AQ17" i="62"/>
  <c r="L17" i="62"/>
  <c r="N23" i="55"/>
  <c r="K14" i="58"/>
  <c r="M14" i="58" s="1"/>
  <c r="Q14" i="58" s="1"/>
  <c r="AT119" i="58"/>
  <c r="K31" i="58"/>
  <c r="M31" i="58" s="1"/>
  <c r="K27" i="58"/>
  <c r="M27" i="58" s="1"/>
  <c r="Q27" i="58" s="1"/>
  <c r="K19" i="58"/>
  <c r="M19" i="58" s="1"/>
  <c r="Q19" i="58" s="1"/>
  <c r="K43" i="58"/>
  <c r="M43" i="58" s="1"/>
  <c r="K16" i="58"/>
  <c r="M16" i="58" s="1"/>
  <c r="Q16" i="58" s="1"/>
  <c r="K44" i="58"/>
  <c r="M44" i="58" s="1"/>
  <c r="K48" i="58"/>
  <c r="K52" i="58"/>
  <c r="K56" i="58"/>
  <c r="K60" i="58"/>
  <c r="K64" i="58"/>
  <c r="K68" i="58"/>
  <c r="K72" i="58"/>
  <c r="K76" i="58"/>
  <c r="K80" i="58"/>
  <c r="K84" i="58"/>
  <c r="K88" i="58"/>
  <c r="K92" i="58"/>
  <c r="K96" i="58"/>
  <c r="K100" i="58"/>
  <c r="K104" i="58"/>
  <c r="K108" i="58"/>
  <c r="K112" i="58"/>
  <c r="K32" i="58"/>
  <c r="M32" i="58" s="1"/>
  <c r="K47" i="58"/>
  <c r="M47" i="58" s="1"/>
  <c r="K51" i="58"/>
  <c r="K55" i="58"/>
  <c r="K59" i="58"/>
  <c r="K63" i="58"/>
  <c r="K67" i="58"/>
  <c r="K71" i="58"/>
  <c r="K75" i="58"/>
  <c r="K79" i="58"/>
  <c r="K83" i="58"/>
  <c r="K87" i="58"/>
  <c r="K91" i="58"/>
  <c r="K95" i="58"/>
  <c r="K99" i="58"/>
  <c r="K103" i="58"/>
  <c r="K107" i="58"/>
  <c r="K111" i="58"/>
  <c r="K28" i="58"/>
  <c r="M28" i="58" s="1"/>
  <c r="Q28" i="58" s="1"/>
  <c r="K36" i="58"/>
  <c r="M36" i="58" s="1"/>
  <c r="K20" i="58"/>
  <c r="M20" i="58" s="1"/>
  <c r="Q20" i="58" s="1"/>
  <c r="K40" i="58"/>
  <c r="M40" i="58" s="1"/>
  <c r="G23" i="62" l="1"/>
  <c r="M45" i="58"/>
  <c r="AQ20" i="62"/>
  <c r="AQ21" i="62"/>
  <c r="L20" i="62"/>
  <c r="L21" i="62"/>
  <c r="CY20" i="62"/>
  <c r="CY21" i="62"/>
  <c r="EC20" i="62"/>
  <c r="EC21" i="62"/>
  <c r="BU20" i="62"/>
  <c r="BU21" i="62"/>
  <c r="EB20" i="62"/>
  <c r="EB21" i="62"/>
  <c r="FF20" i="62"/>
  <c r="FF21" i="62"/>
  <c r="BA57" i="55"/>
  <c r="J58" i="55"/>
  <c r="BA58" i="55" s="1"/>
  <c r="K57" i="55"/>
  <c r="FG17" i="62" s="1"/>
  <c r="FF18" i="62"/>
  <c r="EB18" i="62"/>
  <c r="BB138" i="58"/>
  <c r="BB137" i="58"/>
  <c r="BB136" i="58"/>
  <c r="BB135" i="58"/>
  <c r="BB129" i="58"/>
  <c r="BB128" i="58"/>
  <c r="EC18" i="62"/>
  <c r="L18" i="62"/>
  <c r="AQ18" i="62"/>
  <c r="BB123" i="58"/>
  <c r="BB124" i="58"/>
  <c r="CZ17" i="62"/>
  <c r="M44" i="55"/>
  <c r="BV17" i="62"/>
  <c r="N37" i="55"/>
  <c r="ED17" i="62"/>
  <c r="L51" i="55"/>
  <c r="M17" i="62"/>
  <c r="O23" i="55"/>
  <c r="O30" i="55"/>
  <c r="AR17" i="62"/>
  <c r="BB139" i="58"/>
  <c r="BB127" i="58"/>
  <c r="G10" i="62" l="1"/>
  <c r="G13" i="62"/>
  <c r="G9" i="62"/>
  <c r="G11" i="62"/>
  <c r="H4" i="62"/>
  <c r="G8" i="62"/>
  <c r="G12" i="62"/>
  <c r="H10" i="62"/>
  <c r="G15" i="62"/>
  <c r="H13" i="62"/>
  <c r="G14" i="62"/>
  <c r="H9" i="62"/>
  <c r="G6" i="62"/>
  <c r="H11" i="62"/>
  <c r="G7" i="62"/>
  <c r="G4" i="62"/>
  <c r="AR20" i="62"/>
  <c r="AR21" i="62"/>
  <c r="M20" i="62"/>
  <c r="M21" i="62"/>
  <c r="ED20" i="62"/>
  <c r="ED21" i="62"/>
  <c r="BV20" i="62"/>
  <c r="BV21" i="62"/>
  <c r="CZ20" i="62"/>
  <c r="CZ21" i="62"/>
  <c r="FG20" i="62"/>
  <c r="FG21" i="62"/>
  <c r="L57" i="55"/>
  <c r="M57" i="55" s="1"/>
  <c r="N57" i="55" s="1"/>
  <c r="O57" i="55" s="1"/>
  <c r="P57" i="55" s="1"/>
  <c r="Q57" i="55" s="1"/>
  <c r="R57" i="55" s="1"/>
  <c r="S57" i="55" s="1"/>
  <c r="T57" i="55" s="1"/>
  <c r="U57" i="55" s="1"/>
  <c r="V57" i="55" s="1"/>
  <c r="W57" i="55" s="1"/>
  <c r="X57" i="55" s="1"/>
  <c r="Y57" i="55" s="1"/>
  <c r="Z57" i="55" s="1"/>
  <c r="FV17" i="62" s="1"/>
  <c r="K58" i="55"/>
  <c r="FG18" i="62"/>
  <c r="BB130" i="58"/>
  <c r="BB133" i="58"/>
  <c r="BB125" i="58"/>
  <c r="CZ18" i="62"/>
  <c r="ED18" i="62"/>
  <c r="M18" i="62"/>
  <c r="AR18" i="62"/>
  <c r="EE17" i="62"/>
  <c r="M51" i="55"/>
  <c r="BW17" i="62"/>
  <c r="O37" i="55"/>
  <c r="DA17" i="62"/>
  <c r="N44" i="55"/>
  <c r="BB44" i="55" s="1"/>
  <c r="BB43" i="55"/>
  <c r="P30" i="55"/>
  <c r="N17" i="62"/>
  <c r="P23" i="55"/>
  <c r="D9" i="4"/>
  <c r="AD9" i="4" s="1"/>
  <c r="D9" i="36"/>
  <c r="AD9" i="36" s="1"/>
  <c r="D9" i="37"/>
  <c r="AD9" i="37" s="1"/>
  <c r="D9" i="38"/>
  <c r="AD9" i="38" s="1"/>
  <c r="D9" i="40"/>
  <c r="AD9" i="40" s="1"/>
  <c r="D9" i="41"/>
  <c r="AD9" i="41" s="1"/>
  <c r="D9" i="42"/>
  <c r="AA9" i="42" s="1"/>
  <c r="D9" i="43"/>
  <c r="AA9" i="43" s="1"/>
  <c r="D9" i="44"/>
  <c r="AA9" i="44" s="1"/>
  <c r="D9" i="45"/>
  <c r="AA9" i="45" s="1"/>
  <c r="D9" i="46"/>
  <c r="AA9" i="46" s="1"/>
  <c r="D9" i="47"/>
  <c r="AA9" i="47" s="1"/>
  <c r="D9" i="48"/>
  <c r="AA9" i="48" s="1"/>
  <c r="O50" i="5"/>
  <c r="P50" i="5"/>
  <c r="BA26" i="55"/>
  <c r="BB26" i="55"/>
  <c r="BC26" i="55"/>
  <c r="BD26" i="55"/>
  <c r="BE26" i="55"/>
  <c r="BE40" i="55"/>
  <c r="BD40" i="55"/>
  <c r="BC40" i="55"/>
  <c r="BB40" i="55"/>
  <c r="BA40" i="55"/>
  <c r="BF39" i="55"/>
  <c r="BE39" i="55"/>
  <c r="BD39" i="55"/>
  <c r="BC39" i="55"/>
  <c r="BB39" i="55"/>
  <c r="BA39" i="55"/>
  <c r="BB37" i="55"/>
  <c r="BA37" i="55"/>
  <c r="BB36" i="55"/>
  <c r="BA36" i="55"/>
  <c r="BE33" i="55"/>
  <c r="BD33" i="55"/>
  <c r="BC33" i="55"/>
  <c r="BB33" i="55"/>
  <c r="BA33" i="55"/>
  <c r="BF32" i="55"/>
  <c r="BE32" i="55"/>
  <c r="BD32" i="55"/>
  <c r="BC32" i="55"/>
  <c r="BB32" i="55"/>
  <c r="BA32" i="55"/>
  <c r="BB30" i="55"/>
  <c r="BA30" i="55"/>
  <c r="BB29" i="55"/>
  <c r="BA29" i="55"/>
  <c r="L58" i="55" l="1"/>
  <c r="K9" i="62"/>
  <c r="J9" i="62"/>
  <c r="G5" i="62"/>
  <c r="J10" i="62"/>
  <c r="K10" i="62"/>
  <c r="FV20" i="62"/>
  <c r="FV21" i="62"/>
  <c r="N20" i="62"/>
  <c r="N21" i="62"/>
  <c r="DA20" i="62"/>
  <c r="DA21" i="62"/>
  <c r="BW20" i="62"/>
  <c r="BW21" i="62"/>
  <c r="EE20" i="62"/>
  <c r="EE21" i="62"/>
  <c r="FI17" i="62"/>
  <c r="FH17" i="62"/>
  <c r="FH18" i="62" s="1"/>
  <c r="Z58" i="55"/>
  <c r="AA57" i="55"/>
  <c r="AB57" i="55" s="1"/>
  <c r="AC57" i="55" s="1"/>
  <c r="AD57" i="55" s="1"/>
  <c r="AE57" i="55" s="1"/>
  <c r="AF57" i="55" s="1"/>
  <c r="AG57" i="55" s="1"/>
  <c r="AH57" i="55" s="1"/>
  <c r="AI57" i="55" s="1"/>
  <c r="AJ57" i="55" s="1"/>
  <c r="AK57" i="55" s="1"/>
  <c r="AL57" i="55" s="1"/>
  <c r="AM57" i="55" s="1"/>
  <c r="AN57" i="55" s="1"/>
  <c r="EE18" i="62"/>
  <c r="FI18" i="62"/>
  <c r="N18" i="62"/>
  <c r="BC29" i="55"/>
  <c r="AS17" i="62"/>
  <c r="DB17" i="62"/>
  <c r="O44" i="55"/>
  <c r="EF17" i="62"/>
  <c r="N51" i="55"/>
  <c r="BB51" i="55" s="1"/>
  <c r="BB50" i="55"/>
  <c r="BX17" i="62"/>
  <c r="P37" i="55"/>
  <c r="FJ17" i="62"/>
  <c r="M58" i="55"/>
  <c r="O17" i="62"/>
  <c r="Q23" i="55"/>
  <c r="AT17" i="62"/>
  <c r="Q30" i="55"/>
  <c r="BC30" i="55" s="1"/>
  <c r="Z9" i="48"/>
  <c r="AC2" i="48" s="1"/>
  <c r="AC9" i="4"/>
  <c r="AC9" i="36"/>
  <c r="AC9" i="37"/>
  <c r="AC9" i="38"/>
  <c r="AC9" i="40"/>
  <c r="AC9" i="41"/>
  <c r="Z9" i="42"/>
  <c r="AC2" i="42" s="1"/>
  <c r="Z9" i="43"/>
  <c r="AC2" i="43" s="1"/>
  <c r="Z9" i="44"/>
  <c r="AC2" i="44" s="1"/>
  <c r="Z9" i="45"/>
  <c r="AC2" i="45" s="1"/>
  <c r="Z9" i="46"/>
  <c r="AC2" i="46" s="1"/>
  <c r="Z9" i="47"/>
  <c r="AC2" i="47" s="1"/>
  <c r="L10" i="62" l="1"/>
  <c r="K6" i="62"/>
  <c r="EF20" i="62"/>
  <c r="EF21" i="62"/>
  <c r="DB20" i="62"/>
  <c r="DB21" i="62"/>
  <c r="AT20" i="62"/>
  <c r="AT21" i="62"/>
  <c r="O20" i="62"/>
  <c r="O21" i="62"/>
  <c r="FJ20" i="62"/>
  <c r="FJ21" i="62"/>
  <c r="BX20" i="62"/>
  <c r="BX21" i="62"/>
  <c r="AS20" i="62"/>
  <c r="AS21" i="62"/>
  <c r="FH20" i="62"/>
  <c r="FH21" i="62"/>
  <c r="FI20" i="62"/>
  <c r="FI21" i="62"/>
  <c r="FJ18" i="62"/>
  <c r="EF18" i="62"/>
  <c r="O18" i="62"/>
  <c r="AT18" i="62"/>
  <c r="AS18" i="62"/>
  <c r="FK17" i="62"/>
  <c r="N58" i="55"/>
  <c r="BB58" i="55" s="1"/>
  <c r="BB57" i="55"/>
  <c r="EG17" i="62"/>
  <c r="O51" i="55"/>
  <c r="DC17" i="62"/>
  <c r="P44" i="55"/>
  <c r="BY17" i="62"/>
  <c r="Q37" i="55"/>
  <c r="BC37" i="55" s="1"/>
  <c r="BC36" i="55"/>
  <c r="AU17" i="62"/>
  <c r="R30" i="55"/>
  <c r="P17" i="62"/>
  <c r="R23" i="55"/>
  <c r="L9" i="62" l="1"/>
  <c r="BY20" i="62"/>
  <c r="BY21" i="62"/>
  <c r="DC20" i="62"/>
  <c r="DC21" i="62"/>
  <c r="EG20" i="62"/>
  <c r="EG21" i="62"/>
  <c r="P20" i="62"/>
  <c r="P21" i="62"/>
  <c r="AU20" i="62"/>
  <c r="AU21" i="62"/>
  <c r="FK20" i="62"/>
  <c r="FK21" i="62"/>
  <c r="EG18" i="62"/>
  <c r="FK18" i="62"/>
  <c r="P18" i="62"/>
  <c r="AU18" i="62"/>
  <c r="BZ17" i="62"/>
  <c r="R37" i="55"/>
  <c r="DD17" i="62"/>
  <c r="Q44" i="55"/>
  <c r="BC44" i="55" s="1"/>
  <c r="BC43" i="55"/>
  <c r="EH17" i="62"/>
  <c r="P51" i="55"/>
  <c r="FL17" i="62"/>
  <c r="O58" i="55"/>
  <c r="Q17" i="62"/>
  <c r="S23" i="55"/>
  <c r="S30" i="55"/>
  <c r="AV17" i="62"/>
  <c r="M9" i="62" l="1"/>
  <c r="M10" i="62"/>
  <c r="L6" i="62"/>
  <c r="AV20" i="62"/>
  <c r="AV21" i="62"/>
  <c r="DD20" i="62"/>
  <c r="DD21" i="62"/>
  <c r="BZ20" i="62"/>
  <c r="BZ21" i="62"/>
  <c r="Q20" i="62"/>
  <c r="Q21" i="62"/>
  <c r="FL20" i="62"/>
  <c r="FL21" i="62"/>
  <c r="EH20" i="62"/>
  <c r="EH21" i="62"/>
  <c r="EH18" i="62"/>
  <c r="FL18" i="62"/>
  <c r="Q18" i="62"/>
  <c r="AV18" i="62"/>
  <c r="BZ18" i="62"/>
  <c r="EI17" i="62"/>
  <c r="Q51" i="55"/>
  <c r="BC51" i="55" s="1"/>
  <c r="BC50" i="55"/>
  <c r="DE17" i="62"/>
  <c r="R44" i="55"/>
  <c r="FM17" i="62"/>
  <c r="P58" i="55"/>
  <c r="CA17" i="62"/>
  <c r="S37" i="55"/>
  <c r="T30" i="55"/>
  <c r="AW17" i="62"/>
  <c r="R17" i="62"/>
  <c r="T23" i="55"/>
  <c r="K1" i="48"/>
  <c r="K1" i="47"/>
  <c r="K1" i="46"/>
  <c r="K1" i="45"/>
  <c r="K1" i="44"/>
  <c r="K1" i="43"/>
  <c r="K1" i="42"/>
  <c r="G1" i="51"/>
  <c r="M6" i="62" l="1"/>
  <c r="N9" i="62"/>
  <c r="AW20" i="62"/>
  <c r="AW21" i="62"/>
  <c r="EI20" i="62"/>
  <c r="EI21" i="62"/>
  <c r="R20" i="62"/>
  <c r="R21" i="62"/>
  <c r="CA20" i="62"/>
  <c r="CA21" i="62"/>
  <c r="FM20" i="62"/>
  <c r="FM21" i="62"/>
  <c r="DE20" i="62"/>
  <c r="DE21" i="62"/>
  <c r="FM18" i="62"/>
  <c r="EI18" i="62"/>
  <c r="R18" i="62"/>
  <c r="AW18" i="62"/>
  <c r="CB17" i="62"/>
  <c r="T37" i="55"/>
  <c r="DF17" i="62"/>
  <c r="S44" i="55"/>
  <c r="EJ17" i="62"/>
  <c r="R51" i="55"/>
  <c r="FN17" i="62"/>
  <c r="Q58" i="55"/>
  <c r="BC58" i="55" s="1"/>
  <c r="BC57" i="55"/>
  <c r="S17" i="62"/>
  <c r="U23" i="55"/>
  <c r="U30" i="55"/>
  <c r="BD30" i="55" s="1"/>
  <c r="AX17" i="62"/>
  <c r="BD29" i="55"/>
  <c r="AU165" i="55"/>
  <c r="AU167" i="55"/>
  <c r="N109" i="55"/>
  <c r="M7" i="62" l="1"/>
  <c r="Q10" i="62"/>
  <c r="N6" i="62"/>
  <c r="P12" i="62"/>
  <c r="O6" i="62"/>
  <c r="O9" i="62"/>
  <c r="P7" i="62"/>
  <c r="S20" i="62"/>
  <c r="S21" i="62"/>
  <c r="AX20" i="62"/>
  <c r="AX21" i="62"/>
  <c r="FN20" i="62"/>
  <c r="FN21" i="62"/>
  <c r="EJ20" i="62"/>
  <c r="EJ21" i="62"/>
  <c r="DF20" i="62"/>
  <c r="DF21" i="62"/>
  <c r="CB20" i="62"/>
  <c r="CB21" i="62"/>
  <c r="V122" i="55"/>
  <c r="BE125" i="58" s="1"/>
  <c r="V125" i="55"/>
  <c r="BE130" i="58" s="1"/>
  <c r="V128" i="55"/>
  <c r="BE133" i="58" s="1"/>
  <c r="V131" i="55"/>
  <c r="BE127" i="58" s="1"/>
  <c r="V134" i="55"/>
  <c r="BE128" i="58" s="1"/>
  <c r="V149" i="55"/>
  <c r="BE138" i="58" s="1"/>
  <c r="V137" i="55"/>
  <c r="BE129" i="58" s="1"/>
  <c r="V143" i="55"/>
  <c r="BE136" i="58" s="1"/>
  <c r="V146" i="55"/>
  <c r="BE137" i="58" s="1"/>
  <c r="V152" i="55"/>
  <c r="BE139" i="58" s="1"/>
  <c r="V119" i="55"/>
  <c r="BE124" i="58" s="1"/>
  <c r="V140" i="55"/>
  <c r="BE135" i="58" s="1"/>
  <c r="V116" i="55"/>
  <c r="BE123" i="58" s="1"/>
  <c r="FN18" i="62"/>
  <c r="EJ18" i="62"/>
  <c r="S18" i="62"/>
  <c r="AX18" i="62"/>
  <c r="CC17" i="62"/>
  <c r="U37" i="55"/>
  <c r="BD37" i="55" s="1"/>
  <c r="BD36" i="55"/>
  <c r="FO17" i="62"/>
  <c r="R58" i="55"/>
  <c r="EK17" i="62"/>
  <c r="S51" i="55"/>
  <c r="DG17" i="62"/>
  <c r="T44" i="55"/>
  <c r="T17" i="62"/>
  <c r="V23" i="55"/>
  <c r="AY17" i="62"/>
  <c r="V30" i="55"/>
  <c r="N76" i="54"/>
  <c r="V89" i="54" s="1"/>
  <c r="AZ14" i="54"/>
  <c r="AZ1" i="54" s="1"/>
  <c r="AU63" i="54"/>
  <c r="AT56" i="54"/>
  <c r="AS56" i="54"/>
  <c r="AR56" i="54"/>
  <c r="AQ56" i="54"/>
  <c r="AP56" i="54"/>
  <c r="AO56" i="54"/>
  <c r="R11" i="62" l="1"/>
  <c r="P9" i="62"/>
  <c r="R13" i="62"/>
  <c r="R10" i="62"/>
  <c r="Q7" i="62"/>
  <c r="CC20" i="62"/>
  <c r="CC21" i="62"/>
  <c r="AY20" i="62"/>
  <c r="AY21" i="62"/>
  <c r="T20" i="62"/>
  <c r="T21" i="62"/>
  <c r="DG20" i="62"/>
  <c r="DG21" i="62"/>
  <c r="EK20" i="62"/>
  <c r="EK21" i="62"/>
  <c r="FO20" i="62"/>
  <c r="FO21" i="62"/>
  <c r="D5" i="62"/>
  <c r="G30" i="62" s="1"/>
  <c r="D6" i="62"/>
  <c r="G33" i="62" s="1"/>
  <c r="D14" i="62"/>
  <c r="G57" i="62" s="1"/>
  <c r="D4" i="62"/>
  <c r="G27" i="62" s="1"/>
  <c r="D8" i="62"/>
  <c r="G39" i="62" s="1"/>
  <c r="D9" i="62"/>
  <c r="G42" i="62" s="1"/>
  <c r="D15" i="62"/>
  <c r="G60" i="62" s="1"/>
  <c r="D10" i="62"/>
  <c r="G45" i="62" s="1"/>
  <c r="D11" i="62"/>
  <c r="G48" i="62" s="1"/>
  <c r="D13" i="62"/>
  <c r="G54" i="62" s="1"/>
  <c r="D7" i="62"/>
  <c r="G36" i="62" s="1"/>
  <c r="D3" i="62"/>
  <c r="G24" i="62" s="1"/>
  <c r="H24" i="62" s="1"/>
  <c r="D12" i="62"/>
  <c r="G51" i="62" s="1"/>
  <c r="FO18" i="62"/>
  <c r="EK18" i="62"/>
  <c r="T18" i="62"/>
  <c r="AY18" i="62"/>
  <c r="EL17" i="62"/>
  <c r="T51" i="55"/>
  <c r="DH17" i="62"/>
  <c r="U44" i="55"/>
  <c r="BD44" i="55" s="1"/>
  <c r="BD43" i="55"/>
  <c r="FP17" i="62"/>
  <c r="S58" i="55"/>
  <c r="CD17" i="62"/>
  <c r="V37" i="55"/>
  <c r="AZ17" i="62"/>
  <c r="W30" i="55"/>
  <c r="U17" i="62"/>
  <c r="W23" i="55"/>
  <c r="V107" i="54"/>
  <c r="V98" i="54"/>
  <c r="V86" i="54"/>
  <c r="V92" i="54"/>
  <c r="V119" i="54"/>
  <c r="V116" i="54"/>
  <c r="V113" i="54"/>
  <c r="V110" i="54"/>
  <c r="V104" i="54"/>
  <c r="V101" i="54"/>
  <c r="V83" i="54"/>
  <c r="V95" i="54"/>
  <c r="AN54" i="54"/>
  <c r="AN62" i="54" s="1"/>
  <c r="AM56" i="54"/>
  <c r="L56" i="54"/>
  <c r="M56" i="54"/>
  <c r="N56" i="54"/>
  <c r="O56" i="54"/>
  <c r="P56" i="54"/>
  <c r="Q56" i="54"/>
  <c r="R56" i="54"/>
  <c r="S56" i="54"/>
  <c r="T56" i="54"/>
  <c r="U56" i="54"/>
  <c r="V56" i="54"/>
  <c r="W56" i="54"/>
  <c r="X56" i="54"/>
  <c r="Y56" i="54"/>
  <c r="Z56" i="54"/>
  <c r="AA56" i="54"/>
  <c r="AB56" i="54"/>
  <c r="AC56" i="54"/>
  <c r="AD56" i="54"/>
  <c r="AE56" i="54"/>
  <c r="AF56" i="54"/>
  <c r="AG56" i="54"/>
  <c r="AH56" i="54"/>
  <c r="AI56" i="54"/>
  <c r="AJ56" i="54"/>
  <c r="AK56" i="54"/>
  <c r="AL56" i="54"/>
  <c r="K56" i="54"/>
  <c r="K54" i="54"/>
  <c r="K62" i="54" s="1"/>
  <c r="L54" i="54"/>
  <c r="L62" i="54" s="1"/>
  <c r="M54" i="54"/>
  <c r="M62" i="54" s="1"/>
  <c r="N54" i="54"/>
  <c r="N62" i="54" s="1"/>
  <c r="O54" i="54"/>
  <c r="O62" i="54" s="1"/>
  <c r="P54" i="54"/>
  <c r="P62" i="54" s="1"/>
  <c r="Q54" i="54"/>
  <c r="Q62" i="54" s="1"/>
  <c r="R54" i="54"/>
  <c r="R62" i="54" s="1"/>
  <c r="S54" i="54"/>
  <c r="S62" i="54" s="1"/>
  <c r="T54" i="54"/>
  <c r="T62" i="54" s="1"/>
  <c r="U54" i="54"/>
  <c r="U62" i="54" s="1"/>
  <c r="V54" i="54"/>
  <c r="V62" i="54" s="1"/>
  <c r="W54" i="54"/>
  <c r="W62" i="54" s="1"/>
  <c r="X54" i="54"/>
  <c r="X62" i="54" s="1"/>
  <c r="Y54" i="54"/>
  <c r="Y62" i="54" s="1"/>
  <c r="Z54" i="54"/>
  <c r="Z62" i="54" s="1"/>
  <c r="AA54" i="54"/>
  <c r="AA62" i="54" s="1"/>
  <c r="AB54" i="54"/>
  <c r="AB62" i="54" s="1"/>
  <c r="AC54" i="54"/>
  <c r="AC62" i="54" s="1"/>
  <c r="AD54" i="54"/>
  <c r="AD62" i="54" s="1"/>
  <c r="AE54" i="54"/>
  <c r="AE62" i="54" s="1"/>
  <c r="AF54" i="54"/>
  <c r="AF62" i="54" s="1"/>
  <c r="AG54" i="54"/>
  <c r="AG62" i="54" s="1"/>
  <c r="AH54" i="54"/>
  <c r="AH62" i="54" s="1"/>
  <c r="AI54" i="54"/>
  <c r="AI62" i="54" s="1"/>
  <c r="AJ54" i="54"/>
  <c r="AJ62" i="54" s="1"/>
  <c r="AK54" i="54"/>
  <c r="AK62" i="54" s="1"/>
  <c r="AL54" i="54"/>
  <c r="AL62" i="54" s="1"/>
  <c r="AM54" i="54"/>
  <c r="AM62" i="54" s="1"/>
  <c r="AO54" i="54"/>
  <c r="AO62" i="54" s="1"/>
  <c r="AP54" i="54"/>
  <c r="AP62" i="54" s="1"/>
  <c r="AQ54" i="54"/>
  <c r="AQ62" i="54" s="1"/>
  <c r="AR54" i="54"/>
  <c r="AR62" i="54" s="1"/>
  <c r="AS54" i="54"/>
  <c r="AS62" i="54" s="1"/>
  <c r="AT54" i="54"/>
  <c r="AT62" i="54" s="1"/>
  <c r="J54" i="54"/>
  <c r="J62" i="54" s="1"/>
  <c r="B14" i="54"/>
  <c r="G58" i="62" l="1"/>
  <c r="H59" i="62" s="1"/>
  <c r="I59" i="62" s="1"/>
  <c r="H60" i="62"/>
  <c r="I58" i="62" s="1"/>
  <c r="I15" i="62" s="1"/>
  <c r="H58" i="62"/>
  <c r="H15" i="62" s="1"/>
  <c r="H39" i="62"/>
  <c r="I37" i="62" s="1"/>
  <c r="H37" i="62"/>
  <c r="H8" i="62" s="1"/>
  <c r="G37" i="62"/>
  <c r="H38" i="62" s="1"/>
  <c r="G25" i="62"/>
  <c r="H26" i="62" s="1"/>
  <c r="H27" i="62"/>
  <c r="I25" i="62" s="1"/>
  <c r="I4" i="62" s="1"/>
  <c r="H25" i="62"/>
  <c r="H55" i="62"/>
  <c r="G55" i="62"/>
  <c r="H56" i="62" s="1"/>
  <c r="H57" i="62"/>
  <c r="I55" i="62" s="1"/>
  <c r="I14" i="62" s="1"/>
  <c r="H33" i="62"/>
  <c r="I31" i="62" s="1"/>
  <c r="H31" i="62"/>
  <c r="G31" i="62"/>
  <c r="H32" i="62" s="1"/>
  <c r="H51" i="62"/>
  <c r="I49" i="62" s="1"/>
  <c r="H49" i="62"/>
  <c r="G49" i="62"/>
  <c r="H50" i="62" s="1"/>
  <c r="H30" i="62"/>
  <c r="I28" i="62" s="1"/>
  <c r="H28" i="62"/>
  <c r="G28" i="62"/>
  <c r="H29" i="62" s="1"/>
  <c r="H40" i="62"/>
  <c r="H42" i="62"/>
  <c r="I40" i="62" s="1"/>
  <c r="G40" i="62"/>
  <c r="H41" i="62" s="1"/>
  <c r="I45" i="62" s="1"/>
  <c r="J43" i="62" s="1"/>
  <c r="I22" i="62"/>
  <c r="I3" i="62" s="1"/>
  <c r="I24" i="62"/>
  <c r="H36" i="62"/>
  <c r="I34" i="62" s="1"/>
  <c r="G34" i="62"/>
  <c r="H35" i="62" s="1"/>
  <c r="I39" i="62" s="1"/>
  <c r="J37" i="62" s="1"/>
  <c r="H34" i="62"/>
  <c r="H54" i="62"/>
  <c r="I52" i="62" s="1"/>
  <c r="H52" i="62"/>
  <c r="G52" i="62"/>
  <c r="H53" i="62" s="1"/>
  <c r="H48" i="62"/>
  <c r="I46" i="62" s="1"/>
  <c r="I11" i="62" s="1"/>
  <c r="H46" i="62"/>
  <c r="G46" i="62"/>
  <c r="H47" i="62" s="1"/>
  <c r="I51" i="62" s="1"/>
  <c r="J49" i="62" s="1"/>
  <c r="G43" i="62"/>
  <c r="H44" i="62" s="1"/>
  <c r="I48" i="62" s="1"/>
  <c r="J46" i="62" s="1"/>
  <c r="H43" i="62"/>
  <c r="H45" i="62"/>
  <c r="I43" i="62" s="1"/>
  <c r="Q12" i="62"/>
  <c r="R7" i="62"/>
  <c r="Q15" i="62"/>
  <c r="U20" i="62"/>
  <c r="U21" i="62"/>
  <c r="AZ20" i="62"/>
  <c r="AZ21" i="62"/>
  <c r="CD20" i="62"/>
  <c r="CD21" i="62"/>
  <c r="FP20" i="62"/>
  <c r="FP21" i="62"/>
  <c r="DH20" i="62"/>
  <c r="DH21" i="62"/>
  <c r="EL20" i="62"/>
  <c r="EL21" i="62"/>
  <c r="FP18" i="62"/>
  <c r="EL18" i="62"/>
  <c r="U18" i="62"/>
  <c r="AZ18" i="62"/>
  <c r="CE17" i="62"/>
  <c r="W37" i="55"/>
  <c r="FQ17" i="62"/>
  <c r="T58" i="55"/>
  <c r="DI17" i="62"/>
  <c r="V44" i="55"/>
  <c r="EM17" i="62"/>
  <c r="U51" i="55"/>
  <c r="BD51" i="55" s="1"/>
  <c r="BD50" i="55"/>
  <c r="V17" i="62"/>
  <c r="BE27" i="55"/>
  <c r="X23" i="55"/>
  <c r="BE23" i="55" s="1"/>
  <c r="BA17" i="62"/>
  <c r="X30" i="55"/>
  <c r="BE30" i="55" s="1"/>
  <c r="BE29" i="55"/>
  <c r="AE49" i="5"/>
  <c r="AE52" i="5"/>
  <c r="AE53" i="5"/>
  <c r="AE51" i="5"/>
  <c r="AE4" i="57"/>
  <c r="BH62" i="57"/>
  <c r="BG62" i="57"/>
  <c r="AG62" i="57"/>
  <c r="W62" i="57"/>
  <c r="AB62" i="57" s="1"/>
  <c r="BH61" i="57"/>
  <c r="BG61" i="57"/>
  <c r="AG61" i="57"/>
  <c r="W61" i="57"/>
  <c r="AB61" i="57" s="1"/>
  <c r="BH60" i="57"/>
  <c r="BG60" i="57"/>
  <c r="W60" i="57"/>
  <c r="AB60" i="57" s="1"/>
  <c r="AG60" i="57" s="1"/>
  <c r="BH59" i="57"/>
  <c r="BG59" i="57"/>
  <c r="W59" i="57"/>
  <c r="P47" i="57"/>
  <c r="AE3" i="57" s="1"/>
  <c r="BH46" i="57"/>
  <c r="BG46" i="57"/>
  <c r="AG46" i="57"/>
  <c r="W46" i="57"/>
  <c r="AB46" i="57" s="1"/>
  <c r="BH45" i="57"/>
  <c r="BG45" i="57"/>
  <c r="AG45" i="57"/>
  <c r="W45" i="57"/>
  <c r="AB45" i="57" s="1"/>
  <c r="BH44" i="57"/>
  <c r="BG44" i="57"/>
  <c r="W44" i="57"/>
  <c r="AB44" i="57" s="1"/>
  <c r="AG44" i="57" s="1"/>
  <c r="BH43" i="57"/>
  <c r="W43" i="57"/>
  <c r="C35" i="57"/>
  <c r="C34" i="57"/>
  <c r="AG29" i="57"/>
  <c r="BH25" i="57"/>
  <c r="BG25" i="57"/>
  <c r="AG25" i="57"/>
  <c r="AB25" i="57"/>
  <c r="BH24" i="57"/>
  <c r="BG24" i="57"/>
  <c r="AG24" i="57"/>
  <c r="AB24" i="57"/>
  <c r="BH23" i="57"/>
  <c r="BG23" i="57"/>
  <c r="AG23" i="57"/>
  <c r="AB23" i="57"/>
  <c r="BG22" i="57"/>
  <c r="AB22" i="57"/>
  <c r="AG22" i="57" s="1"/>
  <c r="BH21" i="57"/>
  <c r="BG21" i="57"/>
  <c r="AB21" i="57"/>
  <c r="BG14" i="57"/>
  <c r="BG13" i="57"/>
  <c r="AF19" i="5"/>
  <c r="AF6" i="5"/>
  <c r="AF25" i="5"/>
  <c r="AF23" i="5"/>
  <c r="AF22" i="5"/>
  <c r="AF21" i="5"/>
  <c r="AF20" i="5"/>
  <c r="AF17" i="5"/>
  <c r="AF15" i="5"/>
  <c r="AF14" i="5"/>
  <c r="AF11" i="5"/>
  <c r="AF10" i="5"/>
  <c r="AF9" i="5"/>
  <c r="AF8" i="5"/>
  <c r="AF7" i="5"/>
  <c r="AE58" i="5"/>
  <c r="I112" i="56"/>
  <c r="I111" i="56"/>
  <c r="I110" i="56"/>
  <c r="I109" i="56"/>
  <c r="I108" i="56"/>
  <c r="I107" i="56"/>
  <c r="I106" i="56"/>
  <c r="I105" i="56"/>
  <c r="I104" i="56"/>
  <c r="I103" i="56"/>
  <c r="I102" i="56"/>
  <c r="I101" i="56"/>
  <c r="I100" i="56"/>
  <c r="I99" i="56"/>
  <c r="I98" i="56"/>
  <c r="I97" i="56"/>
  <c r="I96" i="56"/>
  <c r="I95" i="56"/>
  <c r="I94" i="56"/>
  <c r="I93" i="56"/>
  <c r="I92" i="56"/>
  <c r="I91" i="56"/>
  <c r="I90" i="56"/>
  <c r="I89" i="56"/>
  <c r="I88" i="56"/>
  <c r="I87" i="56"/>
  <c r="I86" i="56"/>
  <c r="I85" i="56"/>
  <c r="I84" i="56"/>
  <c r="I83" i="56"/>
  <c r="I82" i="56"/>
  <c r="I81" i="56"/>
  <c r="I80" i="56"/>
  <c r="I79" i="56"/>
  <c r="I78" i="56"/>
  <c r="I77" i="56"/>
  <c r="I76" i="56"/>
  <c r="I75" i="56"/>
  <c r="I74" i="56"/>
  <c r="I73" i="56"/>
  <c r="I72" i="56"/>
  <c r="I71" i="56"/>
  <c r="I70" i="56"/>
  <c r="I69" i="56"/>
  <c r="I68" i="56"/>
  <c r="I67" i="56"/>
  <c r="I66" i="56"/>
  <c r="I65" i="56"/>
  <c r="I64" i="56"/>
  <c r="I63" i="56"/>
  <c r="I62" i="56"/>
  <c r="I61" i="56"/>
  <c r="I60" i="56"/>
  <c r="I59" i="56"/>
  <c r="I58" i="56"/>
  <c r="I57" i="56"/>
  <c r="I56" i="56"/>
  <c r="I55" i="56"/>
  <c r="I54" i="56"/>
  <c r="I53" i="56"/>
  <c r="I52" i="56"/>
  <c r="I51" i="56"/>
  <c r="I50" i="56"/>
  <c r="I49" i="56"/>
  <c r="I48" i="56"/>
  <c r="I47" i="56"/>
  <c r="I46" i="56"/>
  <c r="I45" i="56"/>
  <c r="I44" i="56"/>
  <c r="I43" i="56"/>
  <c r="I42" i="56"/>
  <c r="I41" i="56"/>
  <c r="I40" i="56"/>
  <c r="I39" i="56"/>
  <c r="I38" i="56"/>
  <c r="I37" i="56"/>
  <c r="I36" i="56"/>
  <c r="I35" i="56"/>
  <c r="I34" i="56"/>
  <c r="I33" i="56"/>
  <c r="I32" i="56"/>
  <c r="I31" i="56"/>
  <c r="I30" i="56"/>
  <c r="I29" i="56"/>
  <c r="I28" i="56"/>
  <c r="I27" i="56"/>
  <c r="I26" i="56"/>
  <c r="I25" i="56"/>
  <c r="I24" i="56"/>
  <c r="I23" i="56"/>
  <c r="I22" i="56"/>
  <c r="I21" i="56"/>
  <c r="I20" i="56"/>
  <c r="I19" i="56"/>
  <c r="I18" i="56"/>
  <c r="I17" i="56"/>
  <c r="I16" i="56"/>
  <c r="I15" i="56"/>
  <c r="I14" i="56"/>
  <c r="I13" i="56"/>
  <c r="G8" i="56"/>
  <c r="D7" i="56"/>
  <c r="AW68" i="55"/>
  <c r="AZ68" i="55" s="1"/>
  <c r="AW65" i="55"/>
  <c r="AZ65" i="55" s="1"/>
  <c r="BE34" i="55"/>
  <c r="BD34" i="55"/>
  <c r="BC34" i="55"/>
  <c r="BB34" i="55"/>
  <c r="BA34" i="55"/>
  <c r="BD27" i="55"/>
  <c r="BC27" i="55"/>
  <c r="BB27" i="55"/>
  <c r="BA27" i="55"/>
  <c r="BF25" i="55"/>
  <c r="BE25" i="55"/>
  <c r="BD25" i="55"/>
  <c r="BC25" i="55"/>
  <c r="BB25" i="55"/>
  <c r="BA25" i="55"/>
  <c r="BD23" i="55"/>
  <c r="BC23" i="55"/>
  <c r="BB23" i="55"/>
  <c r="BA23" i="55"/>
  <c r="BE22" i="55"/>
  <c r="BD22" i="55"/>
  <c r="BC22" i="55"/>
  <c r="BB22" i="55"/>
  <c r="BA22" i="55"/>
  <c r="BR170" i="54"/>
  <c r="BR169" i="54"/>
  <c r="BR168" i="54"/>
  <c r="BR167" i="54"/>
  <c r="BR166" i="54"/>
  <c r="BR165" i="54"/>
  <c r="BR163" i="54"/>
  <c r="BR162" i="54"/>
  <c r="BR161" i="54"/>
  <c r="BR160" i="54"/>
  <c r="BR159" i="54"/>
  <c r="BR158" i="54"/>
  <c r="BR157" i="54"/>
  <c r="BR156" i="54"/>
  <c r="BR155" i="54"/>
  <c r="BR154" i="54"/>
  <c r="BR153" i="54"/>
  <c r="BR152" i="54"/>
  <c r="BR151" i="54"/>
  <c r="BR150" i="54"/>
  <c r="BR149" i="54"/>
  <c r="BR148" i="54"/>
  <c r="K148" i="54"/>
  <c r="AU148" i="54" s="1"/>
  <c r="BR147" i="54"/>
  <c r="BR146" i="54"/>
  <c r="K146" i="54"/>
  <c r="AU146" i="54" s="1"/>
  <c r="BR145" i="54"/>
  <c r="BR144" i="54"/>
  <c r="K144" i="54"/>
  <c r="AU144" i="54" s="1"/>
  <c r="BR143" i="54"/>
  <c r="BR142" i="54"/>
  <c r="K142" i="54"/>
  <c r="AU142" i="54" s="1"/>
  <c r="BR141" i="54"/>
  <c r="BR140" i="54"/>
  <c r="K140" i="54"/>
  <c r="AU140" i="54" s="1"/>
  <c r="BR139" i="54"/>
  <c r="BR138" i="54"/>
  <c r="K138" i="54"/>
  <c r="AU138" i="54" s="1"/>
  <c r="BR137" i="54"/>
  <c r="BY136" i="54"/>
  <c r="BR136" i="54"/>
  <c r="K136" i="54"/>
  <c r="AU136" i="54" s="1"/>
  <c r="BY135" i="54"/>
  <c r="BR135" i="54"/>
  <c r="BY134" i="54"/>
  <c r="BR134" i="54"/>
  <c r="K134" i="54"/>
  <c r="AU134" i="54" s="1"/>
  <c r="BY133" i="54"/>
  <c r="BR133" i="54"/>
  <c r="BY132" i="54"/>
  <c r="BW132" i="54"/>
  <c r="BR132" i="54"/>
  <c r="K132" i="54"/>
  <c r="AU132" i="54" s="1"/>
  <c r="BY131" i="54"/>
  <c r="BW131" i="54"/>
  <c r="BR131" i="54"/>
  <c r="BY130" i="54"/>
  <c r="BW130" i="54"/>
  <c r="BR130" i="54"/>
  <c r="K130" i="54"/>
  <c r="AU130" i="54" s="1"/>
  <c r="BY129" i="54"/>
  <c r="BW129" i="54"/>
  <c r="BR129" i="54"/>
  <c r="BY128" i="54"/>
  <c r="BW128" i="54"/>
  <c r="BR128" i="54"/>
  <c r="K128" i="54"/>
  <c r="AU128" i="54" s="1"/>
  <c r="BY127" i="54"/>
  <c r="BW127" i="54"/>
  <c r="BR127" i="54"/>
  <c r="BY126" i="54"/>
  <c r="BW126" i="54"/>
  <c r="BR126" i="54"/>
  <c r="K126" i="54"/>
  <c r="AU126" i="54" s="1"/>
  <c r="BY125" i="54"/>
  <c r="BF28" i="54"/>
  <c r="BE28" i="54"/>
  <c r="BD28" i="54"/>
  <c r="BC28" i="54"/>
  <c r="BB28" i="54"/>
  <c r="BA28" i="54"/>
  <c r="BF27" i="54"/>
  <c r="BE27" i="54"/>
  <c r="BD27" i="54"/>
  <c r="BC27" i="54"/>
  <c r="BB27" i="54"/>
  <c r="BA27" i="54"/>
  <c r="BF26" i="54"/>
  <c r="BE26" i="54"/>
  <c r="BD26" i="54"/>
  <c r="BC26" i="54"/>
  <c r="BB26" i="54"/>
  <c r="BA26" i="54"/>
  <c r="BF25" i="54"/>
  <c r="BE25" i="54"/>
  <c r="BD25" i="54"/>
  <c r="BC25" i="54"/>
  <c r="BB25" i="54"/>
  <c r="BA25" i="54"/>
  <c r="BF24" i="54"/>
  <c r="BE24" i="54"/>
  <c r="BD24" i="54"/>
  <c r="BC24" i="54"/>
  <c r="BB24" i="54"/>
  <c r="BA24" i="54"/>
  <c r="BF23" i="54"/>
  <c r="BE23" i="54"/>
  <c r="BD23" i="54"/>
  <c r="BC23" i="54"/>
  <c r="BB23" i="54"/>
  <c r="BA23" i="54"/>
  <c r="BF22" i="54"/>
  <c r="BE22" i="54"/>
  <c r="BD22" i="54"/>
  <c r="BC22" i="54"/>
  <c r="BB22" i="54"/>
  <c r="BA22" i="54"/>
  <c r="I60" i="62" l="1"/>
  <c r="J58" i="62" s="1"/>
  <c r="J59" i="62"/>
  <c r="I54" i="62"/>
  <c r="J52" i="62" s="1"/>
  <c r="I47" i="62"/>
  <c r="I9" i="62"/>
  <c r="J15" i="62"/>
  <c r="K59" i="62"/>
  <c r="I41" i="62"/>
  <c r="J45" i="62" s="1"/>
  <c r="K43" i="62" s="1"/>
  <c r="H14" i="62"/>
  <c r="I56" i="62"/>
  <c r="I57" i="62"/>
  <c r="J55" i="62" s="1"/>
  <c r="I33" i="62"/>
  <c r="J31" i="62" s="1"/>
  <c r="BG15" i="57"/>
  <c r="BI3" i="57" s="1"/>
  <c r="I53" i="62"/>
  <c r="H5" i="62"/>
  <c r="I29" i="62"/>
  <c r="J29" i="62" s="1"/>
  <c r="I13" i="62"/>
  <c r="I5" i="62"/>
  <c r="I26" i="62"/>
  <c r="I30" i="62"/>
  <c r="J28" i="62" s="1"/>
  <c r="J13" i="62"/>
  <c r="I38" i="62"/>
  <c r="I42" i="62"/>
  <c r="J40" i="62" s="1"/>
  <c r="J12" i="62"/>
  <c r="H7" i="62"/>
  <c r="I35" i="62"/>
  <c r="J39" i="62" s="1"/>
  <c r="K37" i="62" s="1"/>
  <c r="H12" i="62"/>
  <c r="I50" i="62"/>
  <c r="J50" i="62" s="1"/>
  <c r="J8" i="62"/>
  <c r="I12" i="62"/>
  <c r="I8" i="62"/>
  <c r="I10" i="62"/>
  <c r="I7" i="62"/>
  <c r="I36" i="62"/>
  <c r="J34" i="62" s="1"/>
  <c r="I44" i="62"/>
  <c r="J48" i="62" s="1"/>
  <c r="K46" i="62" s="1"/>
  <c r="J24" i="62"/>
  <c r="J22" i="62"/>
  <c r="J3" i="62" s="1"/>
  <c r="H6" i="62"/>
  <c r="I32" i="62"/>
  <c r="J11" i="62"/>
  <c r="I6" i="62"/>
  <c r="R15" i="62"/>
  <c r="T14" i="62"/>
  <c r="T13" i="62"/>
  <c r="R12" i="62"/>
  <c r="T11" i="62"/>
  <c r="Q9" i="62"/>
  <c r="BA20" i="62"/>
  <c r="BA21" i="62"/>
  <c r="EM20" i="62"/>
  <c r="EM21" i="62"/>
  <c r="DI20" i="62"/>
  <c r="DI21" i="62"/>
  <c r="FQ20" i="62"/>
  <c r="FQ21" i="62"/>
  <c r="CE20" i="62"/>
  <c r="CE21" i="62"/>
  <c r="V20" i="62"/>
  <c r="V21" i="62"/>
  <c r="AG48" i="57"/>
  <c r="AG3" i="57" s="1"/>
  <c r="AG31" i="57"/>
  <c r="AG2" i="57" s="1"/>
  <c r="BG47" i="57"/>
  <c r="BG26" i="57"/>
  <c r="BK3" i="57" s="1"/>
  <c r="EM18" i="62"/>
  <c r="FQ18" i="62"/>
  <c r="V18" i="62"/>
  <c r="BA18" i="62"/>
  <c r="FR17" i="62"/>
  <c r="U58" i="55"/>
  <c r="BD58" i="55" s="1"/>
  <c r="BD57" i="55"/>
  <c r="CF17" i="62"/>
  <c r="X37" i="55"/>
  <c r="BE37" i="55" s="1"/>
  <c r="BE36" i="55"/>
  <c r="EN17" i="62"/>
  <c r="V51" i="55"/>
  <c r="DJ17" i="62"/>
  <c r="W44" i="55"/>
  <c r="Y30" i="55"/>
  <c r="W18" i="62"/>
  <c r="Y23" i="55"/>
  <c r="AB59" i="57"/>
  <c r="AG59" i="57" s="1"/>
  <c r="AG64" i="57"/>
  <c r="AG21" i="57"/>
  <c r="BH63" i="57"/>
  <c r="AB43" i="57"/>
  <c r="AG43" i="57" s="1"/>
  <c r="AG47" i="57" s="1"/>
  <c r="BH47" i="57"/>
  <c r="J64" i="54"/>
  <c r="BS153" i="54"/>
  <c r="AW35" i="54"/>
  <c r="AZ35" i="54" s="1"/>
  <c r="BS166" i="54"/>
  <c r="BS158" i="54"/>
  <c r="AW32" i="54"/>
  <c r="AZ32" i="54" s="1"/>
  <c r="AK64" i="54"/>
  <c r="AM64" i="54"/>
  <c r="X64" i="54"/>
  <c r="AE64" i="54"/>
  <c r="AN64" i="54"/>
  <c r="AJ64" i="54"/>
  <c r="Q64" i="54"/>
  <c r="M64" i="54"/>
  <c r="AI64" i="54"/>
  <c r="AA64" i="54"/>
  <c r="AT64" i="54"/>
  <c r="U64" i="54"/>
  <c r="R64" i="54"/>
  <c r="K64" i="54"/>
  <c r="N64" i="54"/>
  <c r="AP64" i="54"/>
  <c r="V64" i="54"/>
  <c r="AO64" i="54"/>
  <c r="O64" i="54"/>
  <c r="AF64" i="54"/>
  <c r="W64" i="54"/>
  <c r="AS64" i="54"/>
  <c r="AQ64" i="54"/>
  <c r="AB64" i="54"/>
  <c r="AD64" i="54"/>
  <c r="Z64" i="54"/>
  <c r="AR64" i="54"/>
  <c r="S64" i="54"/>
  <c r="AC64" i="54"/>
  <c r="L64" i="54"/>
  <c r="AH64" i="54"/>
  <c r="P64" i="54"/>
  <c r="AL64" i="54"/>
  <c r="T64" i="54"/>
  <c r="Y64" i="54"/>
  <c r="AG64" i="54"/>
  <c r="BS126" i="54"/>
  <c r="BS159" i="54"/>
  <c r="BS161" i="54"/>
  <c r="BS163" i="54"/>
  <c r="BS165" i="54"/>
  <c r="BS168" i="54"/>
  <c r="BS170" i="54"/>
  <c r="BS127" i="54"/>
  <c r="BS136" i="54"/>
  <c r="BS137" i="54"/>
  <c r="BS141" i="54"/>
  <c r="BS143" i="54"/>
  <c r="BS144" i="54"/>
  <c r="BS147" i="54"/>
  <c r="BS151" i="54"/>
  <c r="BS155" i="54"/>
  <c r="BS157" i="54"/>
  <c r="BS128" i="54"/>
  <c r="BS131" i="54"/>
  <c r="BS132" i="54"/>
  <c r="BS138" i="54"/>
  <c r="BS139" i="54"/>
  <c r="BS145" i="54"/>
  <c r="BS149" i="54"/>
  <c r="BS152" i="54"/>
  <c r="BS129" i="54"/>
  <c r="BS130" i="54"/>
  <c r="BS133" i="54"/>
  <c r="BS134" i="54"/>
  <c r="BS135" i="54"/>
  <c r="BS140" i="54"/>
  <c r="BS142" i="54"/>
  <c r="BS146" i="54"/>
  <c r="BS148" i="54"/>
  <c r="BS150" i="54"/>
  <c r="BS154" i="54"/>
  <c r="BS156" i="54"/>
  <c r="BS160" i="54"/>
  <c r="BS162" i="54"/>
  <c r="BS167" i="54"/>
  <c r="BS169" i="54"/>
  <c r="BH15" i="57"/>
  <c r="AG26" i="57"/>
  <c r="AG30" i="57" s="1"/>
  <c r="BH26" i="57"/>
  <c r="AG63" i="57"/>
  <c r="AG4" i="57" s="1"/>
  <c r="BG63" i="57"/>
  <c r="BJ5" i="57" s="1"/>
  <c r="AZ30" i="54"/>
  <c r="B30" i="54" s="1"/>
  <c r="J57" i="62" l="1"/>
  <c r="K55" i="62" s="1"/>
  <c r="J35" i="62"/>
  <c r="K39" i="62" s="1"/>
  <c r="L37" i="62" s="1"/>
  <c r="J54" i="62"/>
  <c r="K52" i="62" s="1"/>
  <c r="J42" i="62"/>
  <c r="K40" i="62" s="1"/>
  <c r="J36" i="62"/>
  <c r="K34" i="62" s="1"/>
  <c r="K14" i="62"/>
  <c r="L13" i="62"/>
  <c r="J6" i="62"/>
  <c r="K7" i="62"/>
  <c r="J5" i="62"/>
  <c r="K29" i="62"/>
  <c r="J14" i="62"/>
  <c r="K22" i="62"/>
  <c r="K3" i="62" s="1"/>
  <c r="K24" i="62"/>
  <c r="J26" i="62"/>
  <c r="J30" i="62"/>
  <c r="K28" i="62" s="1"/>
  <c r="J56" i="62"/>
  <c r="J60" i="62"/>
  <c r="K58" i="62" s="1"/>
  <c r="K11" i="62"/>
  <c r="K13" i="62"/>
  <c r="J7" i="62"/>
  <c r="K35" i="62"/>
  <c r="L39" i="62" s="1"/>
  <c r="M37" i="62" s="1"/>
  <c r="L8" i="62"/>
  <c r="K8" i="62"/>
  <c r="J53" i="62"/>
  <c r="J32" i="62"/>
  <c r="K36" i="62" s="1"/>
  <c r="L34" i="62" s="1"/>
  <c r="J44" i="62"/>
  <c r="K50" i="62"/>
  <c r="J41" i="62"/>
  <c r="K45" i="62" s="1"/>
  <c r="L43" i="62" s="1"/>
  <c r="BG3" i="57"/>
  <c r="J33" i="62"/>
  <c r="K31" i="62" s="1"/>
  <c r="J38" i="62"/>
  <c r="J47" i="62"/>
  <c r="J51" i="62"/>
  <c r="K49" i="62" s="1"/>
  <c r="R9" i="62"/>
  <c r="V14" i="62"/>
  <c r="V10" i="62"/>
  <c r="S15" i="62"/>
  <c r="T7" i="62"/>
  <c r="S12" i="62"/>
  <c r="FR20" i="62"/>
  <c r="FR21" i="62"/>
  <c r="DJ20" i="62"/>
  <c r="DJ21" i="62"/>
  <c r="EN20" i="62"/>
  <c r="EN21" i="62"/>
  <c r="CF20" i="62"/>
  <c r="CF21" i="62"/>
  <c r="BH3" i="57"/>
  <c r="BJ4" i="57"/>
  <c r="DJ18" i="62"/>
  <c r="EN18" i="62"/>
  <c r="FR18" i="62"/>
  <c r="Z30" i="55"/>
  <c r="BB17" i="62"/>
  <c r="BQ18" i="62"/>
  <c r="DK17" i="62"/>
  <c r="X44" i="55"/>
  <c r="BE44" i="55" s="1"/>
  <c r="BE43" i="55"/>
  <c r="EO17" i="62"/>
  <c r="W51" i="55"/>
  <c r="Y37" i="55"/>
  <c r="FS17" i="62"/>
  <c r="V58" i="55"/>
  <c r="X17" i="62"/>
  <c r="BC17" i="62"/>
  <c r="AZ2" i="54"/>
  <c r="AX61" i="54"/>
  <c r="AX52" i="54"/>
  <c r="K54" i="62" l="1"/>
  <c r="L52" i="62" s="1"/>
  <c r="K33" i="62"/>
  <c r="L31" i="62" s="1"/>
  <c r="L35" i="62"/>
  <c r="M39" i="62" s="1"/>
  <c r="N37" i="62" s="1"/>
  <c r="M13" i="62"/>
  <c r="K48" i="62"/>
  <c r="L46" i="62" s="1"/>
  <c r="K44" i="62"/>
  <c r="L7" i="62"/>
  <c r="M35" i="62"/>
  <c r="K57" i="62"/>
  <c r="L55" i="62" s="1"/>
  <c r="K53" i="62"/>
  <c r="K15" i="62"/>
  <c r="L59" i="62"/>
  <c r="K32" i="62"/>
  <c r="L36" i="62" s="1"/>
  <c r="M34" i="62" s="1"/>
  <c r="K12" i="62"/>
  <c r="L50" i="62"/>
  <c r="K60" i="62"/>
  <c r="L58" i="62" s="1"/>
  <c r="K51" i="62"/>
  <c r="L49" i="62" s="1"/>
  <c r="K47" i="62"/>
  <c r="K5" i="62"/>
  <c r="L29" i="62"/>
  <c r="K41" i="62"/>
  <c r="K30" i="62"/>
  <c r="L28" i="62" s="1"/>
  <c r="K42" i="62"/>
  <c r="L40" i="62" s="1"/>
  <c r="K38" i="62"/>
  <c r="L24" i="62"/>
  <c r="L22" i="62"/>
  <c r="L3" i="62" s="1"/>
  <c r="L32" i="62"/>
  <c r="M8" i="62"/>
  <c r="K56" i="62"/>
  <c r="R8" i="62"/>
  <c r="V13" i="62"/>
  <c r="V11" i="62"/>
  <c r="U7" i="62"/>
  <c r="S9" i="62"/>
  <c r="T15" i="62"/>
  <c r="T12" i="62"/>
  <c r="X20" i="62"/>
  <c r="X21" i="62"/>
  <c r="DK20" i="62"/>
  <c r="DK21" i="62"/>
  <c r="BB20" i="62"/>
  <c r="BB21" i="62"/>
  <c r="BC20" i="62"/>
  <c r="BC21" i="62"/>
  <c r="EO20" i="62"/>
  <c r="EO21" i="62"/>
  <c r="FS20" i="62"/>
  <c r="FS21" i="62"/>
  <c r="BG5" i="57"/>
  <c r="BH5" i="57"/>
  <c r="BH4" i="57"/>
  <c r="BG4" i="57"/>
  <c r="AU52" i="54"/>
  <c r="AU56" i="54"/>
  <c r="AU53" i="54"/>
  <c r="AC76" i="54" s="1"/>
  <c r="R89" i="54" s="1"/>
  <c r="AU50" i="54"/>
  <c r="FS18" i="62"/>
  <c r="EO18" i="62"/>
  <c r="DK18" i="62"/>
  <c r="X18" i="62"/>
  <c r="BC18" i="62"/>
  <c r="BB18" i="62"/>
  <c r="Z37" i="55"/>
  <c r="CG17" i="62"/>
  <c r="BR18" i="62"/>
  <c r="FT17" i="62"/>
  <c r="W58" i="55"/>
  <c r="EP17" i="62"/>
  <c r="X51" i="55"/>
  <c r="BE51" i="55" s="1"/>
  <c r="BE50" i="55"/>
  <c r="CH17" i="62"/>
  <c r="Y44" i="55"/>
  <c r="AA30" i="55"/>
  <c r="BF29" i="55"/>
  <c r="Y17" i="62"/>
  <c r="AA23" i="55"/>
  <c r="AZ54" i="54"/>
  <c r="N35" i="62" l="1"/>
  <c r="M36" i="62"/>
  <c r="N34" i="62" s="1"/>
  <c r="O35" i="62" s="1"/>
  <c r="L54" i="62"/>
  <c r="M52" i="62" s="1"/>
  <c r="L33" i="62"/>
  <c r="M31" i="62" s="1"/>
  <c r="N39" i="62"/>
  <c r="O37" i="62" s="1"/>
  <c r="L57" i="62"/>
  <c r="M55" i="62" s="1"/>
  <c r="L53" i="62"/>
  <c r="L14" i="62"/>
  <c r="O8" i="62"/>
  <c r="L60" i="62"/>
  <c r="M58" i="62" s="1"/>
  <c r="L56" i="62"/>
  <c r="L51" i="62"/>
  <c r="M49" i="62" s="1"/>
  <c r="L47" i="62"/>
  <c r="M47" i="62" s="1"/>
  <c r="L41" i="62"/>
  <c r="L45" i="62"/>
  <c r="M43" i="62" s="1"/>
  <c r="L12" i="62"/>
  <c r="M50" i="62"/>
  <c r="N8" i="62"/>
  <c r="L48" i="62"/>
  <c r="M46" i="62" s="1"/>
  <c r="L44" i="62"/>
  <c r="L5" i="62"/>
  <c r="M29" i="62"/>
  <c r="N7" i="62"/>
  <c r="L15" i="62"/>
  <c r="M59" i="62"/>
  <c r="L11" i="62"/>
  <c r="N13" i="62"/>
  <c r="M22" i="62"/>
  <c r="M3" i="62" s="1"/>
  <c r="M24" i="62"/>
  <c r="P8" i="62"/>
  <c r="L42" i="62"/>
  <c r="M40" i="62" s="1"/>
  <c r="L38" i="62"/>
  <c r="M32" i="62"/>
  <c r="N36" i="62" s="1"/>
  <c r="O34" i="62" s="1"/>
  <c r="O7" i="62" s="1"/>
  <c r="T9" i="62"/>
  <c r="U12" i="62"/>
  <c r="V7" i="62"/>
  <c r="U15" i="62"/>
  <c r="Y20" i="62"/>
  <c r="Y21" i="62"/>
  <c r="CH20" i="62"/>
  <c r="CH21" i="62"/>
  <c r="EP20" i="62"/>
  <c r="EP21" i="62"/>
  <c r="FT20" i="62"/>
  <c r="FT21" i="62"/>
  <c r="CG20" i="62"/>
  <c r="CG21" i="62"/>
  <c r="BF3" i="57"/>
  <c r="EP18" i="62"/>
  <c r="FT18" i="62"/>
  <c r="Y18" i="62"/>
  <c r="DL17" i="62"/>
  <c r="Z44" i="55"/>
  <c r="BD17" i="62"/>
  <c r="BS18" i="62"/>
  <c r="FU17" i="62"/>
  <c r="X58" i="55"/>
  <c r="BE58" i="55" s="1"/>
  <c r="BE57" i="55"/>
  <c r="DM17" i="62"/>
  <c r="BF36" i="55"/>
  <c r="AA37" i="55"/>
  <c r="Y51" i="55"/>
  <c r="AB30" i="55"/>
  <c r="BF30" i="55" s="1"/>
  <c r="BE17" i="62"/>
  <c r="Z17" i="62"/>
  <c r="BF27" i="55"/>
  <c r="AB23" i="55"/>
  <c r="BF23" i="55" s="1"/>
  <c r="BE126" i="58"/>
  <c r="BE132" i="58"/>
  <c r="BE131" i="58"/>
  <c r="BE134" i="58"/>
  <c r="X76" i="54"/>
  <c r="AD89" i="54"/>
  <c r="AF89" i="54"/>
  <c r="Z89" i="54"/>
  <c r="M54" i="62" l="1"/>
  <c r="N52" i="62" s="1"/>
  <c r="M33" i="62"/>
  <c r="N31" i="62" s="1"/>
  <c r="M60" i="62"/>
  <c r="N58" i="62" s="1"/>
  <c r="N32" i="62"/>
  <c r="O36" i="62" s="1"/>
  <c r="P34" i="62" s="1"/>
  <c r="O39" i="62"/>
  <c r="P37" i="62" s="1"/>
  <c r="M45" i="62"/>
  <c r="N43" i="62" s="1"/>
  <c r="P35" i="62"/>
  <c r="M51" i="62"/>
  <c r="N49" i="62" s="1"/>
  <c r="Q35" i="62"/>
  <c r="M12" i="62"/>
  <c r="N50" i="62"/>
  <c r="N15" i="62"/>
  <c r="N10" i="62"/>
  <c r="M15" i="62"/>
  <c r="N59" i="62"/>
  <c r="O59" i="62" s="1"/>
  <c r="N24" i="62"/>
  <c r="N22" i="62"/>
  <c r="N3" i="62" s="1"/>
  <c r="M48" i="62"/>
  <c r="N46" i="62" s="1"/>
  <c r="M44" i="62"/>
  <c r="N44" i="62" s="1"/>
  <c r="O44" i="62" s="1"/>
  <c r="M42" i="62"/>
  <c r="N40" i="62" s="1"/>
  <c r="M38" i="62"/>
  <c r="M11" i="62"/>
  <c r="N47" i="62"/>
  <c r="M56" i="62"/>
  <c r="N60" i="62" s="1"/>
  <c r="O58" i="62" s="1"/>
  <c r="O13" i="62"/>
  <c r="O32" i="62"/>
  <c r="P36" i="62" s="1"/>
  <c r="M57" i="62"/>
  <c r="N55" i="62" s="1"/>
  <c r="M53" i="62"/>
  <c r="M41" i="62"/>
  <c r="M14" i="62"/>
  <c r="W7" i="62"/>
  <c r="V12" i="62"/>
  <c r="U9" i="62"/>
  <c r="V8" i="62"/>
  <c r="Z20" i="62"/>
  <c r="Z21" i="62"/>
  <c r="DM20" i="62"/>
  <c r="DM21" i="62"/>
  <c r="BE20" i="62"/>
  <c r="BE21" i="62"/>
  <c r="FU20" i="62"/>
  <c r="FU21" i="62"/>
  <c r="BD20" i="62"/>
  <c r="BD21" i="62"/>
  <c r="DL20" i="62"/>
  <c r="DL21" i="62"/>
  <c r="DM18" i="62"/>
  <c r="FU18" i="62"/>
  <c r="DL18" i="62"/>
  <c r="Z18" i="62"/>
  <c r="EQ17" i="62"/>
  <c r="Z51" i="55"/>
  <c r="BD18" i="62"/>
  <c r="BE18" i="62"/>
  <c r="CI17" i="62"/>
  <c r="BT18" i="62"/>
  <c r="CJ17" i="62"/>
  <c r="AB37" i="55"/>
  <c r="BF37" i="55" s="1"/>
  <c r="ER17" i="62"/>
  <c r="BF43" i="55"/>
  <c r="AA44" i="55"/>
  <c r="FV18" i="62"/>
  <c r="Y58" i="55"/>
  <c r="AA17" i="62"/>
  <c r="AC23" i="55"/>
  <c r="BF17" i="62"/>
  <c r="AC30" i="55"/>
  <c r="R83" i="54"/>
  <c r="AD83" i="54" s="1"/>
  <c r="R116" i="54"/>
  <c r="R98" i="54"/>
  <c r="R113" i="54"/>
  <c r="R110" i="54"/>
  <c r="R107" i="54"/>
  <c r="R104" i="54"/>
  <c r="R101" i="54"/>
  <c r="R95" i="54"/>
  <c r="R92" i="54"/>
  <c r="R86" i="54"/>
  <c r="AD86" i="54" s="1"/>
  <c r="R119" i="54"/>
  <c r="AZ64" i="54"/>
  <c r="AZ44" i="54"/>
  <c r="AZ3" i="54" s="1"/>
  <c r="N45" i="62" l="1"/>
  <c r="O43" i="62" s="1"/>
  <c r="N54" i="62"/>
  <c r="O52" i="62" s="1"/>
  <c r="N51" i="62"/>
  <c r="O49" i="62" s="1"/>
  <c r="N33" i="62"/>
  <c r="O31" i="62" s="1"/>
  <c r="P32" i="62" s="1"/>
  <c r="N48" i="62"/>
  <c r="O46" i="62" s="1"/>
  <c r="P39" i="62"/>
  <c r="Q39" i="62" s="1"/>
  <c r="O12" i="62"/>
  <c r="N56" i="62"/>
  <c r="O60" i="62" s="1"/>
  <c r="P58" i="62" s="1"/>
  <c r="O15" i="62"/>
  <c r="P59" i="62"/>
  <c r="N42" i="62"/>
  <c r="O40" i="62" s="1"/>
  <c r="N38" i="62"/>
  <c r="O10" i="62"/>
  <c r="P44" i="62"/>
  <c r="N57" i="62"/>
  <c r="O55" i="62" s="1"/>
  <c r="N53" i="62"/>
  <c r="N11" i="62"/>
  <c r="O47" i="62"/>
  <c r="N14" i="62"/>
  <c r="N12" i="62"/>
  <c r="O50" i="62"/>
  <c r="Q36" i="62"/>
  <c r="Q34" i="62"/>
  <c r="R35" i="62" s="1"/>
  <c r="O22" i="62"/>
  <c r="O3" i="62" s="1"/>
  <c r="O24" i="62"/>
  <c r="P24" i="62" s="1"/>
  <c r="Q24" i="62" s="1"/>
  <c r="R24" i="62" s="1"/>
  <c r="S24" i="62" s="1"/>
  <c r="T24" i="62" s="1"/>
  <c r="U24" i="62" s="1"/>
  <c r="V24" i="62" s="1"/>
  <c r="W24" i="62" s="1"/>
  <c r="X24" i="62" s="1"/>
  <c r="O11" i="62"/>
  <c r="N41" i="62"/>
  <c r="O45" i="62" s="1"/>
  <c r="P43" i="62" s="1"/>
  <c r="P10" i="62" s="1"/>
  <c r="W12" i="62"/>
  <c r="X7" i="62"/>
  <c r="V9" i="62"/>
  <c r="W15" i="62"/>
  <c r="ER20" i="62"/>
  <c r="ER21" i="62"/>
  <c r="CJ20" i="62"/>
  <c r="CJ21" i="62"/>
  <c r="CI20" i="62"/>
  <c r="CI21" i="62"/>
  <c r="EQ20" i="62"/>
  <c r="EQ21" i="62"/>
  <c r="BF20" i="62"/>
  <c r="BF21" i="62"/>
  <c r="AA20" i="62"/>
  <c r="AA21" i="62"/>
  <c r="ER18" i="62"/>
  <c r="EQ18" i="62"/>
  <c r="AA18" i="62"/>
  <c r="BF18" i="62"/>
  <c r="DN17" i="62"/>
  <c r="BU18" i="62"/>
  <c r="DO17" i="62"/>
  <c r="AB44" i="55"/>
  <c r="BF44" i="55" s="1"/>
  <c r="BF50" i="55"/>
  <c r="AA51" i="55"/>
  <c r="FW17" i="62"/>
  <c r="CK17" i="62"/>
  <c r="AC37" i="55"/>
  <c r="AD30" i="55"/>
  <c r="BG17" i="62"/>
  <c r="AB17" i="62"/>
  <c r="AD23" i="55"/>
  <c r="AF119" i="54"/>
  <c r="AD119" i="54"/>
  <c r="Z119" i="54"/>
  <c r="AF86" i="54"/>
  <c r="Z86" i="54"/>
  <c r="AF92" i="54"/>
  <c r="Z92" i="54"/>
  <c r="AD92" i="54"/>
  <c r="AF95" i="54"/>
  <c r="Z95" i="54"/>
  <c r="AD95" i="54"/>
  <c r="AF101" i="54"/>
  <c r="Z101" i="54"/>
  <c r="AD101" i="54"/>
  <c r="AF104" i="54"/>
  <c r="Z104" i="54"/>
  <c r="AD104" i="54"/>
  <c r="AF107" i="54"/>
  <c r="Z107" i="54"/>
  <c r="AD107" i="54"/>
  <c r="AF110" i="54"/>
  <c r="Z110" i="54"/>
  <c r="AD110" i="54"/>
  <c r="AF113" i="54"/>
  <c r="Z113" i="54"/>
  <c r="AD113" i="54"/>
  <c r="AF98" i="54"/>
  <c r="Z98" i="54"/>
  <c r="AD98" i="54"/>
  <c r="AZ66" i="54" s="1"/>
  <c r="AF116" i="54"/>
  <c r="AD116" i="54"/>
  <c r="Z116" i="54"/>
  <c r="AF83" i="54"/>
  <c r="Z83" i="54"/>
  <c r="B44" i="54"/>
  <c r="O18" i="5"/>
  <c r="DY4" i="49"/>
  <c r="DY5" i="49"/>
  <c r="DY6" i="49"/>
  <c r="DY7" i="49"/>
  <c r="DY8" i="49"/>
  <c r="DY9" i="49"/>
  <c r="DY10" i="49"/>
  <c r="DY11" i="49"/>
  <c r="DY12" i="49"/>
  <c r="DY13" i="49"/>
  <c r="DY14" i="49"/>
  <c r="DY15" i="49"/>
  <c r="DY16" i="49"/>
  <c r="DY17" i="49"/>
  <c r="DY18" i="49"/>
  <c r="DY19" i="49"/>
  <c r="DY20" i="49"/>
  <c r="DY21" i="49"/>
  <c r="DY22" i="49"/>
  <c r="DY23" i="49"/>
  <c r="DY24" i="49"/>
  <c r="DY25" i="49"/>
  <c r="DY26" i="49"/>
  <c r="DY27" i="49"/>
  <c r="DY28" i="49"/>
  <c r="DY29" i="49"/>
  <c r="DY30" i="49"/>
  <c r="DY31" i="49"/>
  <c r="DY32" i="49"/>
  <c r="DY33" i="49"/>
  <c r="DY34" i="49"/>
  <c r="DY35" i="49"/>
  <c r="DY3" i="49"/>
  <c r="Q37" i="62" l="1"/>
  <c r="Q8" i="62" s="1"/>
  <c r="O54" i="62"/>
  <c r="P52" i="62" s="1"/>
  <c r="P13" i="62" s="1"/>
  <c r="O51" i="62"/>
  <c r="P49" i="62" s="1"/>
  <c r="O41" i="62"/>
  <c r="P45" i="62" s="1"/>
  <c r="Q43" i="62" s="1"/>
  <c r="O48" i="62"/>
  <c r="P46" i="62" s="1"/>
  <c r="P11" i="62" s="1"/>
  <c r="O56" i="62"/>
  <c r="P60" i="62" s="1"/>
  <c r="O42" i="62"/>
  <c r="P40" i="62" s="1"/>
  <c r="O38" i="62"/>
  <c r="P47" i="62"/>
  <c r="P15" i="62"/>
  <c r="Q59" i="62"/>
  <c r="R36" i="62"/>
  <c r="R34" i="62"/>
  <c r="S35" i="62" s="1"/>
  <c r="R39" i="62"/>
  <c r="R37" i="62"/>
  <c r="O57" i="62"/>
  <c r="P55" i="62" s="1"/>
  <c r="P14" i="62" s="1"/>
  <c r="O53" i="62"/>
  <c r="O14" i="62"/>
  <c r="P56" i="62"/>
  <c r="Q56" i="62" s="1"/>
  <c r="P50" i="62"/>
  <c r="Q50" i="62" s="1"/>
  <c r="Q45" i="62"/>
  <c r="Q44" i="62"/>
  <c r="AA11" i="62"/>
  <c r="Y7" i="62"/>
  <c r="X12" i="62"/>
  <c r="X15" i="62"/>
  <c r="W9" i="62"/>
  <c r="BG20" i="62"/>
  <c r="BG21" i="62"/>
  <c r="FW20" i="62"/>
  <c r="FW21" i="62"/>
  <c r="DO20" i="62"/>
  <c r="DO21" i="62"/>
  <c r="DN20" i="62"/>
  <c r="DN21" i="62"/>
  <c r="Y24" i="62"/>
  <c r="AB20" i="62"/>
  <c r="AB21" i="62"/>
  <c r="CK20" i="62"/>
  <c r="CK21" i="62"/>
  <c r="FW18" i="62"/>
  <c r="DO18" i="62"/>
  <c r="DN18" i="62"/>
  <c r="AB18" i="62"/>
  <c r="BG18" i="62"/>
  <c r="ES17" i="62"/>
  <c r="BV18" i="62"/>
  <c r="BF57" i="55"/>
  <c r="AA58" i="55"/>
  <c r="CL17" i="62"/>
  <c r="AD37" i="55"/>
  <c r="ET17" i="62"/>
  <c r="AB51" i="55"/>
  <c r="BF51" i="55" s="1"/>
  <c r="DP17" i="62"/>
  <c r="AC44" i="55"/>
  <c r="AC17" i="62"/>
  <c r="AE23" i="55"/>
  <c r="BH17" i="62"/>
  <c r="AE30" i="55"/>
  <c r="P41" i="62" l="1"/>
  <c r="Q41" i="62" s="1"/>
  <c r="P48" i="62"/>
  <c r="Q46" i="62" s="1"/>
  <c r="Q11" i="62" s="1"/>
  <c r="Q47" i="62"/>
  <c r="P54" i="62"/>
  <c r="P51" i="62"/>
  <c r="R44" i="62"/>
  <c r="S36" i="62"/>
  <c r="S34" i="62"/>
  <c r="R45" i="62"/>
  <c r="R43" i="62"/>
  <c r="P42" i="62"/>
  <c r="P38" i="62"/>
  <c r="Q38" i="62" s="1"/>
  <c r="R38" i="62" s="1"/>
  <c r="S38" i="62" s="1"/>
  <c r="P57" i="62"/>
  <c r="P53" i="62"/>
  <c r="Q53" i="62" s="1"/>
  <c r="Q60" i="62"/>
  <c r="Q58" i="62"/>
  <c r="R59" i="62" s="1"/>
  <c r="S39" i="62"/>
  <c r="S37" i="62"/>
  <c r="W8" i="62"/>
  <c r="AB11" i="62"/>
  <c r="Y12" i="62"/>
  <c r="Z7" i="62"/>
  <c r="X9" i="62"/>
  <c r="Y15" i="62"/>
  <c r="Z24" i="62"/>
  <c r="BH20" i="62"/>
  <c r="BH21" i="62"/>
  <c r="AC20" i="62"/>
  <c r="AC21" i="62"/>
  <c r="DP20" i="62"/>
  <c r="DP21" i="62"/>
  <c r="ET20" i="62"/>
  <c r="ET21" i="62"/>
  <c r="CL20" i="62"/>
  <c r="CL21" i="62"/>
  <c r="ES20" i="62"/>
  <c r="ES21" i="62"/>
  <c r="ET18" i="62"/>
  <c r="ES18" i="62"/>
  <c r="DP18" i="62"/>
  <c r="AC18" i="62"/>
  <c r="BH18" i="62"/>
  <c r="FX17" i="62"/>
  <c r="BW18" i="62"/>
  <c r="DQ17" i="62"/>
  <c r="AD44" i="55"/>
  <c r="EU17" i="62"/>
  <c r="AC51" i="55"/>
  <c r="FY17" i="62"/>
  <c r="AB58" i="55"/>
  <c r="BF58" i="55" s="1"/>
  <c r="CM17" i="62"/>
  <c r="AE37" i="55"/>
  <c r="AD17" i="62"/>
  <c r="AF23" i="55"/>
  <c r="BI17" i="62"/>
  <c r="AF30" i="55"/>
  <c r="J3" i="25"/>
  <c r="Q48" i="62" l="1"/>
  <c r="S44" i="62"/>
  <c r="Q52" i="62"/>
  <c r="Q13" i="62" s="1"/>
  <c r="Q54" i="62"/>
  <c r="Q49" i="62"/>
  <c r="R50" i="62" s="1"/>
  <c r="Q51" i="62"/>
  <c r="Q40" i="62"/>
  <c r="R41" i="62" s="1"/>
  <c r="Q42" i="62"/>
  <c r="S8" i="62"/>
  <c r="T38" i="62"/>
  <c r="U38" i="62" s="1"/>
  <c r="R47" i="62"/>
  <c r="T37" i="62"/>
  <c r="T8" i="62" s="1"/>
  <c r="T39" i="62"/>
  <c r="S45" i="62"/>
  <c r="S43" i="62"/>
  <c r="S10" i="62" s="1"/>
  <c r="R60" i="62"/>
  <c r="R58" i="62"/>
  <c r="S59" i="62" s="1"/>
  <c r="S7" i="62"/>
  <c r="T35" i="62"/>
  <c r="T36" i="62"/>
  <c r="T34" i="62"/>
  <c r="R48" i="62"/>
  <c r="R46" i="62"/>
  <c r="S47" i="62" s="1"/>
  <c r="Q55" i="62"/>
  <c r="Q57" i="62"/>
  <c r="AB10" i="62"/>
  <c r="Z15" i="62"/>
  <c r="Y9" i="62"/>
  <c r="AC10" i="62"/>
  <c r="AA7" i="62"/>
  <c r="Z12" i="62"/>
  <c r="AB14" i="62"/>
  <c r="BI20" i="62"/>
  <c r="BI21" i="62"/>
  <c r="AD20" i="62"/>
  <c r="AD21" i="62"/>
  <c r="CM20" i="62"/>
  <c r="CM21" i="62"/>
  <c r="FY20" i="62"/>
  <c r="FY21" i="62"/>
  <c r="EU20" i="62"/>
  <c r="EU21" i="62"/>
  <c r="DQ20" i="62"/>
  <c r="DQ21" i="62"/>
  <c r="FX20" i="62"/>
  <c r="FX21" i="62"/>
  <c r="AA24" i="62"/>
  <c r="FY18" i="62"/>
  <c r="DQ18" i="62"/>
  <c r="FX18" i="62"/>
  <c r="EU18" i="62"/>
  <c r="AD18" i="62"/>
  <c r="BI18" i="62"/>
  <c r="BX18" i="62"/>
  <c r="CN17" i="62"/>
  <c r="AF37" i="55"/>
  <c r="EV17" i="62"/>
  <c r="AD51" i="55"/>
  <c r="FZ17" i="62"/>
  <c r="AC58" i="55"/>
  <c r="DR17" i="62"/>
  <c r="AE44" i="55"/>
  <c r="AG30" i="55"/>
  <c r="BJ17" i="62"/>
  <c r="AE17" i="62"/>
  <c r="AG23" i="55"/>
  <c r="D24" i="51"/>
  <c r="D23" i="51"/>
  <c r="D22" i="51"/>
  <c r="R53" i="62" l="1"/>
  <c r="U35" i="62"/>
  <c r="T44" i="62"/>
  <c r="R52" i="62"/>
  <c r="S53" i="62" s="1"/>
  <c r="R54" i="62"/>
  <c r="R51" i="62"/>
  <c r="R49" i="62"/>
  <c r="S50" i="62" s="1"/>
  <c r="R57" i="62"/>
  <c r="R55" i="62"/>
  <c r="R14" i="62" s="1"/>
  <c r="U37" i="62"/>
  <c r="U39" i="62"/>
  <c r="S46" i="62"/>
  <c r="S48" i="62"/>
  <c r="Q14" i="62"/>
  <c r="R56" i="62"/>
  <c r="U34" i="62"/>
  <c r="V35" i="62" s="1"/>
  <c r="U36" i="62"/>
  <c r="S13" i="62"/>
  <c r="R42" i="62"/>
  <c r="R40" i="62"/>
  <c r="S41" i="62" s="1"/>
  <c r="T45" i="62"/>
  <c r="T43" i="62"/>
  <c r="S60" i="62"/>
  <c r="S58" i="62"/>
  <c r="T59" i="62" s="1"/>
  <c r="Z9" i="62"/>
  <c r="AA15" i="62"/>
  <c r="AA12" i="62"/>
  <c r="AB7" i="62"/>
  <c r="AB24" i="62"/>
  <c r="AE20" i="62"/>
  <c r="AE21" i="62"/>
  <c r="DR20" i="62"/>
  <c r="DR21" i="62"/>
  <c r="FZ20" i="62"/>
  <c r="FZ21" i="62"/>
  <c r="EV20" i="62"/>
  <c r="EV21" i="62"/>
  <c r="CN20" i="62"/>
  <c r="CN21" i="62"/>
  <c r="BJ20" i="62"/>
  <c r="BJ21" i="62"/>
  <c r="O27" i="25"/>
  <c r="DR18" i="62"/>
  <c r="FZ18" i="62"/>
  <c r="AE18" i="62"/>
  <c r="BJ18" i="62"/>
  <c r="EV18" i="62"/>
  <c r="BY18" i="62"/>
  <c r="DS17" i="62"/>
  <c r="AF44" i="55"/>
  <c r="EW17" i="62"/>
  <c r="AE51" i="55"/>
  <c r="GA17" i="62"/>
  <c r="AD58" i="55"/>
  <c r="CO17" i="62"/>
  <c r="AG37" i="55"/>
  <c r="AF17" i="62"/>
  <c r="AH23" i="55"/>
  <c r="BK17" i="62"/>
  <c r="AH30" i="55"/>
  <c r="O45" i="25"/>
  <c r="O47" i="25" s="1"/>
  <c r="S56" i="62" l="1"/>
  <c r="S54" i="62"/>
  <c r="S52" i="62"/>
  <c r="T53" i="62" s="1"/>
  <c r="S51" i="62"/>
  <c r="S49" i="62"/>
  <c r="T50" i="62" s="1"/>
  <c r="V36" i="62"/>
  <c r="V34" i="62"/>
  <c r="W35" i="62" s="1"/>
  <c r="T60" i="62"/>
  <c r="T58" i="62"/>
  <c r="U59" i="62" s="1"/>
  <c r="T10" i="62"/>
  <c r="U44" i="62"/>
  <c r="T48" i="62"/>
  <c r="T46" i="62"/>
  <c r="U43" i="62"/>
  <c r="U45" i="62"/>
  <c r="S11" i="62"/>
  <c r="T47" i="62"/>
  <c r="V37" i="62"/>
  <c r="V39" i="62"/>
  <c r="S40" i="62"/>
  <c r="T41" i="62" s="1"/>
  <c r="S42" i="62"/>
  <c r="U8" i="62"/>
  <c r="V38" i="62"/>
  <c r="S55" i="62"/>
  <c r="S57" i="62"/>
  <c r="AB15" i="62"/>
  <c r="AA9" i="62"/>
  <c r="AD10" i="62"/>
  <c r="AC7" i="62"/>
  <c r="AB12" i="62"/>
  <c r="AB8" i="62"/>
  <c r="AE11" i="62"/>
  <c r="BK20" i="62"/>
  <c r="BK21" i="62"/>
  <c r="AF20" i="62"/>
  <c r="AF21" i="62"/>
  <c r="CO20" i="62"/>
  <c r="CO21" i="62"/>
  <c r="GA20" i="62"/>
  <c r="GA21" i="62"/>
  <c r="EW20" i="62"/>
  <c r="EW21" i="62"/>
  <c r="DS20" i="62"/>
  <c r="DS21" i="62"/>
  <c r="AC24" i="62"/>
  <c r="EW18" i="62"/>
  <c r="GA18" i="62"/>
  <c r="DS18" i="62"/>
  <c r="AF18" i="62"/>
  <c r="BK18" i="62"/>
  <c r="CP17" i="62"/>
  <c r="AH37" i="55"/>
  <c r="EX17" i="62"/>
  <c r="AF51" i="55"/>
  <c r="GB17" i="62"/>
  <c r="AE58" i="55"/>
  <c r="DT17" i="62"/>
  <c r="AG44" i="55"/>
  <c r="AI30" i="55"/>
  <c r="BL17" i="62"/>
  <c r="AG17" i="62"/>
  <c r="AI23" i="55"/>
  <c r="T54" i="62" l="1"/>
  <c r="T52" i="62"/>
  <c r="U53" i="62" s="1"/>
  <c r="T51" i="62"/>
  <c r="T49" i="62"/>
  <c r="U50" i="62" s="1"/>
  <c r="S14" i="62"/>
  <c r="T56" i="62"/>
  <c r="U46" i="62"/>
  <c r="U11" i="62" s="1"/>
  <c r="U48" i="62"/>
  <c r="T42" i="62"/>
  <c r="T40" i="62"/>
  <c r="U41" i="62" s="1"/>
  <c r="U60" i="62"/>
  <c r="U58" i="62"/>
  <c r="V59" i="62" s="1"/>
  <c r="W39" i="62"/>
  <c r="W37" i="62"/>
  <c r="W38" i="62"/>
  <c r="W36" i="62"/>
  <c r="W34" i="62"/>
  <c r="X35" i="62" s="1"/>
  <c r="U13" i="62"/>
  <c r="V45" i="62"/>
  <c r="V43" i="62"/>
  <c r="U10" i="62"/>
  <c r="V44" i="62"/>
  <c r="T57" i="62"/>
  <c r="T55" i="62"/>
  <c r="U56" i="62" s="1"/>
  <c r="U47" i="62"/>
  <c r="V47" i="62" s="1"/>
  <c r="AC12" i="62"/>
  <c r="AD7" i="62"/>
  <c r="AB9" i="62"/>
  <c r="AC15" i="62"/>
  <c r="AG20" i="62"/>
  <c r="AG21" i="62"/>
  <c r="DT20" i="62"/>
  <c r="DT21" i="62"/>
  <c r="GB20" i="62"/>
  <c r="GB21" i="62"/>
  <c r="EX20" i="62"/>
  <c r="EX21" i="62"/>
  <c r="CP20" i="62"/>
  <c r="CP21" i="62"/>
  <c r="BL20" i="62"/>
  <c r="BL21" i="62"/>
  <c r="AD24" i="62"/>
  <c r="DT18" i="62"/>
  <c r="EX18" i="62"/>
  <c r="GB18" i="62"/>
  <c r="AG18" i="62"/>
  <c r="BL18" i="62"/>
  <c r="CA18" i="62"/>
  <c r="DU17" i="62"/>
  <c r="AH44" i="55"/>
  <c r="EY17" i="62"/>
  <c r="AG51" i="55"/>
  <c r="GC17" i="62"/>
  <c r="AF58" i="55"/>
  <c r="CQ17" i="62"/>
  <c r="AI37" i="55"/>
  <c r="AH17" i="62"/>
  <c r="AJ23" i="55"/>
  <c r="BM17" i="62"/>
  <c r="AJ30" i="55"/>
  <c r="N4" i="50"/>
  <c r="G30" i="52"/>
  <c r="M29" i="52"/>
  <c r="L29" i="52"/>
  <c r="K29" i="52"/>
  <c r="J29" i="52"/>
  <c r="I29" i="52"/>
  <c r="H29" i="52"/>
  <c r="G29" i="52"/>
  <c r="G28" i="52"/>
  <c r="G26" i="52"/>
  <c r="G25" i="52"/>
  <c r="I24" i="52"/>
  <c r="H24" i="52"/>
  <c r="G24" i="52"/>
  <c r="J23" i="52"/>
  <c r="I23" i="52"/>
  <c r="H23" i="52"/>
  <c r="G23" i="52"/>
  <c r="U54" i="62" l="1"/>
  <c r="U52" i="62"/>
  <c r="V53" i="62" s="1"/>
  <c r="U49" i="62"/>
  <c r="V50" i="62" s="1"/>
  <c r="U51" i="62"/>
  <c r="X34" i="62"/>
  <c r="Y35" i="62" s="1"/>
  <c r="X36" i="62"/>
  <c r="X38" i="62"/>
  <c r="X39" i="62"/>
  <c r="X37" i="62"/>
  <c r="V58" i="62"/>
  <c r="V60" i="62"/>
  <c r="W44" i="62"/>
  <c r="W43" i="62"/>
  <c r="W45" i="62"/>
  <c r="U40" i="62"/>
  <c r="V41" i="62" s="1"/>
  <c r="U42" i="62"/>
  <c r="V48" i="62"/>
  <c r="V46" i="62"/>
  <c r="W47" i="62" s="1"/>
  <c r="U57" i="62"/>
  <c r="U55" i="62"/>
  <c r="U14" i="62" s="1"/>
  <c r="AD15" i="62"/>
  <c r="AC9" i="62"/>
  <c r="AE7" i="62"/>
  <c r="AD12" i="62"/>
  <c r="AD8" i="62"/>
  <c r="BM20" i="62"/>
  <c r="BM21" i="62"/>
  <c r="CQ20" i="62"/>
  <c r="CQ21" i="62"/>
  <c r="GC20" i="62"/>
  <c r="GC21" i="62"/>
  <c r="EY20" i="62"/>
  <c r="EY21" i="62"/>
  <c r="DU20" i="62"/>
  <c r="DU21" i="62"/>
  <c r="AE24" i="62"/>
  <c r="AH20" i="62"/>
  <c r="AH21" i="62"/>
  <c r="EY18" i="62"/>
  <c r="GC18" i="62"/>
  <c r="DU18" i="62"/>
  <c r="AH18" i="62"/>
  <c r="BM18" i="62"/>
  <c r="CB18" i="62"/>
  <c r="CR17" i="62"/>
  <c r="AJ37" i="55"/>
  <c r="EZ17" i="62"/>
  <c r="AH51" i="55"/>
  <c r="GD17" i="62"/>
  <c r="AG58" i="55"/>
  <c r="DV17" i="62"/>
  <c r="AI44" i="55"/>
  <c r="BN17" i="62"/>
  <c r="AK30" i="55"/>
  <c r="AI17" i="62"/>
  <c r="AK23" i="55"/>
  <c r="AC2" i="1"/>
  <c r="V54" i="62" l="1"/>
  <c r="V52" i="62"/>
  <c r="W53" i="62" s="1"/>
  <c r="V51" i="62"/>
  <c r="V49" i="62"/>
  <c r="W50" i="62" s="1"/>
  <c r="W58" i="62"/>
  <c r="W60" i="62"/>
  <c r="V15" i="62"/>
  <c r="W59" i="62"/>
  <c r="X59" i="62" s="1"/>
  <c r="W13" i="62"/>
  <c r="V57" i="62"/>
  <c r="V55" i="62"/>
  <c r="V56" i="62"/>
  <c r="X8" i="62"/>
  <c r="Y38" i="62"/>
  <c r="Y37" i="62"/>
  <c r="Y8" i="62" s="1"/>
  <c r="Y39" i="62"/>
  <c r="W46" i="62"/>
  <c r="W48" i="62"/>
  <c r="V40" i="62"/>
  <c r="W41" i="62" s="1"/>
  <c r="V42" i="62"/>
  <c r="Y34" i="62"/>
  <c r="Z35" i="62" s="1"/>
  <c r="Y36" i="62"/>
  <c r="X43" i="62"/>
  <c r="X45" i="62"/>
  <c r="W10" i="62"/>
  <c r="X44" i="62"/>
  <c r="AH14" i="62"/>
  <c r="AE12" i="62"/>
  <c r="AF7" i="62"/>
  <c r="AD9" i="62"/>
  <c r="AE15" i="62"/>
  <c r="AE8" i="62"/>
  <c r="AF24" i="62"/>
  <c r="AI20" i="62"/>
  <c r="AI21" i="62"/>
  <c r="BN20" i="62"/>
  <c r="BN21" i="62"/>
  <c r="DV20" i="62"/>
  <c r="DV21" i="62"/>
  <c r="GD20" i="62"/>
  <c r="GD21" i="62"/>
  <c r="EZ20" i="62"/>
  <c r="EZ21" i="62"/>
  <c r="CR20" i="62"/>
  <c r="CR21" i="62"/>
  <c r="EZ18" i="62"/>
  <c r="GD18" i="62"/>
  <c r="AI18" i="62"/>
  <c r="BN18" i="62"/>
  <c r="DV18" i="62"/>
  <c r="CC18" i="62"/>
  <c r="DW17" i="62"/>
  <c r="AJ44" i="55"/>
  <c r="FA17" i="62"/>
  <c r="AI51" i="55"/>
  <c r="GE17" i="62"/>
  <c r="AH58" i="55"/>
  <c r="CS17" i="62"/>
  <c r="AK37" i="55"/>
  <c r="AJ17" i="62"/>
  <c r="AL23" i="55"/>
  <c r="AL30" i="55"/>
  <c r="BO17" i="62"/>
  <c r="W54" i="62" l="1"/>
  <c r="W52" i="62"/>
  <c r="X53" i="62" s="1"/>
  <c r="W49" i="62"/>
  <c r="X50" i="62" s="1"/>
  <c r="W51" i="62"/>
  <c r="X10" i="62"/>
  <c r="Y44" i="62"/>
  <c r="Z34" i="62"/>
  <c r="AA35" i="62" s="1"/>
  <c r="Z36" i="62"/>
  <c r="X13" i="62"/>
  <c r="W56" i="62"/>
  <c r="Y43" i="62"/>
  <c r="Y45" i="62"/>
  <c r="W40" i="62"/>
  <c r="X41" i="62" s="1"/>
  <c r="W42" i="62"/>
  <c r="W55" i="62"/>
  <c r="W57" i="62"/>
  <c r="X48" i="62"/>
  <c r="X46" i="62"/>
  <c r="W11" i="62"/>
  <c r="X47" i="62"/>
  <c r="Z37" i="62"/>
  <c r="Z39" i="62"/>
  <c r="X58" i="62"/>
  <c r="Y59" i="62" s="1"/>
  <c r="X60" i="62"/>
  <c r="Z38" i="62"/>
  <c r="AI14" i="62"/>
  <c r="AF15" i="62"/>
  <c r="AE9" i="62"/>
  <c r="AG7" i="62"/>
  <c r="AF12" i="62"/>
  <c r="AH11" i="62"/>
  <c r="BO20" i="62"/>
  <c r="BO21" i="62"/>
  <c r="AJ20" i="62"/>
  <c r="AJ21" i="62"/>
  <c r="CS20" i="62"/>
  <c r="CS21" i="62"/>
  <c r="GE20" i="62"/>
  <c r="GE21" i="62"/>
  <c r="FA20" i="62"/>
  <c r="FA21" i="62"/>
  <c r="DW20" i="62"/>
  <c r="DW21" i="62"/>
  <c r="AG24" i="62"/>
  <c r="FA18" i="62"/>
  <c r="GE18" i="62"/>
  <c r="DW18" i="62"/>
  <c r="AJ18" i="62"/>
  <c r="BO18" i="62"/>
  <c r="CD18" i="62"/>
  <c r="CT17" i="62"/>
  <c r="AL37" i="55"/>
  <c r="FB17" i="62"/>
  <c r="AJ51" i="55"/>
  <c r="GF17" i="62"/>
  <c r="AI58" i="55"/>
  <c r="DX17" i="62"/>
  <c r="AK44" i="55"/>
  <c r="AM30" i="55"/>
  <c r="BP17" i="62"/>
  <c r="AK17" i="62"/>
  <c r="AM23" i="55"/>
  <c r="AV30" i="52"/>
  <c r="AY30" i="52" s="1"/>
  <c r="AV28" i="52"/>
  <c r="AY28" i="52" s="1"/>
  <c r="AV26" i="52"/>
  <c r="AY26" i="52" s="1"/>
  <c r="AV25" i="52"/>
  <c r="AY25" i="52" s="1"/>
  <c r="AV31" i="52"/>
  <c r="AY31" i="52" s="1"/>
  <c r="W15" i="52"/>
  <c r="AE18" i="5"/>
  <c r="X52" i="62" l="1"/>
  <c r="Y53" i="62" s="1"/>
  <c r="X54" i="62"/>
  <c r="X49" i="62"/>
  <c r="Y50" i="62" s="1"/>
  <c r="X51" i="62"/>
  <c r="Y58" i="62"/>
  <c r="Z59" i="62" s="1"/>
  <c r="Y60" i="62"/>
  <c r="Y10" i="62"/>
  <c r="Z44" i="62"/>
  <c r="AA37" i="62"/>
  <c r="AA8" i="62" s="1"/>
  <c r="AA39" i="62"/>
  <c r="Z8" i="62"/>
  <c r="AA38" i="62"/>
  <c r="Z45" i="62"/>
  <c r="Z43" i="62"/>
  <c r="AA34" i="62"/>
  <c r="AB35" i="62" s="1"/>
  <c r="AA36" i="62"/>
  <c r="X11" i="62"/>
  <c r="Y47" i="62"/>
  <c r="Y48" i="62"/>
  <c r="Y46" i="62"/>
  <c r="X55" i="62"/>
  <c r="X57" i="62"/>
  <c r="Y13" i="62"/>
  <c r="W14" i="62"/>
  <c r="X56" i="62"/>
  <c r="X40" i="62"/>
  <c r="Y41" i="62" s="1"/>
  <c r="X42" i="62"/>
  <c r="AI13" i="62"/>
  <c r="AG12" i="62"/>
  <c r="AH7" i="62"/>
  <c r="AF9" i="62"/>
  <c r="AG15" i="62"/>
  <c r="BP20" i="62"/>
  <c r="BP21" i="62"/>
  <c r="AK20" i="62"/>
  <c r="AK21" i="62"/>
  <c r="DX20" i="62"/>
  <c r="DX21" i="62"/>
  <c r="GF20" i="62"/>
  <c r="GF21" i="62"/>
  <c r="FB20" i="62"/>
  <c r="FB21" i="62"/>
  <c r="CT20" i="62"/>
  <c r="CT21" i="62"/>
  <c r="AH24" i="62"/>
  <c r="GF18" i="62"/>
  <c r="DX18" i="62"/>
  <c r="FB18" i="62"/>
  <c r="AK18" i="62"/>
  <c r="BP18" i="62"/>
  <c r="CE18" i="62"/>
  <c r="DY17" i="62"/>
  <c r="AL44" i="55"/>
  <c r="FC17" i="62"/>
  <c r="AK51" i="55"/>
  <c r="GG17" i="62"/>
  <c r="AJ58" i="55"/>
  <c r="CU17" i="62"/>
  <c r="AM37" i="55"/>
  <c r="AN23" i="55"/>
  <c r="AZ18" i="55"/>
  <c r="AN30" i="55"/>
  <c r="AV23" i="52"/>
  <c r="AY23" i="52" s="1"/>
  <c r="AV24" i="52"/>
  <c r="AW24" i="52" s="1"/>
  <c r="AV29" i="52"/>
  <c r="AW29" i="52" s="1"/>
  <c r="AW28" i="52"/>
  <c r="AW26" i="52"/>
  <c r="AW31" i="52"/>
  <c r="AW25" i="52"/>
  <c r="AW30" i="52"/>
  <c r="AB38" i="62" l="1"/>
  <c r="Y52" i="62"/>
  <c r="Z53" i="62" s="1"/>
  <c r="Y54" i="62"/>
  <c r="Y51" i="62"/>
  <c r="Y49" i="62"/>
  <c r="Z50" i="62" s="1"/>
  <c r="Z10" i="62"/>
  <c r="AA44" i="62"/>
  <c r="Y55" i="62"/>
  <c r="Y57" i="62"/>
  <c r="X14" i="62"/>
  <c r="Y56" i="62"/>
  <c r="AB37" i="62"/>
  <c r="AC38" i="62" s="1"/>
  <c r="AB39" i="62"/>
  <c r="AA43" i="62"/>
  <c r="AA45" i="62"/>
  <c r="Z13" i="62"/>
  <c r="Y11" i="62"/>
  <c r="Z47" i="62"/>
  <c r="Z48" i="62"/>
  <c r="Z46" i="62"/>
  <c r="Y42" i="62"/>
  <c r="Y40" i="62"/>
  <c r="Z41" i="62" s="1"/>
  <c r="Z60" i="62"/>
  <c r="Z58" i="62"/>
  <c r="AA59" i="62" s="1"/>
  <c r="AB34" i="62"/>
  <c r="AC35" i="62" s="1"/>
  <c r="AB36" i="62"/>
  <c r="AK14" i="62"/>
  <c r="AH15" i="62"/>
  <c r="AG9" i="62"/>
  <c r="AI7" i="62"/>
  <c r="AH12" i="62"/>
  <c r="AK10" i="62"/>
  <c r="CU20" i="62"/>
  <c r="CU21" i="62"/>
  <c r="GG20" i="62"/>
  <c r="GG21" i="62"/>
  <c r="FC20" i="62"/>
  <c r="FC21" i="62"/>
  <c r="DY20" i="62"/>
  <c r="DY21" i="62"/>
  <c r="AI24" i="62"/>
  <c r="M84" i="55"/>
  <c r="M89" i="55" s="1"/>
  <c r="AZ17" i="55"/>
  <c r="GG18" i="62"/>
  <c r="DY18" i="62"/>
  <c r="FC18" i="62"/>
  <c r="CU18" i="62"/>
  <c r="AO30" i="55"/>
  <c r="Q84" i="55" s="1"/>
  <c r="Q87" i="55"/>
  <c r="AO33" i="55"/>
  <c r="Q86" i="55" s="1"/>
  <c r="Q85" i="55"/>
  <c r="CF18" i="62"/>
  <c r="AZ19" i="55"/>
  <c r="AN37" i="55"/>
  <c r="FD17" i="62"/>
  <c r="AL51" i="55"/>
  <c r="GH17" i="62"/>
  <c r="AK58" i="55"/>
  <c r="DZ17" i="62"/>
  <c r="AM44" i="55"/>
  <c r="AV22" i="52"/>
  <c r="AY29" i="52"/>
  <c r="AY24" i="52"/>
  <c r="AW23" i="52"/>
  <c r="AW22" i="52"/>
  <c r="Z54" i="62" l="1"/>
  <c r="Z52" i="62"/>
  <c r="AA53" i="62" s="1"/>
  <c r="Z49" i="62"/>
  <c r="AA50" i="62" s="1"/>
  <c r="Z51" i="62"/>
  <c r="AC34" i="62"/>
  <c r="AD35" i="62" s="1"/>
  <c r="AC36" i="62"/>
  <c r="AB45" i="62"/>
  <c r="AB43" i="62"/>
  <c r="AC37" i="62"/>
  <c r="AC39" i="62"/>
  <c r="AA58" i="62"/>
  <c r="AB59" i="62" s="1"/>
  <c r="AA60" i="62"/>
  <c r="AA10" i="62"/>
  <c r="AB44" i="62"/>
  <c r="Z42" i="62"/>
  <c r="Z40" i="62"/>
  <c r="AA41" i="62" s="1"/>
  <c r="AA13" i="62"/>
  <c r="Z11" i="62"/>
  <c r="AA47" i="62"/>
  <c r="AA48" i="62"/>
  <c r="AA46" i="62"/>
  <c r="Z55" i="62"/>
  <c r="Z57" i="62"/>
  <c r="Y14" i="62"/>
  <c r="Z56" i="62"/>
  <c r="AI12" i="62"/>
  <c r="AJ7" i="62"/>
  <c r="AH9" i="62"/>
  <c r="AI15" i="62"/>
  <c r="AL14" i="62"/>
  <c r="AI8" i="62"/>
  <c r="DZ20" i="62"/>
  <c r="DZ21" i="62"/>
  <c r="GH20" i="62"/>
  <c r="GH21" i="62"/>
  <c r="FD20" i="62"/>
  <c r="FD21" i="62"/>
  <c r="AJ24" i="62"/>
  <c r="AR26" i="55"/>
  <c r="GH18" i="62"/>
  <c r="DZ18" i="62"/>
  <c r="FD18" i="62"/>
  <c r="AR32" i="55"/>
  <c r="AR33" i="55"/>
  <c r="U87" i="55"/>
  <c r="M86" i="55"/>
  <c r="M85" i="55"/>
  <c r="AO40" i="55"/>
  <c r="AO37" i="55"/>
  <c r="Q89" i="55"/>
  <c r="CG18" i="62"/>
  <c r="GI17" i="62"/>
  <c r="AL58" i="55"/>
  <c r="FE17" i="62"/>
  <c r="AM51" i="55"/>
  <c r="AZ20" i="55"/>
  <c r="AN44" i="55"/>
  <c r="AY32" i="52"/>
  <c r="AA52" i="62" l="1"/>
  <c r="AB53" i="62" s="1"/>
  <c r="AA54" i="62"/>
  <c r="AA49" i="62"/>
  <c r="AB50" i="62" s="1"/>
  <c r="AA51" i="62"/>
  <c r="AB47" i="62"/>
  <c r="AA57" i="62"/>
  <c r="AA55" i="62"/>
  <c r="Z14" i="62"/>
  <c r="AA56" i="62"/>
  <c r="AB60" i="62"/>
  <c r="AB58" i="62"/>
  <c r="AC59" i="62" s="1"/>
  <c r="AB48" i="62"/>
  <c r="AB46" i="62"/>
  <c r="AC47" i="62" s="1"/>
  <c r="AB13" i="62"/>
  <c r="AD37" i="62"/>
  <c r="AD39" i="62"/>
  <c r="AC8" i="62"/>
  <c r="AD38" i="62"/>
  <c r="AC44" i="62"/>
  <c r="AC45" i="62"/>
  <c r="AC43" i="62"/>
  <c r="AD34" i="62"/>
  <c r="AE35" i="62" s="1"/>
  <c r="AD36" i="62"/>
  <c r="AA42" i="62"/>
  <c r="AA40" i="62"/>
  <c r="AB41" i="62" s="1"/>
  <c r="AM10" i="62"/>
  <c r="AM14" i="62"/>
  <c r="AM11" i="62"/>
  <c r="AM13" i="62"/>
  <c r="AJ15" i="62"/>
  <c r="AI9" i="62"/>
  <c r="AK7" i="62"/>
  <c r="AJ12" i="62"/>
  <c r="AK24" i="62"/>
  <c r="FE20" i="62"/>
  <c r="D20" i="62" s="1"/>
  <c r="FE21" i="62"/>
  <c r="D21" i="62" s="1"/>
  <c r="GI20" i="62"/>
  <c r="GI21" i="62"/>
  <c r="GI18" i="62"/>
  <c r="FE18" i="62"/>
  <c r="AR39" i="55"/>
  <c r="AO44" i="55"/>
  <c r="Y84" i="55" s="1"/>
  <c r="Y89" i="55" s="1"/>
  <c r="Y87" i="55"/>
  <c r="U84" i="55"/>
  <c r="U89" i="55" s="1"/>
  <c r="Y85" i="55"/>
  <c r="U85" i="55"/>
  <c r="U86" i="55"/>
  <c r="AR40" i="55"/>
  <c r="AO47" i="55"/>
  <c r="Y86" i="55" s="1"/>
  <c r="CH18" i="62"/>
  <c r="AZ21" i="55"/>
  <c r="AN51" i="55"/>
  <c r="GJ17" i="62"/>
  <c r="AM58" i="55"/>
  <c r="F28" i="25"/>
  <c r="D46" i="25"/>
  <c r="E28" i="25"/>
  <c r="E46" i="25"/>
  <c r="H46" i="25"/>
  <c r="I46" i="25"/>
  <c r="J46" i="25"/>
  <c r="K46" i="25"/>
  <c r="I28" i="25"/>
  <c r="I48" i="25" s="1"/>
  <c r="J28" i="25"/>
  <c r="F46" i="25"/>
  <c r="F48" i="25" s="1"/>
  <c r="K28" i="25"/>
  <c r="K48" i="25" s="1"/>
  <c r="D28" i="25"/>
  <c r="G46" i="25"/>
  <c r="G28" i="25"/>
  <c r="E48" i="25"/>
  <c r="H28" i="25"/>
  <c r="H48" i="25" s="1"/>
  <c r="Z22" i="48"/>
  <c r="AE2" i="48" s="1"/>
  <c r="AA74" i="48"/>
  <c r="Z74" i="48"/>
  <c r="L74" i="48" s="1"/>
  <c r="AA73" i="48"/>
  <c r="Z73" i="48"/>
  <c r="L73" i="48" s="1"/>
  <c r="AA72" i="48"/>
  <c r="Z72" i="48"/>
  <c r="L72" i="48" s="1"/>
  <c r="AA71" i="48"/>
  <c r="Z71" i="48"/>
  <c r="L71" i="48" s="1"/>
  <c r="AA70" i="48"/>
  <c r="Z70" i="48"/>
  <c r="L70" i="48" s="1"/>
  <c r="AA69" i="48"/>
  <c r="Z69" i="48"/>
  <c r="L69" i="48" s="1"/>
  <c r="AA68" i="48"/>
  <c r="Z68" i="48"/>
  <c r="L68" i="48" s="1"/>
  <c r="AA67" i="48"/>
  <c r="Z67" i="48"/>
  <c r="L67" i="48" s="1"/>
  <c r="AA66" i="48"/>
  <c r="Z66" i="48"/>
  <c r="L66" i="48" s="1"/>
  <c r="AA65" i="48"/>
  <c r="Z65" i="48"/>
  <c r="L65" i="48" s="1"/>
  <c r="AA64" i="48"/>
  <c r="Z64" i="48"/>
  <c r="L64" i="48" s="1"/>
  <c r="AA63" i="48"/>
  <c r="Z63" i="48"/>
  <c r="L63" i="48" s="1"/>
  <c r="AA62" i="48"/>
  <c r="Z62" i="48"/>
  <c r="L62" i="48" s="1"/>
  <c r="AA61" i="48"/>
  <c r="Z61" i="48"/>
  <c r="L61" i="48" s="1"/>
  <c r="AA60" i="48"/>
  <c r="Z60" i="48"/>
  <c r="L60" i="48" s="1"/>
  <c r="AA59" i="48"/>
  <c r="Z59" i="48"/>
  <c r="L59" i="48" s="1"/>
  <c r="AA58" i="48"/>
  <c r="Z58" i="48"/>
  <c r="L58" i="48" s="1"/>
  <c r="AA57" i="48"/>
  <c r="Z57" i="48"/>
  <c r="L57" i="48" s="1"/>
  <c r="AA56" i="48"/>
  <c r="Z56" i="48"/>
  <c r="L56" i="48" s="1"/>
  <c r="AA55" i="48"/>
  <c r="Z55" i="48"/>
  <c r="L55" i="48" s="1"/>
  <c r="AA54" i="48"/>
  <c r="Z54" i="48"/>
  <c r="L54" i="48" s="1"/>
  <c r="AA53" i="48"/>
  <c r="Z53" i="48"/>
  <c r="L53" i="48" s="1"/>
  <c r="AA52" i="48"/>
  <c r="Z52" i="48"/>
  <c r="L52" i="48" s="1"/>
  <c r="AA51" i="48"/>
  <c r="Z51" i="48"/>
  <c r="L51" i="48" s="1"/>
  <c r="AA50" i="48"/>
  <c r="Z50" i="48"/>
  <c r="L50" i="48" s="1"/>
  <c r="AA49" i="48"/>
  <c r="Z49" i="48"/>
  <c r="L49" i="48" s="1"/>
  <c r="AA48" i="48"/>
  <c r="Z48" i="48"/>
  <c r="L48" i="48" s="1"/>
  <c r="AA47" i="48"/>
  <c r="Z47" i="48"/>
  <c r="L47" i="48" s="1"/>
  <c r="AA46" i="48"/>
  <c r="Z46" i="48"/>
  <c r="L46" i="48" s="1"/>
  <c r="AA45" i="48"/>
  <c r="Z45" i="48"/>
  <c r="L45" i="48" s="1"/>
  <c r="AA44" i="48"/>
  <c r="Z44" i="48"/>
  <c r="L44" i="48" s="1"/>
  <c r="AA43" i="48"/>
  <c r="Z43" i="48"/>
  <c r="L43" i="48" s="1"/>
  <c r="AA42" i="48"/>
  <c r="Z42" i="48"/>
  <c r="L42" i="48" s="1"/>
  <c r="AA41" i="48"/>
  <c r="Z41" i="48"/>
  <c r="L41" i="48" s="1"/>
  <c r="AA40" i="48"/>
  <c r="Z40" i="48"/>
  <c r="L40" i="48" s="1"/>
  <c r="AA39" i="48"/>
  <c r="Z39" i="48"/>
  <c r="L39" i="48" s="1"/>
  <c r="AA38" i="48"/>
  <c r="Z38" i="48"/>
  <c r="L38" i="48" s="1"/>
  <c r="AA37" i="48"/>
  <c r="Z37" i="48"/>
  <c r="L37" i="48" s="1"/>
  <c r="AA36" i="48"/>
  <c r="Z36" i="48"/>
  <c r="L36" i="48" s="1"/>
  <c r="AA35" i="48"/>
  <c r="Z35" i="48"/>
  <c r="AA34" i="48"/>
  <c r="Z34" i="48"/>
  <c r="AA33" i="48"/>
  <c r="Z33" i="48"/>
  <c r="AA32" i="48"/>
  <c r="Z32" i="48"/>
  <c r="L32" i="48" s="1"/>
  <c r="AA31" i="48"/>
  <c r="Z31" i="48"/>
  <c r="L31" i="48" s="1"/>
  <c r="AA30" i="48"/>
  <c r="Z30" i="48"/>
  <c r="AA22" i="48"/>
  <c r="AA15" i="48"/>
  <c r="Z15" i="48"/>
  <c r="AD2" i="48" s="1"/>
  <c r="B14" i="48"/>
  <c r="AA74" i="47"/>
  <c r="Z74" i="47"/>
  <c r="L74" i="47" s="1"/>
  <c r="AA73" i="47"/>
  <c r="Z73" i="47"/>
  <c r="L73" i="47" s="1"/>
  <c r="AA72" i="47"/>
  <c r="Z72" i="47"/>
  <c r="L72" i="47" s="1"/>
  <c r="AA71" i="47"/>
  <c r="Z71" i="47"/>
  <c r="L71" i="47" s="1"/>
  <c r="AA70" i="47"/>
  <c r="Z70" i="47"/>
  <c r="L70" i="47" s="1"/>
  <c r="AA69" i="47"/>
  <c r="Z69" i="47"/>
  <c r="L69" i="47" s="1"/>
  <c r="AA68" i="47"/>
  <c r="Z68" i="47"/>
  <c r="L68" i="47" s="1"/>
  <c r="AA67" i="47"/>
  <c r="Z67" i="47"/>
  <c r="L67" i="47" s="1"/>
  <c r="AA66" i="47"/>
  <c r="Z66" i="47"/>
  <c r="L66" i="47" s="1"/>
  <c r="AA65" i="47"/>
  <c r="Z65" i="47"/>
  <c r="L65" i="47" s="1"/>
  <c r="AA64" i="47"/>
  <c r="Z64" i="47"/>
  <c r="L64" i="47" s="1"/>
  <c r="AA63" i="47"/>
  <c r="Z63" i="47"/>
  <c r="L63" i="47" s="1"/>
  <c r="AA62" i="47"/>
  <c r="Z62" i="47"/>
  <c r="L62" i="47" s="1"/>
  <c r="AA61" i="47"/>
  <c r="Z61" i="47"/>
  <c r="L61" i="47" s="1"/>
  <c r="AA60" i="47"/>
  <c r="Z60" i="47"/>
  <c r="L60" i="47" s="1"/>
  <c r="AA59" i="47"/>
  <c r="Z59" i="47"/>
  <c r="L59" i="47" s="1"/>
  <c r="AA58" i="47"/>
  <c r="Z58" i="47"/>
  <c r="L58" i="47" s="1"/>
  <c r="AA57" i="47"/>
  <c r="Z57" i="47"/>
  <c r="L57" i="47" s="1"/>
  <c r="AA56" i="47"/>
  <c r="Z56" i="47"/>
  <c r="L56" i="47" s="1"/>
  <c r="AA55" i="47"/>
  <c r="Z55" i="47"/>
  <c r="L55" i="47" s="1"/>
  <c r="AA54" i="47"/>
  <c r="Z54" i="47"/>
  <c r="L54" i="47" s="1"/>
  <c r="AA53" i="47"/>
  <c r="Z53" i="47"/>
  <c r="L53" i="47" s="1"/>
  <c r="AA52" i="47"/>
  <c r="Z52" i="47"/>
  <c r="L52" i="47" s="1"/>
  <c r="AA51" i="47"/>
  <c r="Z51" i="47"/>
  <c r="L51" i="47" s="1"/>
  <c r="AA50" i="47"/>
  <c r="Z50" i="47"/>
  <c r="L50" i="47" s="1"/>
  <c r="AA49" i="47"/>
  <c r="Z49" i="47"/>
  <c r="L49" i="47" s="1"/>
  <c r="AA48" i="47"/>
  <c r="Z48" i="47"/>
  <c r="L48" i="47" s="1"/>
  <c r="AA47" i="47"/>
  <c r="Z47" i="47"/>
  <c r="L47" i="47" s="1"/>
  <c r="AA46" i="47"/>
  <c r="Z46" i="47"/>
  <c r="L46" i="47" s="1"/>
  <c r="AA45" i="47"/>
  <c r="Z45" i="47"/>
  <c r="L45" i="47" s="1"/>
  <c r="AA44" i="47"/>
  <c r="Z44" i="47"/>
  <c r="L44" i="47" s="1"/>
  <c r="AA43" i="47"/>
  <c r="Z43" i="47"/>
  <c r="L43" i="47" s="1"/>
  <c r="AA42" i="47"/>
  <c r="Z42" i="47"/>
  <c r="L42" i="47" s="1"/>
  <c r="AA41" i="47"/>
  <c r="Z41" i="47"/>
  <c r="L41" i="47" s="1"/>
  <c r="AA40" i="47"/>
  <c r="Z40" i="47"/>
  <c r="L40" i="47" s="1"/>
  <c r="AA39" i="47"/>
  <c r="Z39" i="47"/>
  <c r="L39" i="47" s="1"/>
  <c r="AA38" i="47"/>
  <c r="Z38" i="47"/>
  <c r="L38" i="47" s="1"/>
  <c r="AA37" i="47"/>
  <c r="Z37" i="47"/>
  <c r="L37" i="47" s="1"/>
  <c r="AA36" i="47"/>
  <c r="Z36" i="47"/>
  <c r="AA35" i="47"/>
  <c r="Z35" i="47"/>
  <c r="L35" i="47" s="1"/>
  <c r="AA34" i="47"/>
  <c r="Z34" i="47"/>
  <c r="AA33" i="47"/>
  <c r="Z33" i="47"/>
  <c r="L33" i="47" s="1"/>
  <c r="AA32" i="47"/>
  <c r="Z32" i="47"/>
  <c r="L32" i="47" s="1"/>
  <c r="AA31" i="47"/>
  <c r="Z31" i="47"/>
  <c r="L31" i="47" s="1"/>
  <c r="AA30" i="47"/>
  <c r="Z30" i="47"/>
  <c r="AA22" i="47"/>
  <c r="Z22" i="47"/>
  <c r="AE2" i="47" s="1"/>
  <c r="AA15" i="47"/>
  <c r="Z15" i="47"/>
  <c r="AD2" i="47" s="1"/>
  <c r="B14" i="47"/>
  <c r="AA74" i="46"/>
  <c r="Z74" i="46"/>
  <c r="L74" i="46" s="1"/>
  <c r="AA73" i="46"/>
  <c r="Z73" i="46"/>
  <c r="L73" i="46" s="1"/>
  <c r="AA72" i="46"/>
  <c r="Z72" i="46"/>
  <c r="L72" i="46" s="1"/>
  <c r="AA71" i="46"/>
  <c r="Z71" i="46"/>
  <c r="L71" i="46" s="1"/>
  <c r="AA70" i="46"/>
  <c r="Z70" i="46"/>
  <c r="L70" i="46" s="1"/>
  <c r="AA69" i="46"/>
  <c r="Z69" i="46"/>
  <c r="L69" i="46" s="1"/>
  <c r="AA68" i="46"/>
  <c r="Z68" i="46"/>
  <c r="L68" i="46" s="1"/>
  <c r="AA67" i="46"/>
  <c r="Z67" i="46"/>
  <c r="L67" i="46" s="1"/>
  <c r="AA66" i="46"/>
  <c r="Z66" i="46"/>
  <c r="L66" i="46" s="1"/>
  <c r="AA65" i="46"/>
  <c r="Z65" i="46"/>
  <c r="L65" i="46" s="1"/>
  <c r="AA64" i="46"/>
  <c r="Z64" i="46"/>
  <c r="L64" i="46" s="1"/>
  <c r="AA63" i="46"/>
  <c r="Z63" i="46"/>
  <c r="L63" i="46" s="1"/>
  <c r="AA62" i="46"/>
  <c r="Z62" i="46"/>
  <c r="L62" i="46" s="1"/>
  <c r="AA61" i="46"/>
  <c r="Z61" i="46"/>
  <c r="L61" i="46" s="1"/>
  <c r="AA60" i="46"/>
  <c r="Z60" i="46"/>
  <c r="L60" i="46" s="1"/>
  <c r="AA59" i="46"/>
  <c r="Z59" i="46"/>
  <c r="L59" i="46" s="1"/>
  <c r="AA58" i="46"/>
  <c r="Z58" i="46"/>
  <c r="L58" i="46" s="1"/>
  <c r="AA57" i="46"/>
  <c r="Z57" i="46"/>
  <c r="L57" i="46" s="1"/>
  <c r="AA56" i="46"/>
  <c r="Z56" i="46"/>
  <c r="L56" i="46" s="1"/>
  <c r="AA55" i="46"/>
  <c r="Z55" i="46"/>
  <c r="L55" i="46" s="1"/>
  <c r="AA54" i="46"/>
  <c r="Z54" i="46"/>
  <c r="L54" i="46" s="1"/>
  <c r="AA53" i="46"/>
  <c r="Z53" i="46"/>
  <c r="L53" i="46" s="1"/>
  <c r="AA52" i="46"/>
  <c r="Z52" i="46"/>
  <c r="L52" i="46" s="1"/>
  <c r="AA51" i="46"/>
  <c r="Z51" i="46"/>
  <c r="L51" i="46" s="1"/>
  <c r="AA50" i="46"/>
  <c r="Z50" i="46"/>
  <c r="L50" i="46" s="1"/>
  <c r="AA49" i="46"/>
  <c r="Z49" i="46"/>
  <c r="L49" i="46" s="1"/>
  <c r="AA48" i="46"/>
  <c r="Z48" i="46"/>
  <c r="L48" i="46" s="1"/>
  <c r="AA47" i="46"/>
  <c r="Z47" i="46"/>
  <c r="L47" i="46" s="1"/>
  <c r="AA46" i="46"/>
  <c r="Z46" i="46"/>
  <c r="L46" i="46" s="1"/>
  <c r="AA45" i="46"/>
  <c r="Z45" i="46"/>
  <c r="L45" i="46" s="1"/>
  <c r="AA44" i="46"/>
  <c r="Z44" i="46"/>
  <c r="L44" i="46" s="1"/>
  <c r="AA43" i="46"/>
  <c r="Z43" i="46"/>
  <c r="L43" i="46" s="1"/>
  <c r="AA42" i="46"/>
  <c r="Z42" i="46"/>
  <c r="L42" i="46" s="1"/>
  <c r="AA41" i="46"/>
  <c r="Z41" i="46"/>
  <c r="L41" i="46" s="1"/>
  <c r="AA40" i="46"/>
  <c r="Z40" i="46"/>
  <c r="L40" i="46" s="1"/>
  <c r="AA39" i="46"/>
  <c r="Z39" i="46"/>
  <c r="L39" i="46" s="1"/>
  <c r="AA38" i="46"/>
  <c r="Z38" i="46"/>
  <c r="L38" i="46" s="1"/>
  <c r="AA37" i="46"/>
  <c r="Z37" i="46"/>
  <c r="L37" i="46" s="1"/>
  <c r="AA36" i="46"/>
  <c r="Z36" i="46"/>
  <c r="AA35" i="46"/>
  <c r="Z35" i="46"/>
  <c r="AA34" i="46"/>
  <c r="Z34" i="46"/>
  <c r="AA33" i="46"/>
  <c r="Z33" i="46"/>
  <c r="L33" i="46" s="1"/>
  <c r="AA32" i="46"/>
  <c r="Z32" i="46"/>
  <c r="L32" i="46" s="1"/>
  <c r="AA31" i="46"/>
  <c r="Z31" i="46"/>
  <c r="L31" i="46" s="1"/>
  <c r="AA30" i="46"/>
  <c r="Z30" i="46"/>
  <c r="AA22" i="46"/>
  <c r="Z22" i="46"/>
  <c r="AE2" i="46" s="1"/>
  <c r="AA15" i="46"/>
  <c r="Z15" i="46"/>
  <c r="AD2" i="46" s="1"/>
  <c r="B14" i="46"/>
  <c r="AA74" i="45"/>
  <c r="Z74" i="45"/>
  <c r="L74" i="45" s="1"/>
  <c r="AA73" i="45"/>
  <c r="Z73" i="45"/>
  <c r="L73" i="45" s="1"/>
  <c r="AA72" i="45"/>
  <c r="Z72" i="45"/>
  <c r="L72" i="45" s="1"/>
  <c r="AA71" i="45"/>
  <c r="Z71" i="45"/>
  <c r="L71" i="45" s="1"/>
  <c r="AA70" i="45"/>
  <c r="Z70" i="45"/>
  <c r="L70" i="45" s="1"/>
  <c r="AA69" i="45"/>
  <c r="Z69" i="45"/>
  <c r="L69" i="45" s="1"/>
  <c r="AA68" i="45"/>
  <c r="Z68" i="45"/>
  <c r="L68" i="45" s="1"/>
  <c r="AA67" i="45"/>
  <c r="Z67" i="45"/>
  <c r="L67" i="45" s="1"/>
  <c r="AA66" i="45"/>
  <c r="Z66" i="45"/>
  <c r="L66" i="45" s="1"/>
  <c r="AA65" i="45"/>
  <c r="Z65" i="45"/>
  <c r="L65" i="45" s="1"/>
  <c r="AA64" i="45"/>
  <c r="Z64" i="45"/>
  <c r="L64" i="45" s="1"/>
  <c r="AA63" i="45"/>
  <c r="Z63" i="45"/>
  <c r="L63" i="45" s="1"/>
  <c r="AA62" i="45"/>
  <c r="Z62" i="45"/>
  <c r="L62" i="45" s="1"/>
  <c r="AA61" i="45"/>
  <c r="Z61" i="45"/>
  <c r="L61" i="45" s="1"/>
  <c r="AA60" i="45"/>
  <c r="Z60" i="45"/>
  <c r="L60" i="45" s="1"/>
  <c r="AA59" i="45"/>
  <c r="Z59" i="45"/>
  <c r="L59" i="45" s="1"/>
  <c r="AA58" i="45"/>
  <c r="Z58" i="45"/>
  <c r="L58" i="45" s="1"/>
  <c r="AA57" i="45"/>
  <c r="Z57" i="45"/>
  <c r="L57" i="45" s="1"/>
  <c r="AA56" i="45"/>
  <c r="Z56" i="45"/>
  <c r="L56" i="45" s="1"/>
  <c r="AA55" i="45"/>
  <c r="Z55" i="45"/>
  <c r="L55" i="45" s="1"/>
  <c r="AA54" i="45"/>
  <c r="Z54" i="45"/>
  <c r="L54" i="45" s="1"/>
  <c r="AA53" i="45"/>
  <c r="Z53" i="45"/>
  <c r="L53" i="45" s="1"/>
  <c r="AA52" i="45"/>
  <c r="Z52" i="45"/>
  <c r="L52" i="45" s="1"/>
  <c r="AA51" i="45"/>
  <c r="Z51" i="45"/>
  <c r="L51" i="45" s="1"/>
  <c r="AA50" i="45"/>
  <c r="Z50" i="45"/>
  <c r="L50" i="45" s="1"/>
  <c r="AA49" i="45"/>
  <c r="Z49" i="45"/>
  <c r="L49" i="45" s="1"/>
  <c r="AA48" i="45"/>
  <c r="Z48" i="45"/>
  <c r="L48" i="45" s="1"/>
  <c r="AA47" i="45"/>
  <c r="Z47" i="45"/>
  <c r="L47" i="45" s="1"/>
  <c r="AA46" i="45"/>
  <c r="Z46" i="45"/>
  <c r="L46" i="45" s="1"/>
  <c r="AA45" i="45"/>
  <c r="Z45" i="45"/>
  <c r="AA44" i="45"/>
  <c r="Z44" i="45"/>
  <c r="AA43" i="45"/>
  <c r="Z43" i="45"/>
  <c r="AA42" i="45"/>
  <c r="Z42" i="45"/>
  <c r="L42" i="45" s="1"/>
  <c r="AA41" i="45"/>
  <c r="Z41" i="45"/>
  <c r="L41" i="45" s="1"/>
  <c r="AA40" i="45"/>
  <c r="Z40" i="45"/>
  <c r="L40" i="45" s="1"/>
  <c r="AA39" i="45"/>
  <c r="Z39" i="45"/>
  <c r="L39" i="45" s="1"/>
  <c r="AA38" i="45"/>
  <c r="Z38" i="45"/>
  <c r="L38" i="45" s="1"/>
  <c r="AA37" i="45"/>
  <c r="Z37" i="45"/>
  <c r="L37" i="45" s="1"/>
  <c r="AA36" i="45"/>
  <c r="Z36" i="45"/>
  <c r="L36" i="45" s="1"/>
  <c r="AA35" i="45"/>
  <c r="Z35" i="45"/>
  <c r="L35" i="45" s="1"/>
  <c r="AA34" i="45"/>
  <c r="Z34" i="45"/>
  <c r="L34" i="45" s="1"/>
  <c r="AA33" i="45"/>
  <c r="Z33" i="45"/>
  <c r="L33" i="45" s="1"/>
  <c r="AA32" i="45"/>
  <c r="Z32" i="45"/>
  <c r="L32" i="45" s="1"/>
  <c r="AA31" i="45"/>
  <c r="Z31" i="45"/>
  <c r="L31" i="45" s="1"/>
  <c r="AA30" i="45"/>
  <c r="Z30" i="45"/>
  <c r="AA22" i="45"/>
  <c r="Z22" i="45"/>
  <c r="AE2" i="45" s="1"/>
  <c r="AA15" i="45"/>
  <c r="Z15" i="45"/>
  <c r="AD2" i="45" s="1"/>
  <c r="B14" i="45"/>
  <c r="AA74" i="44"/>
  <c r="Z74" i="44"/>
  <c r="L74" i="44" s="1"/>
  <c r="AA73" i="44"/>
  <c r="Z73" i="44"/>
  <c r="L73" i="44" s="1"/>
  <c r="AA72" i="44"/>
  <c r="Z72" i="44"/>
  <c r="L72" i="44" s="1"/>
  <c r="AA71" i="44"/>
  <c r="Z71" i="44"/>
  <c r="L71" i="44" s="1"/>
  <c r="AA70" i="44"/>
  <c r="Z70" i="44"/>
  <c r="L70" i="44" s="1"/>
  <c r="AA69" i="44"/>
  <c r="Z69" i="44"/>
  <c r="L69" i="44" s="1"/>
  <c r="AA68" i="44"/>
  <c r="Z68" i="44"/>
  <c r="L68" i="44" s="1"/>
  <c r="AA67" i="44"/>
  <c r="Z67" i="44"/>
  <c r="L67" i="44" s="1"/>
  <c r="AA66" i="44"/>
  <c r="Z66" i="44"/>
  <c r="L66" i="44" s="1"/>
  <c r="AA65" i="44"/>
  <c r="Z65" i="44"/>
  <c r="L65" i="44" s="1"/>
  <c r="AA64" i="44"/>
  <c r="Z64" i="44"/>
  <c r="L64" i="44" s="1"/>
  <c r="AA63" i="44"/>
  <c r="Z63" i="44"/>
  <c r="L63" i="44" s="1"/>
  <c r="AA62" i="44"/>
  <c r="Z62" i="44"/>
  <c r="L62" i="44" s="1"/>
  <c r="AA61" i="44"/>
  <c r="Z61" i="44"/>
  <c r="L61" i="44" s="1"/>
  <c r="AA60" i="44"/>
  <c r="Z60" i="44"/>
  <c r="L60" i="44" s="1"/>
  <c r="AA59" i="44"/>
  <c r="Z59" i="44"/>
  <c r="L59" i="44" s="1"/>
  <c r="AA58" i="44"/>
  <c r="Z58" i="44"/>
  <c r="L58" i="44" s="1"/>
  <c r="AA57" i="44"/>
  <c r="Z57" i="44"/>
  <c r="L57" i="44" s="1"/>
  <c r="AA56" i="44"/>
  <c r="Z56" i="44"/>
  <c r="L56" i="44" s="1"/>
  <c r="AA55" i="44"/>
  <c r="Z55" i="44"/>
  <c r="L55" i="44" s="1"/>
  <c r="AA54" i="44"/>
  <c r="Z54" i="44"/>
  <c r="L54" i="44" s="1"/>
  <c r="AA53" i="44"/>
  <c r="Z53" i="44"/>
  <c r="L53" i="44" s="1"/>
  <c r="AA52" i="44"/>
  <c r="Z52" i="44"/>
  <c r="L52" i="44" s="1"/>
  <c r="AA51" i="44"/>
  <c r="Z51" i="44"/>
  <c r="L51" i="44" s="1"/>
  <c r="AA50" i="44"/>
  <c r="Z50" i="44"/>
  <c r="L50" i="44" s="1"/>
  <c r="AA49" i="44"/>
  <c r="Z49" i="44"/>
  <c r="L49" i="44" s="1"/>
  <c r="AA48" i="44"/>
  <c r="Z48" i="44"/>
  <c r="L48" i="44" s="1"/>
  <c r="AA47" i="44"/>
  <c r="Z47" i="44"/>
  <c r="L47" i="44" s="1"/>
  <c r="AA46" i="44"/>
  <c r="Z46" i="44"/>
  <c r="L46" i="44" s="1"/>
  <c r="AA45" i="44"/>
  <c r="Z45" i="44"/>
  <c r="L45" i="44" s="1"/>
  <c r="AA44" i="44"/>
  <c r="Z44" i="44"/>
  <c r="L44" i="44" s="1"/>
  <c r="AA43" i="44"/>
  <c r="Z43" i="44"/>
  <c r="L43" i="44" s="1"/>
  <c r="AA42" i="44"/>
  <c r="Z42" i="44"/>
  <c r="L42" i="44" s="1"/>
  <c r="AA41" i="44"/>
  <c r="Z41" i="44"/>
  <c r="L41" i="44" s="1"/>
  <c r="AA40" i="44"/>
  <c r="Z40" i="44"/>
  <c r="L40" i="44" s="1"/>
  <c r="AA39" i="44"/>
  <c r="Z39" i="44"/>
  <c r="AA38" i="44"/>
  <c r="Z38" i="44"/>
  <c r="AA37" i="44"/>
  <c r="Z37" i="44"/>
  <c r="AA36" i="44"/>
  <c r="Z36" i="44"/>
  <c r="L36" i="44" s="1"/>
  <c r="AA35" i="44"/>
  <c r="Z35" i="44"/>
  <c r="L35" i="44" s="1"/>
  <c r="AA34" i="44"/>
  <c r="Z34" i="44"/>
  <c r="L34" i="44" s="1"/>
  <c r="AA33" i="44"/>
  <c r="Z33" i="44"/>
  <c r="L33" i="44" s="1"/>
  <c r="AA32" i="44"/>
  <c r="Z32" i="44"/>
  <c r="L32" i="44" s="1"/>
  <c r="AA31" i="44"/>
  <c r="Z31" i="44"/>
  <c r="L31" i="44" s="1"/>
  <c r="AA30" i="44"/>
  <c r="Z30" i="44"/>
  <c r="AA22" i="44"/>
  <c r="Z22" i="44"/>
  <c r="AE2" i="44" s="1"/>
  <c r="AA15" i="44"/>
  <c r="Z15" i="44"/>
  <c r="AD2" i="44" s="1"/>
  <c r="B14" i="44"/>
  <c r="AA74" i="43"/>
  <c r="Z74" i="43"/>
  <c r="L74" i="43" s="1"/>
  <c r="AA73" i="43"/>
  <c r="Z73" i="43"/>
  <c r="L73" i="43" s="1"/>
  <c r="AA72" i="43"/>
  <c r="Z72" i="43"/>
  <c r="L72" i="43" s="1"/>
  <c r="AA71" i="43"/>
  <c r="Z71" i="43"/>
  <c r="L71" i="43" s="1"/>
  <c r="AA70" i="43"/>
  <c r="Z70" i="43"/>
  <c r="L70" i="43" s="1"/>
  <c r="AA69" i="43"/>
  <c r="Z69" i="43"/>
  <c r="L69" i="43" s="1"/>
  <c r="AA68" i="43"/>
  <c r="Z68" i="43"/>
  <c r="L68" i="43" s="1"/>
  <c r="AA67" i="43"/>
  <c r="Z67" i="43"/>
  <c r="L67" i="43" s="1"/>
  <c r="AA66" i="43"/>
  <c r="Z66" i="43"/>
  <c r="L66" i="43" s="1"/>
  <c r="AA65" i="43"/>
  <c r="Z65" i="43"/>
  <c r="L65" i="43" s="1"/>
  <c r="AA64" i="43"/>
  <c r="Z64" i="43"/>
  <c r="L64" i="43" s="1"/>
  <c r="AA63" i="43"/>
  <c r="Z63" i="43"/>
  <c r="L63" i="43" s="1"/>
  <c r="AA62" i="43"/>
  <c r="Z62" i="43"/>
  <c r="L62" i="43" s="1"/>
  <c r="AA61" i="43"/>
  <c r="Z61" i="43"/>
  <c r="L61" i="43" s="1"/>
  <c r="AA60" i="43"/>
  <c r="Z60" i="43"/>
  <c r="L60" i="43" s="1"/>
  <c r="AA59" i="43"/>
  <c r="Z59" i="43"/>
  <c r="L59" i="43" s="1"/>
  <c r="AA58" i="43"/>
  <c r="Z58" i="43"/>
  <c r="L58" i="43" s="1"/>
  <c r="AA57" i="43"/>
  <c r="Z57" i="43"/>
  <c r="L57" i="43" s="1"/>
  <c r="AA56" i="43"/>
  <c r="Z56" i="43"/>
  <c r="L56" i="43" s="1"/>
  <c r="AA55" i="43"/>
  <c r="Z55" i="43"/>
  <c r="L55" i="43" s="1"/>
  <c r="AA54" i="43"/>
  <c r="Z54" i="43"/>
  <c r="L54" i="43" s="1"/>
  <c r="AA53" i="43"/>
  <c r="Z53" i="43"/>
  <c r="L53" i="43" s="1"/>
  <c r="AA52" i="43"/>
  <c r="Z52" i="43"/>
  <c r="L52" i="43" s="1"/>
  <c r="AA51" i="43"/>
  <c r="Z51" i="43"/>
  <c r="L51" i="43" s="1"/>
  <c r="AA50" i="43"/>
  <c r="Z50" i="43"/>
  <c r="L50" i="43" s="1"/>
  <c r="AA49" i="43"/>
  <c r="Z49" i="43"/>
  <c r="L49" i="43" s="1"/>
  <c r="AA48" i="43"/>
  <c r="Z48" i="43"/>
  <c r="L48" i="43" s="1"/>
  <c r="AA47" i="43"/>
  <c r="Z47" i="43"/>
  <c r="L47" i="43" s="1"/>
  <c r="AA46" i="43"/>
  <c r="Z46" i="43"/>
  <c r="L46" i="43" s="1"/>
  <c r="AA45" i="43"/>
  <c r="Z45" i="43"/>
  <c r="L45" i="43" s="1"/>
  <c r="AA44" i="43"/>
  <c r="Z44" i="43"/>
  <c r="L44" i="43" s="1"/>
  <c r="AA43" i="43"/>
  <c r="Z43" i="43"/>
  <c r="L43" i="43" s="1"/>
  <c r="AA42" i="43"/>
  <c r="Z42" i="43"/>
  <c r="L42" i="43" s="1"/>
  <c r="AA41" i="43"/>
  <c r="Z41" i="43"/>
  <c r="L41" i="43" s="1"/>
  <c r="AA40" i="43"/>
  <c r="Z40" i="43"/>
  <c r="L40" i="43" s="1"/>
  <c r="AA39" i="43"/>
  <c r="Z39" i="43"/>
  <c r="L39" i="43" s="1"/>
  <c r="AA38" i="43"/>
  <c r="Z38" i="43"/>
  <c r="AA37" i="43"/>
  <c r="Z37" i="43"/>
  <c r="AA36" i="43"/>
  <c r="Z36" i="43"/>
  <c r="AA35" i="43"/>
  <c r="Z35" i="43"/>
  <c r="L35" i="43" s="1"/>
  <c r="AA34" i="43"/>
  <c r="Z34" i="43"/>
  <c r="L34" i="43" s="1"/>
  <c r="AA33" i="43"/>
  <c r="Z33" i="43"/>
  <c r="L33" i="43" s="1"/>
  <c r="AA32" i="43"/>
  <c r="Z32" i="43"/>
  <c r="L32" i="43" s="1"/>
  <c r="AA31" i="43"/>
  <c r="Z31" i="43"/>
  <c r="L31" i="43" s="1"/>
  <c r="AA30" i="43"/>
  <c r="Z30" i="43"/>
  <c r="AA22" i="43"/>
  <c r="Z22" i="43"/>
  <c r="AE2" i="43" s="1"/>
  <c r="AA15" i="43"/>
  <c r="Z15" i="43"/>
  <c r="AD2" i="43" s="1"/>
  <c r="B14" i="43"/>
  <c r="AA74" i="42"/>
  <c r="Z74" i="42"/>
  <c r="L74" i="42" s="1"/>
  <c r="AA73" i="42"/>
  <c r="Z73" i="42"/>
  <c r="L73" i="42" s="1"/>
  <c r="AA72" i="42"/>
  <c r="Z72" i="42"/>
  <c r="L72" i="42" s="1"/>
  <c r="AA71" i="42"/>
  <c r="Z71" i="42"/>
  <c r="L71" i="42" s="1"/>
  <c r="AA70" i="42"/>
  <c r="Z70" i="42"/>
  <c r="L70" i="42" s="1"/>
  <c r="AA69" i="42"/>
  <c r="Z69" i="42"/>
  <c r="L69" i="42" s="1"/>
  <c r="AA68" i="42"/>
  <c r="Z68" i="42"/>
  <c r="L68" i="42" s="1"/>
  <c r="AA67" i="42"/>
  <c r="Z67" i="42"/>
  <c r="L67" i="42" s="1"/>
  <c r="AA66" i="42"/>
  <c r="Z66" i="42"/>
  <c r="L66" i="42" s="1"/>
  <c r="AA65" i="42"/>
  <c r="Z65" i="42"/>
  <c r="L65" i="42" s="1"/>
  <c r="AA64" i="42"/>
  <c r="Z64" i="42"/>
  <c r="L64" i="42" s="1"/>
  <c r="AA63" i="42"/>
  <c r="Z63" i="42"/>
  <c r="L63" i="42" s="1"/>
  <c r="AA62" i="42"/>
  <c r="Z62" i="42"/>
  <c r="L62" i="42" s="1"/>
  <c r="AA61" i="42"/>
  <c r="Z61" i="42"/>
  <c r="L61" i="42" s="1"/>
  <c r="AA60" i="42"/>
  <c r="Z60" i="42"/>
  <c r="L60" i="42" s="1"/>
  <c r="AA59" i="42"/>
  <c r="Z59" i="42"/>
  <c r="L59" i="42" s="1"/>
  <c r="AA58" i="42"/>
  <c r="Z58" i="42"/>
  <c r="L58" i="42" s="1"/>
  <c r="AA57" i="42"/>
  <c r="Z57" i="42"/>
  <c r="L57" i="42" s="1"/>
  <c r="AA56" i="42"/>
  <c r="Z56" i="42"/>
  <c r="L56" i="42" s="1"/>
  <c r="AA55" i="42"/>
  <c r="Z55" i="42"/>
  <c r="L55" i="42" s="1"/>
  <c r="AA54" i="42"/>
  <c r="Z54" i="42"/>
  <c r="L54" i="42" s="1"/>
  <c r="AA53" i="42"/>
  <c r="Z53" i="42"/>
  <c r="L53" i="42" s="1"/>
  <c r="AA52" i="42"/>
  <c r="Z52" i="42"/>
  <c r="L52" i="42" s="1"/>
  <c r="AA51" i="42"/>
  <c r="Z51" i="42"/>
  <c r="L51" i="42" s="1"/>
  <c r="AA50" i="42"/>
  <c r="Z50" i="42"/>
  <c r="L50" i="42" s="1"/>
  <c r="AA49" i="42"/>
  <c r="Z49" i="42"/>
  <c r="L49" i="42" s="1"/>
  <c r="AA48" i="42"/>
  <c r="Z48" i="42"/>
  <c r="L48" i="42" s="1"/>
  <c r="AA47" i="42"/>
  <c r="Z47" i="42"/>
  <c r="L47" i="42" s="1"/>
  <c r="AA46" i="42"/>
  <c r="Z46" i="42"/>
  <c r="L46" i="42" s="1"/>
  <c r="AA45" i="42"/>
  <c r="Z45" i="42"/>
  <c r="L45" i="42" s="1"/>
  <c r="AA44" i="42"/>
  <c r="Z44" i="42"/>
  <c r="L44" i="42" s="1"/>
  <c r="AA43" i="42"/>
  <c r="Z43" i="42"/>
  <c r="L43" i="42" s="1"/>
  <c r="AA42" i="42"/>
  <c r="Z42" i="42"/>
  <c r="L42" i="42" s="1"/>
  <c r="AA41" i="42"/>
  <c r="Z41" i="42"/>
  <c r="L41" i="42" s="1"/>
  <c r="AA40" i="42"/>
  <c r="Z40" i="42"/>
  <c r="L40" i="42" s="1"/>
  <c r="AA39" i="42"/>
  <c r="Z39" i="42"/>
  <c r="L39" i="42" s="1"/>
  <c r="AA38" i="42"/>
  <c r="Z38" i="42"/>
  <c r="L38" i="42" s="1"/>
  <c r="AA37" i="42"/>
  <c r="Z37" i="42"/>
  <c r="L37" i="42" s="1"/>
  <c r="AA36" i="42"/>
  <c r="Z36" i="42"/>
  <c r="L36" i="42" s="1"/>
  <c r="AA35" i="42"/>
  <c r="Z35" i="42"/>
  <c r="AA34" i="42"/>
  <c r="Z34" i="42"/>
  <c r="AA33" i="42"/>
  <c r="Z33" i="42"/>
  <c r="AA32" i="42"/>
  <c r="Z32" i="42"/>
  <c r="L32" i="42" s="1"/>
  <c r="AA31" i="42"/>
  <c r="Z31" i="42"/>
  <c r="L31" i="42" s="1"/>
  <c r="AA30" i="42"/>
  <c r="Z30" i="42"/>
  <c r="AA22" i="42"/>
  <c r="Z22" i="42"/>
  <c r="AE2" i="42" s="1"/>
  <c r="AA15" i="42"/>
  <c r="Z15" i="42"/>
  <c r="AD2" i="42" s="1"/>
  <c r="B14" i="42"/>
  <c r="AD22" i="41"/>
  <c r="AC22" i="41"/>
  <c r="AH2" i="41" s="1"/>
  <c r="AD15" i="41"/>
  <c r="AC15" i="41"/>
  <c r="AG2" i="41" s="1"/>
  <c r="B14" i="41"/>
  <c r="AF2" i="41"/>
  <c r="AD22" i="40"/>
  <c r="AC22" i="40"/>
  <c r="AH2" i="40" s="1"/>
  <c r="AD15" i="40"/>
  <c r="AC15" i="40"/>
  <c r="AG2" i="40" s="1"/>
  <c r="B14" i="40"/>
  <c r="AF2" i="40"/>
  <c r="AD74" i="38"/>
  <c r="AD73" i="38"/>
  <c r="AD72" i="38"/>
  <c r="AD71" i="38"/>
  <c r="AD70" i="38"/>
  <c r="AD69" i="38"/>
  <c r="AD68" i="38"/>
  <c r="AD67" i="38"/>
  <c r="AD66" i="38"/>
  <c r="AD65" i="38"/>
  <c r="AD64" i="38"/>
  <c r="AD63" i="38"/>
  <c r="AD62" i="38"/>
  <c r="AD61" i="38"/>
  <c r="AD60" i="38"/>
  <c r="AD59" i="38"/>
  <c r="AD58" i="38"/>
  <c r="AD57" i="38"/>
  <c r="AD56" i="38"/>
  <c r="AD55" i="38"/>
  <c r="AD54" i="38"/>
  <c r="AD53" i="38"/>
  <c r="AD52" i="38"/>
  <c r="AD51" i="38"/>
  <c r="AD50" i="38"/>
  <c r="AD49" i="38"/>
  <c r="AD48" i="38"/>
  <c r="AD47" i="38"/>
  <c r="AD46" i="38"/>
  <c r="AD45" i="38"/>
  <c r="AD44" i="38"/>
  <c r="AD43" i="38"/>
  <c r="AD42" i="38"/>
  <c r="AD41" i="38"/>
  <c r="AD40" i="38"/>
  <c r="AD39" i="38"/>
  <c r="AD38" i="38"/>
  <c r="AD37" i="38"/>
  <c r="AD36" i="38"/>
  <c r="AD35" i="38"/>
  <c r="AD34" i="38"/>
  <c r="AD33" i="38"/>
  <c r="AD32" i="38"/>
  <c r="AD31" i="38"/>
  <c r="O31" i="38"/>
  <c r="AD30" i="38"/>
  <c r="O30" i="38"/>
  <c r="AD22" i="38"/>
  <c r="AC22" i="38"/>
  <c r="AH2" i="38" s="1"/>
  <c r="AD15" i="38"/>
  <c r="AC15" i="38"/>
  <c r="AG2" i="38" s="1"/>
  <c r="B14" i="38"/>
  <c r="AF2" i="38"/>
  <c r="AD22" i="37"/>
  <c r="AC22" i="37"/>
  <c r="AH2" i="37" s="1"/>
  <c r="AD15" i="37"/>
  <c r="AC15" i="37"/>
  <c r="AG2" i="37" s="1"/>
  <c r="B14" i="37"/>
  <c r="AF2" i="37"/>
  <c r="AD22" i="36"/>
  <c r="AC22" i="36"/>
  <c r="AH2" i="36" s="1"/>
  <c r="AD15" i="36"/>
  <c r="AC15" i="36"/>
  <c r="AG2" i="36" s="1"/>
  <c r="B14" i="36"/>
  <c r="AF2" i="36"/>
  <c r="E45" i="25"/>
  <c r="E47" i="25" s="1"/>
  <c r="AE22" i="5"/>
  <c r="AB52" i="62" l="1"/>
  <c r="AC53" i="62" s="1"/>
  <c r="AB54" i="62"/>
  <c r="AB49" i="62"/>
  <c r="AC50" i="62" s="1"/>
  <c r="AB51" i="62"/>
  <c r="AD44" i="62"/>
  <c r="AB40" i="62"/>
  <c r="AC41" i="62" s="1"/>
  <c r="AB42" i="62"/>
  <c r="AE34" i="62"/>
  <c r="AF35" i="62" s="1"/>
  <c r="AE36" i="62"/>
  <c r="L39" i="44"/>
  <c r="L34" i="46"/>
  <c r="AC48" i="62"/>
  <c r="AC46" i="62"/>
  <c r="AC58" i="62"/>
  <c r="AD59" i="62" s="1"/>
  <c r="AC60" i="62"/>
  <c r="AD45" i="62"/>
  <c r="AD43" i="62"/>
  <c r="AA14" i="62"/>
  <c r="AB56" i="62"/>
  <c r="AB57" i="62"/>
  <c r="AB55" i="62"/>
  <c r="AE39" i="62"/>
  <c r="AE37" i="62"/>
  <c r="AE38" i="62"/>
  <c r="AC13" i="62"/>
  <c r="AN10" i="62"/>
  <c r="AK8" i="62"/>
  <c r="AK12" i="62"/>
  <c r="AL7" i="62"/>
  <c r="AJ9" i="62"/>
  <c r="AK15" i="62"/>
  <c r="AN13" i="62"/>
  <c r="AN11" i="62"/>
  <c r="AN14" i="62"/>
  <c r="GJ20" i="62"/>
  <c r="GJ21" i="62"/>
  <c r="AL24" i="62"/>
  <c r="L33" i="42"/>
  <c r="L36" i="46"/>
  <c r="Z26" i="47"/>
  <c r="AF2" i="47" s="1"/>
  <c r="L30" i="47"/>
  <c r="AA26" i="47"/>
  <c r="Z26" i="46"/>
  <c r="AF2" i="46" s="1"/>
  <c r="L30" i="46"/>
  <c r="AA26" i="46"/>
  <c r="AA26" i="45"/>
  <c r="Z26" i="45"/>
  <c r="AF2" i="45" s="1"/>
  <c r="L30" i="45"/>
  <c r="L35" i="42"/>
  <c r="Z26" i="44"/>
  <c r="AF2" i="44" s="1"/>
  <c r="L30" i="44"/>
  <c r="AA26" i="44"/>
  <c r="L35" i="46"/>
  <c r="L36" i="47"/>
  <c r="L36" i="43"/>
  <c r="L43" i="45"/>
  <c r="L33" i="48"/>
  <c r="L30" i="42"/>
  <c r="AA26" i="42"/>
  <c r="Z26" i="42"/>
  <c r="AF2" i="42" s="1"/>
  <c r="L37" i="44"/>
  <c r="L34" i="42"/>
  <c r="L37" i="43"/>
  <c r="L44" i="45"/>
  <c r="L34" i="48"/>
  <c r="L30" i="48"/>
  <c r="AA26" i="48"/>
  <c r="Z26" i="48"/>
  <c r="AF2" i="48" s="1"/>
  <c r="L38" i="44"/>
  <c r="L30" i="43"/>
  <c r="AA26" i="43"/>
  <c r="Z26" i="43"/>
  <c r="AF2" i="43" s="1"/>
  <c r="L38" i="43"/>
  <c r="L45" i="45"/>
  <c r="L34" i="47"/>
  <c r="L35" i="48"/>
  <c r="GJ18" i="62"/>
  <c r="AR47" i="55"/>
  <c r="AR46" i="55"/>
  <c r="AC87" i="55"/>
  <c r="AO51" i="55"/>
  <c r="AC84" i="55" s="1"/>
  <c r="AC89" i="55" s="1"/>
  <c r="AO54" i="55"/>
  <c r="AC85" i="55"/>
  <c r="CI18" i="62"/>
  <c r="O32" i="38"/>
  <c r="Q32" i="38"/>
  <c r="O33" i="38"/>
  <c r="Q33" i="38"/>
  <c r="O34" i="38"/>
  <c r="Q34" i="38"/>
  <c r="O35" i="38"/>
  <c r="Q35" i="38"/>
  <c r="O36" i="38"/>
  <c r="Q36" i="38"/>
  <c r="O37" i="38"/>
  <c r="Q37" i="38"/>
  <c r="O38" i="38"/>
  <c r="Q38" i="38"/>
  <c r="O39" i="38"/>
  <c r="Q39" i="38"/>
  <c r="O40" i="38"/>
  <c r="Q40" i="38"/>
  <c r="O41" i="38"/>
  <c r="Q41" i="38"/>
  <c r="O42" i="38"/>
  <c r="Q42" i="38"/>
  <c r="O43" i="38"/>
  <c r="Q43" i="38"/>
  <c r="O44" i="38"/>
  <c r="Q44" i="38"/>
  <c r="O45" i="38"/>
  <c r="Q45" i="38"/>
  <c r="O46" i="38"/>
  <c r="Q46" i="38"/>
  <c r="O47" i="38"/>
  <c r="Q47" i="38"/>
  <c r="O48" i="38"/>
  <c r="Q48" i="38"/>
  <c r="O49" i="38"/>
  <c r="Q49" i="38"/>
  <c r="O50" i="38"/>
  <c r="Q50" i="38"/>
  <c r="O51" i="38"/>
  <c r="Q51" i="38"/>
  <c r="O52" i="38"/>
  <c r="Q52" i="38"/>
  <c r="O53" i="38"/>
  <c r="Q53" i="38"/>
  <c r="O54" i="38"/>
  <c r="Q54" i="38"/>
  <c r="O55" i="38"/>
  <c r="Q55" i="38"/>
  <c r="O56" i="38"/>
  <c r="Q56" i="38"/>
  <c r="O57" i="38"/>
  <c r="Q57" i="38"/>
  <c r="O58" i="38"/>
  <c r="Q58" i="38"/>
  <c r="O59" i="38"/>
  <c r="Q59" i="38"/>
  <c r="O60" i="38"/>
  <c r="Q60" i="38"/>
  <c r="O61" i="38"/>
  <c r="Q61" i="38"/>
  <c r="O62" i="38"/>
  <c r="Q62" i="38"/>
  <c r="O63" i="38"/>
  <c r="Q63" i="38"/>
  <c r="O64" i="38"/>
  <c r="Q64" i="38"/>
  <c r="O65" i="38"/>
  <c r="Q65" i="38"/>
  <c r="O66" i="38"/>
  <c r="Q66" i="38"/>
  <c r="O67" i="38"/>
  <c r="Q67" i="38"/>
  <c r="O68" i="38"/>
  <c r="Q68" i="38"/>
  <c r="O69" i="38"/>
  <c r="Q69" i="38"/>
  <c r="O70" i="38"/>
  <c r="Q70" i="38"/>
  <c r="O71" i="38"/>
  <c r="Q71" i="38"/>
  <c r="O72" i="38"/>
  <c r="Q72" i="38"/>
  <c r="O73" i="38"/>
  <c r="Q73" i="38"/>
  <c r="O74" i="38"/>
  <c r="Q74" i="38"/>
  <c r="J48" i="25"/>
  <c r="AN58" i="55"/>
  <c r="D48" i="25"/>
  <c r="G48" i="25"/>
  <c r="AE24" i="5"/>
  <c r="AE25" i="5"/>
  <c r="AE19" i="5"/>
  <c r="AE23" i="5"/>
  <c r="AE20" i="5"/>
  <c r="AE21" i="5"/>
  <c r="AD26" i="38"/>
  <c r="AC26" i="40"/>
  <c r="AI2" i="40" s="1"/>
  <c r="AC3" i="40" s="1"/>
  <c r="AD26" i="40"/>
  <c r="AD26" i="36"/>
  <c r="AI2" i="37"/>
  <c r="AC3" i="37" s="1"/>
  <c r="AD26" i="41"/>
  <c r="AC26" i="41"/>
  <c r="AI2" i="41" s="1"/>
  <c r="AC3" i="41" s="1"/>
  <c r="Z3" i="42"/>
  <c r="H3" i="48"/>
  <c r="J3" i="48" s="1"/>
  <c r="H3" i="47"/>
  <c r="J3" i="47" s="1"/>
  <c r="H3" i="46"/>
  <c r="J3" i="46" s="1"/>
  <c r="H3" i="45"/>
  <c r="J3" i="45" s="1"/>
  <c r="H3" i="44"/>
  <c r="J3" i="44" s="1"/>
  <c r="H3" i="43"/>
  <c r="J3" i="43" s="1"/>
  <c r="H3" i="42"/>
  <c r="J3" i="42" s="1"/>
  <c r="H3" i="41"/>
  <c r="J3" i="41" s="1"/>
  <c r="H3" i="40"/>
  <c r="J3" i="40" s="1"/>
  <c r="H3" i="38"/>
  <c r="J3" i="38" s="1"/>
  <c r="AC26" i="38"/>
  <c r="AI2" i="38" s="1"/>
  <c r="AC3" i="38" s="1"/>
  <c r="H3" i="37"/>
  <c r="J3" i="37" s="1"/>
  <c r="AD26" i="37"/>
  <c r="H3" i="36"/>
  <c r="J3" i="36" s="1"/>
  <c r="AC26" i="36"/>
  <c r="AI2" i="36" s="1"/>
  <c r="AC3" i="36" s="1"/>
  <c r="AE44" i="62" l="1"/>
  <c r="AC54" i="62"/>
  <c r="AC52" i="62"/>
  <c r="AD53" i="62" s="1"/>
  <c r="AC51" i="62"/>
  <c r="AC49" i="62"/>
  <c r="AD50" i="62" s="1"/>
  <c r="AF38" i="62"/>
  <c r="AC11" i="62"/>
  <c r="AD47" i="62"/>
  <c r="AD13" i="62"/>
  <c r="AD48" i="62"/>
  <c r="AD46" i="62"/>
  <c r="AF37" i="62"/>
  <c r="AF39" i="62"/>
  <c r="AC56" i="62"/>
  <c r="AC57" i="62"/>
  <c r="AC55" i="62"/>
  <c r="AF34" i="62"/>
  <c r="AG35" i="62" s="1"/>
  <c r="AF36" i="62"/>
  <c r="AD60" i="62"/>
  <c r="AD58" i="62"/>
  <c r="AE59" i="62" s="1"/>
  <c r="AC40" i="62"/>
  <c r="AD41" i="62" s="1"/>
  <c r="AC42" i="62"/>
  <c r="AE43" i="62"/>
  <c r="AE45" i="62"/>
  <c r="AO10" i="62"/>
  <c r="AO14" i="62"/>
  <c r="AO11" i="62"/>
  <c r="AO13" i="62"/>
  <c r="AL15" i="62"/>
  <c r="AK9" i="62"/>
  <c r="AM7" i="62"/>
  <c r="AL12" i="62"/>
  <c r="AM24" i="62"/>
  <c r="AG87" i="55"/>
  <c r="AP84" i="55" s="1"/>
  <c r="AZ22" i="55"/>
  <c r="AA3" i="42"/>
  <c r="AR53" i="55"/>
  <c r="AC86" i="55"/>
  <c r="AR54" i="55"/>
  <c r="AG86" i="55"/>
  <c r="AG85" i="55"/>
  <c r="AG84" i="55"/>
  <c r="CJ18" i="62"/>
  <c r="T74" i="38"/>
  <c r="R74" i="38"/>
  <c r="S74" i="38"/>
  <c r="T73" i="38"/>
  <c r="S73" i="38"/>
  <c r="R73" i="38"/>
  <c r="T72" i="38"/>
  <c r="S72" i="38"/>
  <c r="R72" i="38"/>
  <c r="T71" i="38"/>
  <c r="S71" i="38"/>
  <c r="R71" i="38"/>
  <c r="T70" i="38"/>
  <c r="R70" i="38"/>
  <c r="S70" i="38"/>
  <c r="T69" i="38"/>
  <c r="S69" i="38"/>
  <c r="R69" i="38"/>
  <c r="T68" i="38"/>
  <c r="S68" i="38"/>
  <c r="R68" i="38"/>
  <c r="T67" i="38"/>
  <c r="S67" i="38"/>
  <c r="R67" i="38"/>
  <c r="T66" i="38"/>
  <c r="R66" i="38"/>
  <c r="S66" i="38"/>
  <c r="T65" i="38"/>
  <c r="S65" i="38"/>
  <c r="R65" i="38"/>
  <c r="T64" i="38"/>
  <c r="S64" i="38"/>
  <c r="R64" i="38"/>
  <c r="T63" i="38"/>
  <c r="S63" i="38"/>
  <c r="R63" i="38"/>
  <c r="T62" i="38"/>
  <c r="R62" i="38"/>
  <c r="S62" i="38"/>
  <c r="T61" i="38"/>
  <c r="S61" i="38"/>
  <c r="R61" i="38"/>
  <c r="T60" i="38"/>
  <c r="S60" i="38"/>
  <c r="R60" i="38"/>
  <c r="T59" i="38"/>
  <c r="S59" i="38"/>
  <c r="R59" i="38"/>
  <c r="T58" i="38"/>
  <c r="R58" i="38"/>
  <c r="S58" i="38"/>
  <c r="T57" i="38"/>
  <c r="S57" i="38"/>
  <c r="R57" i="38"/>
  <c r="T56" i="38"/>
  <c r="S56" i="38"/>
  <c r="R56" i="38"/>
  <c r="T55" i="38"/>
  <c r="S55" i="38"/>
  <c r="R55" i="38"/>
  <c r="T54" i="38"/>
  <c r="R54" i="38"/>
  <c r="S54" i="38"/>
  <c r="T53" i="38"/>
  <c r="S53" i="38"/>
  <c r="R53" i="38"/>
  <c r="T52" i="38"/>
  <c r="S52" i="38"/>
  <c r="R52" i="38"/>
  <c r="T51" i="38"/>
  <c r="S51" i="38"/>
  <c r="R51" i="38"/>
  <c r="T50" i="38"/>
  <c r="R50" i="38"/>
  <c r="S50" i="38"/>
  <c r="T49" i="38"/>
  <c r="S49" i="38"/>
  <c r="R49" i="38"/>
  <c r="T48" i="38"/>
  <c r="R48" i="38"/>
  <c r="S48" i="38"/>
  <c r="T47" i="38"/>
  <c r="S47" i="38"/>
  <c r="R47" i="38"/>
  <c r="T46" i="38"/>
  <c r="R46" i="38"/>
  <c r="S46" i="38"/>
  <c r="T45" i="38"/>
  <c r="S45" i="38"/>
  <c r="R45" i="38"/>
  <c r="T44" i="38"/>
  <c r="R44" i="38"/>
  <c r="S44" i="38"/>
  <c r="T43" i="38"/>
  <c r="S43" i="38"/>
  <c r="R43" i="38"/>
  <c r="T42" i="38"/>
  <c r="R42" i="38"/>
  <c r="S42" i="38"/>
  <c r="T41" i="38"/>
  <c r="S41" i="38"/>
  <c r="R41" i="38"/>
  <c r="T40" i="38"/>
  <c r="R40" i="38"/>
  <c r="S40" i="38"/>
  <c r="T39" i="38"/>
  <c r="S39" i="38"/>
  <c r="R39" i="38"/>
  <c r="T38" i="38"/>
  <c r="R38" i="38"/>
  <c r="S38" i="38"/>
  <c r="T37" i="38"/>
  <c r="S37" i="38"/>
  <c r="R37" i="38"/>
  <c r="T36" i="38"/>
  <c r="R36" i="38"/>
  <c r="S36" i="38"/>
  <c r="T35" i="38"/>
  <c r="S35" i="38"/>
  <c r="R35" i="38"/>
  <c r="T34" i="38"/>
  <c r="R34" i="38"/>
  <c r="S34" i="38"/>
  <c r="T33" i="38"/>
  <c r="S33" i="38"/>
  <c r="R33" i="38"/>
  <c r="R32" i="38"/>
  <c r="R30" i="38"/>
  <c r="R31" i="38"/>
  <c r="T30" i="38"/>
  <c r="S31" i="38"/>
  <c r="T32" i="38"/>
  <c r="S30" i="38"/>
  <c r="T31" i="38"/>
  <c r="S32" i="38"/>
  <c r="AD3" i="41"/>
  <c r="AD3" i="40"/>
  <c r="AD3" i="37"/>
  <c r="AD3" i="38"/>
  <c r="AD3" i="36"/>
  <c r="Z3" i="43"/>
  <c r="Z3" i="44"/>
  <c r="Z3" i="45"/>
  <c r="Z3" i="46"/>
  <c r="Z3" i="47"/>
  <c r="Z3" i="48"/>
  <c r="K24" i="23"/>
  <c r="L24" i="23" s="1"/>
  <c r="K28" i="23"/>
  <c r="L28" i="23" s="1"/>
  <c r="K25" i="23"/>
  <c r="L25" i="23" s="1"/>
  <c r="K30" i="23"/>
  <c r="L30" i="23" s="1"/>
  <c r="K32" i="23"/>
  <c r="L32" i="23" s="1"/>
  <c r="K36" i="23"/>
  <c r="L36" i="23" s="1"/>
  <c r="K39" i="23"/>
  <c r="L39" i="23" s="1"/>
  <c r="K41" i="23"/>
  <c r="L41" i="23" s="1"/>
  <c r="K42" i="23"/>
  <c r="L42" i="23" s="1"/>
  <c r="K26" i="23"/>
  <c r="L26" i="23" s="1"/>
  <c r="K27" i="23"/>
  <c r="L27" i="23" s="1"/>
  <c r="K34" i="23"/>
  <c r="L34" i="23" s="1"/>
  <c r="K35" i="23"/>
  <c r="L35" i="23" s="1"/>
  <c r="K40" i="23"/>
  <c r="L40" i="23" s="1"/>
  <c r="K29" i="23"/>
  <c r="L29" i="23" s="1"/>
  <c r="K31" i="23"/>
  <c r="L31" i="23" s="1"/>
  <c r="K44" i="23"/>
  <c r="L44" i="23" s="1"/>
  <c r="K46" i="23"/>
  <c r="L46" i="23" s="1"/>
  <c r="K48" i="23"/>
  <c r="L48" i="23" s="1"/>
  <c r="K50" i="23"/>
  <c r="L50" i="23" s="1"/>
  <c r="K51" i="23"/>
  <c r="L51" i="23" s="1"/>
  <c r="K53" i="23"/>
  <c r="L53" i="23" s="1"/>
  <c r="K54" i="23"/>
  <c r="L54" i="23" s="1"/>
  <c r="K55" i="23"/>
  <c r="L55" i="23" s="1"/>
  <c r="K57" i="23"/>
  <c r="L57" i="23" s="1"/>
  <c r="K59" i="23"/>
  <c r="L59" i="23" s="1"/>
  <c r="K61" i="23"/>
  <c r="L61" i="23" s="1"/>
  <c r="K64" i="23"/>
  <c r="L64" i="23" s="1"/>
  <c r="K66" i="23"/>
  <c r="L66" i="23" s="1"/>
  <c r="K33" i="23"/>
  <c r="L33" i="23" s="1"/>
  <c r="K38" i="23"/>
  <c r="L38" i="23" s="1"/>
  <c r="K43" i="23"/>
  <c r="L43" i="23" s="1"/>
  <c r="K49" i="23"/>
  <c r="L49" i="23" s="1"/>
  <c r="K56" i="23"/>
  <c r="L56" i="23" s="1"/>
  <c r="K60" i="23"/>
  <c r="L60" i="23" s="1"/>
  <c r="K63" i="23"/>
  <c r="L63" i="23" s="1"/>
  <c r="K47" i="23"/>
  <c r="L47" i="23" s="1"/>
  <c r="K65" i="23"/>
  <c r="L65" i="23" s="1"/>
  <c r="K67" i="23"/>
  <c r="L67" i="23" s="1"/>
  <c r="K70" i="23"/>
  <c r="L70" i="23" s="1"/>
  <c r="K72" i="23"/>
  <c r="L72" i="23" s="1"/>
  <c r="K73" i="23"/>
  <c r="L73" i="23" s="1"/>
  <c r="K75" i="23"/>
  <c r="L75" i="23" s="1"/>
  <c r="K77" i="23"/>
  <c r="L77" i="23" s="1"/>
  <c r="K79" i="23"/>
  <c r="L79" i="23" s="1"/>
  <c r="K80" i="23"/>
  <c r="L80" i="23" s="1"/>
  <c r="K82" i="23"/>
  <c r="L82" i="23" s="1"/>
  <c r="K84" i="23"/>
  <c r="L84" i="23" s="1"/>
  <c r="K86" i="23"/>
  <c r="L86" i="23" s="1"/>
  <c r="K87" i="23"/>
  <c r="L87" i="23" s="1"/>
  <c r="K88" i="23"/>
  <c r="L88" i="23" s="1"/>
  <c r="K89" i="23"/>
  <c r="L89" i="23" s="1"/>
  <c r="K95" i="23"/>
  <c r="L95" i="23" s="1"/>
  <c r="K100" i="23"/>
  <c r="L100" i="23" s="1"/>
  <c r="K108" i="23"/>
  <c r="L108" i="23" s="1"/>
  <c r="K111" i="23"/>
  <c r="L111" i="23" s="1"/>
  <c r="K114" i="23"/>
  <c r="L114" i="23" s="1"/>
  <c r="K116" i="23"/>
  <c r="L116" i="23" s="1"/>
  <c r="K118" i="23"/>
  <c r="L118" i="23" s="1"/>
  <c r="K120" i="23"/>
  <c r="L120" i="23" s="1"/>
  <c r="K122" i="23"/>
  <c r="L122" i="23" s="1"/>
  <c r="K37" i="23"/>
  <c r="L37" i="23" s="1"/>
  <c r="K45" i="23"/>
  <c r="L45" i="23" s="1"/>
  <c r="K52" i="23"/>
  <c r="L52" i="23" s="1"/>
  <c r="K58" i="23"/>
  <c r="L58" i="23" s="1"/>
  <c r="K62" i="23"/>
  <c r="L62" i="23" s="1"/>
  <c r="K68" i="23"/>
  <c r="L68" i="23" s="1"/>
  <c r="K69" i="23"/>
  <c r="L69" i="23" s="1"/>
  <c r="K71" i="23"/>
  <c r="L71" i="23" s="1"/>
  <c r="K74" i="23"/>
  <c r="L74" i="23" s="1"/>
  <c r="K76" i="23"/>
  <c r="L76" i="23" s="1"/>
  <c r="K78" i="23"/>
  <c r="L78" i="23" s="1"/>
  <c r="K81" i="23"/>
  <c r="L81" i="23" s="1"/>
  <c r="K83" i="23"/>
  <c r="L83" i="23" s="1"/>
  <c r="K85" i="23"/>
  <c r="L85" i="23" s="1"/>
  <c r="K90" i="23"/>
  <c r="L90" i="23" s="1"/>
  <c r="K91" i="23"/>
  <c r="L91" i="23" s="1"/>
  <c r="K97" i="23"/>
  <c r="L97" i="23" s="1"/>
  <c r="K98" i="23"/>
  <c r="L98" i="23" s="1"/>
  <c r="K103" i="23"/>
  <c r="L103" i="23" s="1"/>
  <c r="K105" i="23"/>
  <c r="L105" i="23" s="1"/>
  <c r="K106" i="23"/>
  <c r="L106" i="23" s="1"/>
  <c r="K112" i="23"/>
  <c r="L112" i="23" s="1"/>
  <c r="K113" i="23"/>
  <c r="L113" i="23" s="1"/>
  <c r="K115" i="23"/>
  <c r="L115" i="23" s="1"/>
  <c r="K121" i="23"/>
  <c r="L121" i="23" s="1"/>
  <c r="K123" i="23"/>
  <c r="L123" i="23" s="1"/>
  <c r="K125" i="23"/>
  <c r="L125" i="23" s="1"/>
  <c r="K130" i="23"/>
  <c r="L130" i="23" s="1"/>
  <c r="K132" i="23"/>
  <c r="L132" i="23" s="1"/>
  <c r="K134" i="23"/>
  <c r="L134" i="23" s="1"/>
  <c r="K136" i="23"/>
  <c r="L136" i="23" s="1"/>
  <c r="K138" i="23"/>
  <c r="L138" i="23" s="1"/>
  <c r="K140" i="23"/>
  <c r="L140" i="23" s="1"/>
  <c r="K142" i="23"/>
  <c r="L142" i="23" s="1"/>
  <c r="K143" i="23"/>
  <c r="L143" i="23" s="1"/>
  <c r="K144" i="23"/>
  <c r="L144" i="23" s="1"/>
  <c r="K145" i="23"/>
  <c r="L145" i="23" s="1"/>
  <c r="K146" i="23"/>
  <c r="L146" i="23" s="1"/>
  <c r="K147" i="23"/>
  <c r="L147" i="23" s="1"/>
  <c r="K148" i="23"/>
  <c r="L148" i="23" s="1"/>
  <c r="K149" i="23"/>
  <c r="L149" i="23" s="1"/>
  <c r="K150" i="23"/>
  <c r="L150" i="23" s="1"/>
  <c r="K151" i="23"/>
  <c r="L151" i="23" s="1"/>
  <c r="K154" i="23"/>
  <c r="L154" i="23" s="1"/>
  <c r="K155" i="23"/>
  <c r="L155" i="23" s="1"/>
  <c r="K158" i="23"/>
  <c r="L158" i="23" s="1"/>
  <c r="K159" i="23"/>
  <c r="L159" i="23" s="1"/>
  <c r="K162" i="23"/>
  <c r="L162" i="23" s="1"/>
  <c r="K163" i="23"/>
  <c r="L163" i="23" s="1"/>
  <c r="K166" i="23"/>
  <c r="L166" i="23" s="1"/>
  <c r="K167" i="23"/>
  <c r="L167" i="23" s="1"/>
  <c r="K170" i="23"/>
  <c r="L170" i="23" s="1"/>
  <c r="K171" i="23"/>
  <c r="L171" i="23" s="1"/>
  <c r="K174" i="23"/>
  <c r="L174" i="23" s="1"/>
  <c r="K99" i="23"/>
  <c r="L99" i="23" s="1"/>
  <c r="K101" i="23"/>
  <c r="L101" i="23" s="1"/>
  <c r="K104" i="23"/>
  <c r="L104" i="23" s="1"/>
  <c r="K110" i="23"/>
  <c r="L110" i="23" s="1"/>
  <c r="K124" i="23"/>
  <c r="L124" i="23" s="1"/>
  <c r="K126" i="23"/>
  <c r="L126" i="23" s="1"/>
  <c r="K127" i="23"/>
  <c r="L127" i="23" s="1"/>
  <c r="K128" i="23"/>
  <c r="L128" i="23" s="1"/>
  <c r="K129" i="23"/>
  <c r="L129" i="23" s="1"/>
  <c r="K131" i="23"/>
  <c r="L131" i="23" s="1"/>
  <c r="K137" i="23"/>
  <c r="L137" i="23" s="1"/>
  <c r="K139" i="23"/>
  <c r="L139" i="23" s="1"/>
  <c r="K152" i="23"/>
  <c r="L152" i="23" s="1"/>
  <c r="K153" i="23"/>
  <c r="L153" i="23" s="1"/>
  <c r="K160" i="23"/>
  <c r="L160" i="23" s="1"/>
  <c r="K161" i="23"/>
  <c r="L161" i="23" s="1"/>
  <c r="K168" i="23"/>
  <c r="L168" i="23" s="1"/>
  <c r="K169" i="23"/>
  <c r="L169" i="23" s="1"/>
  <c r="K177" i="23"/>
  <c r="L177" i="23" s="1"/>
  <c r="K179" i="23"/>
  <c r="L179" i="23" s="1"/>
  <c r="K180" i="23"/>
  <c r="L180" i="23" s="1"/>
  <c r="K182" i="23"/>
  <c r="L182" i="23" s="1"/>
  <c r="K185" i="23"/>
  <c r="L185" i="23" s="1"/>
  <c r="K187" i="23"/>
  <c r="L187" i="23" s="1"/>
  <c r="K189" i="23"/>
  <c r="L189" i="23" s="1"/>
  <c r="K191" i="23"/>
  <c r="L191" i="23" s="1"/>
  <c r="K192" i="23"/>
  <c r="L192" i="23" s="1"/>
  <c r="K194" i="23"/>
  <c r="L194" i="23" s="1"/>
  <c r="K195" i="23"/>
  <c r="L195" i="23" s="1"/>
  <c r="K198" i="23"/>
  <c r="L198" i="23" s="1"/>
  <c r="K201" i="23"/>
  <c r="L201" i="23" s="1"/>
  <c r="K205" i="23"/>
  <c r="L205" i="23" s="1"/>
  <c r="K206" i="23"/>
  <c r="L206" i="23" s="1"/>
  <c r="K209" i="23"/>
  <c r="L209" i="23" s="1"/>
  <c r="K210" i="23"/>
  <c r="L210" i="23" s="1"/>
  <c r="K212" i="23"/>
  <c r="L212" i="23" s="1"/>
  <c r="K94" i="23"/>
  <c r="L94" i="23" s="1"/>
  <c r="K102" i="23"/>
  <c r="L102" i="23" s="1"/>
  <c r="K109" i="23"/>
  <c r="L109" i="23" s="1"/>
  <c r="K117" i="23"/>
  <c r="L117" i="23" s="1"/>
  <c r="K141" i="23"/>
  <c r="L141" i="23" s="1"/>
  <c r="K164" i="23"/>
  <c r="L164" i="23" s="1"/>
  <c r="K165" i="23"/>
  <c r="L165" i="23" s="1"/>
  <c r="K176" i="23"/>
  <c r="L176" i="23" s="1"/>
  <c r="K178" i="23"/>
  <c r="L178" i="23" s="1"/>
  <c r="K186" i="23"/>
  <c r="L186" i="23" s="1"/>
  <c r="K188" i="23"/>
  <c r="L188" i="23" s="1"/>
  <c r="K196" i="23"/>
  <c r="L196" i="23" s="1"/>
  <c r="K199" i="23"/>
  <c r="L199" i="23" s="1"/>
  <c r="K202" i="23"/>
  <c r="L202" i="23" s="1"/>
  <c r="K203" i="23"/>
  <c r="L203" i="23" s="1"/>
  <c r="K204" i="23"/>
  <c r="L204" i="23" s="1"/>
  <c r="K207" i="23"/>
  <c r="L207" i="23" s="1"/>
  <c r="K208" i="23"/>
  <c r="L208" i="23" s="1"/>
  <c r="K211" i="23"/>
  <c r="L211" i="23" s="1"/>
  <c r="K214" i="23"/>
  <c r="L214" i="23" s="1"/>
  <c r="K219" i="23"/>
  <c r="L219" i="23" s="1"/>
  <c r="K220" i="23"/>
  <c r="L220" i="23" s="1"/>
  <c r="K221" i="23"/>
  <c r="L221" i="23" s="1"/>
  <c r="K222" i="23"/>
  <c r="L222" i="23" s="1"/>
  <c r="K223" i="23"/>
  <c r="L223" i="23" s="1"/>
  <c r="K227" i="23"/>
  <c r="L227" i="23" s="1"/>
  <c r="K228" i="23"/>
  <c r="L228" i="23" s="1"/>
  <c r="K239" i="23"/>
  <c r="L239" i="23" s="1"/>
  <c r="K241" i="23"/>
  <c r="L241" i="23" s="1"/>
  <c r="K244" i="23"/>
  <c r="L244" i="23" s="1"/>
  <c r="K246" i="23"/>
  <c r="L246" i="23" s="1"/>
  <c r="K248" i="23"/>
  <c r="L248" i="23" s="1"/>
  <c r="K250" i="23"/>
  <c r="L250" i="23" s="1"/>
  <c r="K251" i="23"/>
  <c r="L251" i="23" s="1"/>
  <c r="K253" i="23"/>
  <c r="L253" i="23" s="1"/>
  <c r="K256" i="23"/>
  <c r="L256" i="23" s="1"/>
  <c r="K258" i="23"/>
  <c r="L258" i="23" s="1"/>
  <c r="K260" i="23"/>
  <c r="L260" i="23" s="1"/>
  <c r="K269" i="23"/>
  <c r="L269" i="23" s="1"/>
  <c r="K270" i="23"/>
  <c r="L270" i="23" s="1"/>
  <c r="K272" i="23"/>
  <c r="L272" i="23" s="1"/>
  <c r="K275" i="23"/>
  <c r="L275" i="23" s="1"/>
  <c r="K276" i="23"/>
  <c r="L276" i="23" s="1"/>
  <c r="K278" i="23"/>
  <c r="L278" i="23" s="1"/>
  <c r="K281" i="23"/>
  <c r="L281" i="23" s="1"/>
  <c r="K282" i="23"/>
  <c r="L282" i="23" s="1"/>
  <c r="K284" i="23"/>
  <c r="L284" i="23" s="1"/>
  <c r="K287" i="23"/>
  <c r="L287" i="23" s="1"/>
  <c r="K288" i="23"/>
  <c r="L288" i="23" s="1"/>
  <c r="K291" i="23"/>
  <c r="L291" i="23" s="1"/>
  <c r="K293" i="23"/>
  <c r="L293" i="23" s="1"/>
  <c r="K294" i="23"/>
  <c r="L294" i="23" s="1"/>
  <c r="K297" i="23"/>
  <c r="L297" i="23" s="1"/>
  <c r="K298" i="23"/>
  <c r="L298" i="23" s="1"/>
  <c r="K301" i="23"/>
  <c r="L301" i="23" s="1"/>
  <c r="K302" i="23"/>
  <c r="L302" i="23" s="1"/>
  <c r="K304" i="23"/>
  <c r="L304" i="23" s="1"/>
  <c r="K306" i="23"/>
  <c r="L306" i="23" s="1"/>
  <c r="K308" i="23"/>
  <c r="L308" i="23" s="1"/>
  <c r="K310" i="23"/>
  <c r="L310" i="23" s="1"/>
  <c r="K312" i="23"/>
  <c r="L312" i="23" s="1"/>
  <c r="K314" i="23"/>
  <c r="L314" i="23" s="1"/>
  <c r="K317" i="23"/>
  <c r="L317" i="23" s="1"/>
  <c r="K92" i="23"/>
  <c r="L92" i="23" s="1"/>
  <c r="K93" i="23"/>
  <c r="L93" i="23" s="1"/>
  <c r="K96" i="23"/>
  <c r="L96" i="23" s="1"/>
  <c r="K107" i="23"/>
  <c r="L107" i="23" s="1"/>
  <c r="K119" i="23"/>
  <c r="L119" i="23" s="1"/>
  <c r="K133" i="23"/>
  <c r="L133" i="23" s="1"/>
  <c r="K135" i="23"/>
  <c r="L135" i="23" s="1"/>
  <c r="K156" i="23"/>
  <c r="L156" i="23" s="1"/>
  <c r="K157" i="23"/>
  <c r="L157" i="23" s="1"/>
  <c r="K172" i="23"/>
  <c r="L172" i="23" s="1"/>
  <c r="K173" i="23"/>
  <c r="L173" i="23" s="1"/>
  <c r="K175" i="23"/>
  <c r="L175" i="23" s="1"/>
  <c r="K181" i="23"/>
  <c r="L181" i="23" s="1"/>
  <c r="K183" i="23"/>
  <c r="L183" i="23" s="1"/>
  <c r="K184" i="23"/>
  <c r="L184" i="23" s="1"/>
  <c r="K190" i="23"/>
  <c r="L190" i="23" s="1"/>
  <c r="K193" i="23"/>
  <c r="L193" i="23" s="1"/>
  <c r="K197" i="23"/>
  <c r="L197" i="23" s="1"/>
  <c r="K200" i="23"/>
  <c r="L200" i="23" s="1"/>
  <c r="K213" i="23"/>
  <c r="L213" i="23" s="1"/>
  <c r="K215" i="23"/>
  <c r="L215" i="23" s="1"/>
  <c r="K216" i="23"/>
  <c r="L216" i="23" s="1"/>
  <c r="K217" i="23"/>
  <c r="L217" i="23" s="1"/>
  <c r="K218" i="23"/>
  <c r="L218" i="23" s="1"/>
  <c r="K224" i="23"/>
  <c r="L224" i="23" s="1"/>
  <c r="K225" i="23"/>
  <c r="L225" i="23" s="1"/>
  <c r="K226" i="23"/>
  <c r="L226" i="23" s="1"/>
  <c r="K229" i="23"/>
  <c r="L229" i="23" s="1"/>
  <c r="K230" i="23"/>
  <c r="L230" i="23" s="1"/>
  <c r="K231" i="23"/>
  <c r="L231" i="23" s="1"/>
  <c r="K232" i="23"/>
  <c r="L232" i="23" s="1"/>
  <c r="K233" i="23"/>
  <c r="L233" i="23" s="1"/>
  <c r="K234" i="23"/>
  <c r="L234" i="23" s="1"/>
  <c r="K235" i="23"/>
  <c r="L235" i="23" s="1"/>
  <c r="K236" i="23"/>
  <c r="L236" i="23" s="1"/>
  <c r="K237" i="23"/>
  <c r="L237" i="23" s="1"/>
  <c r="K238" i="23"/>
  <c r="L238" i="23" s="1"/>
  <c r="K240" i="23"/>
  <c r="L240" i="23" s="1"/>
  <c r="K242" i="23"/>
  <c r="L242" i="23" s="1"/>
  <c r="K243" i="23"/>
  <c r="L243" i="23" s="1"/>
  <c r="K245" i="23"/>
  <c r="L245" i="23" s="1"/>
  <c r="K247" i="23"/>
  <c r="L247" i="23" s="1"/>
  <c r="K249" i="23"/>
  <c r="L249" i="23" s="1"/>
  <c r="K252" i="23"/>
  <c r="L252" i="23" s="1"/>
  <c r="K254" i="23"/>
  <c r="L254" i="23" s="1"/>
  <c r="K255" i="23"/>
  <c r="L255" i="23" s="1"/>
  <c r="K257" i="23"/>
  <c r="L257" i="23" s="1"/>
  <c r="K259" i="23"/>
  <c r="L259" i="23" s="1"/>
  <c r="K261" i="23"/>
  <c r="L261" i="23" s="1"/>
  <c r="K262" i="23"/>
  <c r="L262" i="23" s="1"/>
  <c r="K263" i="23"/>
  <c r="L263" i="23" s="1"/>
  <c r="K264" i="23"/>
  <c r="L264" i="23" s="1"/>
  <c r="K265" i="23"/>
  <c r="L265" i="23" s="1"/>
  <c r="K266" i="23"/>
  <c r="L266" i="23" s="1"/>
  <c r="K267" i="23"/>
  <c r="L267" i="23" s="1"/>
  <c r="K268" i="23"/>
  <c r="L268" i="23" s="1"/>
  <c r="K271" i="23"/>
  <c r="L271" i="23" s="1"/>
  <c r="K273" i="23"/>
  <c r="L273" i="23" s="1"/>
  <c r="K274" i="23"/>
  <c r="L274" i="23" s="1"/>
  <c r="K277" i="23"/>
  <c r="L277" i="23" s="1"/>
  <c r="K279" i="23"/>
  <c r="L279" i="23" s="1"/>
  <c r="K280" i="23"/>
  <c r="L280" i="23" s="1"/>
  <c r="K283" i="23"/>
  <c r="L283" i="23" s="1"/>
  <c r="K285" i="23"/>
  <c r="L285" i="23" s="1"/>
  <c r="K286" i="23"/>
  <c r="L286" i="23" s="1"/>
  <c r="K289" i="23"/>
  <c r="L289" i="23" s="1"/>
  <c r="K290" i="23"/>
  <c r="L290" i="23" s="1"/>
  <c r="K292" i="23"/>
  <c r="L292" i="23" s="1"/>
  <c r="K295" i="23"/>
  <c r="L295" i="23" s="1"/>
  <c r="K296" i="23"/>
  <c r="L296" i="23" s="1"/>
  <c r="K299" i="23"/>
  <c r="L299" i="23" s="1"/>
  <c r="K300" i="23"/>
  <c r="L300" i="23" s="1"/>
  <c r="K303" i="23"/>
  <c r="L303" i="23" s="1"/>
  <c r="K305" i="23"/>
  <c r="L305" i="23" s="1"/>
  <c r="K307" i="23"/>
  <c r="L307" i="23" s="1"/>
  <c r="K309" i="23"/>
  <c r="L309" i="23" s="1"/>
  <c r="K311" i="23"/>
  <c r="L311" i="23" s="1"/>
  <c r="K313" i="23"/>
  <c r="L313" i="23" s="1"/>
  <c r="K315" i="23"/>
  <c r="L315" i="23" s="1"/>
  <c r="K316" i="23"/>
  <c r="L316" i="23" s="1"/>
  <c r="K320" i="23"/>
  <c r="L320" i="23" s="1"/>
  <c r="K321" i="23"/>
  <c r="L321" i="23" s="1"/>
  <c r="K318" i="23"/>
  <c r="L318" i="23" s="1"/>
  <c r="K319" i="23"/>
  <c r="L319" i="23" s="1"/>
  <c r="K322" i="23"/>
  <c r="L322" i="23" s="1"/>
  <c r="K23" i="23"/>
  <c r="L23" i="23" s="1"/>
  <c r="T27" i="23"/>
  <c r="U27" i="23" s="1"/>
  <c r="T30" i="23"/>
  <c r="U30" i="23" s="1"/>
  <c r="T24" i="23"/>
  <c r="U24" i="23" s="1"/>
  <c r="T25" i="23"/>
  <c r="U25" i="23" s="1"/>
  <c r="T31" i="23"/>
  <c r="U31" i="23" s="1"/>
  <c r="T34" i="23"/>
  <c r="U34" i="23" s="1"/>
  <c r="T35" i="23"/>
  <c r="U35" i="23" s="1"/>
  <c r="T36" i="23"/>
  <c r="U36" i="23" s="1"/>
  <c r="T38" i="23"/>
  <c r="U38" i="23" s="1"/>
  <c r="T41" i="23"/>
  <c r="U41" i="23" s="1"/>
  <c r="T29" i="23"/>
  <c r="U29" i="23" s="1"/>
  <c r="T39" i="23"/>
  <c r="U39" i="23" s="1"/>
  <c r="T28" i="23"/>
  <c r="U28" i="23" s="1"/>
  <c r="T33" i="23"/>
  <c r="U33" i="23" s="1"/>
  <c r="T37" i="23"/>
  <c r="U37" i="23" s="1"/>
  <c r="T43" i="23"/>
  <c r="U43" i="23" s="1"/>
  <c r="T44" i="23"/>
  <c r="U44" i="23" s="1"/>
  <c r="T45" i="23"/>
  <c r="U45" i="23" s="1"/>
  <c r="T47" i="23"/>
  <c r="U47" i="23" s="1"/>
  <c r="T48" i="23"/>
  <c r="U48" i="23" s="1"/>
  <c r="T49" i="23"/>
  <c r="U49" i="23" s="1"/>
  <c r="T53" i="23"/>
  <c r="U53" i="23" s="1"/>
  <c r="T58" i="23"/>
  <c r="U58" i="23" s="1"/>
  <c r="T62" i="23"/>
  <c r="U62" i="23" s="1"/>
  <c r="T63" i="23"/>
  <c r="U63" i="23" s="1"/>
  <c r="T64" i="23"/>
  <c r="U64" i="23" s="1"/>
  <c r="T65" i="23"/>
  <c r="U65" i="23" s="1"/>
  <c r="T67" i="23"/>
  <c r="U67" i="23" s="1"/>
  <c r="T26" i="23"/>
  <c r="U26" i="23" s="1"/>
  <c r="T32" i="23"/>
  <c r="U32" i="23" s="1"/>
  <c r="T40" i="23"/>
  <c r="U40" i="23" s="1"/>
  <c r="T42" i="23"/>
  <c r="U42" i="23" s="1"/>
  <c r="T46" i="23"/>
  <c r="U46" i="23" s="1"/>
  <c r="T52" i="23"/>
  <c r="U52" i="23" s="1"/>
  <c r="T54" i="23"/>
  <c r="U54" i="23" s="1"/>
  <c r="T55" i="23"/>
  <c r="U55" i="23" s="1"/>
  <c r="T57" i="23"/>
  <c r="U57" i="23" s="1"/>
  <c r="T59" i="23"/>
  <c r="U59" i="23" s="1"/>
  <c r="T61" i="23"/>
  <c r="U61" i="23" s="1"/>
  <c r="T50" i="23"/>
  <c r="U50" i="23" s="1"/>
  <c r="T51" i="23"/>
  <c r="U51" i="23" s="1"/>
  <c r="T56" i="23"/>
  <c r="U56" i="23" s="1"/>
  <c r="T60" i="23"/>
  <c r="U60" i="23" s="1"/>
  <c r="T69" i="23"/>
  <c r="U69" i="23" s="1"/>
  <c r="T71" i="23"/>
  <c r="U71" i="23" s="1"/>
  <c r="T72" i="23"/>
  <c r="U72" i="23" s="1"/>
  <c r="T74" i="23"/>
  <c r="U74" i="23" s="1"/>
  <c r="T77" i="23"/>
  <c r="U77" i="23" s="1"/>
  <c r="T78" i="23"/>
  <c r="U78" i="23" s="1"/>
  <c r="T79" i="23"/>
  <c r="U79" i="23" s="1"/>
  <c r="T81" i="23"/>
  <c r="U81" i="23" s="1"/>
  <c r="T82" i="23"/>
  <c r="U82" i="23" s="1"/>
  <c r="T85" i="23"/>
  <c r="U85" i="23" s="1"/>
  <c r="T86" i="23"/>
  <c r="U86" i="23" s="1"/>
  <c r="T87" i="23"/>
  <c r="U87" i="23" s="1"/>
  <c r="T88" i="23"/>
  <c r="U88" i="23" s="1"/>
  <c r="T94" i="23"/>
  <c r="U94" i="23" s="1"/>
  <c r="T95" i="23"/>
  <c r="U95" i="23" s="1"/>
  <c r="T98" i="23"/>
  <c r="U98" i="23" s="1"/>
  <c r="T99" i="23"/>
  <c r="U99" i="23" s="1"/>
  <c r="T102" i="23"/>
  <c r="U102" i="23" s="1"/>
  <c r="T103" i="23"/>
  <c r="U103" i="23" s="1"/>
  <c r="T106" i="23"/>
  <c r="U106" i="23" s="1"/>
  <c r="T107" i="23"/>
  <c r="U107" i="23" s="1"/>
  <c r="T113" i="23"/>
  <c r="U113" i="23" s="1"/>
  <c r="T114" i="23"/>
  <c r="U114" i="23" s="1"/>
  <c r="T115" i="23"/>
  <c r="U115" i="23" s="1"/>
  <c r="T117" i="23"/>
  <c r="U117" i="23" s="1"/>
  <c r="T118" i="23"/>
  <c r="U118" i="23" s="1"/>
  <c r="T121" i="23"/>
  <c r="U121" i="23" s="1"/>
  <c r="T122" i="23"/>
  <c r="U122" i="23" s="1"/>
  <c r="T123" i="23"/>
  <c r="U123" i="23" s="1"/>
  <c r="T66" i="23"/>
  <c r="U66" i="23" s="1"/>
  <c r="T68" i="23"/>
  <c r="U68" i="23" s="1"/>
  <c r="T70" i="23"/>
  <c r="U70" i="23" s="1"/>
  <c r="T73" i="23"/>
  <c r="U73" i="23" s="1"/>
  <c r="T75" i="23"/>
  <c r="U75" i="23" s="1"/>
  <c r="T76" i="23"/>
  <c r="U76" i="23" s="1"/>
  <c r="T80" i="23"/>
  <c r="U80" i="23" s="1"/>
  <c r="T83" i="23"/>
  <c r="U83" i="23" s="1"/>
  <c r="T84" i="23"/>
  <c r="U84" i="23" s="1"/>
  <c r="T89" i="23"/>
  <c r="U89" i="23" s="1"/>
  <c r="T90" i="23"/>
  <c r="U90" i="23" s="1"/>
  <c r="T91" i="23"/>
  <c r="U91" i="23" s="1"/>
  <c r="T92" i="23"/>
  <c r="U92" i="23" s="1"/>
  <c r="T97" i="23"/>
  <c r="U97" i="23" s="1"/>
  <c r="T100" i="23"/>
  <c r="U100" i="23" s="1"/>
  <c r="T105" i="23"/>
  <c r="U105" i="23" s="1"/>
  <c r="T108" i="23"/>
  <c r="U108" i="23" s="1"/>
  <c r="T116" i="23"/>
  <c r="U116" i="23" s="1"/>
  <c r="T124" i="23"/>
  <c r="U124" i="23" s="1"/>
  <c r="T129" i="23"/>
  <c r="U129" i="23" s="1"/>
  <c r="T130" i="23"/>
  <c r="U130" i="23" s="1"/>
  <c r="T131" i="23"/>
  <c r="U131" i="23" s="1"/>
  <c r="T133" i="23"/>
  <c r="U133" i="23" s="1"/>
  <c r="T134" i="23"/>
  <c r="U134" i="23" s="1"/>
  <c r="T137" i="23"/>
  <c r="U137" i="23" s="1"/>
  <c r="T138" i="23"/>
  <c r="U138" i="23" s="1"/>
  <c r="T139" i="23"/>
  <c r="U139" i="23" s="1"/>
  <c r="T141" i="23"/>
  <c r="U141" i="23" s="1"/>
  <c r="T142" i="23"/>
  <c r="U142" i="23" s="1"/>
  <c r="T144" i="23"/>
  <c r="U144" i="23" s="1"/>
  <c r="T146" i="23"/>
  <c r="U146" i="23" s="1"/>
  <c r="T150" i="23"/>
  <c r="U150" i="23" s="1"/>
  <c r="T153" i="23"/>
  <c r="U153" i="23" s="1"/>
  <c r="T154" i="23"/>
  <c r="U154" i="23" s="1"/>
  <c r="T157" i="23"/>
  <c r="U157" i="23" s="1"/>
  <c r="T158" i="23"/>
  <c r="U158" i="23" s="1"/>
  <c r="T161" i="23"/>
  <c r="U161" i="23" s="1"/>
  <c r="T162" i="23"/>
  <c r="U162" i="23" s="1"/>
  <c r="T165" i="23"/>
  <c r="U165" i="23" s="1"/>
  <c r="T166" i="23"/>
  <c r="U166" i="23" s="1"/>
  <c r="T169" i="23"/>
  <c r="U169" i="23" s="1"/>
  <c r="T170" i="23"/>
  <c r="U170" i="23" s="1"/>
  <c r="T173" i="23"/>
  <c r="U173" i="23" s="1"/>
  <c r="T174" i="23"/>
  <c r="U174" i="23" s="1"/>
  <c r="T175" i="23"/>
  <c r="U175" i="23" s="1"/>
  <c r="T93" i="23"/>
  <c r="U93" i="23" s="1"/>
  <c r="T96" i="23"/>
  <c r="U96" i="23" s="1"/>
  <c r="T109" i="23"/>
  <c r="U109" i="23" s="1"/>
  <c r="T112" i="23"/>
  <c r="U112" i="23" s="1"/>
  <c r="T119" i="23"/>
  <c r="U119" i="23" s="1"/>
  <c r="T125" i="23"/>
  <c r="U125" i="23" s="1"/>
  <c r="T127" i="23"/>
  <c r="U127" i="23" s="1"/>
  <c r="T132" i="23"/>
  <c r="U132" i="23" s="1"/>
  <c r="T140" i="23"/>
  <c r="U140" i="23" s="1"/>
  <c r="T143" i="23"/>
  <c r="U143" i="23" s="1"/>
  <c r="T145" i="23"/>
  <c r="U145" i="23" s="1"/>
  <c r="T147" i="23"/>
  <c r="U147" i="23" s="1"/>
  <c r="T148" i="23"/>
  <c r="U148" i="23" s="1"/>
  <c r="T151" i="23"/>
  <c r="U151" i="23" s="1"/>
  <c r="T156" i="23"/>
  <c r="U156" i="23" s="1"/>
  <c r="T159" i="23"/>
  <c r="U159" i="23" s="1"/>
  <c r="T164" i="23"/>
  <c r="U164" i="23" s="1"/>
  <c r="T167" i="23"/>
  <c r="U167" i="23" s="1"/>
  <c r="T172" i="23"/>
  <c r="U172" i="23" s="1"/>
  <c r="T176" i="23"/>
  <c r="U176" i="23" s="1"/>
  <c r="T179" i="23"/>
  <c r="U179" i="23" s="1"/>
  <c r="T181" i="23"/>
  <c r="U181" i="23" s="1"/>
  <c r="T182" i="23"/>
  <c r="U182" i="23" s="1"/>
  <c r="T183" i="23"/>
  <c r="U183" i="23" s="1"/>
  <c r="T184" i="23"/>
  <c r="U184" i="23" s="1"/>
  <c r="T186" i="23"/>
  <c r="U186" i="23" s="1"/>
  <c r="T188" i="23"/>
  <c r="U188" i="23" s="1"/>
  <c r="T190" i="23"/>
  <c r="U190" i="23" s="1"/>
  <c r="T191" i="23"/>
  <c r="U191" i="23" s="1"/>
  <c r="T193" i="23"/>
  <c r="U193" i="23" s="1"/>
  <c r="T195" i="23"/>
  <c r="U195" i="23" s="1"/>
  <c r="T197" i="23"/>
  <c r="U197" i="23" s="1"/>
  <c r="T200" i="23"/>
  <c r="U200" i="23" s="1"/>
  <c r="T202" i="23"/>
  <c r="U202" i="23" s="1"/>
  <c r="T203" i="23"/>
  <c r="U203" i="23" s="1"/>
  <c r="T205" i="23"/>
  <c r="U205" i="23" s="1"/>
  <c r="T207" i="23"/>
  <c r="U207" i="23" s="1"/>
  <c r="T209" i="23"/>
  <c r="U209" i="23" s="1"/>
  <c r="T211" i="23"/>
  <c r="U211" i="23" s="1"/>
  <c r="T212" i="23"/>
  <c r="U212" i="23" s="1"/>
  <c r="T101" i="23"/>
  <c r="U101" i="23" s="1"/>
  <c r="T104" i="23"/>
  <c r="U104" i="23" s="1"/>
  <c r="T111" i="23"/>
  <c r="U111" i="23" s="1"/>
  <c r="T126" i="23"/>
  <c r="U126" i="23" s="1"/>
  <c r="T128" i="23"/>
  <c r="U128" i="23" s="1"/>
  <c r="T135" i="23"/>
  <c r="U135" i="23" s="1"/>
  <c r="T149" i="23"/>
  <c r="U149" i="23" s="1"/>
  <c r="T155" i="23"/>
  <c r="U155" i="23" s="1"/>
  <c r="T160" i="23"/>
  <c r="U160" i="23" s="1"/>
  <c r="T171" i="23"/>
  <c r="U171" i="23" s="1"/>
  <c r="T177" i="23"/>
  <c r="U177" i="23" s="1"/>
  <c r="T180" i="23"/>
  <c r="U180" i="23" s="1"/>
  <c r="T185" i="23"/>
  <c r="U185" i="23" s="1"/>
  <c r="T192" i="23"/>
  <c r="U192" i="23" s="1"/>
  <c r="T196" i="23"/>
  <c r="U196" i="23" s="1"/>
  <c r="T199" i="23"/>
  <c r="U199" i="23" s="1"/>
  <c r="T201" i="23"/>
  <c r="U201" i="23" s="1"/>
  <c r="T204" i="23"/>
  <c r="U204" i="23" s="1"/>
  <c r="T206" i="23"/>
  <c r="U206" i="23" s="1"/>
  <c r="T208" i="23"/>
  <c r="U208" i="23" s="1"/>
  <c r="T210" i="23"/>
  <c r="U210" i="23" s="1"/>
  <c r="T217" i="23"/>
  <c r="U217" i="23" s="1"/>
  <c r="T218" i="23"/>
  <c r="U218" i="23" s="1"/>
  <c r="T219" i="23"/>
  <c r="U219" i="23" s="1"/>
  <c r="T220" i="23"/>
  <c r="U220" i="23" s="1"/>
  <c r="T223" i="23"/>
  <c r="U223" i="23" s="1"/>
  <c r="T224" i="23"/>
  <c r="U224" i="23" s="1"/>
  <c r="T227" i="23"/>
  <c r="U227" i="23" s="1"/>
  <c r="T231" i="23"/>
  <c r="U231" i="23" s="1"/>
  <c r="T232" i="23"/>
  <c r="U232" i="23" s="1"/>
  <c r="T235" i="23"/>
  <c r="U235" i="23" s="1"/>
  <c r="T236" i="23"/>
  <c r="U236" i="23" s="1"/>
  <c r="T240" i="23"/>
  <c r="U240" i="23" s="1"/>
  <c r="T243" i="23"/>
  <c r="U243" i="23" s="1"/>
  <c r="T245" i="23"/>
  <c r="U245" i="23" s="1"/>
  <c r="T246" i="23"/>
  <c r="U246" i="23" s="1"/>
  <c r="T247" i="23"/>
  <c r="U247" i="23" s="1"/>
  <c r="T249" i="23"/>
  <c r="U249" i="23" s="1"/>
  <c r="T250" i="23"/>
  <c r="U250" i="23" s="1"/>
  <c r="T252" i="23"/>
  <c r="U252" i="23" s="1"/>
  <c r="T255" i="23"/>
  <c r="U255" i="23" s="1"/>
  <c r="T259" i="23"/>
  <c r="U259" i="23" s="1"/>
  <c r="T264" i="23"/>
  <c r="U264" i="23" s="1"/>
  <c r="T267" i="23"/>
  <c r="U267" i="23" s="1"/>
  <c r="T268" i="23"/>
  <c r="U268" i="23" s="1"/>
  <c r="T269" i="23"/>
  <c r="U269" i="23" s="1"/>
  <c r="T271" i="23"/>
  <c r="U271" i="23" s="1"/>
  <c r="T274" i="23"/>
  <c r="U274" i="23" s="1"/>
  <c r="T279" i="23"/>
  <c r="U279" i="23" s="1"/>
  <c r="T280" i="23"/>
  <c r="U280" i="23" s="1"/>
  <c r="T281" i="23"/>
  <c r="U281" i="23" s="1"/>
  <c r="T283" i="23"/>
  <c r="U283" i="23" s="1"/>
  <c r="T286" i="23"/>
  <c r="U286" i="23" s="1"/>
  <c r="T290" i="23"/>
  <c r="U290" i="23" s="1"/>
  <c r="T292" i="23"/>
  <c r="U292" i="23" s="1"/>
  <c r="T293" i="23"/>
  <c r="U293" i="23" s="1"/>
  <c r="T295" i="23"/>
  <c r="U295" i="23" s="1"/>
  <c r="T296" i="23"/>
  <c r="U296" i="23" s="1"/>
  <c r="T297" i="23"/>
  <c r="U297" i="23" s="1"/>
  <c r="T299" i="23"/>
  <c r="U299" i="23" s="1"/>
  <c r="T300" i="23"/>
  <c r="U300" i="23" s="1"/>
  <c r="T301" i="23"/>
  <c r="U301" i="23" s="1"/>
  <c r="T303" i="23"/>
  <c r="U303" i="23" s="1"/>
  <c r="T307" i="23"/>
  <c r="U307" i="23" s="1"/>
  <c r="T311" i="23"/>
  <c r="U311" i="23" s="1"/>
  <c r="T315" i="23"/>
  <c r="U315" i="23" s="1"/>
  <c r="T317" i="23"/>
  <c r="U317" i="23" s="1"/>
  <c r="T110" i="23"/>
  <c r="U110" i="23" s="1"/>
  <c r="T120" i="23"/>
  <c r="U120" i="23" s="1"/>
  <c r="T136" i="23"/>
  <c r="U136" i="23" s="1"/>
  <c r="T152" i="23"/>
  <c r="U152" i="23" s="1"/>
  <c r="T163" i="23"/>
  <c r="U163" i="23" s="1"/>
  <c r="T168" i="23"/>
  <c r="U168" i="23" s="1"/>
  <c r="T178" i="23"/>
  <c r="U178" i="23" s="1"/>
  <c r="T187" i="23"/>
  <c r="U187" i="23" s="1"/>
  <c r="T189" i="23"/>
  <c r="U189" i="23" s="1"/>
  <c r="T194" i="23"/>
  <c r="U194" i="23" s="1"/>
  <c r="T198" i="23"/>
  <c r="U198" i="23" s="1"/>
  <c r="T213" i="23"/>
  <c r="U213" i="23" s="1"/>
  <c r="T214" i="23"/>
  <c r="U214" i="23" s="1"/>
  <c r="T215" i="23"/>
  <c r="U215" i="23" s="1"/>
  <c r="T216" i="23"/>
  <c r="U216" i="23" s="1"/>
  <c r="T221" i="23"/>
  <c r="U221" i="23" s="1"/>
  <c r="T222" i="23"/>
  <c r="U222" i="23" s="1"/>
  <c r="T225" i="23"/>
  <c r="U225" i="23" s="1"/>
  <c r="T226" i="23"/>
  <c r="U226" i="23" s="1"/>
  <c r="T228" i="23"/>
  <c r="U228" i="23" s="1"/>
  <c r="T229" i="23"/>
  <c r="U229" i="23" s="1"/>
  <c r="T230" i="23"/>
  <c r="U230" i="23" s="1"/>
  <c r="T233" i="23"/>
  <c r="U233" i="23" s="1"/>
  <c r="T234" i="23"/>
  <c r="U234" i="23" s="1"/>
  <c r="T237" i="23"/>
  <c r="U237" i="23" s="1"/>
  <c r="T238" i="23"/>
  <c r="U238" i="23" s="1"/>
  <c r="T239" i="23"/>
  <c r="U239" i="23" s="1"/>
  <c r="T241" i="23"/>
  <c r="U241" i="23" s="1"/>
  <c r="T242" i="23"/>
  <c r="U242" i="23" s="1"/>
  <c r="T244" i="23"/>
  <c r="U244" i="23" s="1"/>
  <c r="T248" i="23"/>
  <c r="U248" i="23" s="1"/>
  <c r="T251" i="23"/>
  <c r="U251" i="23" s="1"/>
  <c r="T253" i="23"/>
  <c r="U253" i="23" s="1"/>
  <c r="T254" i="23"/>
  <c r="U254" i="23" s="1"/>
  <c r="T256" i="23"/>
  <c r="U256" i="23" s="1"/>
  <c r="T257" i="23"/>
  <c r="U257" i="23" s="1"/>
  <c r="T258" i="23"/>
  <c r="U258" i="23" s="1"/>
  <c r="T260" i="23"/>
  <c r="U260" i="23" s="1"/>
  <c r="T261" i="23"/>
  <c r="U261" i="23" s="1"/>
  <c r="T262" i="23"/>
  <c r="U262" i="23" s="1"/>
  <c r="T263" i="23"/>
  <c r="U263" i="23" s="1"/>
  <c r="T265" i="23"/>
  <c r="U265" i="23" s="1"/>
  <c r="T266" i="23"/>
  <c r="U266" i="23" s="1"/>
  <c r="T270" i="23"/>
  <c r="U270" i="23" s="1"/>
  <c r="T272" i="23"/>
  <c r="U272" i="23" s="1"/>
  <c r="T273" i="23"/>
  <c r="U273" i="23" s="1"/>
  <c r="T275" i="23"/>
  <c r="U275" i="23" s="1"/>
  <c r="T276" i="23"/>
  <c r="U276" i="23" s="1"/>
  <c r="T277" i="23"/>
  <c r="U277" i="23" s="1"/>
  <c r="T278" i="23"/>
  <c r="U278" i="23" s="1"/>
  <c r="T282" i="23"/>
  <c r="U282" i="23" s="1"/>
  <c r="T284" i="23"/>
  <c r="U284" i="23" s="1"/>
  <c r="T285" i="23"/>
  <c r="U285" i="23" s="1"/>
  <c r="T287" i="23"/>
  <c r="U287" i="23" s="1"/>
  <c r="T288" i="23"/>
  <c r="U288" i="23" s="1"/>
  <c r="T289" i="23"/>
  <c r="U289" i="23" s="1"/>
  <c r="T291" i="23"/>
  <c r="U291" i="23" s="1"/>
  <c r="T294" i="23"/>
  <c r="U294" i="23" s="1"/>
  <c r="T298" i="23"/>
  <c r="U298" i="23" s="1"/>
  <c r="T302" i="23"/>
  <c r="U302" i="23" s="1"/>
  <c r="T304" i="23"/>
  <c r="U304" i="23" s="1"/>
  <c r="T305" i="23"/>
  <c r="U305" i="23" s="1"/>
  <c r="T306" i="23"/>
  <c r="U306" i="23" s="1"/>
  <c r="T308" i="23"/>
  <c r="U308" i="23" s="1"/>
  <c r="T309" i="23"/>
  <c r="U309" i="23" s="1"/>
  <c r="T310" i="23"/>
  <c r="U310" i="23" s="1"/>
  <c r="T312" i="23"/>
  <c r="U312" i="23" s="1"/>
  <c r="T313" i="23"/>
  <c r="U313" i="23" s="1"/>
  <c r="T314" i="23"/>
  <c r="U314" i="23" s="1"/>
  <c r="T318" i="23"/>
  <c r="U318" i="23" s="1"/>
  <c r="T319" i="23"/>
  <c r="U319" i="23" s="1"/>
  <c r="T320" i="23"/>
  <c r="U320" i="23" s="1"/>
  <c r="T321" i="23"/>
  <c r="U321" i="23" s="1"/>
  <c r="T322" i="23"/>
  <c r="U322" i="23" s="1"/>
  <c r="T316" i="23"/>
  <c r="U316" i="23" s="1"/>
  <c r="T23" i="23"/>
  <c r="U23" i="23" s="1"/>
  <c r="AB27" i="23"/>
  <c r="AC27" i="23" s="1"/>
  <c r="AB30" i="23"/>
  <c r="AC30" i="23" s="1"/>
  <c r="AB25" i="23"/>
  <c r="AC25" i="23" s="1"/>
  <c r="AB26" i="23"/>
  <c r="AC26" i="23" s="1"/>
  <c r="AB28" i="23"/>
  <c r="AC28" i="23" s="1"/>
  <c r="AB31" i="23"/>
  <c r="AC31" i="23" s="1"/>
  <c r="AB35" i="23"/>
  <c r="AC35" i="23" s="1"/>
  <c r="AB36" i="23"/>
  <c r="AC36" i="23" s="1"/>
  <c r="AB38" i="23"/>
  <c r="AC38" i="23" s="1"/>
  <c r="AB41" i="23"/>
  <c r="AC41" i="23" s="1"/>
  <c r="AB29" i="23"/>
  <c r="AC29" i="23" s="1"/>
  <c r="AB32" i="23"/>
  <c r="AC32" i="23" s="1"/>
  <c r="AB39" i="23"/>
  <c r="AC39" i="23" s="1"/>
  <c r="AB40" i="23"/>
  <c r="AC40" i="23" s="1"/>
  <c r="AB24" i="23"/>
  <c r="AC24" i="23" s="1"/>
  <c r="AB33" i="23"/>
  <c r="AC33" i="23" s="1"/>
  <c r="AB37" i="23"/>
  <c r="AC37" i="23" s="1"/>
  <c r="AB43" i="23"/>
  <c r="AC43" i="23" s="1"/>
  <c r="AB44" i="23"/>
  <c r="AC44" i="23" s="1"/>
  <c r="AB45" i="23"/>
  <c r="AC45" i="23" s="1"/>
  <c r="AB47" i="23"/>
  <c r="AC47" i="23" s="1"/>
  <c r="AB48" i="23"/>
  <c r="AC48" i="23" s="1"/>
  <c r="AB49" i="23"/>
  <c r="AC49" i="23" s="1"/>
  <c r="AB53" i="23"/>
  <c r="AC53" i="23" s="1"/>
  <c r="AB58" i="23"/>
  <c r="AC58" i="23" s="1"/>
  <c r="AB62" i="23"/>
  <c r="AC62" i="23" s="1"/>
  <c r="AB63" i="23"/>
  <c r="AC63" i="23" s="1"/>
  <c r="AB64" i="23"/>
  <c r="AC64" i="23" s="1"/>
  <c r="AB65" i="23"/>
  <c r="AC65" i="23" s="1"/>
  <c r="AB67" i="23"/>
  <c r="AC67" i="23" s="1"/>
  <c r="AB42" i="23"/>
  <c r="AC42" i="23" s="1"/>
  <c r="AB50" i="23"/>
  <c r="AC50" i="23" s="1"/>
  <c r="AB55" i="23"/>
  <c r="AC55" i="23" s="1"/>
  <c r="AB56" i="23"/>
  <c r="AC56" i="23" s="1"/>
  <c r="AB57" i="23"/>
  <c r="AC57" i="23" s="1"/>
  <c r="AB59" i="23"/>
  <c r="AC59" i="23" s="1"/>
  <c r="AB60" i="23"/>
  <c r="AC60" i="23" s="1"/>
  <c r="AB61" i="23"/>
  <c r="AC61" i="23" s="1"/>
  <c r="AB66" i="23"/>
  <c r="AC66" i="23" s="1"/>
  <c r="AB34" i="23"/>
  <c r="AC34" i="23" s="1"/>
  <c r="AB46" i="23"/>
  <c r="AC46" i="23" s="1"/>
  <c r="AB51" i="23"/>
  <c r="AC51" i="23" s="1"/>
  <c r="AB52" i="23"/>
  <c r="AC52" i="23" s="1"/>
  <c r="AB69" i="23"/>
  <c r="AC69" i="23" s="1"/>
  <c r="AB71" i="23"/>
  <c r="AC71" i="23" s="1"/>
  <c r="AB72" i="23"/>
  <c r="AC72" i="23" s="1"/>
  <c r="AB74" i="23"/>
  <c r="AC74" i="23" s="1"/>
  <c r="AB77" i="23"/>
  <c r="AC77" i="23" s="1"/>
  <c r="AB79" i="23"/>
  <c r="AC79" i="23" s="1"/>
  <c r="AB81" i="23"/>
  <c r="AC81" i="23" s="1"/>
  <c r="AB82" i="23"/>
  <c r="AC82" i="23" s="1"/>
  <c r="AB85" i="23"/>
  <c r="AC85" i="23" s="1"/>
  <c r="AB86" i="23"/>
  <c r="AC86" i="23" s="1"/>
  <c r="AB87" i="23"/>
  <c r="AC87" i="23" s="1"/>
  <c r="AB88" i="23"/>
  <c r="AC88" i="23" s="1"/>
  <c r="AB95" i="23"/>
  <c r="AC95" i="23" s="1"/>
  <c r="AB98" i="23"/>
  <c r="AC98" i="23" s="1"/>
  <c r="AB99" i="23"/>
  <c r="AC99" i="23" s="1"/>
  <c r="AB102" i="23"/>
  <c r="AC102" i="23" s="1"/>
  <c r="AB103" i="23"/>
  <c r="AC103" i="23" s="1"/>
  <c r="AB106" i="23"/>
  <c r="AC106" i="23" s="1"/>
  <c r="AB107" i="23"/>
  <c r="AC107" i="23" s="1"/>
  <c r="AB111" i="23"/>
  <c r="AC111" i="23" s="1"/>
  <c r="AB113" i="23"/>
  <c r="AC113" i="23" s="1"/>
  <c r="AB114" i="23"/>
  <c r="AC114" i="23" s="1"/>
  <c r="AB115" i="23"/>
  <c r="AC115" i="23" s="1"/>
  <c r="AB117" i="23"/>
  <c r="AC117" i="23" s="1"/>
  <c r="AB118" i="23"/>
  <c r="AC118" i="23" s="1"/>
  <c r="AB121" i="23"/>
  <c r="AC121" i="23" s="1"/>
  <c r="AB122" i="23"/>
  <c r="AC122" i="23" s="1"/>
  <c r="AB54" i="23"/>
  <c r="AC54" i="23" s="1"/>
  <c r="AB68" i="23"/>
  <c r="AC68" i="23" s="1"/>
  <c r="AB70" i="23"/>
  <c r="AC70" i="23" s="1"/>
  <c r="AB73" i="23"/>
  <c r="AC73" i="23" s="1"/>
  <c r="AB75" i="23"/>
  <c r="AC75" i="23" s="1"/>
  <c r="AB76" i="23"/>
  <c r="AC76" i="23" s="1"/>
  <c r="AB78" i="23"/>
  <c r="AC78" i="23" s="1"/>
  <c r="AB80" i="23"/>
  <c r="AC80" i="23" s="1"/>
  <c r="AB83" i="23"/>
  <c r="AC83" i="23" s="1"/>
  <c r="AB84" i="23"/>
  <c r="AC84" i="23" s="1"/>
  <c r="AB89" i="23"/>
  <c r="AC89" i="23" s="1"/>
  <c r="AB90" i="23"/>
  <c r="AC90" i="23" s="1"/>
  <c r="AB91" i="23"/>
  <c r="AC91" i="23" s="1"/>
  <c r="AB92" i="23"/>
  <c r="AC92" i="23" s="1"/>
  <c r="AB96" i="23"/>
  <c r="AC96" i="23" s="1"/>
  <c r="AB101" i="23"/>
  <c r="AC101" i="23" s="1"/>
  <c r="AB104" i="23"/>
  <c r="AC104" i="23" s="1"/>
  <c r="AB109" i="23"/>
  <c r="AC109" i="23" s="1"/>
  <c r="AB110" i="23"/>
  <c r="AC110" i="23" s="1"/>
  <c r="AB116" i="23"/>
  <c r="AC116" i="23" s="1"/>
  <c r="AB124" i="23"/>
  <c r="AC124" i="23" s="1"/>
  <c r="AB129" i="23"/>
  <c r="AC129" i="23" s="1"/>
  <c r="AB130" i="23"/>
  <c r="AC130" i="23" s="1"/>
  <c r="AB131" i="23"/>
  <c r="AC131" i="23" s="1"/>
  <c r="AB133" i="23"/>
  <c r="AC133" i="23" s="1"/>
  <c r="AB134" i="23"/>
  <c r="AC134" i="23" s="1"/>
  <c r="AB137" i="23"/>
  <c r="AC137" i="23" s="1"/>
  <c r="AB138" i="23"/>
  <c r="AC138" i="23" s="1"/>
  <c r="AB139" i="23"/>
  <c r="AC139" i="23" s="1"/>
  <c r="AB141" i="23"/>
  <c r="AC141" i="23" s="1"/>
  <c r="AB142" i="23"/>
  <c r="AC142" i="23" s="1"/>
  <c r="AB144" i="23"/>
  <c r="AC144" i="23" s="1"/>
  <c r="AB146" i="23"/>
  <c r="AC146" i="23" s="1"/>
  <c r="AB148" i="23"/>
  <c r="AC148" i="23" s="1"/>
  <c r="AB150" i="23"/>
  <c r="AC150" i="23" s="1"/>
  <c r="AB153" i="23"/>
  <c r="AC153" i="23" s="1"/>
  <c r="AB154" i="23"/>
  <c r="AC154" i="23" s="1"/>
  <c r="AB157" i="23"/>
  <c r="AC157" i="23" s="1"/>
  <c r="AB158" i="23"/>
  <c r="AC158" i="23" s="1"/>
  <c r="AB161" i="23"/>
  <c r="AC161" i="23" s="1"/>
  <c r="AB162" i="23"/>
  <c r="AC162" i="23" s="1"/>
  <c r="AB165" i="23"/>
  <c r="AC165" i="23" s="1"/>
  <c r="AB166" i="23"/>
  <c r="AC166" i="23" s="1"/>
  <c r="AB169" i="23"/>
  <c r="AC169" i="23" s="1"/>
  <c r="AB170" i="23"/>
  <c r="AC170" i="23" s="1"/>
  <c r="AB173" i="23"/>
  <c r="AC173" i="23" s="1"/>
  <c r="AB174" i="23"/>
  <c r="AC174" i="23" s="1"/>
  <c r="AB175" i="23"/>
  <c r="AC175" i="23" s="1"/>
  <c r="AB93" i="23"/>
  <c r="AC93" i="23" s="1"/>
  <c r="AB94" i="23"/>
  <c r="AC94" i="23" s="1"/>
  <c r="AB97" i="23"/>
  <c r="AC97" i="23" s="1"/>
  <c r="AB100" i="23"/>
  <c r="AC100" i="23" s="1"/>
  <c r="AB119" i="23"/>
  <c r="AC119" i="23" s="1"/>
  <c r="AB120" i="23"/>
  <c r="AC120" i="23" s="1"/>
  <c r="AB123" i="23"/>
  <c r="AC123" i="23" s="1"/>
  <c r="AB125" i="23"/>
  <c r="AC125" i="23" s="1"/>
  <c r="AB127" i="23"/>
  <c r="AC127" i="23" s="1"/>
  <c r="AB132" i="23"/>
  <c r="AC132" i="23" s="1"/>
  <c r="AB140" i="23"/>
  <c r="AC140" i="23" s="1"/>
  <c r="AB143" i="23"/>
  <c r="AC143" i="23" s="1"/>
  <c r="AB145" i="23"/>
  <c r="AC145" i="23" s="1"/>
  <c r="AB147" i="23"/>
  <c r="AC147" i="23" s="1"/>
  <c r="AB149" i="23"/>
  <c r="AC149" i="23" s="1"/>
  <c r="AB151" i="23"/>
  <c r="AC151" i="23" s="1"/>
  <c r="AB156" i="23"/>
  <c r="AC156" i="23" s="1"/>
  <c r="AB159" i="23"/>
  <c r="AC159" i="23" s="1"/>
  <c r="AB164" i="23"/>
  <c r="AC164" i="23" s="1"/>
  <c r="AB167" i="23"/>
  <c r="AC167" i="23" s="1"/>
  <c r="AB172" i="23"/>
  <c r="AC172" i="23" s="1"/>
  <c r="AB176" i="23"/>
  <c r="AC176" i="23" s="1"/>
  <c r="AB179" i="23"/>
  <c r="AC179" i="23" s="1"/>
  <c r="AB181" i="23"/>
  <c r="AC181" i="23" s="1"/>
  <c r="AB182" i="23"/>
  <c r="AC182" i="23" s="1"/>
  <c r="AB184" i="23"/>
  <c r="AC184" i="23" s="1"/>
  <c r="AB186" i="23"/>
  <c r="AC186" i="23" s="1"/>
  <c r="AB188" i="23"/>
  <c r="AC188" i="23" s="1"/>
  <c r="AB190" i="23"/>
  <c r="AC190" i="23" s="1"/>
  <c r="AB191" i="23"/>
  <c r="AC191" i="23" s="1"/>
  <c r="AB193" i="23"/>
  <c r="AC193" i="23" s="1"/>
  <c r="AB195" i="23"/>
  <c r="AC195" i="23" s="1"/>
  <c r="AB197" i="23"/>
  <c r="AC197" i="23" s="1"/>
  <c r="AB200" i="23"/>
  <c r="AC200" i="23" s="1"/>
  <c r="AB202" i="23"/>
  <c r="AC202" i="23" s="1"/>
  <c r="AB203" i="23"/>
  <c r="AC203" i="23" s="1"/>
  <c r="AB205" i="23"/>
  <c r="AC205" i="23" s="1"/>
  <c r="AB207" i="23"/>
  <c r="AC207" i="23" s="1"/>
  <c r="AB209" i="23"/>
  <c r="AC209" i="23" s="1"/>
  <c r="AB212" i="23"/>
  <c r="AC212" i="23" s="1"/>
  <c r="AB135" i="23"/>
  <c r="AC135" i="23" s="1"/>
  <c r="AB136" i="23"/>
  <c r="AC136" i="23" s="1"/>
  <c r="AB152" i="23"/>
  <c r="AC152" i="23" s="1"/>
  <c r="AB155" i="23"/>
  <c r="AC155" i="23" s="1"/>
  <c r="AB168" i="23"/>
  <c r="AC168" i="23" s="1"/>
  <c r="AB171" i="23"/>
  <c r="AC171" i="23" s="1"/>
  <c r="AB177" i="23"/>
  <c r="AC177" i="23" s="1"/>
  <c r="AB180" i="23"/>
  <c r="AC180" i="23" s="1"/>
  <c r="AB187" i="23"/>
  <c r="AC187" i="23" s="1"/>
  <c r="AB189" i="23"/>
  <c r="AC189" i="23" s="1"/>
  <c r="AB192" i="23"/>
  <c r="AC192" i="23" s="1"/>
  <c r="AB196" i="23"/>
  <c r="AC196" i="23" s="1"/>
  <c r="AB206" i="23"/>
  <c r="AC206" i="23" s="1"/>
  <c r="AB210" i="23"/>
  <c r="AC210" i="23" s="1"/>
  <c r="AB211" i="23"/>
  <c r="AC211" i="23" s="1"/>
  <c r="AB217" i="23"/>
  <c r="AC217" i="23" s="1"/>
  <c r="AB218" i="23"/>
  <c r="AC218" i="23" s="1"/>
  <c r="AB219" i="23"/>
  <c r="AC219" i="23" s="1"/>
  <c r="AB220" i="23"/>
  <c r="AC220" i="23" s="1"/>
  <c r="AB223" i="23"/>
  <c r="AC223" i="23" s="1"/>
  <c r="AB226" i="23"/>
  <c r="AC226" i="23" s="1"/>
  <c r="AB227" i="23"/>
  <c r="AC227" i="23" s="1"/>
  <c r="AB231" i="23"/>
  <c r="AC231" i="23" s="1"/>
  <c r="AB232" i="23"/>
  <c r="AC232" i="23" s="1"/>
  <c r="AB235" i="23"/>
  <c r="AC235" i="23" s="1"/>
  <c r="AB236" i="23"/>
  <c r="AC236" i="23" s="1"/>
  <c r="AB238" i="23"/>
  <c r="AC238" i="23" s="1"/>
  <c r="AB240" i="23"/>
  <c r="AC240" i="23" s="1"/>
  <c r="AB243" i="23"/>
  <c r="AC243" i="23" s="1"/>
  <c r="AB245" i="23"/>
  <c r="AC245" i="23" s="1"/>
  <c r="AB247" i="23"/>
  <c r="AC247" i="23" s="1"/>
  <c r="AB249" i="23"/>
  <c r="AC249" i="23" s="1"/>
  <c r="AB250" i="23"/>
  <c r="AC250" i="23" s="1"/>
  <c r="AB252" i="23"/>
  <c r="AC252" i="23" s="1"/>
  <c r="AB255" i="23"/>
  <c r="AC255" i="23" s="1"/>
  <c r="AB259" i="23"/>
  <c r="AC259" i="23" s="1"/>
  <c r="AB262" i="23"/>
  <c r="AC262" i="23" s="1"/>
  <c r="AB264" i="23"/>
  <c r="AC264" i="23" s="1"/>
  <c r="AB267" i="23"/>
  <c r="AC267" i="23" s="1"/>
  <c r="AB268" i="23"/>
  <c r="AC268" i="23" s="1"/>
  <c r="AB269" i="23"/>
  <c r="AC269" i="23" s="1"/>
  <c r="AB271" i="23"/>
  <c r="AC271" i="23" s="1"/>
  <c r="AB274" i="23"/>
  <c r="AC274" i="23" s="1"/>
  <c r="AB277" i="23"/>
  <c r="AC277" i="23" s="1"/>
  <c r="AB279" i="23"/>
  <c r="AC279" i="23" s="1"/>
  <c r="AB280" i="23"/>
  <c r="AC280" i="23" s="1"/>
  <c r="AB281" i="23"/>
  <c r="AC281" i="23" s="1"/>
  <c r="AB283" i="23"/>
  <c r="AC283" i="23" s="1"/>
  <c r="AB286" i="23"/>
  <c r="AC286" i="23" s="1"/>
  <c r="AB290" i="23"/>
  <c r="AC290" i="23" s="1"/>
  <c r="AB292" i="23"/>
  <c r="AC292" i="23" s="1"/>
  <c r="AB293" i="23"/>
  <c r="AC293" i="23" s="1"/>
  <c r="AB296" i="23"/>
  <c r="AC296" i="23" s="1"/>
  <c r="AB297" i="23"/>
  <c r="AC297" i="23" s="1"/>
  <c r="AB299" i="23"/>
  <c r="AC299" i="23" s="1"/>
  <c r="AB300" i="23"/>
  <c r="AC300" i="23" s="1"/>
  <c r="AB301" i="23"/>
  <c r="AC301" i="23" s="1"/>
  <c r="AB303" i="23"/>
  <c r="AC303" i="23" s="1"/>
  <c r="AB305" i="23"/>
  <c r="AC305" i="23" s="1"/>
  <c r="AB307" i="23"/>
  <c r="AC307" i="23" s="1"/>
  <c r="AB309" i="23"/>
  <c r="AC309" i="23" s="1"/>
  <c r="AB311" i="23"/>
  <c r="AC311" i="23" s="1"/>
  <c r="AB313" i="23"/>
  <c r="AC313" i="23" s="1"/>
  <c r="AB315" i="23"/>
  <c r="AC315" i="23" s="1"/>
  <c r="AB316" i="23"/>
  <c r="AC316" i="23" s="1"/>
  <c r="AB317" i="23"/>
  <c r="AC317" i="23" s="1"/>
  <c r="AB105" i="23"/>
  <c r="AC105" i="23" s="1"/>
  <c r="AB108" i="23"/>
  <c r="AC108" i="23" s="1"/>
  <c r="AB112" i="23"/>
  <c r="AC112" i="23" s="1"/>
  <c r="AB126" i="23"/>
  <c r="AC126" i="23" s="1"/>
  <c r="AB128" i="23"/>
  <c r="AC128" i="23" s="1"/>
  <c r="AB160" i="23"/>
  <c r="AC160" i="23" s="1"/>
  <c r="AB163" i="23"/>
  <c r="AC163" i="23" s="1"/>
  <c r="AB178" i="23"/>
  <c r="AC178" i="23" s="1"/>
  <c r="AB183" i="23"/>
  <c r="AC183" i="23" s="1"/>
  <c r="AB185" i="23"/>
  <c r="AC185" i="23" s="1"/>
  <c r="AB194" i="23"/>
  <c r="AC194" i="23" s="1"/>
  <c r="AB198" i="23"/>
  <c r="AC198" i="23" s="1"/>
  <c r="AB199" i="23"/>
  <c r="AC199" i="23" s="1"/>
  <c r="AB201" i="23"/>
  <c r="AC201" i="23" s="1"/>
  <c r="AB204" i="23"/>
  <c r="AC204" i="23" s="1"/>
  <c r="AB208" i="23"/>
  <c r="AC208" i="23" s="1"/>
  <c r="AB213" i="23"/>
  <c r="AC213" i="23" s="1"/>
  <c r="AB214" i="23"/>
  <c r="AC214" i="23" s="1"/>
  <c r="AB215" i="23"/>
  <c r="AC215" i="23" s="1"/>
  <c r="AB216" i="23"/>
  <c r="AC216" i="23" s="1"/>
  <c r="AB221" i="23"/>
  <c r="AC221" i="23" s="1"/>
  <c r="AB222" i="23"/>
  <c r="AC222" i="23" s="1"/>
  <c r="AB224" i="23"/>
  <c r="AC224" i="23" s="1"/>
  <c r="AB225" i="23"/>
  <c r="AC225" i="23" s="1"/>
  <c r="AB228" i="23"/>
  <c r="AC228" i="23" s="1"/>
  <c r="AB229" i="23"/>
  <c r="AC229" i="23" s="1"/>
  <c r="AB230" i="23"/>
  <c r="AC230" i="23" s="1"/>
  <c r="AB233" i="23"/>
  <c r="AC233" i="23" s="1"/>
  <c r="AB234" i="23"/>
  <c r="AC234" i="23" s="1"/>
  <c r="AB237" i="23"/>
  <c r="AC237" i="23" s="1"/>
  <c r="AB239" i="23"/>
  <c r="AC239" i="23" s="1"/>
  <c r="AB241" i="23"/>
  <c r="AC241" i="23" s="1"/>
  <c r="AB242" i="23"/>
  <c r="AC242" i="23" s="1"/>
  <c r="AB244" i="23"/>
  <c r="AC244" i="23" s="1"/>
  <c r="AB246" i="23"/>
  <c r="AC246" i="23" s="1"/>
  <c r="AB248" i="23"/>
  <c r="AC248" i="23" s="1"/>
  <c r="AB251" i="23"/>
  <c r="AC251" i="23" s="1"/>
  <c r="AB253" i="23"/>
  <c r="AC253" i="23" s="1"/>
  <c r="AB254" i="23"/>
  <c r="AC254" i="23" s="1"/>
  <c r="AB256" i="23"/>
  <c r="AC256" i="23" s="1"/>
  <c r="AB257" i="23"/>
  <c r="AC257" i="23" s="1"/>
  <c r="AB258" i="23"/>
  <c r="AC258" i="23" s="1"/>
  <c r="AB260" i="23"/>
  <c r="AC260" i="23" s="1"/>
  <c r="AB261" i="23"/>
  <c r="AC261" i="23" s="1"/>
  <c r="AB263" i="23"/>
  <c r="AC263" i="23" s="1"/>
  <c r="AB265" i="23"/>
  <c r="AC265" i="23" s="1"/>
  <c r="AB266" i="23"/>
  <c r="AC266" i="23" s="1"/>
  <c r="AB270" i="23"/>
  <c r="AC270" i="23" s="1"/>
  <c r="AB272" i="23"/>
  <c r="AC272" i="23" s="1"/>
  <c r="AB273" i="23"/>
  <c r="AC273" i="23" s="1"/>
  <c r="AB275" i="23"/>
  <c r="AC275" i="23" s="1"/>
  <c r="AB276" i="23"/>
  <c r="AC276" i="23" s="1"/>
  <c r="AB278" i="23"/>
  <c r="AC278" i="23" s="1"/>
  <c r="AB282" i="23"/>
  <c r="AC282" i="23" s="1"/>
  <c r="AB284" i="23"/>
  <c r="AC284" i="23" s="1"/>
  <c r="AB285" i="23"/>
  <c r="AC285" i="23" s="1"/>
  <c r="AB287" i="23"/>
  <c r="AC287" i="23" s="1"/>
  <c r="AB288" i="23"/>
  <c r="AC288" i="23" s="1"/>
  <c r="AB289" i="23"/>
  <c r="AC289" i="23" s="1"/>
  <c r="AB291" i="23"/>
  <c r="AC291" i="23" s="1"/>
  <c r="AB294" i="23"/>
  <c r="AC294" i="23" s="1"/>
  <c r="AB295" i="23"/>
  <c r="AC295" i="23" s="1"/>
  <c r="AB298" i="23"/>
  <c r="AC298" i="23" s="1"/>
  <c r="AB302" i="23"/>
  <c r="AC302" i="23" s="1"/>
  <c r="AB304" i="23"/>
  <c r="AC304" i="23" s="1"/>
  <c r="AB306" i="23"/>
  <c r="AC306" i="23" s="1"/>
  <c r="AB308" i="23"/>
  <c r="AC308" i="23" s="1"/>
  <c r="AB310" i="23"/>
  <c r="AC310" i="23" s="1"/>
  <c r="AB312" i="23"/>
  <c r="AC312" i="23" s="1"/>
  <c r="AB314" i="23"/>
  <c r="AC314" i="23" s="1"/>
  <c r="AB318" i="23"/>
  <c r="AC318" i="23" s="1"/>
  <c r="AB319" i="23"/>
  <c r="AC319" i="23" s="1"/>
  <c r="AB320" i="23"/>
  <c r="AC320" i="23" s="1"/>
  <c r="AB322" i="23"/>
  <c r="AC322" i="23" s="1"/>
  <c r="AB321" i="23"/>
  <c r="AC321" i="23" s="1"/>
  <c r="AB23" i="23"/>
  <c r="AC23" i="23" s="1"/>
  <c r="X24" i="23"/>
  <c r="Y24" i="23" s="1"/>
  <c r="X26" i="23"/>
  <c r="Y26" i="23" s="1"/>
  <c r="X27" i="23"/>
  <c r="Y27" i="23" s="1"/>
  <c r="X28" i="23"/>
  <c r="Y28" i="23" s="1"/>
  <c r="X25" i="23"/>
  <c r="Y25" i="23" s="1"/>
  <c r="X31" i="23"/>
  <c r="Y31" i="23" s="1"/>
  <c r="X32" i="23"/>
  <c r="Y32" i="23" s="1"/>
  <c r="X35" i="23"/>
  <c r="Y35" i="23" s="1"/>
  <c r="X38" i="23"/>
  <c r="Y38" i="23" s="1"/>
  <c r="X40" i="23"/>
  <c r="Y40" i="23" s="1"/>
  <c r="X41" i="23"/>
  <c r="Y41" i="23" s="1"/>
  <c r="X30" i="23"/>
  <c r="Y30" i="23" s="1"/>
  <c r="X34" i="23"/>
  <c r="Y34" i="23" s="1"/>
  <c r="X36" i="23"/>
  <c r="Y36" i="23" s="1"/>
  <c r="X39" i="23"/>
  <c r="Y39" i="23" s="1"/>
  <c r="X42" i="23"/>
  <c r="Y42" i="23" s="1"/>
  <c r="X43" i="23"/>
  <c r="Y43" i="23" s="1"/>
  <c r="X45" i="23"/>
  <c r="Y45" i="23" s="1"/>
  <c r="X46" i="23"/>
  <c r="Y46" i="23" s="1"/>
  <c r="X47" i="23"/>
  <c r="Y47" i="23" s="1"/>
  <c r="X49" i="23"/>
  <c r="Y49" i="23" s="1"/>
  <c r="X50" i="23"/>
  <c r="Y50" i="23" s="1"/>
  <c r="X52" i="23"/>
  <c r="Y52" i="23" s="1"/>
  <c r="X53" i="23"/>
  <c r="Y53" i="23" s="1"/>
  <c r="X54" i="23"/>
  <c r="Y54" i="23" s="1"/>
  <c r="X56" i="23"/>
  <c r="Y56" i="23" s="1"/>
  <c r="X60" i="23"/>
  <c r="Y60" i="23" s="1"/>
  <c r="X63" i="23"/>
  <c r="Y63" i="23" s="1"/>
  <c r="X65" i="23"/>
  <c r="Y65" i="23" s="1"/>
  <c r="X66" i="23"/>
  <c r="Y66" i="23" s="1"/>
  <c r="X67" i="23"/>
  <c r="Y67" i="23" s="1"/>
  <c r="X29" i="23"/>
  <c r="Y29" i="23" s="1"/>
  <c r="X37" i="23"/>
  <c r="Y37" i="23" s="1"/>
  <c r="X44" i="23"/>
  <c r="Y44" i="23" s="1"/>
  <c r="X55" i="23"/>
  <c r="Y55" i="23" s="1"/>
  <c r="X57" i="23"/>
  <c r="Y57" i="23" s="1"/>
  <c r="X59" i="23"/>
  <c r="Y59" i="23" s="1"/>
  <c r="X61" i="23"/>
  <c r="Y61" i="23" s="1"/>
  <c r="X64" i="23"/>
  <c r="Y64" i="23" s="1"/>
  <c r="X33" i="23"/>
  <c r="Y33" i="23" s="1"/>
  <c r="X48" i="23"/>
  <c r="Y48" i="23" s="1"/>
  <c r="X58" i="23"/>
  <c r="Y58" i="23" s="1"/>
  <c r="X62" i="23"/>
  <c r="Y62" i="23" s="1"/>
  <c r="X68" i="23"/>
  <c r="Y68" i="23" s="1"/>
  <c r="X69" i="23"/>
  <c r="Y69" i="23" s="1"/>
  <c r="X70" i="23"/>
  <c r="Y70" i="23" s="1"/>
  <c r="X71" i="23"/>
  <c r="Y71" i="23" s="1"/>
  <c r="X76" i="23"/>
  <c r="Y76" i="23" s="1"/>
  <c r="X77" i="23"/>
  <c r="Y77" i="23" s="1"/>
  <c r="X79" i="23"/>
  <c r="Y79" i="23" s="1"/>
  <c r="X81" i="23"/>
  <c r="Y81" i="23" s="1"/>
  <c r="X82" i="23"/>
  <c r="Y82" i="23" s="1"/>
  <c r="X85" i="23"/>
  <c r="Y85" i="23" s="1"/>
  <c r="X86" i="23"/>
  <c r="Y86" i="23" s="1"/>
  <c r="X87" i="23"/>
  <c r="Y87" i="23" s="1"/>
  <c r="X88" i="23"/>
  <c r="Y88" i="23" s="1"/>
  <c r="X96" i="23"/>
  <c r="Y96" i="23" s="1"/>
  <c r="X97" i="23"/>
  <c r="Y97" i="23" s="1"/>
  <c r="X100" i="23"/>
  <c r="Y100" i="23" s="1"/>
  <c r="X101" i="23"/>
  <c r="Y101" i="23" s="1"/>
  <c r="X104" i="23"/>
  <c r="Y104" i="23" s="1"/>
  <c r="X105" i="23"/>
  <c r="Y105" i="23" s="1"/>
  <c r="X108" i="23"/>
  <c r="Y108" i="23" s="1"/>
  <c r="X109" i="23"/>
  <c r="Y109" i="23" s="1"/>
  <c r="X110" i="23"/>
  <c r="Y110" i="23" s="1"/>
  <c r="X113" i="23"/>
  <c r="Y113" i="23" s="1"/>
  <c r="X114" i="23"/>
  <c r="Y114" i="23" s="1"/>
  <c r="X115" i="23"/>
  <c r="Y115" i="23" s="1"/>
  <c r="X117" i="23"/>
  <c r="Y117" i="23" s="1"/>
  <c r="X118" i="23"/>
  <c r="Y118" i="23" s="1"/>
  <c r="X121" i="23"/>
  <c r="Y121" i="23" s="1"/>
  <c r="X122" i="23"/>
  <c r="Y122" i="23" s="1"/>
  <c r="X51" i="23"/>
  <c r="Y51" i="23" s="1"/>
  <c r="X72" i="23"/>
  <c r="Y72" i="23" s="1"/>
  <c r="X73" i="23"/>
  <c r="Y73" i="23" s="1"/>
  <c r="X74" i="23"/>
  <c r="Y74" i="23" s="1"/>
  <c r="X75" i="23"/>
  <c r="Y75" i="23" s="1"/>
  <c r="X78" i="23"/>
  <c r="Y78" i="23" s="1"/>
  <c r="X80" i="23"/>
  <c r="Y80" i="23" s="1"/>
  <c r="X83" i="23"/>
  <c r="Y83" i="23" s="1"/>
  <c r="X84" i="23"/>
  <c r="Y84" i="23" s="1"/>
  <c r="X89" i="23"/>
  <c r="Y89" i="23" s="1"/>
  <c r="X90" i="23"/>
  <c r="Y90" i="23" s="1"/>
  <c r="X91" i="23"/>
  <c r="Y91" i="23" s="1"/>
  <c r="X94" i="23"/>
  <c r="Y94" i="23" s="1"/>
  <c r="X98" i="23"/>
  <c r="Y98" i="23" s="1"/>
  <c r="X99" i="23"/>
  <c r="Y99" i="23" s="1"/>
  <c r="X106" i="23"/>
  <c r="Y106" i="23" s="1"/>
  <c r="X107" i="23"/>
  <c r="Y107" i="23" s="1"/>
  <c r="X111" i="23"/>
  <c r="Y111" i="23" s="1"/>
  <c r="X112" i="23"/>
  <c r="Y112" i="23" s="1"/>
  <c r="X120" i="23"/>
  <c r="Y120" i="23" s="1"/>
  <c r="X124" i="23"/>
  <c r="Y124" i="23" s="1"/>
  <c r="X129" i="23"/>
  <c r="Y129" i="23" s="1"/>
  <c r="X130" i="23"/>
  <c r="Y130" i="23" s="1"/>
  <c r="X131" i="23"/>
  <c r="Y131" i="23" s="1"/>
  <c r="X133" i="23"/>
  <c r="Y133" i="23" s="1"/>
  <c r="X134" i="23"/>
  <c r="Y134" i="23" s="1"/>
  <c r="X137" i="23"/>
  <c r="Y137" i="23" s="1"/>
  <c r="X138" i="23"/>
  <c r="Y138" i="23" s="1"/>
  <c r="X139" i="23"/>
  <c r="Y139" i="23" s="1"/>
  <c r="X141" i="23"/>
  <c r="Y141" i="23" s="1"/>
  <c r="X142" i="23"/>
  <c r="Y142" i="23" s="1"/>
  <c r="X144" i="23"/>
  <c r="Y144" i="23" s="1"/>
  <c r="X146" i="23"/>
  <c r="Y146" i="23" s="1"/>
  <c r="X149" i="23"/>
  <c r="Y149" i="23" s="1"/>
  <c r="X150" i="23"/>
  <c r="Y150" i="23" s="1"/>
  <c r="X153" i="23"/>
  <c r="Y153" i="23" s="1"/>
  <c r="X154" i="23"/>
  <c r="Y154" i="23" s="1"/>
  <c r="X157" i="23"/>
  <c r="Y157" i="23" s="1"/>
  <c r="X158" i="23"/>
  <c r="Y158" i="23" s="1"/>
  <c r="X161" i="23"/>
  <c r="Y161" i="23" s="1"/>
  <c r="X162" i="23"/>
  <c r="Y162" i="23" s="1"/>
  <c r="X165" i="23"/>
  <c r="Y165" i="23" s="1"/>
  <c r="X166" i="23"/>
  <c r="Y166" i="23" s="1"/>
  <c r="X169" i="23"/>
  <c r="Y169" i="23" s="1"/>
  <c r="X170" i="23"/>
  <c r="Y170" i="23" s="1"/>
  <c r="X173" i="23"/>
  <c r="Y173" i="23" s="1"/>
  <c r="X174" i="23"/>
  <c r="Y174" i="23" s="1"/>
  <c r="X175" i="23"/>
  <c r="Y175" i="23" s="1"/>
  <c r="X95" i="23"/>
  <c r="Y95" i="23" s="1"/>
  <c r="X123" i="23"/>
  <c r="Y123" i="23" s="1"/>
  <c r="X125" i="23"/>
  <c r="Y125" i="23" s="1"/>
  <c r="X126" i="23"/>
  <c r="Y126" i="23" s="1"/>
  <c r="X127" i="23"/>
  <c r="Y127" i="23" s="1"/>
  <c r="X128" i="23"/>
  <c r="Y128" i="23" s="1"/>
  <c r="X136" i="23"/>
  <c r="Y136" i="23" s="1"/>
  <c r="X143" i="23"/>
  <c r="Y143" i="23" s="1"/>
  <c r="X145" i="23"/>
  <c r="Y145" i="23" s="1"/>
  <c r="X147" i="23"/>
  <c r="Y147" i="23" s="1"/>
  <c r="X151" i="23"/>
  <c r="Y151" i="23" s="1"/>
  <c r="X152" i="23"/>
  <c r="Y152" i="23" s="1"/>
  <c r="X159" i="23"/>
  <c r="Y159" i="23" s="1"/>
  <c r="X160" i="23"/>
  <c r="Y160" i="23" s="1"/>
  <c r="X167" i="23"/>
  <c r="Y167" i="23" s="1"/>
  <c r="X168" i="23"/>
  <c r="Y168" i="23" s="1"/>
  <c r="X176" i="23"/>
  <c r="Y176" i="23" s="1"/>
  <c r="X179" i="23"/>
  <c r="Y179" i="23" s="1"/>
  <c r="X181" i="23"/>
  <c r="Y181" i="23" s="1"/>
  <c r="X182" i="23"/>
  <c r="Y182" i="23" s="1"/>
  <c r="X183" i="23"/>
  <c r="Y183" i="23" s="1"/>
  <c r="X184" i="23"/>
  <c r="Y184" i="23" s="1"/>
  <c r="X185" i="23"/>
  <c r="Y185" i="23" s="1"/>
  <c r="X186" i="23"/>
  <c r="Y186" i="23" s="1"/>
  <c r="X187" i="23"/>
  <c r="Y187" i="23" s="1"/>
  <c r="X188" i="23"/>
  <c r="Y188" i="23" s="1"/>
  <c r="X189" i="23"/>
  <c r="Y189" i="23" s="1"/>
  <c r="X190" i="23"/>
  <c r="Y190" i="23" s="1"/>
  <c r="X199" i="23"/>
  <c r="Y199" i="23" s="1"/>
  <c r="X200" i="23"/>
  <c r="Y200" i="23" s="1"/>
  <c r="X201" i="23"/>
  <c r="Y201" i="23" s="1"/>
  <c r="X202" i="23"/>
  <c r="Y202" i="23" s="1"/>
  <c r="X204" i="23"/>
  <c r="Y204" i="23" s="1"/>
  <c r="X208" i="23"/>
  <c r="Y208" i="23" s="1"/>
  <c r="X92" i="23"/>
  <c r="Y92" i="23" s="1"/>
  <c r="X93" i="23"/>
  <c r="Y93" i="23" s="1"/>
  <c r="X103" i="23"/>
  <c r="Y103" i="23" s="1"/>
  <c r="X119" i="23"/>
  <c r="Y119" i="23" s="1"/>
  <c r="X140" i="23"/>
  <c r="Y140" i="23" s="1"/>
  <c r="X148" i="23"/>
  <c r="Y148" i="23" s="1"/>
  <c r="X163" i="23"/>
  <c r="Y163" i="23" s="1"/>
  <c r="X164" i="23"/>
  <c r="Y164" i="23" s="1"/>
  <c r="X177" i="23"/>
  <c r="Y177" i="23" s="1"/>
  <c r="X178" i="23"/>
  <c r="Y178" i="23" s="1"/>
  <c r="X191" i="23"/>
  <c r="Y191" i="23" s="1"/>
  <c r="X193" i="23"/>
  <c r="Y193" i="23" s="1"/>
  <c r="X194" i="23"/>
  <c r="Y194" i="23" s="1"/>
  <c r="X195" i="23"/>
  <c r="Y195" i="23" s="1"/>
  <c r="X197" i="23"/>
  <c r="Y197" i="23" s="1"/>
  <c r="X198" i="23"/>
  <c r="Y198" i="23" s="1"/>
  <c r="X203" i="23"/>
  <c r="Y203" i="23" s="1"/>
  <c r="X205" i="23"/>
  <c r="Y205" i="23" s="1"/>
  <c r="X207" i="23"/>
  <c r="Y207" i="23" s="1"/>
  <c r="X209" i="23"/>
  <c r="Y209" i="23" s="1"/>
  <c r="X211" i="23"/>
  <c r="Y211" i="23" s="1"/>
  <c r="X213" i="23"/>
  <c r="Y213" i="23" s="1"/>
  <c r="X214" i="23"/>
  <c r="Y214" i="23" s="1"/>
  <c r="X215" i="23"/>
  <c r="Y215" i="23" s="1"/>
  <c r="X216" i="23"/>
  <c r="Y216" i="23" s="1"/>
  <c r="X221" i="23"/>
  <c r="Y221" i="23" s="1"/>
  <c r="X222" i="23"/>
  <c r="Y222" i="23" s="1"/>
  <c r="X225" i="23"/>
  <c r="Y225" i="23" s="1"/>
  <c r="X227" i="23"/>
  <c r="Y227" i="23" s="1"/>
  <c r="X228" i="23"/>
  <c r="Y228" i="23" s="1"/>
  <c r="X229" i="23"/>
  <c r="Y229" i="23" s="1"/>
  <c r="X230" i="23"/>
  <c r="Y230" i="23" s="1"/>
  <c r="X232" i="23"/>
  <c r="Y232" i="23" s="1"/>
  <c r="X233" i="23"/>
  <c r="Y233" i="23" s="1"/>
  <c r="X234" i="23"/>
  <c r="Y234" i="23" s="1"/>
  <c r="X236" i="23"/>
  <c r="Y236" i="23" s="1"/>
  <c r="X237" i="23"/>
  <c r="Y237" i="23" s="1"/>
  <c r="X238" i="23"/>
  <c r="Y238" i="23" s="1"/>
  <c r="X239" i="23"/>
  <c r="Y239" i="23" s="1"/>
  <c r="X241" i="23"/>
  <c r="Y241" i="23" s="1"/>
  <c r="X244" i="23"/>
  <c r="Y244" i="23" s="1"/>
  <c r="X248" i="23"/>
  <c r="Y248" i="23" s="1"/>
  <c r="X251" i="23"/>
  <c r="Y251" i="23" s="1"/>
  <c r="X253" i="23"/>
  <c r="Y253" i="23" s="1"/>
  <c r="X256" i="23"/>
  <c r="Y256" i="23" s="1"/>
  <c r="X257" i="23"/>
  <c r="Y257" i="23" s="1"/>
  <c r="X260" i="23"/>
  <c r="Y260" i="23" s="1"/>
  <c r="X261" i="23"/>
  <c r="Y261" i="23" s="1"/>
  <c r="X262" i="23"/>
  <c r="Y262" i="23" s="1"/>
  <c r="X263" i="23"/>
  <c r="Y263" i="23" s="1"/>
  <c r="X265" i="23"/>
  <c r="Y265" i="23" s="1"/>
  <c r="X266" i="23"/>
  <c r="Y266" i="23" s="1"/>
  <c r="X270" i="23"/>
  <c r="Y270" i="23" s="1"/>
  <c r="X272" i="23"/>
  <c r="Y272" i="23" s="1"/>
  <c r="X273" i="23"/>
  <c r="Y273" i="23" s="1"/>
  <c r="X275" i="23"/>
  <c r="Y275" i="23" s="1"/>
  <c r="X276" i="23"/>
  <c r="Y276" i="23" s="1"/>
  <c r="X277" i="23"/>
  <c r="Y277" i="23" s="1"/>
  <c r="X278" i="23"/>
  <c r="Y278" i="23" s="1"/>
  <c r="X281" i="23"/>
  <c r="Y281" i="23" s="1"/>
  <c r="X282" i="23"/>
  <c r="Y282" i="23" s="1"/>
  <c r="X284" i="23"/>
  <c r="Y284" i="23" s="1"/>
  <c r="X287" i="23"/>
  <c r="Y287" i="23" s="1"/>
  <c r="X288" i="23"/>
  <c r="Y288" i="23" s="1"/>
  <c r="X291" i="23"/>
  <c r="Y291" i="23" s="1"/>
  <c r="X293" i="23"/>
  <c r="Y293" i="23" s="1"/>
  <c r="X294" i="23"/>
  <c r="Y294" i="23" s="1"/>
  <c r="X297" i="23"/>
  <c r="Y297" i="23" s="1"/>
  <c r="X298" i="23"/>
  <c r="Y298" i="23" s="1"/>
  <c r="X301" i="23"/>
  <c r="Y301" i="23" s="1"/>
  <c r="X302" i="23"/>
  <c r="Y302" i="23" s="1"/>
  <c r="X304" i="23"/>
  <c r="Y304" i="23" s="1"/>
  <c r="X305" i="23"/>
  <c r="Y305" i="23" s="1"/>
  <c r="X306" i="23"/>
  <c r="Y306" i="23" s="1"/>
  <c r="X308" i="23"/>
  <c r="Y308" i="23" s="1"/>
  <c r="X309" i="23"/>
  <c r="Y309" i="23" s="1"/>
  <c r="X310" i="23"/>
  <c r="Y310" i="23" s="1"/>
  <c r="X312" i="23"/>
  <c r="Y312" i="23" s="1"/>
  <c r="X313" i="23"/>
  <c r="Y313" i="23" s="1"/>
  <c r="X314" i="23"/>
  <c r="Y314" i="23" s="1"/>
  <c r="X102" i="23"/>
  <c r="Y102" i="23" s="1"/>
  <c r="X116" i="23"/>
  <c r="Y116" i="23" s="1"/>
  <c r="X132" i="23"/>
  <c r="Y132" i="23" s="1"/>
  <c r="X135" i="23"/>
  <c r="Y135" i="23" s="1"/>
  <c r="X155" i="23"/>
  <c r="Y155" i="23" s="1"/>
  <c r="X156" i="23"/>
  <c r="Y156" i="23" s="1"/>
  <c r="X171" i="23"/>
  <c r="Y171" i="23" s="1"/>
  <c r="X172" i="23"/>
  <c r="Y172" i="23" s="1"/>
  <c r="X180" i="23"/>
  <c r="Y180" i="23" s="1"/>
  <c r="X192" i="23"/>
  <c r="Y192" i="23" s="1"/>
  <c r="X196" i="23"/>
  <c r="Y196" i="23" s="1"/>
  <c r="X206" i="23"/>
  <c r="Y206" i="23" s="1"/>
  <c r="X210" i="23"/>
  <c r="Y210" i="23" s="1"/>
  <c r="X212" i="23"/>
  <c r="Y212" i="23" s="1"/>
  <c r="X217" i="23"/>
  <c r="Y217" i="23" s="1"/>
  <c r="X218" i="23"/>
  <c r="Y218" i="23" s="1"/>
  <c r="X219" i="23"/>
  <c r="Y219" i="23" s="1"/>
  <c r="X220" i="23"/>
  <c r="Y220" i="23" s="1"/>
  <c r="X223" i="23"/>
  <c r="Y223" i="23" s="1"/>
  <c r="X224" i="23"/>
  <c r="Y224" i="23" s="1"/>
  <c r="X226" i="23"/>
  <c r="Y226" i="23" s="1"/>
  <c r="X231" i="23"/>
  <c r="Y231" i="23" s="1"/>
  <c r="X235" i="23"/>
  <c r="Y235" i="23" s="1"/>
  <c r="X240" i="23"/>
  <c r="Y240" i="23" s="1"/>
  <c r="X242" i="23"/>
  <c r="Y242" i="23" s="1"/>
  <c r="X243" i="23"/>
  <c r="Y243" i="23" s="1"/>
  <c r="X245" i="23"/>
  <c r="Y245" i="23" s="1"/>
  <c r="X246" i="23"/>
  <c r="Y246" i="23" s="1"/>
  <c r="X247" i="23"/>
  <c r="Y247" i="23" s="1"/>
  <c r="X249" i="23"/>
  <c r="Y249" i="23" s="1"/>
  <c r="X250" i="23"/>
  <c r="Y250" i="23" s="1"/>
  <c r="X252" i="23"/>
  <c r="Y252" i="23" s="1"/>
  <c r="X254" i="23"/>
  <c r="Y254" i="23" s="1"/>
  <c r="X255" i="23"/>
  <c r="Y255" i="23" s="1"/>
  <c r="X258" i="23"/>
  <c r="Y258" i="23" s="1"/>
  <c r="X259" i="23"/>
  <c r="Y259" i="23" s="1"/>
  <c r="X264" i="23"/>
  <c r="Y264" i="23" s="1"/>
  <c r="X267" i="23"/>
  <c r="Y267" i="23" s="1"/>
  <c r="X268" i="23"/>
  <c r="Y268" i="23" s="1"/>
  <c r="X269" i="23"/>
  <c r="Y269" i="23" s="1"/>
  <c r="X271" i="23"/>
  <c r="Y271" i="23" s="1"/>
  <c r="X274" i="23"/>
  <c r="Y274" i="23" s="1"/>
  <c r="X279" i="23"/>
  <c r="Y279" i="23" s="1"/>
  <c r="X280" i="23"/>
  <c r="Y280" i="23" s="1"/>
  <c r="X283" i="23"/>
  <c r="Y283" i="23" s="1"/>
  <c r="X285" i="23"/>
  <c r="Y285" i="23" s="1"/>
  <c r="X286" i="23"/>
  <c r="Y286" i="23" s="1"/>
  <c r="X289" i="23"/>
  <c r="Y289" i="23" s="1"/>
  <c r="X290" i="23"/>
  <c r="Y290" i="23" s="1"/>
  <c r="X292" i="23"/>
  <c r="Y292" i="23" s="1"/>
  <c r="X295" i="23"/>
  <c r="Y295" i="23" s="1"/>
  <c r="X296" i="23"/>
  <c r="Y296" i="23" s="1"/>
  <c r="X299" i="23"/>
  <c r="Y299" i="23" s="1"/>
  <c r="X300" i="23"/>
  <c r="Y300" i="23" s="1"/>
  <c r="X303" i="23"/>
  <c r="Y303" i="23" s="1"/>
  <c r="X307" i="23"/>
  <c r="Y307" i="23" s="1"/>
  <c r="X311" i="23"/>
  <c r="Y311" i="23" s="1"/>
  <c r="X315" i="23"/>
  <c r="Y315" i="23" s="1"/>
  <c r="X316" i="23"/>
  <c r="Y316" i="23" s="1"/>
  <c r="X317" i="23"/>
  <c r="Y317" i="23" s="1"/>
  <c r="X319" i="23"/>
  <c r="Y319" i="23" s="1"/>
  <c r="X321" i="23"/>
  <c r="Y321" i="23" s="1"/>
  <c r="X318" i="23"/>
  <c r="Y318" i="23" s="1"/>
  <c r="X320" i="23"/>
  <c r="Y320" i="23" s="1"/>
  <c r="X322" i="23"/>
  <c r="Y322" i="23" s="1"/>
  <c r="X23" i="23"/>
  <c r="Y23" i="23" s="1"/>
  <c r="AF24" i="23"/>
  <c r="AG24" i="23" s="1"/>
  <c r="AF27" i="23"/>
  <c r="AG27" i="23" s="1"/>
  <c r="AF28" i="23"/>
  <c r="AG28" i="23" s="1"/>
  <c r="AF30" i="23"/>
  <c r="AG30" i="23" s="1"/>
  <c r="AF25" i="23"/>
  <c r="AG25" i="23" s="1"/>
  <c r="AF31" i="23"/>
  <c r="AG31" i="23" s="1"/>
  <c r="AF32" i="23"/>
  <c r="AG32" i="23" s="1"/>
  <c r="AF35" i="23"/>
  <c r="AG35" i="23" s="1"/>
  <c r="AF38" i="23"/>
  <c r="AG38" i="23" s="1"/>
  <c r="AF40" i="23"/>
  <c r="AG40" i="23" s="1"/>
  <c r="AF41" i="23"/>
  <c r="AG41" i="23" s="1"/>
  <c r="AF34" i="23"/>
  <c r="AG34" i="23" s="1"/>
  <c r="AF39" i="23"/>
  <c r="AG39" i="23" s="1"/>
  <c r="AF26" i="23"/>
  <c r="AG26" i="23" s="1"/>
  <c r="AF29" i="23"/>
  <c r="AG29" i="23" s="1"/>
  <c r="AF36" i="23"/>
  <c r="AG36" i="23" s="1"/>
  <c r="AF42" i="23"/>
  <c r="AG42" i="23" s="1"/>
  <c r="AF43" i="23"/>
  <c r="AG43" i="23" s="1"/>
  <c r="AF45" i="23"/>
  <c r="AG45" i="23" s="1"/>
  <c r="AF46" i="23"/>
  <c r="AG46" i="23" s="1"/>
  <c r="AF47" i="23"/>
  <c r="AG47" i="23" s="1"/>
  <c r="AF49" i="23"/>
  <c r="AG49" i="23" s="1"/>
  <c r="AF50" i="23"/>
  <c r="AG50" i="23" s="1"/>
  <c r="AF52" i="23"/>
  <c r="AG52" i="23" s="1"/>
  <c r="AF53" i="23"/>
  <c r="AG53" i="23" s="1"/>
  <c r="AF54" i="23"/>
  <c r="AG54" i="23" s="1"/>
  <c r="AF56" i="23"/>
  <c r="AG56" i="23" s="1"/>
  <c r="AF60" i="23"/>
  <c r="AG60" i="23" s="1"/>
  <c r="AF63" i="23"/>
  <c r="AG63" i="23" s="1"/>
  <c r="AF65" i="23"/>
  <c r="AG65" i="23" s="1"/>
  <c r="AF67" i="23"/>
  <c r="AG67" i="23" s="1"/>
  <c r="AF33" i="23"/>
  <c r="AG33" i="23" s="1"/>
  <c r="AF48" i="23"/>
  <c r="AG48" i="23" s="1"/>
  <c r="AF55" i="23"/>
  <c r="AG55" i="23" s="1"/>
  <c r="AF57" i="23"/>
  <c r="AG57" i="23" s="1"/>
  <c r="AF58" i="23"/>
  <c r="AG58" i="23" s="1"/>
  <c r="AF59" i="23"/>
  <c r="AG59" i="23" s="1"/>
  <c r="AF61" i="23"/>
  <c r="AG61" i="23" s="1"/>
  <c r="AF62" i="23"/>
  <c r="AG62" i="23" s="1"/>
  <c r="AF37" i="23"/>
  <c r="AG37" i="23" s="1"/>
  <c r="AF64" i="23"/>
  <c r="AG64" i="23" s="1"/>
  <c r="AF68" i="23"/>
  <c r="AG68" i="23" s="1"/>
  <c r="AF69" i="23"/>
  <c r="AG69" i="23" s="1"/>
  <c r="AF71" i="23"/>
  <c r="AG71" i="23" s="1"/>
  <c r="AF74" i="23"/>
  <c r="AG74" i="23" s="1"/>
  <c r="AF76" i="23"/>
  <c r="AG76" i="23" s="1"/>
  <c r="AF77" i="23"/>
  <c r="AG77" i="23" s="1"/>
  <c r="AF79" i="23"/>
  <c r="AG79" i="23" s="1"/>
  <c r="AF81" i="23"/>
  <c r="AG81" i="23" s="1"/>
  <c r="AF82" i="23"/>
  <c r="AG82" i="23" s="1"/>
  <c r="AF85" i="23"/>
  <c r="AG85" i="23" s="1"/>
  <c r="AF86" i="23"/>
  <c r="AG86" i="23" s="1"/>
  <c r="AF87" i="23"/>
  <c r="AG87" i="23" s="1"/>
  <c r="AF88" i="23"/>
  <c r="AG88" i="23" s="1"/>
  <c r="AF96" i="23"/>
  <c r="AG96" i="23" s="1"/>
  <c r="AF97" i="23"/>
  <c r="AG97" i="23" s="1"/>
  <c r="AF100" i="23"/>
  <c r="AG100" i="23" s="1"/>
  <c r="AF101" i="23"/>
  <c r="AG101" i="23" s="1"/>
  <c r="AF104" i="23"/>
  <c r="AG104" i="23" s="1"/>
  <c r="AF105" i="23"/>
  <c r="AG105" i="23" s="1"/>
  <c r="AF108" i="23"/>
  <c r="AG108" i="23" s="1"/>
  <c r="AF109" i="23"/>
  <c r="AG109" i="23" s="1"/>
  <c r="AF110" i="23"/>
  <c r="AG110" i="23" s="1"/>
  <c r="AF111" i="23"/>
  <c r="AG111" i="23" s="1"/>
  <c r="AF113" i="23"/>
  <c r="AG113" i="23" s="1"/>
  <c r="AF114" i="23"/>
  <c r="AG114" i="23" s="1"/>
  <c r="AF115" i="23"/>
  <c r="AG115" i="23" s="1"/>
  <c r="AF117" i="23"/>
  <c r="AG117" i="23" s="1"/>
  <c r="AF118" i="23"/>
  <c r="AG118" i="23" s="1"/>
  <c r="AF121" i="23"/>
  <c r="AG121" i="23" s="1"/>
  <c r="AF122" i="23"/>
  <c r="AG122" i="23" s="1"/>
  <c r="AF44" i="23"/>
  <c r="AG44" i="23" s="1"/>
  <c r="AF51" i="23"/>
  <c r="AG51" i="23" s="1"/>
  <c r="AF66" i="23"/>
  <c r="AG66" i="23" s="1"/>
  <c r="AF70" i="23"/>
  <c r="AG70" i="23" s="1"/>
  <c r="AF72" i="23"/>
  <c r="AG72" i="23" s="1"/>
  <c r="AF73" i="23"/>
  <c r="AG73" i="23" s="1"/>
  <c r="AF75" i="23"/>
  <c r="AG75" i="23" s="1"/>
  <c r="AF78" i="23"/>
  <c r="AG78" i="23" s="1"/>
  <c r="AF80" i="23"/>
  <c r="AG80" i="23" s="1"/>
  <c r="AF83" i="23"/>
  <c r="AG83" i="23" s="1"/>
  <c r="AF84" i="23"/>
  <c r="AG84" i="23" s="1"/>
  <c r="AF89" i="23"/>
  <c r="AG89" i="23" s="1"/>
  <c r="AF90" i="23"/>
  <c r="AG90" i="23" s="1"/>
  <c r="AF94" i="23"/>
  <c r="AG94" i="23" s="1"/>
  <c r="AF95" i="23"/>
  <c r="AG95" i="23" s="1"/>
  <c r="AF102" i="23"/>
  <c r="AG102" i="23" s="1"/>
  <c r="AF103" i="23"/>
  <c r="AG103" i="23" s="1"/>
  <c r="AF112" i="23"/>
  <c r="AG112" i="23" s="1"/>
  <c r="AF120" i="23"/>
  <c r="AG120" i="23" s="1"/>
  <c r="AF124" i="23"/>
  <c r="AG124" i="23" s="1"/>
  <c r="AF129" i="23"/>
  <c r="AG129" i="23" s="1"/>
  <c r="AF130" i="23"/>
  <c r="AG130" i="23" s="1"/>
  <c r="AF131" i="23"/>
  <c r="AG131" i="23" s="1"/>
  <c r="AF133" i="23"/>
  <c r="AG133" i="23" s="1"/>
  <c r="AF134" i="23"/>
  <c r="AG134" i="23" s="1"/>
  <c r="AF137" i="23"/>
  <c r="AG137" i="23" s="1"/>
  <c r="AF138" i="23"/>
  <c r="AG138" i="23" s="1"/>
  <c r="AF139" i="23"/>
  <c r="AG139" i="23" s="1"/>
  <c r="AF141" i="23"/>
  <c r="AG141" i="23" s="1"/>
  <c r="AF142" i="23"/>
  <c r="AG142" i="23" s="1"/>
  <c r="AF144" i="23"/>
  <c r="AG144" i="23" s="1"/>
  <c r="AF146" i="23"/>
  <c r="AG146" i="23" s="1"/>
  <c r="AF148" i="23"/>
  <c r="AG148" i="23" s="1"/>
  <c r="AF149" i="23"/>
  <c r="AG149" i="23" s="1"/>
  <c r="AF150" i="23"/>
  <c r="AG150" i="23" s="1"/>
  <c r="AF153" i="23"/>
  <c r="AG153" i="23" s="1"/>
  <c r="AF154" i="23"/>
  <c r="AG154" i="23" s="1"/>
  <c r="AF157" i="23"/>
  <c r="AG157" i="23" s="1"/>
  <c r="AF158" i="23"/>
  <c r="AG158" i="23" s="1"/>
  <c r="AF161" i="23"/>
  <c r="AG161" i="23" s="1"/>
  <c r="AF162" i="23"/>
  <c r="AG162" i="23" s="1"/>
  <c r="AF165" i="23"/>
  <c r="AG165" i="23" s="1"/>
  <c r="AF166" i="23"/>
  <c r="AG166" i="23" s="1"/>
  <c r="AF169" i="23"/>
  <c r="AG169" i="23" s="1"/>
  <c r="AF170" i="23"/>
  <c r="AG170" i="23" s="1"/>
  <c r="AF173" i="23"/>
  <c r="AG173" i="23" s="1"/>
  <c r="AF174" i="23"/>
  <c r="AG174" i="23" s="1"/>
  <c r="AF92" i="23"/>
  <c r="AG92" i="23" s="1"/>
  <c r="AF98" i="23"/>
  <c r="AG98" i="23" s="1"/>
  <c r="AF99" i="23"/>
  <c r="AG99" i="23" s="1"/>
  <c r="AF116" i="23"/>
  <c r="AG116" i="23" s="1"/>
  <c r="AF123" i="23"/>
  <c r="AG123" i="23" s="1"/>
  <c r="AF125" i="23"/>
  <c r="AG125" i="23" s="1"/>
  <c r="AF126" i="23"/>
  <c r="AG126" i="23" s="1"/>
  <c r="AF127" i="23"/>
  <c r="AG127" i="23" s="1"/>
  <c r="AF128" i="23"/>
  <c r="AG128" i="23" s="1"/>
  <c r="AF136" i="23"/>
  <c r="AG136" i="23" s="1"/>
  <c r="AF143" i="23"/>
  <c r="AG143" i="23" s="1"/>
  <c r="AF145" i="23"/>
  <c r="AG145" i="23" s="1"/>
  <c r="AF147" i="23"/>
  <c r="AG147" i="23" s="1"/>
  <c r="AF151" i="23"/>
  <c r="AG151" i="23" s="1"/>
  <c r="AF152" i="23"/>
  <c r="AG152" i="23" s="1"/>
  <c r="AF159" i="23"/>
  <c r="AG159" i="23" s="1"/>
  <c r="AF160" i="23"/>
  <c r="AG160" i="23" s="1"/>
  <c r="AF167" i="23"/>
  <c r="AG167" i="23" s="1"/>
  <c r="AF168" i="23"/>
  <c r="AG168" i="23" s="1"/>
  <c r="AF176" i="23"/>
  <c r="AG176" i="23" s="1"/>
  <c r="AF179" i="23"/>
  <c r="AG179" i="23" s="1"/>
  <c r="AF181" i="23"/>
  <c r="AG181" i="23" s="1"/>
  <c r="AF182" i="23"/>
  <c r="AG182" i="23" s="1"/>
  <c r="AF183" i="23"/>
  <c r="AG183" i="23" s="1"/>
  <c r="AF184" i="23"/>
  <c r="AG184" i="23" s="1"/>
  <c r="AF185" i="23"/>
  <c r="AG185" i="23" s="1"/>
  <c r="AF186" i="23"/>
  <c r="AG186" i="23" s="1"/>
  <c r="AF187" i="23"/>
  <c r="AG187" i="23" s="1"/>
  <c r="AF188" i="23"/>
  <c r="AG188" i="23" s="1"/>
  <c r="AF189" i="23"/>
  <c r="AG189" i="23" s="1"/>
  <c r="AF190" i="23"/>
  <c r="AG190" i="23" s="1"/>
  <c r="AF199" i="23"/>
  <c r="AG199" i="23" s="1"/>
  <c r="AF200" i="23"/>
  <c r="AG200" i="23" s="1"/>
  <c r="AF201" i="23"/>
  <c r="AG201" i="23" s="1"/>
  <c r="AF202" i="23"/>
  <c r="AG202" i="23" s="1"/>
  <c r="AF206" i="23"/>
  <c r="AG206" i="23" s="1"/>
  <c r="AF210" i="23"/>
  <c r="AG210" i="23" s="1"/>
  <c r="AF212" i="23"/>
  <c r="AG212" i="23" s="1"/>
  <c r="AF91" i="23"/>
  <c r="AG91" i="23" s="1"/>
  <c r="AF106" i="23"/>
  <c r="AG106" i="23" s="1"/>
  <c r="AF132" i="23"/>
  <c r="AG132" i="23" s="1"/>
  <c r="AF156" i="23"/>
  <c r="AG156" i="23" s="1"/>
  <c r="AF163" i="23"/>
  <c r="AG163" i="23" s="1"/>
  <c r="AF172" i="23"/>
  <c r="AG172" i="23" s="1"/>
  <c r="AF175" i="23"/>
  <c r="AG175" i="23" s="1"/>
  <c r="AF177" i="23"/>
  <c r="AG177" i="23" s="1"/>
  <c r="AF178" i="23"/>
  <c r="AG178" i="23" s="1"/>
  <c r="AF194" i="23"/>
  <c r="AG194" i="23" s="1"/>
  <c r="AF198" i="23"/>
  <c r="AG198" i="23" s="1"/>
  <c r="AF204" i="23"/>
  <c r="AG204" i="23" s="1"/>
  <c r="AF208" i="23"/>
  <c r="AG208" i="23" s="1"/>
  <c r="AF211" i="23"/>
  <c r="AG211" i="23" s="1"/>
  <c r="AF213" i="23"/>
  <c r="AG213" i="23" s="1"/>
  <c r="AF214" i="23"/>
  <c r="AG214" i="23" s="1"/>
  <c r="AF215" i="23"/>
  <c r="AG215" i="23" s="1"/>
  <c r="AF216" i="23"/>
  <c r="AG216" i="23" s="1"/>
  <c r="AF221" i="23"/>
  <c r="AG221" i="23" s="1"/>
  <c r="AF222" i="23"/>
  <c r="AG222" i="23" s="1"/>
  <c r="AF225" i="23"/>
  <c r="AG225" i="23" s="1"/>
  <c r="AF227" i="23"/>
  <c r="AG227" i="23" s="1"/>
  <c r="AF228" i="23"/>
  <c r="AG228" i="23" s="1"/>
  <c r="AF229" i="23"/>
  <c r="AG229" i="23" s="1"/>
  <c r="AF230" i="23"/>
  <c r="AG230" i="23" s="1"/>
  <c r="AF232" i="23"/>
  <c r="AG232" i="23" s="1"/>
  <c r="AF233" i="23"/>
  <c r="AG233" i="23" s="1"/>
  <c r="AF234" i="23"/>
  <c r="AG234" i="23" s="1"/>
  <c r="AF236" i="23"/>
  <c r="AG236" i="23" s="1"/>
  <c r="AF237" i="23"/>
  <c r="AG237" i="23" s="1"/>
  <c r="AF238" i="23"/>
  <c r="AG238" i="23" s="1"/>
  <c r="AF239" i="23"/>
  <c r="AG239" i="23" s="1"/>
  <c r="AF241" i="23"/>
  <c r="AG241" i="23" s="1"/>
  <c r="AF244" i="23"/>
  <c r="AG244" i="23" s="1"/>
  <c r="AF248" i="23"/>
  <c r="AG248" i="23" s="1"/>
  <c r="AF250" i="23"/>
  <c r="AG250" i="23" s="1"/>
  <c r="AF251" i="23"/>
  <c r="AG251" i="23" s="1"/>
  <c r="AF253" i="23"/>
  <c r="AG253" i="23" s="1"/>
  <c r="AF256" i="23"/>
  <c r="AG256" i="23" s="1"/>
  <c r="AF257" i="23"/>
  <c r="AG257" i="23" s="1"/>
  <c r="AF260" i="23"/>
  <c r="AG260" i="23" s="1"/>
  <c r="AF261" i="23"/>
  <c r="AG261" i="23" s="1"/>
  <c r="AF262" i="23"/>
  <c r="AG262" i="23" s="1"/>
  <c r="AF263" i="23"/>
  <c r="AG263" i="23" s="1"/>
  <c r="AF265" i="23"/>
  <c r="AG265" i="23" s="1"/>
  <c r="AF266" i="23"/>
  <c r="AG266" i="23" s="1"/>
  <c r="AF269" i="23"/>
  <c r="AG269" i="23" s="1"/>
  <c r="AF270" i="23"/>
  <c r="AG270" i="23" s="1"/>
  <c r="AF272" i="23"/>
  <c r="AG272" i="23" s="1"/>
  <c r="AF275" i="23"/>
  <c r="AG275" i="23" s="1"/>
  <c r="AF276" i="23"/>
  <c r="AG276" i="23" s="1"/>
  <c r="AF277" i="23"/>
  <c r="AG277" i="23" s="1"/>
  <c r="AF278" i="23"/>
  <c r="AG278" i="23" s="1"/>
  <c r="AF281" i="23"/>
  <c r="AG281" i="23" s="1"/>
  <c r="AF282" i="23"/>
  <c r="AG282" i="23" s="1"/>
  <c r="AF283" i="23"/>
  <c r="AG283" i="23" s="1"/>
  <c r="AF284" i="23"/>
  <c r="AG284" i="23" s="1"/>
  <c r="AF287" i="23"/>
  <c r="AG287" i="23" s="1"/>
  <c r="AF288" i="23"/>
  <c r="AG288" i="23" s="1"/>
  <c r="AF293" i="23"/>
  <c r="AG293" i="23" s="1"/>
  <c r="AF294" i="23"/>
  <c r="AG294" i="23" s="1"/>
  <c r="AF297" i="23"/>
  <c r="AG297" i="23" s="1"/>
  <c r="AF298" i="23"/>
  <c r="AG298" i="23" s="1"/>
  <c r="AF301" i="23"/>
  <c r="AG301" i="23" s="1"/>
  <c r="AF302" i="23"/>
  <c r="AG302" i="23" s="1"/>
  <c r="AF304" i="23"/>
  <c r="AG304" i="23" s="1"/>
  <c r="AF305" i="23"/>
  <c r="AG305" i="23" s="1"/>
  <c r="AF306" i="23"/>
  <c r="AG306" i="23" s="1"/>
  <c r="AF308" i="23"/>
  <c r="AG308" i="23" s="1"/>
  <c r="AF309" i="23"/>
  <c r="AG309" i="23" s="1"/>
  <c r="AF310" i="23"/>
  <c r="AG310" i="23" s="1"/>
  <c r="AF312" i="23"/>
  <c r="AG312" i="23" s="1"/>
  <c r="AF313" i="23"/>
  <c r="AG313" i="23" s="1"/>
  <c r="AF314" i="23"/>
  <c r="AG314" i="23" s="1"/>
  <c r="AF93" i="23"/>
  <c r="AG93" i="23" s="1"/>
  <c r="AF107" i="23"/>
  <c r="AG107" i="23" s="1"/>
  <c r="AF119" i="23"/>
  <c r="AG119" i="23" s="1"/>
  <c r="AF135" i="23"/>
  <c r="AG135" i="23" s="1"/>
  <c r="AF140" i="23"/>
  <c r="AG140" i="23" s="1"/>
  <c r="AF155" i="23"/>
  <c r="AG155" i="23" s="1"/>
  <c r="AF164" i="23"/>
  <c r="AG164" i="23" s="1"/>
  <c r="AF171" i="23"/>
  <c r="AG171" i="23" s="1"/>
  <c r="AF180" i="23"/>
  <c r="AG180" i="23" s="1"/>
  <c r="AF191" i="23"/>
  <c r="AG191" i="23" s="1"/>
  <c r="AF192" i="23"/>
  <c r="AG192" i="23" s="1"/>
  <c r="AF193" i="23"/>
  <c r="AG193" i="23" s="1"/>
  <c r="AF195" i="23"/>
  <c r="AG195" i="23" s="1"/>
  <c r="AF196" i="23"/>
  <c r="AG196" i="23" s="1"/>
  <c r="AF197" i="23"/>
  <c r="AG197" i="23" s="1"/>
  <c r="AF203" i="23"/>
  <c r="AG203" i="23" s="1"/>
  <c r="AF205" i="23"/>
  <c r="AG205" i="23" s="1"/>
  <c r="AF207" i="23"/>
  <c r="AG207" i="23" s="1"/>
  <c r="AF209" i="23"/>
  <c r="AG209" i="23" s="1"/>
  <c r="AF217" i="23"/>
  <c r="AG217" i="23" s="1"/>
  <c r="AF218" i="23"/>
  <c r="AG218" i="23" s="1"/>
  <c r="AF219" i="23"/>
  <c r="AG219" i="23" s="1"/>
  <c r="AF220" i="23"/>
  <c r="AG220" i="23" s="1"/>
  <c r="AF223" i="23"/>
  <c r="AG223" i="23" s="1"/>
  <c r="AF224" i="23"/>
  <c r="AG224" i="23" s="1"/>
  <c r="AF226" i="23"/>
  <c r="AG226" i="23" s="1"/>
  <c r="AF231" i="23"/>
  <c r="AG231" i="23" s="1"/>
  <c r="AF235" i="23"/>
  <c r="AG235" i="23" s="1"/>
  <c r="AF240" i="23"/>
  <c r="AG240" i="23" s="1"/>
  <c r="AF242" i="23"/>
  <c r="AG242" i="23" s="1"/>
  <c r="AF243" i="23"/>
  <c r="AG243" i="23" s="1"/>
  <c r="AF245" i="23"/>
  <c r="AG245" i="23" s="1"/>
  <c r="AF246" i="23"/>
  <c r="AG246" i="23" s="1"/>
  <c r="AF247" i="23"/>
  <c r="AG247" i="23" s="1"/>
  <c r="AF249" i="23"/>
  <c r="AG249" i="23" s="1"/>
  <c r="AF252" i="23"/>
  <c r="AG252" i="23" s="1"/>
  <c r="AF254" i="23"/>
  <c r="AG254" i="23" s="1"/>
  <c r="AF255" i="23"/>
  <c r="AG255" i="23" s="1"/>
  <c r="AF258" i="23"/>
  <c r="AG258" i="23" s="1"/>
  <c r="AF259" i="23"/>
  <c r="AG259" i="23" s="1"/>
  <c r="AF264" i="23"/>
  <c r="AG264" i="23" s="1"/>
  <c r="AF267" i="23"/>
  <c r="AG267" i="23" s="1"/>
  <c r="AF268" i="23"/>
  <c r="AG268" i="23" s="1"/>
  <c r="AF271" i="23"/>
  <c r="AG271" i="23" s="1"/>
  <c r="AF273" i="23"/>
  <c r="AG273" i="23" s="1"/>
  <c r="AF274" i="23"/>
  <c r="AG274" i="23" s="1"/>
  <c r="AF279" i="23"/>
  <c r="AG279" i="23" s="1"/>
  <c r="AF280" i="23"/>
  <c r="AG280" i="23" s="1"/>
  <c r="AF285" i="23"/>
  <c r="AG285" i="23" s="1"/>
  <c r="AF286" i="23"/>
  <c r="AG286" i="23" s="1"/>
  <c r="AF289" i="23"/>
  <c r="AG289" i="23" s="1"/>
  <c r="AF290" i="23"/>
  <c r="AG290" i="23" s="1"/>
  <c r="AF291" i="23"/>
  <c r="AG291" i="23" s="1"/>
  <c r="AF292" i="23"/>
  <c r="AG292" i="23" s="1"/>
  <c r="AF295" i="23"/>
  <c r="AG295" i="23" s="1"/>
  <c r="AF296" i="23"/>
  <c r="AG296" i="23" s="1"/>
  <c r="AF299" i="23"/>
  <c r="AG299" i="23" s="1"/>
  <c r="AF300" i="23"/>
  <c r="AG300" i="23" s="1"/>
  <c r="AF303" i="23"/>
  <c r="AG303" i="23" s="1"/>
  <c r="AF307" i="23"/>
  <c r="AG307" i="23" s="1"/>
  <c r="AF311" i="23"/>
  <c r="AG311" i="23" s="1"/>
  <c r="AF315" i="23"/>
  <c r="AG315" i="23" s="1"/>
  <c r="AF316" i="23"/>
  <c r="AG316" i="23" s="1"/>
  <c r="AF317" i="23"/>
  <c r="AG317" i="23" s="1"/>
  <c r="AF319" i="23"/>
  <c r="AG319" i="23" s="1"/>
  <c r="AF321" i="23"/>
  <c r="AG321" i="23" s="1"/>
  <c r="AF320" i="23"/>
  <c r="AG320" i="23" s="1"/>
  <c r="AF23" i="23"/>
  <c r="AG23" i="23" s="1"/>
  <c r="AF318" i="23"/>
  <c r="AG318" i="23" s="1"/>
  <c r="AF322" i="23"/>
  <c r="AG322" i="23" s="1"/>
  <c r="E24" i="23"/>
  <c r="F24" i="23" s="1"/>
  <c r="G24" i="23" s="1"/>
  <c r="H24" i="23" s="1"/>
  <c r="E28" i="23"/>
  <c r="F28" i="23" s="1"/>
  <c r="G28" i="23" s="1"/>
  <c r="H28" i="23" s="1"/>
  <c r="E25" i="23"/>
  <c r="F25" i="23" s="1"/>
  <c r="G25" i="23" s="1"/>
  <c r="H25" i="23" s="1"/>
  <c r="E26" i="23"/>
  <c r="F26" i="23" s="1"/>
  <c r="G26" i="23" s="1"/>
  <c r="H26" i="23" s="1"/>
  <c r="E27" i="23"/>
  <c r="F27" i="23" s="1"/>
  <c r="G27" i="23" s="1"/>
  <c r="H27" i="23" s="1"/>
  <c r="E32" i="23"/>
  <c r="F32" i="23" s="1"/>
  <c r="G32" i="23" s="1"/>
  <c r="H32" i="23" s="1"/>
  <c r="E36" i="23"/>
  <c r="F36" i="23" s="1"/>
  <c r="G36" i="23" s="1"/>
  <c r="H36" i="23" s="1"/>
  <c r="E39" i="23"/>
  <c r="F39" i="23" s="1"/>
  <c r="G39" i="23" s="1"/>
  <c r="H39" i="23" s="1"/>
  <c r="E41" i="23"/>
  <c r="F41" i="23" s="1"/>
  <c r="G41" i="23" s="1"/>
  <c r="H41" i="23" s="1"/>
  <c r="E42" i="23"/>
  <c r="F42" i="23" s="1"/>
  <c r="G42" i="23" s="1"/>
  <c r="H42" i="23" s="1"/>
  <c r="E29" i="23"/>
  <c r="F29" i="23" s="1"/>
  <c r="G29" i="23" s="1"/>
  <c r="H29" i="23" s="1"/>
  <c r="E30" i="23"/>
  <c r="F30" i="23" s="1"/>
  <c r="G30" i="23" s="1"/>
  <c r="H30" i="23" s="1"/>
  <c r="E31" i="23"/>
  <c r="F31" i="23" s="1"/>
  <c r="G31" i="23" s="1"/>
  <c r="H31" i="23" s="1"/>
  <c r="E37" i="23"/>
  <c r="F37" i="23" s="1"/>
  <c r="G37" i="23" s="1"/>
  <c r="H37" i="23" s="1"/>
  <c r="E40" i="23"/>
  <c r="F40" i="23" s="1"/>
  <c r="G40" i="23" s="1"/>
  <c r="H40" i="23" s="1"/>
  <c r="E33" i="23"/>
  <c r="F33" i="23" s="1"/>
  <c r="G33" i="23" s="1"/>
  <c r="H33" i="23" s="1"/>
  <c r="E34" i="23"/>
  <c r="F34" i="23" s="1"/>
  <c r="G34" i="23" s="1"/>
  <c r="H34" i="23" s="1"/>
  <c r="E35" i="23"/>
  <c r="F35" i="23" s="1"/>
  <c r="G35" i="23" s="1"/>
  <c r="H35" i="23" s="1"/>
  <c r="E38" i="23"/>
  <c r="F38" i="23" s="1"/>
  <c r="G38" i="23" s="1"/>
  <c r="H38" i="23" s="1"/>
  <c r="E44" i="23"/>
  <c r="F44" i="23" s="1"/>
  <c r="G44" i="23" s="1"/>
  <c r="H44" i="23" s="1"/>
  <c r="E45" i="23"/>
  <c r="F45" i="23" s="1"/>
  <c r="G45" i="23" s="1"/>
  <c r="H45" i="23" s="1"/>
  <c r="E46" i="23"/>
  <c r="F46" i="23" s="1"/>
  <c r="G46" i="23" s="1"/>
  <c r="H46" i="23" s="1"/>
  <c r="E48" i="23"/>
  <c r="F48" i="23" s="1"/>
  <c r="G48" i="23" s="1"/>
  <c r="H48" i="23" s="1"/>
  <c r="E49" i="23"/>
  <c r="F49" i="23" s="1"/>
  <c r="G49" i="23" s="1"/>
  <c r="H49" i="23" s="1"/>
  <c r="E50" i="23"/>
  <c r="F50" i="23" s="1"/>
  <c r="G50" i="23" s="1"/>
  <c r="H50" i="23" s="1"/>
  <c r="E51" i="23"/>
  <c r="F51" i="23" s="1"/>
  <c r="G51" i="23" s="1"/>
  <c r="H51" i="23" s="1"/>
  <c r="E54" i="23"/>
  <c r="F54" i="23" s="1"/>
  <c r="G54" i="23" s="1"/>
  <c r="H54" i="23" s="1"/>
  <c r="E55" i="23"/>
  <c r="F55" i="23" s="1"/>
  <c r="G55" i="23" s="1"/>
  <c r="H55" i="23" s="1"/>
  <c r="E59" i="23"/>
  <c r="F59" i="23" s="1"/>
  <c r="G59" i="23" s="1"/>
  <c r="H59" i="23" s="1"/>
  <c r="E64" i="23"/>
  <c r="F64" i="23" s="1"/>
  <c r="G64" i="23" s="1"/>
  <c r="H64" i="23" s="1"/>
  <c r="E65" i="23"/>
  <c r="F65" i="23" s="1"/>
  <c r="G65" i="23" s="1"/>
  <c r="H65" i="23" s="1"/>
  <c r="E66" i="23"/>
  <c r="F66" i="23" s="1"/>
  <c r="G66" i="23" s="1"/>
  <c r="H66" i="23" s="1"/>
  <c r="E47" i="23"/>
  <c r="F47" i="23" s="1"/>
  <c r="G47" i="23" s="1"/>
  <c r="H47" i="23" s="1"/>
  <c r="E53" i="23"/>
  <c r="F53" i="23" s="1"/>
  <c r="G53" i="23" s="1"/>
  <c r="H53" i="23" s="1"/>
  <c r="E56" i="23"/>
  <c r="F56" i="23" s="1"/>
  <c r="G56" i="23" s="1"/>
  <c r="H56" i="23" s="1"/>
  <c r="E58" i="23"/>
  <c r="F58" i="23" s="1"/>
  <c r="G58" i="23" s="1"/>
  <c r="H58" i="23" s="1"/>
  <c r="E60" i="23"/>
  <c r="F60" i="23" s="1"/>
  <c r="G60" i="23" s="1"/>
  <c r="H60" i="23" s="1"/>
  <c r="E62" i="23"/>
  <c r="F62" i="23" s="1"/>
  <c r="G62" i="23" s="1"/>
  <c r="H62" i="23" s="1"/>
  <c r="E67" i="23"/>
  <c r="F67" i="23" s="1"/>
  <c r="G67" i="23" s="1"/>
  <c r="H67" i="23" s="1"/>
  <c r="E52" i="23"/>
  <c r="F52" i="23" s="1"/>
  <c r="G52" i="23" s="1"/>
  <c r="H52" i="23" s="1"/>
  <c r="E63" i="23"/>
  <c r="F63" i="23" s="1"/>
  <c r="G63" i="23" s="1"/>
  <c r="H63" i="23" s="1"/>
  <c r="E70" i="23"/>
  <c r="F70" i="23" s="1"/>
  <c r="G70" i="23" s="1"/>
  <c r="H70" i="23" s="1"/>
  <c r="E72" i="23"/>
  <c r="F72" i="23" s="1"/>
  <c r="G72" i="23" s="1"/>
  <c r="H72" i="23" s="1"/>
  <c r="E73" i="23"/>
  <c r="F73" i="23" s="1"/>
  <c r="G73" i="23" s="1"/>
  <c r="H73" i="23" s="1"/>
  <c r="E75" i="23"/>
  <c r="F75" i="23" s="1"/>
  <c r="G75" i="23" s="1"/>
  <c r="H75" i="23" s="1"/>
  <c r="E78" i="23"/>
  <c r="F78" i="23" s="1"/>
  <c r="G78" i="23" s="1"/>
  <c r="H78" i="23" s="1"/>
  <c r="E80" i="23"/>
  <c r="F80" i="23" s="1"/>
  <c r="G80" i="23" s="1"/>
  <c r="H80" i="23" s="1"/>
  <c r="E82" i="23"/>
  <c r="F82" i="23" s="1"/>
  <c r="G82" i="23" s="1"/>
  <c r="H82" i="23" s="1"/>
  <c r="E83" i="23"/>
  <c r="F83" i="23" s="1"/>
  <c r="G83" i="23" s="1"/>
  <c r="H83" i="23" s="1"/>
  <c r="E86" i="23"/>
  <c r="F86" i="23" s="1"/>
  <c r="G86" i="23" s="1"/>
  <c r="H86" i="23" s="1"/>
  <c r="E87" i="23"/>
  <c r="F87" i="23" s="1"/>
  <c r="G87" i="23" s="1"/>
  <c r="H87" i="23" s="1"/>
  <c r="E88" i="23"/>
  <c r="F88" i="23" s="1"/>
  <c r="G88" i="23" s="1"/>
  <c r="H88" i="23" s="1"/>
  <c r="E89" i="23"/>
  <c r="F89" i="23" s="1"/>
  <c r="G89" i="23" s="1"/>
  <c r="H89" i="23" s="1"/>
  <c r="E95" i="23"/>
  <c r="F95" i="23" s="1"/>
  <c r="G95" i="23" s="1"/>
  <c r="H95" i="23" s="1"/>
  <c r="E96" i="23"/>
  <c r="F96" i="23" s="1"/>
  <c r="G96" i="23" s="1"/>
  <c r="H96" i="23" s="1"/>
  <c r="E99" i="23"/>
  <c r="F99" i="23" s="1"/>
  <c r="G99" i="23" s="1"/>
  <c r="H99" i="23" s="1"/>
  <c r="E100" i="23"/>
  <c r="F100" i="23" s="1"/>
  <c r="G100" i="23" s="1"/>
  <c r="H100" i="23" s="1"/>
  <c r="E103" i="23"/>
  <c r="F103" i="23" s="1"/>
  <c r="G103" i="23" s="1"/>
  <c r="H103" i="23" s="1"/>
  <c r="E104" i="23"/>
  <c r="F104" i="23" s="1"/>
  <c r="G104" i="23" s="1"/>
  <c r="H104" i="23" s="1"/>
  <c r="E107" i="23"/>
  <c r="F107" i="23" s="1"/>
  <c r="G107" i="23" s="1"/>
  <c r="H107" i="23" s="1"/>
  <c r="E108" i="23"/>
  <c r="F108" i="23" s="1"/>
  <c r="G108" i="23" s="1"/>
  <c r="H108" i="23" s="1"/>
  <c r="E114" i="23"/>
  <c r="F114" i="23" s="1"/>
  <c r="G114" i="23" s="1"/>
  <c r="H114" i="23" s="1"/>
  <c r="E115" i="23"/>
  <c r="F115" i="23" s="1"/>
  <c r="G115" i="23" s="1"/>
  <c r="H115" i="23" s="1"/>
  <c r="E116" i="23"/>
  <c r="F116" i="23" s="1"/>
  <c r="G116" i="23" s="1"/>
  <c r="H116" i="23" s="1"/>
  <c r="E118" i="23"/>
  <c r="F118" i="23" s="1"/>
  <c r="G118" i="23" s="1"/>
  <c r="H118" i="23" s="1"/>
  <c r="E119" i="23"/>
  <c r="F119" i="23" s="1"/>
  <c r="G119" i="23" s="1"/>
  <c r="H119" i="23" s="1"/>
  <c r="E122" i="23"/>
  <c r="F122" i="23" s="1"/>
  <c r="G122" i="23" s="1"/>
  <c r="H122" i="23" s="1"/>
  <c r="E123" i="23"/>
  <c r="F123" i="23" s="1"/>
  <c r="G123" i="23" s="1"/>
  <c r="H123" i="23" s="1"/>
  <c r="E43" i="23"/>
  <c r="F43" i="23" s="1"/>
  <c r="G43" i="23" s="1"/>
  <c r="H43" i="23" s="1"/>
  <c r="E57" i="23"/>
  <c r="F57" i="23" s="1"/>
  <c r="G57" i="23" s="1"/>
  <c r="H57" i="23" s="1"/>
  <c r="E61" i="23"/>
  <c r="F61" i="23" s="1"/>
  <c r="G61" i="23" s="1"/>
  <c r="H61" i="23" s="1"/>
  <c r="E68" i="23"/>
  <c r="F68" i="23" s="1"/>
  <c r="G68" i="23" s="1"/>
  <c r="H68" i="23" s="1"/>
  <c r="E69" i="23"/>
  <c r="F69" i="23" s="1"/>
  <c r="G69" i="23" s="1"/>
  <c r="H69" i="23" s="1"/>
  <c r="E71" i="23"/>
  <c r="F71" i="23" s="1"/>
  <c r="G71" i="23" s="1"/>
  <c r="H71" i="23" s="1"/>
  <c r="E74" i="23"/>
  <c r="F74" i="23" s="1"/>
  <c r="G74" i="23" s="1"/>
  <c r="H74" i="23" s="1"/>
  <c r="E76" i="23"/>
  <c r="F76" i="23" s="1"/>
  <c r="G76" i="23" s="1"/>
  <c r="H76" i="23" s="1"/>
  <c r="E77" i="23"/>
  <c r="F77" i="23" s="1"/>
  <c r="G77" i="23" s="1"/>
  <c r="H77" i="23" s="1"/>
  <c r="E79" i="23"/>
  <c r="F79" i="23" s="1"/>
  <c r="G79" i="23" s="1"/>
  <c r="H79" i="23" s="1"/>
  <c r="E81" i="23"/>
  <c r="F81" i="23" s="1"/>
  <c r="G81" i="23" s="1"/>
  <c r="H81" i="23" s="1"/>
  <c r="E84" i="23"/>
  <c r="F84" i="23" s="1"/>
  <c r="G84" i="23" s="1"/>
  <c r="H84" i="23" s="1"/>
  <c r="E85" i="23"/>
  <c r="F85" i="23" s="1"/>
  <c r="G85" i="23" s="1"/>
  <c r="H85" i="23" s="1"/>
  <c r="E90" i="23"/>
  <c r="F90" i="23" s="1"/>
  <c r="G90" i="23" s="1"/>
  <c r="H90" i="23" s="1"/>
  <c r="E91" i="23"/>
  <c r="F91" i="23" s="1"/>
  <c r="G91" i="23" s="1"/>
  <c r="H91" i="23" s="1"/>
  <c r="E93" i="23"/>
  <c r="F93" i="23" s="1"/>
  <c r="G93" i="23" s="1"/>
  <c r="H93" i="23" s="1"/>
  <c r="E98" i="23"/>
  <c r="F98" i="23" s="1"/>
  <c r="G98" i="23" s="1"/>
  <c r="H98" i="23" s="1"/>
  <c r="E101" i="23"/>
  <c r="F101" i="23" s="1"/>
  <c r="G101" i="23" s="1"/>
  <c r="H101" i="23" s="1"/>
  <c r="E106" i="23"/>
  <c r="F106" i="23" s="1"/>
  <c r="G106" i="23" s="1"/>
  <c r="H106" i="23" s="1"/>
  <c r="E109" i="23"/>
  <c r="F109" i="23" s="1"/>
  <c r="G109" i="23" s="1"/>
  <c r="H109" i="23" s="1"/>
  <c r="E112" i="23"/>
  <c r="F112" i="23" s="1"/>
  <c r="G112" i="23" s="1"/>
  <c r="H112" i="23" s="1"/>
  <c r="E117" i="23"/>
  <c r="F117" i="23" s="1"/>
  <c r="G117" i="23" s="1"/>
  <c r="H117" i="23" s="1"/>
  <c r="E125" i="23"/>
  <c r="F125" i="23" s="1"/>
  <c r="G125" i="23" s="1"/>
  <c r="H125" i="23" s="1"/>
  <c r="E130" i="23"/>
  <c r="F130" i="23" s="1"/>
  <c r="G130" i="23" s="1"/>
  <c r="H130" i="23" s="1"/>
  <c r="E131" i="23"/>
  <c r="F131" i="23" s="1"/>
  <c r="G131" i="23" s="1"/>
  <c r="H131" i="23" s="1"/>
  <c r="E132" i="23"/>
  <c r="F132" i="23" s="1"/>
  <c r="G132" i="23" s="1"/>
  <c r="H132" i="23" s="1"/>
  <c r="E134" i="23"/>
  <c r="F134" i="23" s="1"/>
  <c r="G134" i="23" s="1"/>
  <c r="H134" i="23" s="1"/>
  <c r="E135" i="23"/>
  <c r="F135" i="23" s="1"/>
  <c r="G135" i="23" s="1"/>
  <c r="H135" i="23" s="1"/>
  <c r="E138" i="23"/>
  <c r="F138" i="23" s="1"/>
  <c r="G138" i="23" s="1"/>
  <c r="H138" i="23" s="1"/>
  <c r="E139" i="23"/>
  <c r="F139" i="23" s="1"/>
  <c r="G139" i="23" s="1"/>
  <c r="H139" i="23" s="1"/>
  <c r="E140" i="23"/>
  <c r="F140" i="23" s="1"/>
  <c r="G140" i="23" s="1"/>
  <c r="H140" i="23" s="1"/>
  <c r="E142" i="23"/>
  <c r="F142" i="23" s="1"/>
  <c r="G142" i="23" s="1"/>
  <c r="H142" i="23" s="1"/>
  <c r="E143" i="23"/>
  <c r="F143" i="23" s="1"/>
  <c r="G143" i="23" s="1"/>
  <c r="H143" i="23" s="1"/>
  <c r="E145" i="23"/>
  <c r="F145" i="23" s="1"/>
  <c r="G145" i="23" s="1"/>
  <c r="H145" i="23" s="1"/>
  <c r="E147" i="23"/>
  <c r="F147" i="23" s="1"/>
  <c r="G147" i="23" s="1"/>
  <c r="H147" i="23" s="1"/>
  <c r="E151" i="23"/>
  <c r="F151" i="23" s="1"/>
  <c r="G151" i="23" s="1"/>
  <c r="H151" i="23" s="1"/>
  <c r="E154" i="23"/>
  <c r="F154" i="23" s="1"/>
  <c r="G154" i="23" s="1"/>
  <c r="H154" i="23" s="1"/>
  <c r="E155" i="23"/>
  <c r="F155" i="23" s="1"/>
  <c r="G155" i="23" s="1"/>
  <c r="H155" i="23" s="1"/>
  <c r="E158" i="23"/>
  <c r="F158" i="23" s="1"/>
  <c r="G158" i="23" s="1"/>
  <c r="H158" i="23" s="1"/>
  <c r="E159" i="23"/>
  <c r="F159" i="23" s="1"/>
  <c r="G159" i="23" s="1"/>
  <c r="H159" i="23" s="1"/>
  <c r="E162" i="23"/>
  <c r="F162" i="23" s="1"/>
  <c r="G162" i="23" s="1"/>
  <c r="H162" i="23" s="1"/>
  <c r="E163" i="23"/>
  <c r="F163" i="23" s="1"/>
  <c r="G163" i="23" s="1"/>
  <c r="H163" i="23" s="1"/>
  <c r="E166" i="23"/>
  <c r="F166" i="23" s="1"/>
  <c r="G166" i="23" s="1"/>
  <c r="H166" i="23" s="1"/>
  <c r="E167" i="23"/>
  <c r="F167" i="23" s="1"/>
  <c r="G167" i="23" s="1"/>
  <c r="H167" i="23" s="1"/>
  <c r="E170" i="23"/>
  <c r="F170" i="23" s="1"/>
  <c r="G170" i="23" s="1"/>
  <c r="H170" i="23" s="1"/>
  <c r="E171" i="23"/>
  <c r="F171" i="23" s="1"/>
  <c r="G171" i="23" s="1"/>
  <c r="H171" i="23" s="1"/>
  <c r="E174" i="23"/>
  <c r="F174" i="23" s="1"/>
  <c r="G174" i="23" s="1"/>
  <c r="H174" i="23" s="1"/>
  <c r="E175" i="23"/>
  <c r="F175" i="23" s="1"/>
  <c r="G175" i="23" s="1"/>
  <c r="H175" i="23" s="1"/>
  <c r="E92" i="23"/>
  <c r="F92" i="23" s="1"/>
  <c r="G92" i="23" s="1"/>
  <c r="H92" i="23" s="1"/>
  <c r="E94" i="23"/>
  <c r="F94" i="23" s="1"/>
  <c r="G94" i="23" s="1"/>
  <c r="H94" i="23" s="1"/>
  <c r="E102" i="23"/>
  <c r="F102" i="23" s="1"/>
  <c r="G102" i="23" s="1"/>
  <c r="H102" i="23" s="1"/>
  <c r="E105" i="23"/>
  <c r="F105" i="23" s="1"/>
  <c r="G105" i="23" s="1"/>
  <c r="H105" i="23" s="1"/>
  <c r="E111" i="23"/>
  <c r="F111" i="23" s="1"/>
  <c r="G111" i="23" s="1"/>
  <c r="H111" i="23" s="1"/>
  <c r="E113" i="23"/>
  <c r="F113" i="23" s="1"/>
  <c r="G113" i="23" s="1"/>
  <c r="H113" i="23" s="1"/>
  <c r="E120" i="23"/>
  <c r="F120" i="23" s="1"/>
  <c r="G120" i="23" s="1"/>
  <c r="H120" i="23" s="1"/>
  <c r="E124" i="23"/>
  <c r="F124" i="23" s="1"/>
  <c r="G124" i="23" s="1"/>
  <c r="H124" i="23" s="1"/>
  <c r="E126" i="23"/>
  <c r="F126" i="23" s="1"/>
  <c r="G126" i="23" s="1"/>
  <c r="H126" i="23" s="1"/>
  <c r="E128" i="23"/>
  <c r="F128" i="23" s="1"/>
  <c r="G128" i="23" s="1"/>
  <c r="H128" i="23" s="1"/>
  <c r="E133" i="23"/>
  <c r="F133" i="23" s="1"/>
  <c r="G133" i="23" s="1"/>
  <c r="H133" i="23" s="1"/>
  <c r="E141" i="23"/>
  <c r="F141" i="23" s="1"/>
  <c r="G141" i="23" s="1"/>
  <c r="H141" i="23" s="1"/>
  <c r="E144" i="23"/>
  <c r="F144" i="23" s="1"/>
  <c r="G144" i="23" s="1"/>
  <c r="H144" i="23" s="1"/>
  <c r="E146" i="23"/>
  <c r="F146" i="23" s="1"/>
  <c r="G146" i="23" s="1"/>
  <c r="H146" i="23" s="1"/>
  <c r="E148" i="23"/>
  <c r="F148" i="23" s="1"/>
  <c r="G148" i="23" s="1"/>
  <c r="H148" i="23" s="1"/>
  <c r="E152" i="23"/>
  <c r="F152" i="23" s="1"/>
  <c r="G152" i="23" s="1"/>
  <c r="H152" i="23" s="1"/>
  <c r="E157" i="23"/>
  <c r="F157" i="23" s="1"/>
  <c r="G157" i="23" s="1"/>
  <c r="H157" i="23" s="1"/>
  <c r="E160" i="23"/>
  <c r="F160" i="23" s="1"/>
  <c r="G160" i="23" s="1"/>
  <c r="H160" i="23" s="1"/>
  <c r="E165" i="23"/>
  <c r="F165" i="23" s="1"/>
  <c r="G165" i="23" s="1"/>
  <c r="H165" i="23" s="1"/>
  <c r="E168" i="23"/>
  <c r="F168" i="23" s="1"/>
  <c r="G168" i="23" s="1"/>
  <c r="H168" i="23" s="1"/>
  <c r="E173" i="23"/>
  <c r="F173" i="23" s="1"/>
  <c r="G173" i="23" s="1"/>
  <c r="H173" i="23" s="1"/>
  <c r="E177" i="23"/>
  <c r="F177" i="23" s="1"/>
  <c r="G177" i="23" s="1"/>
  <c r="H177" i="23" s="1"/>
  <c r="E180" i="23"/>
  <c r="F180" i="23" s="1"/>
  <c r="G180" i="23" s="1"/>
  <c r="H180" i="23" s="1"/>
  <c r="E182" i="23"/>
  <c r="F182" i="23" s="1"/>
  <c r="G182" i="23" s="1"/>
  <c r="H182" i="23" s="1"/>
  <c r="E183" i="23"/>
  <c r="F183" i="23" s="1"/>
  <c r="G183" i="23" s="1"/>
  <c r="H183" i="23" s="1"/>
  <c r="E185" i="23"/>
  <c r="F185" i="23" s="1"/>
  <c r="G185" i="23" s="1"/>
  <c r="H185" i="23" s="1"/>
  <c r="E187" i="23"/>
  <c r="F187" i="23" s="1"/>
  <c r="G187" i="23" s="1"/>
  <c r="H187" i="23" s="1"/>
  <c r="E189" i="23"/>
  <c r="F189" i="23" s="1"/>
  <c r="G189" i="23" s="1"/>
  <c r="H189" i="23" s="1"/>
  <c r="E191" i="23"/>
  <c r="F191" i="23" s="1"/>
  <c r="G191" i="23" s="1"/>
  <c r="H191" i="23" s="1"/>
  <c r="E192" i="23"/>
  <c r="F192" i="23" s="1"/>
  <c r="G192" i="23" s="1"/>
  <c r="H192" i="23" s="1"/>
  <c r="E194" i="23"/>
  <c r="F194" i="23" s="1"/>
  <c r="G194" i="23" s="1"/>
  <c r="H194" i="23" s="1"/>
  <c r="E196" i="23"/>
  <c r="F196" i="23" s="1"/>
  <c r="G196" i="23" s="1"/>
  <c r="H196" i="23" s="1"/>
  <c r="E198" i="23"/>
  <c r="F198" i="23" s="1"/>
  <c r="G198" i="23" s="1"/>
  <c r="H198" i="23" s="1"/>
  <c r="E201" i="23"/>
  <c r="F201" i="23" s="1"/>
  <c r="G201" i="23" s="1"/>
  <c r="H201" i="23" s="1"/>
  <c r="E203" i="23"/>
  <c r="F203" i="23" s="1"/>
  <c r="G203" i="23" s="1"/>
  <c r="H203" i="23" s="1"/>
  <c r="E204" i="23"/>
  <c r="F204" i="23" s="1"/>
  <c r="G204" i="23" s="1"/>
  <c r="H204" i="23" s="1"/>
  <c r="E206" i="23"/>
  <c r="F206" i="23" s="1"/>
  <c r="G206" i="23" s="1"/>
  <c r="H206" i="23" s="1"/>
  <c r="E208" i="23"/>
  <c r="F208" i="23" s="1"/>
  <c r="G208" i="23" s="1"/>
  <c r="H208" i="23" s="1"/>
  <c r="E210" i="23"/>
  <c r="F210" i="23" s="1"/>
  <c r="G210" i="23" s="1"/>
  <c r="H210" i="23" s="1"/>
  <c r="E110" i="23"/>
  <c r="F110" i="23" s="1"/>
  <c r="G110" i="23" s="1"/>
  <c r="H110" i="23" s="1"/>
  <c r="E121" i="23"/>
  <c r="F121" i="23" s="1"/>
  <c r="G121" i="23" s="1"/>
  <c r="H121" i="23" s="1"/>
  <c r="E127" i="23"/>
  <c r="F127" i="23" s="1"/>
  <c r="G127" i="23" s="1"/>
  <c r="H127" i="23" s="1"/>
  <c r="E129" i="23"/>
  <c r="F129" i="23" s="1"/>
  <c r="G129" i="23" s="1"/>
  <c r="H129" i="23" s="1"/>
  <c r="E136" i="23"/>
  <c r="F136" i="23" s="1"/>
  <c r="G136" i="23" s="1"/>
  <c r="H136" i="23" s="1"/>
  <c r="E149" i="23"/>
  <c r="F149" i="23" s="1"/>
  <c r="G149" i="23" s="1"/>
  <c r="H149" i="23" s="1"/>
  <c r="E156" i="23"/>
  <c r="F156" i="23" s="1"/>
  <c r="G156" i="23" s="1"/>
  <c r="H156" i="23" s="1"/>
  <c r="E161" i="23"/>
  <c r="F161" i="23" s="1"/>
  <c r="G161" i="23" s="1"/>
  <c r="H161" i="23" s="1"/>
  <c r="E172" i="23"/>
  <c r="F172" i="23" s="1"/>
  <c r="G172" i="23" s="1"/>
  <c r="H172" i="23" s="1"/>
  <c r="E176" i="23"/>
  <c r="F176" i="23" s="1"/>
  <c r="G176" i="23" s="1"/>
  <c r="H176" i="23" s="1"/>
  <c r="E178" i="23"/>
  <c r="F178" i="23" s="1"/>
  <c r="G178" i="23" s="1"/>
  <c r="H178" i="23" s="1"/>
  <c r="E181" i="23"/>
  <c r="F181" i="23" s="1"/>
  <c r="G181" i="23" s="1"/>
  <c r="H181" i="23" s="1"/>
  <c r="E184" i="23"/>
  <c r="F184" i="23" s="1"/>
  <c r="G184" i="23" s="1"/>
  <c r="H184" i="23" s="1"/>
  <c r="E186" i="23"/>
  <c r="F186" i="23" s="1"/>
  <c r="G186" i="23" s="1"/>
  <c r="H186" i="23" s="1"/>
  <c r="E193" i="23"/>
  <c r="F193" i="23" s="1"/>
  <c r="G193" i="23" s="1"/>
  <c r="H193" i="23" s="1"/>
  <c r="E197" i="23"/>
  <c r="F197" i="23" s="1"/>
  <c r="G197" i="23" s="1"/>
  <c r="H197" i="23" s="1"/>
  <c r="E200" i="23"/>
  <c r="F200" i="23" s="1"/>
  <c r="G200" i="23" s="1"/>
  <c r="H200" i="23" s="1"/>
  <c r="E202" i="23"/>
  <c r="F202" i="23" s="1"/>
  <c r="G202" i="23" s="1"/>
  <c r="H202" i="23" s="1"/>
  <c r="E212" i="23"/>
  <c r="F212" i="23" s="1"/>
  <c r="G212" i="23" s="1"/>
  <c r="H212" i="23" s="1"/>
  <c r="E218" i="23"/>
  <c r="F218" i="23" s="1"/>
  <c r="G218" i="23" s="1"/>
  <c r="H218" i="23" s="1"/>
  <c r="E219" i="23"/>
  <c r="F219" i="23" s="1"/>
  <c r="G219" i="23" s="1"/>
  <c r="H219" i="23" s="1"/>
  <c r="E220" i="23"/>
  <c r="F220" i="23" s="1"/>
  <c r="G220" i="23" s="1"/>
  <c r="H220" i="23" s="1"/>
  <c r="E221" i="23"/>
  <c r="F221" i="23" s="1"/>
  <c r="G221" i="23" s="1"/>
  <c r="H221" i="23" s="1"/>
  <c r="E224" i="23"/>
  <c r="F224" i="23" s="1"/>
  <c r="G224" i="23" s="1"/>
  <c r="H224" i="23" s="1"/>
  <c r="E225" i="23"/>
  <c r="F225" i="23" s="1"/>
  <c r="G225" i="23" s="1"/>
  <c r="H225" i="23" s="1"/>
  <c r="E228" i="23"/>
  <c r="F228" i="23" s="1"/>
  <c r="G228" i="23" s="1"/>
  <c r="H228" i="23" s="1"/>
  <c r="E232" i="23"/>
  <c r="F232" i="23" s="1"/>
  <c r="G232" i="23" s="1"/>
  <c r="H232" i="23" s="1"/>
  <c r="E236" i="23"/>
  <c r="F236" i="23" s="1"/>
  <c r="G236" i="23" s="1"/>
  <c r="H236" i="23" s="1"/>
  <c r="E239" i="23"/>
  <c r="F239" i="23" s="1"/>
  <c r="G239" i="23" s="1"/>
  <c r="H239" i="23" s="1"/>
  <c r="E241" i="23"/>
  <c r="F241" i="23" s="1"/>
  <c r="G241" i="23" s="1"/>
  <c r="H241" i="23" s="1"/>
  <c r="E244" i="23"/>
  <c r="F244" i="23" s="1"/>
  <c r="G244" i="23" s="1"/>
  <c r="H244" i="23" s="1"/>
  <c r="E246" i="23"/>
  <c r="F246" i="23" s="1"/>
  <c r="G246" i="23" s="1"/>
  <c r="H246" i="23" s="1"/>
  <c r="E248" i="23"/>
  <c r="F248" i="23" s="1"/>
  <c r="G248" i="23" s="1"/>
  <c r="H248" i="23" s="1"/>
  <c r="E250" i="23"/>
  <c r="F250" i="23" s="1"/>
  <c r="G250" i="23" s="1"/>
  <c r="H250" i="23" s="1"/>
  <c r="E251" i="23"/>
  <c r="F251" i="23" s="1"/>
  <c r="G251" i="23" s="1"/>
  <c r="H251" i="23" s="1"/>
  <c r="E253" i="23"/>
  <c r="F253" i="23" s="1"/>
  <c r="G253" i="23" s="1"/>
  <c r="H253" i="23" s="1"/>
  <c r="E256" i="23"/>
  <c r="F256" i="23" s="1"/>
  <c r="G256" i="23" s="1"/>
  <c r="H256" i="23" s="1"/>
  <c r="E257" i="23"/>
  <c r="F257" i="23" s="1"/>
  <c r="G257" i="23" s="1"/>
  <c r="H257" i="23" s="1"/>
  <c r="E260" i="23"/>
  <c r="F260" i="23" s="1"/>
  <c r="G260" i="23" s="1"/>
  <c r="H260" i="23" s="1"/>
  <c r="E265" i="23"/>
  <c r="F265" i="23" s="1"/>
  <c r="G265" i="23" s="1"/>
  <c r="H265" i="23" s="1"/>
  <c r="E268" i="23"/>
  <c r="F268" i="23" s="1"/>
  <c r="G268" i="23" s="1"/>
  <c r="H268" i="23" s="1"/>
  <c r="E269" i="23"/>
  <c r="F269" i="23" s="1"/>
  <c r="G269" i="23" s="1"/>
  <c r="H269" i="23" s="1"/>
  <c r="E270" i="23"/>
  <c r="F270" i="23" s="1"/>
  <c r="G270" i="23" s="1"/>
  <c r="H270" i="23" s="1"/>
  <c r="E272" i="23"/>
  <c r="F272" i="23" s="1"/>
  <c r="G272" i="23" s="1"/>
  <c r="H272" i="23" s="1"/>
  <c r="E275" i="23"/>
  <c r="F275" i="23" s="1"/>
  <c r="G275" i="23" s="1"/>
  <c r="H275" i="23" s="1"/>
  <c r="E276" i="23"/>
  <c r="F276" i="23" s="1"/>
  <c r="G276" i="23" s="1"/>
  <c r="H276" i="23" s="1"/>
  <c r="E278" i="23"/>
  <c r="F278" i="23" s="1"/>
  <c r="G278" i="23" s="1"/>
  <c r="H278" i="23" s="1"/>
  <c r="E281" i="23"/>
  <c r="F281" i="23" s="1"/>
  <c r="G281" i="23" s="1"/>
  <c r="H281" i="23" s="1"/>
  <c r="E282" i="23"/>
  <c r="F282" i="23" s="1"/>
  <c r="G282" i="23" s="1"/>
  <c r="H282" i="23" s="1"/>
  <c r="E284" i="23"/>
  <c r="F284" i="23" s="1"/>
  <c r="G284" i="23" s="1"/>
  <c r="H284" i="23" s="1"/>
  <c r="E287" i="23"/>
  <c r="F287" i="23" s="1"/>
  <c r="G287" i="23" s="1"/>
  <c r="H287" i="23" s="1"/>
  <c r="E288" i="23"/>
  <c r="F288" i="23" s="1"/>
  <c r="G288" i="23" s="1"/>
  <c r="H288" i="23" s="1"/>
  <c r="E291" i="23"/>
  <c r="F291" i="23" s="1"/>
  <c r="G291" i="23" s="1"/>
  <c r="H291" i="23" s="1"/>
  <c r="E293" i="23"/>
  <c r="F293" i="23" s="1"/>
  <c r="G293" i="23" s="1"/>
  <c r="H293" i="23" s="1"/>
  <c r="E294" i="23"/>
  <c r="F294" i="23" s="1"/>
  <c r="G294" i="23" s="1"/>
  <c r="H294" i="23" s="1"/>
  <c r="E297" i="23"/>
  <c r="F297" i="23" s="1"/>
  <c r="G297" i="23" s="1"/>
  <c r="H297" i="23" s="1"/>
  <c r="E298" i="23"/>
  <c r="F298" i="23" s="1"/>
  <c r="G298" i="23" s="1"/>
  <c r="H298" i="23" s="1"/>
  <c r="E301" i="23"/>
  <c r="F301" i="23" s="1"/>
  <c r="G301" i="23" s="1"/>
  <c r="H301" i="23" s="1"/>
  <c r="E302" i="23"/>
  <c r="F302" i="23" s="1"/>
  <c r="G302" i="23" s="1"/>
  <c r="H302" i="23" s="1"/>
  <c r="E304" i="23"/>
  <c r="F304" i="23" s="1"/>
  <c r="G304" i="23" s="1"/>
  <c r="H304" i="23" s="1"/>
  <c r="E306" i="23"/>
  <c r="F306" i="23" s="1"/>
  <c r="G306" i="23" s="1"/>
  <c r="H306" i="23" s="1"/>
  <c r="E308" i="23"/>
  <c r="F308" i="23" s="1"/>
  <c r="G308" i="23" s="1"/>
  <c r="H308" i="23" s="1"/>
  <c r="E310" i="23"/>
  <c r="F310" i="23" s="1"/>
  <c r="G310" i="23" s="1"/>
  <c r="H310" i="23" s="1"/>
  <c r="E312" i="23"/>
  <c r="F312" i="23" s="1"/>
  <c r="G312" i="23" s="1"/>
  <c r="H312" i="23" s="1"/>
  <c r="E314" i="23"/>
  <c r="F314" i="23" s="1"/>
  <c r="G314" i="23" s="1"/>
  <c r="H314" i="23" s="1"/>
  <c r="E97" i="23"/>
  <c r="F97" i="23" s="1"/>
  <c r="G97" i="23" s="1"/>
  <c r="H97" i="23" s="1"/>
  <c r="E137" i="23"/>
  <c r="F137" i="23" s="1"/>
  <c r="G137" i="23" s="1"/>
  <c r="H137" i="23" s="1"/>
  <c r="E150" i="23"/>
  <c r="F150" i="23" s="1"/>
  <c r="G150" i="23" s="1"/>
  <c r="H150" i="23" s="1"/>
  <c r="E153" i="23"/>
  <c r="F153" i="23" s="1"/>
  <c r="G153" i="23" s="1"/>
  <c r="H153" i="23" s="1"/>
  <c r="E164" i="23"/>
  <c r="F164" i="23" s="1"/>
  <c r="G164" i="23" s="1"/>
  <c r="H164" i="23" s="1"/>
  <c r="E169" i="23"/>
  <c r="F169" i="23" s="1"/>
  <c r="G169" i="23" s="1"/>
  <c r="H169" i="23" s="1"/>
  <c r="E179" i="23"/>
  <c r="F179" i="23" s="1"/>
  <c r="G179" i="23" s="1"/>
  <c r="H179" i="23" s="1"/>
  <c r="E188" i="23"/>
  <c r="F188" i="23" s="1"/>
  <c r="G188" i="23" s="1"/>
  <c r="H188" i="23" s="1"/>
  <c r="E190" i="23"/>
  <c r="F190" i="23" s="1"/>
  <c r="G190" i="23" s="1"/>
  <c r="H190" i="23" s="1"/>
  <c r="E195" i="23"/>
  <c r="F195" i="23" s="1"/>
  <c r="G195" i="23" s="1"/>
  <c r="H195" i="23" s="1"/>
  <c r="E199" i="23"/>
  <c r="F199" i="23" s="1"/>
  <c r="G199" i="23" s="1"/>
  <c r="H199" i="23" s="1"/>
  <c r="E205" i="23"/>
  <c r="F205" i="23" s="1"/>
  <c r="G205" i="23" s="1"/>
  <c r="H205" i="23" s="1"/>
  <c r="E207" i="23"/>
  <c r="F207" i="23" s="1"/>
  <c r="G207" i="23" s="1"/>
  <c r="H207" i="23" s="1"/>
  <c r="E209" i="23"/>
  <c r="F209" i="23" s="1"/>
  <c r="G209" i="23" s="1"/>
  <c r="H209" i="23" s="1"/>
  <c r="E211" i="23"/>
  <c r="F211" i="23" s="1"/>
  <c r="G211" i="23" s="1"/>
  <c r="H211" i="23" s="1"/>
  <c r="E213" i="23"/>
  <c r="F213" i="23" s="1"/>
  <c r="G213" i="23" s="1"/>
  <c r="H213" i="23" s="1"/>
  <c r="E214" i="23"/>
  <c r="F214" i="23" s="1"/>
  <c r="G214" i="23" s="1"/>
  <c r="H214" i="23" s="1"/>
  <c r="E215" i="23"/>
  <c r="F215" i="23" s="1"/>
  <c r="G215" i="23" s="1"/>
  <c r="H215" i="23" s="1"/>
  <c r="E216" i="23"/>
  <c r="F216" i="23" s="1"/>
  <c r="G216" i="23" s="1"/>
  <c r="H216" i="23" s="1"/>
  <c r="E217" i="23"/>
  <c r="F217" i="23" s="1"/>
  <c r="G217" i="23" s="1"/>
  <c r="H217" i="23" s="1"/>
  <c r="E222" i="23"/>
  <c r="F222" i="23" s="1"/>
  <c r="G222" i="23" s="1"/>
  <c r="H222" i="23" s="1"/>
  <c r="E223" i="23"/>
  <c r="F223" i="23" s="1"/>
  <c r="G223" i="23" s="1"/>
  <c r="H223" i="23" s="1"/>
  <c r="E226" i="23"/>
  <c r="F226" i="23" s="1"/>
  <c r="G226" i="23" s="1"/>
  <c r="H226" i="23" s="1"/>
  <c r="E227" i="23"/>
  <c r="F227" i="23" s="1"/>
  <c r="G227" i="23" s="1"/>
  <c r="H227" i="23" s="1"/>
  <c r="E229" i="23"/>
  <c r="F229" i="23" s="1"/>
  <c r="G229" i="23" s="1"/>
  <c r="H229" i="23" s="1"/>
  <c r="E230" i="23"/>
  <c r="F230" i="23" s="1"/>
  <c r="G230" i="23" s="1"/>
  <c r="H230" i="23" s="1"/>
  <c r="E231" i="23"/>
  <c r="F231" i="23" s="1"/>
  <c r="G231" i="23" s="1"/>
  <c r="H231" i="23" s="1"/>
  <c r="E233" i="23"/>
  <c r="F233" i="23" s="1"/>
  <c r="G233" i="23" s="1"/>
  <c r="H233" i="23" s="1"/>
  <c r="E234" i="23"/>
  <c r="F234" i="23" s="1"/>
  <c r="G234" i="23" s="1"/>
  <c r="H234" i="23" s="1"/>
  <c r="E235" i="23"/>
  <c r="F235" i="23" s="1"/>
  <c r="G235" i="23" s="1"/>
  <c r="H235" i="23" s="1"/>
  <c r="E237" i="23"/>
  <c r="F237" i="23" s="1"/>
  <c r="G237" i="23" s="1"/>
  <c r="H237" i="23" s="1"/>
  <c r="E238" i="23"/>
  <c r="F238" i="23" s="1"/>
  <c r="G238" i="23" s="1"/>
  <c r="H238" i="23" s="1"/>
  <c r="E240" i="23"/>
  <c r="F240" i="23" s="1"/>
  <c r="G240" i="23" s="1"/>
  <c r="H240" i="23" s="1"/>
  <c r="E242" i="23"/>
  <c r="F242" i="23" s="1"/>
  <c r="G242" i="23" s="1"/>
  <c r="H242" i="23" s="1"/>
  <c r="E243" i="23"/>
  <c r="F243" i="23" s="1"/>
  <c r="G243" i="23" s="1"/>
  <c r="H243" i="23" s="1"/>
  <c r="E245" i="23"/>
  <c r="F245" i="23" s="1"/>
  <c r="G245" i="23" s="1"/>
  <c r="H245" i="23" s="1"/>
  <c r="E247" i="23"/>
  <c r="F247" i="23" s="1"/>
  <c r="G247" i="23" s="1"/>
  <c r="H247" i="23" s="1"/>
  <c r="E249" i="23"/>
  <c r="F249" i="23" s="1"/>
  <c r="G249" i="23" s="1"/>
  <c r="H249" i="23" s="1"/>
  <c r="E252" i="23"/>
  <c r="F252" i="23" s="1"/>
  <c r="G252" i="23" s="1"/>
  <c r="H252" i="23" s="1"/>
  <c r="E254" i="23"/>
  <c r="F254" i="23" s="1"/>
  <c r="G254" i="23" s="1"/>
  <c r="H254" i="23" s="1"/>
  <c r="E255" i="23"/>
  <c r="F255" i="23" s="1"/>
  <c r="G255" i="23" s="1"/>
  <c r="H255" i="23" s="1"/>
  <c r="E258" i="23"/>
  <c r="F258" i="23" s="1"/>
  <c r="G258" i="23" s="1"/>
  <c r="H258" i="23" s="1"/>
  <c r="E259" i="23"/>
  <c r="F259" i="23" s="1"/>
  <c r="G259" i="23" s="1"/>
  <c r="H259" i="23" s="1"/>
  <c r="E261" i="23"/>
  <c r="F261" i="23" s="1"/>
  <c r="G261" i="23" s="1"/>
  <c r="H261" i="23" s="1"/>
  <c r="E262" i="23"/>
  <c r="F262" i="23" s="1"/>
  <c r="G262" i="23" s="1"/>
  <c r="H262" i="23" s="1"/>
  <c r="E263" i="23"/>
  <c r="F263" i="23" s="1"/>
  <c r="G263" i="23" s="1"/>
  <c r="H263" i="23" s="1"/>
  <c r="E264" i="23"/>
  <c r="F264" i="23" s="1"/>
  <c r="G264" i="23" s="1"/>
  <c r="H264" i="23" s="1"/>
  <c r="E266" i="23"/>
  <c r="F266" i="23" s="1"/>
  <c r="G266" i="23" s="1"/>
  <c r="H266" i="23" s="1"/>
  <c r="E267" i="23"/>
  <c r="F267" i="23" s="1"/>
  <c r="G267" i="23" s="1"/>
  <c r="H267" i="23" s="1"/>
  <c r="E271" i="23"/>
  <c r="F271" i="23" s="1"/>
  <c r="G271" i="23" s="1"/>
  <c r="H271" i="23" s="1"/>
  <c r="E273" i="23"/>
  <c r="F273" i="23" s="1"/>
  <c r="G273" i="23" s="1"/>
  <c r="H273" i="23" s="1"/>
  <c r="E274" i="23"/>
  <c r="F274" i="23" s="1"/>
  <c r="G274" i="23" s="1"/>
  <c r="H274" i="23" s="1"/>
  <c r="E277" i="23"/>
  <c r="F277" i="23" s="1"/>
  <c r="G277" i="23" s="1"/>
  <c r="H277" i="23" s="1"/>
  <c r="E279" i="23"/>
  <c r="F279" i="23" s="1"/>
  <c r="G279" i="23" s="1"/>
  <c r="H279" i="23" s="1"/>
  <c r="E280" i="23"/>
  <c r="F280" i="23" s="1"/>
  <c r="G280" i="23" s="1"/>
  <c r="H280" i="23" s="1"/>
  <c r="E283" i="23"/>
  <c r="F283" i="23" s="1"/>
  <c r="G283" i="23" s="1"/>
  <c r="H283" i="23" s="1"/>
  <c r="E285" i="23"/>
  <c r="F285" i="23" s="1"/>
  <c r="G285" i="23" s="1"/>
  <c r="H285" i="23" s="1"/>
  <c r="E286" i="23"/>
  <c r="F286" i="23" s="1"/>
  <c r="G286" i="23" s="1"/>
  <c r="H286" i="23" s="1"/>
  <c r="E289" i="23"/>
  <c r="F289" i="23" s="1"/>
  <c r="G289" i="23" s="1"/>
  <c r="H289" i="23" s="1"/>
  <c r="E290" i="23"/>
  <c r="F290" i="23" s="1"/>
  <c r="G290" i="23" s="1"/>
  <c r="H290" i="23" s="1"/>
  <c r="E292" i="23"/>
  <c r="F292" i="23" s="1"/>
  <c r="G292" i="23" s="1"/>
  <c r="H292" i="23" s="1"/>
  <c r="E295" i="23"/>
  <c r="F295" i="23" s="1"/>
  <c r="G295" i="23" s="1"/>
  <c r="H295" i="23" s="1"/>
  <c r="E296" i="23"/>
  <c r="F296" i="23" s="1"/>
  <c r="G296" i="23" s="1"/>
  <c r="H296" i="23" s="1"/>
  <c r="E299" i="23"/>
  <c r="F299" i="23" s="1"/>
  <c r="G299" i="23" s="1"/>
  <c r="H299" i="23" s="1"/>
  <c r="E300" i="23"/>
  <c r="F300" i="23" s="1"/>
  <c r="G300" i="23" s="1"/>
  <c r="H300" i="23" s="1"/>
  <c r="E303" i="23"/>
  <c r="F303" i="23" s="1"/>
  <c r="G303" i="23" s="1"/>
  <c r="H303" i="23" s="1"/>
  <c r="E305" i="23"/>
  <c r="F305" i="23" s="1"/>
  <c r="G305" i="23" s="1"/>
  <c r="H305" i="23" s="1"/>
  <c r="E307" i="23"/>
  <c r="F307" i="23" s="1"/>
  <c r="G307" i="23" s="1"/>
  <c r="H307" i="23" s="1"/>
  <c r="E309" i="23"/>
  <c r="F309" i="23" s="1"/>
  <c r="G309" i="23" s="1"/>
  <c r="H309" i="23" s="1"/>
  <c r="E311" i="23"/>
  <c r="F311" i="23" s="1"/>
  <c r="G311" i="23" s="1"/>
  <c r="H311" i="23" s="1"/>
  <c r="E313" i="23"/>
  <c r="F313" i="23" s="1"/>
  <c r="G313" i="23" s="1"/>
  <c r="H313" i="23" s="1"/>
  <c r="E315" i="23"/>
  <c r="F315" i="23" s="1"/>
  <c r="G315" i="23" s="1"/>
  <c r="H315" i="23" s="1"/>
  <c r="E316" i="23"/>
  <c r="F316" i="23" s="1"/>
  <c r="G316" i="23" s="1"/>
  <c r="H316" i="23" s="1"/>
  <c r="E319" i="23"/>
  <c r="F319" i="23" s="1"/>
  <c r="G319" i="23" s="1"/>
  <c r="H319" i="23" s="1"/>
  <c r="E320" i="23"/>
  <c r="F320" i="23" s="1"/>
  <c r="G320" i="23" s="1"/>
  <c r="H320" i="23" s="1"/>
  <c r="E321" i="23"/>
  <c r="F321" i="23" s="1"/>
  <c r="G321" i="23" s="1"/>
  <c r="H321" i="23" s="1"/>
  <c r="E317" i="23"/>
  <c r="F317" i="23" s="1"/>
  <c r="G317" i="23" s="1"/>
  <c r="H317" i="23" s="1"/>
  <c r="E318" i="23"/>
  <c r="F318" i="23" s="1"/>
  <c r="G318" i="23" s="1"/>
  <c r="H318" i="23" s="1"/>
  <c r="E322" i="23"/>
  <c r="F322" i="23" s="1"/>
  <c r="G322" i="23" s="1"/>
  <c r="H322" i="23" s="1"/>
  <c r="E23" i="23"/>
  <c r="F23" i="23" s="1"/>
  <c r="I24" i="23"/>
  <c r="J24" i="23" s="1"/>
  <c r="I25" i="23"/>
  <c r="J25" i="23" s="1"/>
  <c r="I27" i="23"/>
  <c r="J27" i="23" s="1"/>
  <c r="I28" i="23"/>
  <c r="J28" i="23" s="1"/>
  <c r="I29" i="23"/>
  <c r="J29" i="23" s="1"/>
  <c r="I26" i="23"/>
  <c r="J26" i="23" s="1"/>
  <c r="I31" i="23"/>
  <c r="J31" i="23" s="1"/>
  <c r="I32" i="23"/>
  <c r="J32" i="23" s="1"/>
  <c r="I33" i="23"/>
  <c r="J33" i="23" s="1"/>
  <c r="I35" i="23"/>
  <c r="J35" i="23" s="1"/>
  <c r="I36" i="23"/>
  <c r="J36" i="23" s="1"/>
  <c r="I37" i="23"/>
  <c r="J37" i="23" s="1"/>
  <c r="I42" i="23"/>
  <c r="J42" i="23" s="1"/>
  <c r="I38" i="23"/>
  <c r="J38" i="23" s="1"/>
  <c r="I39" i="23"/>
  <c r="J39" i="23" s="1"/>
  <c r="I41" i="23"/>
  <c r="J41" i="23" s="1"/>
  <c r="I43" i="23"/>
  <c r="J43" i="23" s="1"/>
  <c r="I44" i="23"/>
  <c r="J44" i="23" s="1"/>
  <c r="I46" i="23"/>
  <c r="J46" i="23" s="1"/>
  <c r="I47" i="23"/>
  <c r="J47" i="23" s="1"/>
  <c r="I48" i="23"/>
  <c r="J48" i="23" s="1"/>
  <c r="I50" i="23"/>
  <c r="J50" i="23" s="1"/>
  <c r="I53" i="23"/>
  <c r="J53" i="23" s="1"/>
  <c r="I54" i="23"/>
  <c r="J54" i="23" s="1"/>
  <c r="I57" i="23"/>
  <c r="J57" i="23" s="1"/>
  <c r="I61" i="23"/>
  <c r="J61" i="23" s="1"/>
  <c r="I63" i="23"/>
  <c r="J63" i="23" s="1"/>
  <c r="I64" i="23"/>
  <c r="J64" i="23" s="1"/>
  <c r="I66" i="23"/>
  <c r="J66" i="23" s="1"/>
  <c r="I67" i="23"/>
  <c r="J67" i="23" s="1"/>
  <c r="I45" i="23"/>
  <c r="J45" i="23" s="1"/>
  <c r="I52" i="23"/>
  <c r="J52" i="23" s="1"/>
  <c r="I55" i="23"/>
  <c r="J55" i="23" s="1"/>
  <c r="I58" i="23"/>
  <c r="J58" i="23" s="1"/>
  <c r="I59" i="23"/>
  <c r="J59" i="23" s="1"/>
  <c r="I62" i="23"/>
  <c r="J62" i="23" s="1"/>
  <c r="I65" i="23"/>
  <c r="J65" i="23" s="1"/>
  <c r="I30" i="23"/>
  <c r="J30" i="23" s="1"/>
  <c r="I56" i="23"/>
  <c r="J56" i="23" s="1"/>
  <c r="I60" i="23"/>
  <c r="J60" i="23" s="1"/>
  <c r="I69" i="23"/>
  <c r="J69" i="23" s="1"/>
  <c r="I70" i="23"/>
  <c r="J70" i="23" s="1"/>
  <c r="I71" i="23"/>
  <c r="J71" i="23" s="1"/>
  <c r="I72" i="23"/>
  <c r="J72" i="23" s="1"/>
  <c r="I80" i="23"/>
  <c r="J80" i="23" s="1"/>
  <c r="I81" i="23"/>
  <c r="J81" i="23" s="1"/>
  <c r="I82" i="23"/>
  <c r="J82" i="23" s="1"/>
  <c r="I83" i="23"/>
  <c r="J83" i="23" s="1"/>
  <c r="I84" i="23"/>
  <c r="J84" i="23" s="1"/>
  <c r="I85" i="23"/>
  <c r="J85" i="23" s="1"/>
  <c r="I86" i="23"/>
  <c r="J86" i="23" s="1"/>
  <c r="I88" i="23"/>
  <c r="J88" i="23" s="1"/>
  <c r="I91" i="23"/>
  <c r="J91" i="23" s="1"/>
  <c r="I93" i="23"/>
  <c r="J93" i="23" s="1"/>
  <c r="I96" i="23"/>
  <c r="J96" i="23" s="1"/>
  <c r="I97" i="23"/>
  <c r="J97" i="23" s="1"/>
  <c r="I101" i="23"/>
  <c r="J101" i="23" s="1"/>
  <c r="I104" i="23"/>
  <c r="J104" i="23" s="1"/>
  <c r="I105" i="23"/>
  <c r="J105" i="23" s="1"/>
  <c r="I109" i="23"/>
  <c r="J109" i="23" s="1"/>
  <c r="I111" i="23"/>
  <c r="J111" i="23" s="1"/>
  <c r="I113" i="23"/>
  <c r="J113" i="23" s="1"/>
  <c r="I114" i="23"/>
  <c r="J114" i="23" s="1"/>
  <c r="I115" i="23"/>
  <c r="J115" i="23" s="1"/>
  <c r="I116" i="23"/>
  <c r="J116" i="23" s="1"/>
  <c r="I117" i="23"/>
  <c r="J117" i="23" s="1"/>
  <c r="I118" i="23"/>
  <c r="J118" i="23" s="1"/>
  <c r="I119" i="23"/>
  <c r="J119" i="23" s="1"/>
  <c r="I120" i="23"/>
  <c r="J120" i="23" s="1"/>
  <c r="I121" i="23"/>
  <c r="J121" i="23" s="1"/>
  <c r="I122" i="23"/>
  <c r="J122" i="23" s="1"/>
  <c r="I123" i="23"/>
  <c r="J123" i="23" s="1"/>
  <c r="I34" i="23"/>
  <c r="J34" i="23" s="1"/>
  <c r="I40" i="23"/>
  <c r="J40" i="23" s="1"/>
  <c r="I49" i="23"/>
  <c r="J49" i="23" s="1"/>
  <c r="I51" i="23"/>
  <c r="J51" i="23" s="1"/>
  <c r="I68" i="23"/>
  <c r="J68" i="23" s="1"/>
  <c r="I73" i="23"/>
  <c r="J73" i="23" s="1"/>
  <c r="I74" i="23"/>
  <c r="J74" i="23" s="1"/>
  <c r="I75" i="23"/>
  <c r="J75" i="23" s="1"/>
  <c r="I76" i="23"/>
  <c r="J76" i="23" s="1"/>
  <c r="I77" i="23"/>
  <c r="J77" i="23" s="1"/>
  <c r="I78" i="23"/>
  <c r="J78" i="23" s="1"/>
  <c r="I79" i="23"/>
  <c r="J79" i="23" s="1"/>
  <c r="I87" i="23"/>
  <c r="J87" i="23" s="1"/>
  <c r="I89" i="23"/>
  <c r="J89" i="23" s="1"/>
  <c r="I90" i="23"/>
  <c r="J90" i="23" s="1"/>
  <c r="I92" i="23"/>
  <c r="J92" i="23" s="1"/>
  <c r="I94" i="23"/>
  <c r="J94" i="23" s="1"/>
  <c r="I95" i="23"/>
  <c r="J95" i="23" s="1"/>
  <c r="I99" i="23"/>
  <c r="J99" i="23" s="1"/>
  <c r="I102" i="23"/>
  <c r="J102" i="23" s="1"/>
  <c r="I107" i="23"/>
  <c r="J107" i="23" s="1"/>
  <c r="I110" i="23"/>
  <c r="J110" i="23" s="1"/>
  <c r="I127" i="23"/>
  <c r="J127" i="23" s="1"/>
  <c r="I129" i="23"/>
  <c r="J129" i="23" s="1"/>
  <c r="I130" i="23"/>
  <c r="J130" i="23" s="1"/>
  <c r="I131" i="23"/>
  <c r="J131" i="23" s="1"/>
  <c r="I132" i="23"/>
  <c r="J132" i="23" s="1"/>
  <c r="I133" i="23"/>
  <c r="J133" i="23" s="1"/>
  <c r="I134" i="23"/>
  <c r="J134" i="23" s="1"/>
  <c r="I135" i="23"/>
  <c r="J135" i="23" s="1"/>
  <c r="I136" i="23"/>
  <c r="J136" i="23" s="1"/>
  <c r="I137" i="23"/>
  <c r="J137" i="23" s="1"/>
  <c r="I138" i="23"/>
  <c r="J138" i="23" s="1"/>
  <c r="I139" i="23"/>
  <c r="J139" i="23" s="1"/>
  <c r="I140" i="23"/>
  <c r="J140" i="23" s="1"/>
  <c r="I141" i="23"/>
  <c r="J141" i="23" s="1"/>
  <c r="I142" i="23"/>
  <c r="J142" i="23" s="1"/>
  <c r="I144" i="23"/>
  <c r="J144" i="23" s="1"/>
  <c r="I146" i="23"/>
  <c r="J146" i="23" s="1"/>
  <c r="I148" i="23"/>
  <c r="J148" i="23" s="1"/>
  <c r="I150" i="23"/>
  <c r="J150" i="23" s="1"/>
  <c r="I153" i="23"/>
  <c r="J153" i="23" s="1"/>
  <c r="I154" i="23"/>
  <c r="J154" i="23" s="1"/>
  <c r="I157" i="23"/>
  <c r="J157" i="23" s="1"/>
  <c r="I158" i="23"/>
  <c r="J158" i="23" s="1"/>
  <c r="I161" i="23"/>
  <c r="J161" i="23" s="1"/>
  <c r="I162" i="23"/>
  <c r="J162" i="23" s="1"/>
  <c r="I165" i="23"/>
  <c r="J165" i="23" s="1"/>
  <c r="I166" i="23"/>
  <c r="J166" i="23" s="1"/>
  <c r="I169" i="23"/>
  <c r="J169" i="23" s="1"/>
  <c r="I170" i="23"/>
  <c r="J170" i="23" s="1"/>
  <c r="I173" i="23"/>
  <c r="J173" i="23" s="1"/>
  <c r="I174" i="23"/>
  <c r="J174" i="23" s="1"/>
  <c r="I175" i="23"/>
  <c r="J175" i="23" s="1"/>
  <c r="I98" i="23"/>
  <c r="J98" i="23" s="1"/>
  <c r="I103" i="23"/>
  <c r="J103" i="23" s="1"/>
  <c r="I108" i="23"/>
  <c r="J108" i="23" s="1"/>
  <c r="I112" i="23"/>
  <c r="J112" i="23" s="1"/>
  <c r="I125" i="23"/>
  <c r="J125" i="23" s="1"/>
  <c r="I143" i="23"/>
  <c r="J143" i="23" s="1"/>
  <c r="I145" i="23"/>
  <c r="J145" i="23" s="1"/>
  <c r="I147" i="23"/>
  <c r="J147" i="23" s="1"/>
  <c r="I149" i="23"/>
  <c r="J149" i="23" s="1"/>
  <c r="I151" i="23"/>
  <c r="J151" i="23" s="1"/>
  <c r="I156" i="23"/>
  <c r="J156" i="23" s="1"/>
  <c r="I159" i="23"/>
  <c r="J159" i="23" s="1"/>
  <c r="I164" i="23"/>
  <c r="J164" i="23" s="1"/>
  <c r="I167" i="23"/>
  <c r="J167" i="23" s="1"/>
  <c r="I172" i="23"/>
  <c r="J172" i="23" s="1"/>
  <c r="I180" i="23"/>
  <c r="J180" i="23" s="1"/>
  <c r="I181" i="23"/>
  <c r="J181" i="23" s="1"/>
  <c r="I182" i="23"/>
  <c r="J182" i="23" s="1"/>
  <c r="I183" i="23"/>
  <c r="J183" i="23" s="1"/>
  <c r="I184" i="23"/>
  <c r="J184" i="23" s="1"/>
  <c r="I188" i="23"/>
  <c r="J188" i="23" s="1"/>
  <c r="I193" i="23"/>
  <c r="J193" i="23" s="1"/>
  <c r="I194" i="23"/>
  <c r="J194" i="23" s="1"/>
  <c r="I196" i="23"/>
  <c r="J196" i="23" s="1"/>
  <c r="I197" i="23"/>
  <c r="J197" i="23" s="1"/>
  <c r="I198" i="23"/>
  <c r="J198" i="23" s="1"/>
  <c r="I199" i="23"/>
  <c r="J199" i="23" s="1"/>
  <c r="I200" i="23"/>
  <c r="J200" i="23" s="1"/>
  <c r="I203" i="23"/>
  <c r="J203" i="23" s="1"/>
  <c r="I204" i="23"/>
  <c r="J204" i="23" s="1"/>
  <c r="I206" i="23"/>
  <c r="J206" i="23" s="1"/>
  <c r="I207" i="23"/>
  <c r="J207" i="23" s="1"/>
  <c r="I208" i="23"/>
  <c r="J208" i="23" s="1"/>
  <c r="I210" i="23"/>
  <c r="J210" i="23" s="1"/>
  <c r="I211" i="23"/>
  <c r="J211" i="23" s="1"/>
  <c r="I212" i="23"/>
  <c r="J212" i="23" s="1"/>
  <c r="I106" i="23"/>
  <c r="J106" i="23" s="1"/>
  <c r="I124" i="23"/>
  <c r="J124" i="23" s="1"/>
  <c r="I126" i="23"/>
  <c r="J126" i="23" s="1"/>
  <c r="I128" i="23"/>
  <c r="J128" i="23" s="1"/>
  <c r="I160" i="23"/>
  <c r="J160" i="23" s="1"/>
  <c r="I163" i="23"/>
  <c r="J163" i="23" s="1"/>
  <c r="I177" i="23"/>
  <c r="J177" i="23" s="1"/>
  <c r="I179" i="23"/>
  <c r="J179" i="23" s="1"/>
  <c r="I185" i="23"/>
  <c r="J185" i="23" s="1"/>
  <c r="I190" i="23"/>
  <c r="J190" i="23" s="1"/>
  <c r="I191" i="23"/>
  <c r="J191" i="23" s="1"/>
  <c r="I195" i="23"/>
  <c r="J195" i="23" s="1"/>
  <c r="I201" i="23"/>
  <c r="J201" i="23" s="1"/>
  <c r="I205" i="23"/>
  <c r="J205" i="23" s="1"/>
  <c r="I209" i="23"/>
  <c r="J209" i="23" s="1"/>
  <c r="I214" i="23"/>
  <c r="J214" i="23" s="1"/>
  <c r="I215" i="23"/>
  <c r="J215" i="23" s="1"/>
  <c r="I216" i="23"/>
  <c r="J216" i="23" s="1"/>
  <c r="I221" i="23"/>
  <c r="J221" i="23" s="1"/>
  <c r="I222" i="23"/>
  <c r="J222" i="23" s="1"/>
  <c r="I224" i="23"/>
  <c r="J224" i="23" s="1"/>
  <c r="I225" i="23"/>
  <c r="J225" i="23" s="1"/>
  <c r="I229" i="23"/>
  <c r="J229" i="23" s="1"/>
  <c r="I230" i="23"/>
  <c r="J230" i="23" s="1"/>
  <c r="I233" i="23"/>
  <c r="J233" i="23" s="1"/>
  <c r="I234" i="23"/>
  <c r="J234" i="23" s="1"/>
  <c r="I237" i="23"/>
  <c r="J237" i="23" s="1"/>
  <c r="I238" i="23"/>
  <c r="J238" i="23" s="1"/>
  <c r="I242" i="23"/>
  <c r="J242" i="23" s="1"/>
  <c r="I243" i="23"/>
  <c r="J243" i="23" s="1"/>
  <c r="I244" i="23"/>
  <c r="J244" i="23" s="1"/>
  <c r="I245" i="23"/>
  <c r="J245" i="23" s="1"/>
  <c r="I247" i="23"/>
  <c r="J247" i="23" s="1"/>
  <c r="I248" i="23"/>
  <c r="J248" i="23" s="1"/>
  <c r="I249" i="23"/>
  <c r="J249" i="23" s="1"/>
  <c r="I254" i="23"/>
  <c r="J254" i="23" s="1"/>
  <c r="I255" i="23"/>
  <c r="J255" i="23" s="1"/>
  <c r="I256" i="23"/>
  <c r="J256" i="23" s="1"/>
  <c r="I257" i="23"/>
  <c r="J257" i="23" s="1"/>
  <c r="I259" i="23"/>
  <c r="J259" i="23" s="1"/>
  <c r="I260" i="23"/>
  <c r="J260" i="23" s="1"/>
  <c r="I261" i="23"/>
  <c r="J261" i="23" s="1"/>
  <c r="I262" i="23"/>
  <c r="J262" i="23" s="1"/>
  <c r="I263" i="23"/>
  <c r="J263" i="23" s="1"/>
  <c r="I265" i="23"/>
  <c r="J265" i="23" s="1"/>
  <c r="I266" i="23"/>
  <c r="J266" i="23" s="1"/>
  <c r="I273" i="23"/>
  <c r="J273" i="23" s="1"/>
  <c r="I274" i="23"/>
  <c r="J274" i="23" s="1"/>
  <c r="I275" i="23"/>
  <c r="J275" i="23" s="1"/>
  <c r="I277" i="23"/>
  <c r="J277" i="23" s="1"/>
  <c r="I280" i="23"/>
  <c r="J280" i="23" s="1"/>
  <c r="I285" i="23"/>
  <c r="J285" i="23" s="1"/>
  <c r="I286" i="23"/>
  <c r="J286" i="23" s="1"/>
  <c r="I287" i="23"/>
  <c r="J287" i="23" s="1"/>
  <c r="I289" i="23"/>
  <c r="J289" i="23" s="1"/>
  <c r="I290" i="23"/>
  <c r="J290" i="23" s="1"/>
  <c r="I291" i="23"/>
  <c r="J291" i="23" s="1"/>
  <c r="I292" i="23"/>
  <c r="J292" i="23" s="1"/>
  <c r="I296" i="23"/>
  <c r="J296" i="23" s="1"/>
  <c r="I300" i="23"/>
  <c r="J300" i="23" s="1"/>
  <c r="I305" i="23"/>
  <c r="J305" i="23" s="1"/>
  <c r="I309" i="23"/>
  <c r="J309" i="23" s="1"/>
  <c r="I313" i="23"/>
  <c r="J313" i="23" s="1"/>
  <c r="I100" i="23"/>
  <c r="J100" i="23" s="1"/>
  <c r="I152" i="23"/>
  <c r="J152" i="23" s="1"/>
  <c r="I155" i="23"/>
  <c r="J155" i="23" s="1"/>
  <c r="I168" i="23"/>
  <c r="J168" i="23" s="1"/>
  <c r="I171" i="23"/>
  <c r="J171" i="23" s="1"/>
  <c r="I176" i="23"/>
  <c r="J176" i="23" s="1"/>
  <c r="I178" i="23"/>
  <c r="J178" i="23" s="1"/>
  <c r="I186" i="23"/>
  <c r="J186" i="23" s="1"/>
  <c r="I187" i="23"/>
  <c r="J187" i="23" s="1"/>
  <c r="I189" i="23"/>
  <c r="J189" i="23" s="1"/>
  <c r="I192" i="23"/>
  <c r="J192" i="23" s="1"/>
  <c r="I202" i="23"/>
  <c r="J202" i="23" s="1"/>
  <c r="I213" i="23"/>
  <c r="J213" i="23" s="1"/>
  <c r="I217" i="23"/>
  <c r="J217" i="23" s="1"/>
  <c r="I218" i="23"/>
  <c r="J218" i="23" s="1"/>
  <c r="I219" i="23"/>
  <c r="J219" i="23" s="1"/>
  <c r="I220" i="23"/>
  <c r="J220" i="23" s="1"/>
  <c r="I223" i="23"/>
  <c r="J223" i="23" s="1"/>
  <c r="I226" i="23"/>
  <c r="J226" i="23" s="1"/>
  <c r="I227" i="23"/>
  <c r="J227" i="23" s="1"/>
  <c r="I228" i="23"/>
  <c r="J228" i="23" s="1"/>
  <c r="I231" i="23"/>
  <c r="J231" i="23" s="1"/>
  <c r="I232" i="23"/>
  <c r="J232" i="23" s="1"/>
  <c r="I235" i="23"/>
  <c r="J235" i="23" s="1"/>
  <c r="I236" i="23"/>
  <c r="J236" i="23" s="1"/>
  <c r="I239" i="23"/>
  <c r="J239" i="23" s="1"/>
  <c r="I240" i="23"/>
  <c r="J240" i="23" s="1"/>
  <c r="I241" i="23"/>
  <c r="J241" i="23" s="1"/>
  <c r="I246" i="23"/>
  <c r="J246" i="23" s="1"/>
  <c r="I250" i="23"/>
  <c r="J250" i="23" s="1"/>
  <c r="I251" i="23"/>
  <c r="J251" i="23" s="1"/>
  <c r="I252" i="23"/>
  <c r="J252" i="23" s="1"/>
  <c r="I253" i="23"/>
  <c r="J253" i="23" s="1"/>
  <c r="I258" i="23"/>
  <c r="J258" i="23" s="1"/>
  <c r="I264" i="23"/>
  <c r="J264" i="23" s="1"/>
  <c r="I267" i="23"/>
  <c r="J267" i="23" s="1"/>
  <c r="I268" i="23"/>
  <c r="J268" i="23" s="1"/>
  <c r="I269" i="23"/>
  <c r="J269" i="23" s="1"/>
  <c r="I270" i="23"/>
  <c r="J270" i="23" s="1"/>
  <c r="I271" i="23"/>
  <c r="J271" i="23" s="1"/>
  <c r="I272" i="23"/>
  <c r="J272" i="23" s="1"/>
  <c r="I276" i="23"/>
  <c r="J276" i="23" s="1"/>
  <c r="I278" i="23"/>
  <c r="J278" i="23" s="1"/>
  <c r="I279" i="23"/>
  <c r="J279" i="23" s="1"/>
  <c r="I281" i="23"/>
  <c r="J281" i="23" s="1"/>
  <c r="I282" i="23"/>
  <c r="J282" i="23" s="1"/>
  <c r="I283" i="23"/>
  <c r="J283" i="23" s="1"/>
  <c r="I284" i="23"/>
  <c r="J284" i="23" s="1"/>
  <c r="I288" i="23"/>
  <c r="J288" i="23" s="1"/>
  <c r="I293" i="23"/>
  <c r="J293" i="23" s="1"/>
  <c r="I294" i="23"/>
  <c r="J294" i="23" s="1"/>
  <c r="I295" i="23"/>
  <c r="J295" i="23" s="1"/>
  <c r="I297" i="23"/>
  <c r="J297" i="23" s="1"/>
  <c r="I298" i="23"/>
  <c r="J298" i="23" s="1"/>
  <c r="I299" i="23"/>
  <c r="J299" i="23" s="1"/>
  <c r="I301" i="23"/>
  <c r="J301" i="23" s="1"/>
  <c r="I302" i="23"/>
  <c r="J302" i="23" s="1"/>
  <c r="I303" i="23"/>
  <c r="J303" i="23" s="1"/>
  <c r="I304" i="23"/>
  <c r="J304" i="23" s="1"/>
  <c r="I306" i="23"/>
  <c r="J306" i="23" s="1"/>
  <c r="I307" i="23"/>
  <c r="J307" i="23" s="1"/>
  <c r="I308" i="23"/>
  <c r="J308" i="23" s="1"/>
  <c r="I310" i="23"/>
  <c r="J310" i="23" s="1"/>
  <c r="I311" i="23"/>
  <c r="J311" i="23" s="1"/>
  <c r="I312" i="23"/>
  <c r="J312" i="23" s="1"/>
  <c r="I314" i="23"/>
  <c r="J314" i="23" s="1"/>
  <c r="I315" i="23"/>
  <c r="J315" i="23" s="1"/>
  <c r="I317" i="23"/>
  <c r="J317" i="23" s="1"/>
  <c r="I23" i="23"/>
  <c r="J23" i="23" s="1"/>
  <c r="I316" i="23"/>
  <c r="J316" i="23" s="1"/>
  <c r="I319" i="23"/>
  <c r="J319" i="23" s="1"/>
  <c r="I321" i="23"/>
  <c r="J321" i="23" s="1"/>
  <c r="I322" i="23"/>
  <c r="J322" i="23" s="1"/>
  <c r="I318" i="23"/>
  <c r="J318" i="23" s="1"/>
  <c r="I320" i="23"/>
  <c r="J320" i="23" s="1"/>
  <c r="M25" i="23"/>
  <c r="N25" i="23" s="1"/>
  <c r="O25" i="23" s="1"/>
  <c r="P25" i="23" s="1"/>
  <c r="M27" i="23"/>
  <c r="N27" i="23" s="1"/>
  <c r="O27" i="23" s="1"/>
  <c r="P27" i="23" s="1"/>
  <c r="M29" i="23"/>
  <c r="N29" i="23" s="1"/>
  <c r="O29" i="23" s="1"/>
  <c r="P29" i="23" s="1"/>
  <c r="M24" i="23"/>
  <c r="N24" i="23" s="1"/>
  <c r="O24" i="23" s="1"/>
  <c r="P24" i="23" s="1"/>
  <c r="M26" i="23"/>
  <c r="N26" i="23" s="1"/>
  <c r="O26" i="23" s="1"/>
  <c r="P26" i="23" s="1"/>
  <c r="M31" i="23"/>
  <c r="N31" i="23" s="1"/>
  <c r="O31" i="23" s="1"/>
  <c r="P31" i="23" s="1"/>
  <c r="M33" i="23"/>
  <c r="N33" i="23" s="1"/>
  <c r="O33" i="23" s="1"/>
  <c r="P33" i="23" s="1"/>
  <c r="M35" i="23"/>
  <c r="N35" i="23" s="1"/>
  <c r="O35" i="23" s="1"/>
  <c r="P35" i="23" s="1"/>
  <c r="M36" i="23"/>
  <c r="N36" i="23" s="1"/>
  <c r="O36" i="23" s="1"/>
  <c r="P36" i="23" s="1"/>
  <c r="M37" i="23"/>
  <c r="N37" i="23" s="1"/>
  <c r="O37" i="23" s="1"/>
  <c r="P37" i="23" s="1"/>
  <c r="M42" i="23"/>
  <c r="N42" i="23" s="1"/>
  <c r="O42" i="23" s="1"/>
  <c r="P42" i="23" s="1"/>
  <c r="M28" i="23"/>
  <c r="N28" i="23" s="1"/>
  <c r="O28" i="23" s="1"/>
  <c r="P28" i="23" s="1"/>
  <c r="M30" i="23"/>
  <c r="N30" i="23" s="1"/>
  <c r="O30" i="23" s="1"/>
  <c r="P30" i="23" s="1"/>
  <c r="M38" i="23"/>
  <c r="N38" i="23" s="1"/>
  <c r="O38" i="23" s="1"/>
  <c r="P38" i="23" s="1"/>
  <c r="M41" i="23"/>
  <c r="N41" i="23" s="1"/>
  <c r="O41" i="23" s="1"/>
  <c r="P41" i="23" s="1"/>
  <c r="M32" i="23"/>
  <c r="N32" i="23" s="1"/>
  <c r="O32" i="23" s="1"/>
  <c r="P32" i="23" s="1"/>
  <c r="M34" i="23"/>
  <c r="N34" i="23" s="1"/>
  <c r="O34" i="23" s="1"/>
  <c r="P34" i="23" s="1"/>
  <c r="M39" i="23"/>
  <c r="N39" i="23" s="1"/>
  <c r="O39" i="23" s="1"/>
  <c r="P39" i="23" s="1"/>
  <c r="M40" i="23"/>
  <c r="N40" i="23" s="1"/>
  <c r="O40" i="23" s="1"/>
  <c r="P40" i="23" s="1"/>
  <c r="M43" i="23"/>
  <c r="N43" i="23" s="1"/>
  <c r="O43" i="23" s="1"/>
  <c r="P43" i="23" s="1"/>
  <c r="M44" i="23"/>
  <c r="N44" i="23" s="1"/>
  <c r="O44" i="23" s="1"/>
  <c r="P44" i="23" s="1"/>
  <c r="M45" i="23"/>
  <c r="N45" i="23" s="1"/>
  <c r="O45" i="23" s="1"/>
  <c r="P45" i="23" s="1"/>
  <c r="M46" i="23"/>
  <c r="N46" i="23" s="1"/>
  <c r="O46" i="23" s="1"/>
  <c r="P46" i="23" s="1"/>
  <c r="M47" i="23"/>
  <c r="N47" i="23" s="1"/>
  <c r="O47" i="23" s="1"/>
  <c r="P47" i="23" s="1"/>
  <c r="M48" i="23"/>
  <c r="N48" i="23" s="1"/>
  <c r="O48" i="23" s="1"/>
  <c r="P48" i="23" s="1"/>
  <c r="M49" i="23"/>
  <c r="N49" i="23" s="1"/>
  <c r="O49" i="23" s="1"/>
  <c r="P49" i="23" s="1"/>
  <c r="M50" i="23"/>
  <c r="N50" i="23" s="1"/>
  <c r="O50" i="23" s="1"/>
  <c r="P50" i="23" s="1"/>
  <c r="M54" i="23"/>
  <c r="N54" i="23" s="1"/>
  <c r="O54" i="23" s="1"/>
  <c r="P54" i="23" s="1"/>
  <c r="M63" i="23"/>
  <c r="N63" i="23" s="1"/>
  <c r="O63" i="23" s="1"/>
  <c r="P63" i="23" s="1"/>
  <c r="M64" i="23"/>
  <c r="N64" i="23" s="1"/>
  <c r="O64" i="23" s="1"/>
  <c r="P64" i="23" s="1"/>
  <c r="M65" i="23"/>
  <c r="N65" i="23" s="1"/>
  <c r="O65" i="23" s="1"/>
  <c r="P65" i="23" s="1"/>
  <c r="M66" i="23"/>
  <c r="N66" i="23" s="1"/>
  <c r="O66" i="23" s="1"/>
  <c r="P66" i="23" s="1"/>
  <c r="M67" i="23"/>
  <c r="N67" i="23" s="1"/>
  <c r="O67" i="23" s="1"/>
  <c r="P67" i="23" s="1"/>
  <c r="M51" i="23"/>
  <c r="N51" i="23" s="1"/>
  <c r="O51" i="23" s="1"/>
  <c r="P51" i="23" s="1"/>
  <c r="M52" i="23"/>
  <c r="N52" i="23" s="1"/>
  <c r="O52" i="23" s="1"/>
  <c r="P52" i="23" s="1"/>
  <c r="M57" i="23"/>
  <c r="N57" i="23" s="1"/>
  <c r="O57" i="23" s="1"/>
  <c r="P57" i="23" s="1"/>
  <c r="M58" i="23"/>
  <c r="N58" i="23" s="1"/>
  <c r="O58" i="23" s="1"/>
  <c r="P58" i="23" s="1"/>
  <c r="M61" i="23"/>
  <c r="N61" i="23" s="1"/>
  <c r="O61" i="23" s="1"/>
  <c r="P61" i="23" s="1"/>
  <c r="M62" i="23"/>
  <c r="N62" i="23" s="1"/>
  <c r="O62" i="23" s="1"/>
  <c r="P62" i="23" s="1"/>
  <c r="M69" i="23"/>
  <c r="N69" i="23" s="1"/>
  <c r="O69" i="23" s="1"/>
  <c r="P69" i="23" s="1"/>
  <c r="M70" i="23"/>
  <c r="N70" i="23" s="1"/>
  <c r="O70" i="23" s="1"/>
  <c r="P70" i="23" s="1"/>
  <c r="M71" i="23"/>
  <c r="N71" i="23" s="1"/>
  <c r="O71" i="23" s="1"/>
  <c r="P71" i="23" s="1"/>
  <c r="M72" i="23"/>
  <c r="N72" i="23" s="1"/>
  <c r="O72" i="23" s="1"/>
  <c r="P72" i="23" s="1"/>
  <c r="M80" i="23"/>
  <c r="N80" i="23" s="1"/>
  <c r="O80" i="23" s="1"/>
  <c r="P80" i="23" s="1"/>
  <c r="M81" i="23"/>
  <c r="N81" i="23" s="1"/>
  <c r="O81" i="23" s="1"/>
  <c r="P81" i="23" s="1"/>
  <c r="M82" i="23"/>
  <c r="N82" i="23" s="1"/>
  <c r="O82" i="23" s="1"/>
  <c r="P82" i="23" s="1"/>
  <c r="M83" i="23"/>
  <c r="N83" i="23" s="1"/>
  <c r="O83" i="23" s="1"/>
  <c r="P83" i="23" s="1"/>
  <c r="M84" i="23"/>
  <c r="N84" i="23" s="1"/>
  <c r="O84" i="23" s="1"/>
  <c r="P84" i="23" s="1"/>
  <c r="M85" i="23"/>
  <c r="N85" i="23" s="1"/>
  <c r="O85" i="23" s="1"/>
  <c r="P85" i="23" s="1"/>
  <c r="M86" i="23"/>
  <c r="N86" i="23" s="1"/>
  <c r="O86" i="23" s="1"/>
  <c r="P86" i="23" s="1"/>
  <c r="M88" i="23"/>
  <c r="N88" i="23" s="1"/>
  <c r="O88" i="23" s="1"/>
  <c r="P88" i="23" s="1"/>
  <c r="M91" i="23"/>
  <c r="N91" i="23" s="1"/>
  <c r="O91" i="23" s="1"/>
  <c r="P91" i="23" s="1"/>
  <c r="M93" i="23"/>
  <c r="N93" i="23" s="1"/>
  <c r="O93" i="23" s="1"/>
  <c r="P93" i="23" s="1"/>
  <c r="M98" i="23"/>
  <c r="N98" i="23" s="1"/>
  <c r="O98" i="23" s="1"/>
  <c r="P98" i="23" s="1"/>
  <c r="M99" i="23"/>
  <c r="N99" i="23" s="1"/>
  <c r="O99" i="23" s="1"/>
  <c r="P99" i="23" s="1"/>
  <c r="M100" i="23"/>
  <c r="N100" i="23" s="1"/>
  <c r="O100" i="23" s="1"/>
  <c r="P100" i="23" s="1"/>
  <c r="M102" i="23"/>
  <c r="N102" i="23" s="1"/>
  <c r="O102" i="23" s="1"/>
  <c r="P102" i="23" s="1"/>
  <c r="M103" i="23"/>
  <c r="N103" i="23" s="1"/>
  <c r="O103" i="23" s="1"/>
  <c r="P103" i="23" s="1"/>
  <c r="M106" i="23"/>
  <c r="N106" i="23" s="1"/>
  <c r="O106" i="23" s="1"/>
  <c r="P106" i="23" s="1"/>
  <c r="M107" i="23"/>
  <c r="N107" i="23" s="1"/>
  <c r="O107" i="23" s="1"/>
  <c r="P107" i="23" s="1"/>
  <c r="M108" i="23"/>
  <c r="N108" i="23" s="1"/>
  <c r="O108" i="23" s="1"/>
  <c r="P108" i="23" s="1"/>
  <c r="M110" i="23"/>
  <c r="N110" i="23" s="1"/>
  <c r="O110" i="23" s="1"/>
  <c r="P110" i="23" s="1"/>
  <c r="M113" i="23"/>
  <c r="N113" i="23" s="1"/>
  <c r="O113" i="23" s="1"/>
  <c r="P113" i="23" s="1"/>
  <c r="M114" i="23"/>
  <c r="N114" i="23" s="1"/>
  <c r="O114" i="23" s="1"/>
  <c r="P114" i="23" s="1"/>
  <c r="M115" i="23"/>
  <c r="N115" i="23" s="1"/>
  <c r="O115" i="23" s="1"/>
  <c r="P115" i="23" s="1"/>
  <c r="M116" i="23"/>
  <c r="N116" i="23" s="1"/>
  <c r="O116" i="23" s="1"/>
  <c r="P116" i="23" s="1"/>
  <c r="M117" i="23"/>
  <c r="N117" i="23" s="1"/>
  <c r="O117" i="23" s="1"/>
  <c r="P117" i="23" s="1"/>
  <c r="M118" i="23"/>
  <c r="N118" i="23" s="1"/>
  <c r="O118" i="23" s="1"/>
  <c r="P118" i="23" s="1"/>
  <c r="M119" i="23"/>
  <c r="N119" i="23" s="1"/>
  <c r="O119" i="23" s="1"/>
  <c r="P119" i="23" s="1"/>
  <c r="M120" i="23"/>
  <c r="N120" i="23" s="1"/>
  <c r="O120" i="23" s="1"/>
  <c r="P120" i="23" s="1"/>
  <c r="M121" i="23"/>
  <c r="N121" i="23" s="1"/>
  <c r="O121" i="23" s="1"/>
  <c r="P121" i="23" s="1"/>
  <c r="M122" i="23"/>
  <c r="N122" i="23" s="1"/>
  <c r="O122" i="23" s="1"/>
  <c r="P122" i="23" s="1"/>
  <c r="M123" i="23"/>
  <c r="N123" i="23" s="1"/>
  <c r="O123" i="23" s="1"/>
  <c r="P123" i="23" s="1"/>
  <c r="M53" i="23"/>
  <c r="N53" i="23" s="1"/>
  <c r="O53" i="23" s="1"/>
  <c r="P53" i="23" s="1"/>
  <c r="M55" i="23"/>
  <c r="N55" i="23" s="1"/>
  <c r="O55" i="23" s="1"/>
  <c r="P55" i="23" s="1"/>
  <c r="M56" i="23"/>
  <c r="N56" i="23" s="1"/>
  <c r="O56" i="23" s="1"/>
  <c r="P56" i="23" s="1"/>
  <c r="M59" i="23"/>
  <c r="N59" i="23" s="1"/>
  <c r="O59" i="23" s="1"/>
  <c r="P59" i="23" s="1"/>
  <c r="M60" i="23"/>
  <c r="N60" i="23" s="1"/>
  <c r="O60" i="23" s="1"/>
  <c r="P60" i="23" s="1"/>
  <c r="M68" i="23"/>
  <c r="N68" i="23" s="1"/>
  <c r="O68" i="23" s="1"/>
  <c r="P68" i="23" s="1"/>
  <c r="M73" i="23"/>
  <c r="N73" i="23" s="1"/>
  <c r="O73" i="23" s="1"/>
  <c r="P73" i="23" s="1"/>
  <c r="M74" i="23"/>
  <c r="N74" i="23" s="1"/>
  <c r="O74" i="23" s="1"/>
  <c r="P74" i="23" s="1"/>
  <c r="M75" i="23"/>
  <c r="N75" i="23" s="1"/>
  <c r="O75" i="23" s="1"/>
  <c r="P75" i="23" s="1"/>
  <c r="M76" i="23"/>
  <c r="N76" i="23" s="1"/>
  <c r="O76" i="23" s="1"/>
  <c r="P76" i="23" s="1"/>
  <c r="M77" i="23"/>
  <c r="N77" i="23" s="1"/>
  <c r="O77" i="23" s="1"/>
  <c r="P77" i="23" s="1"/>
  <c r="M78" i="23"/>
  <c r="N78" i="23" s="1"/>
  <c r="O78" i="23" s="1"/>
  <c r="P78" i="23" s="1"/>
  <c r="M79" i="23"/>
  <c r="N79" i="23" s="1"/>
  <c r="O79" i="23" s="1"/>
  <c r="P79" i="23" s="1"/>
  <c r="M87" i="23"/>
  <c r="N87" i="23" s="1"/>
  <c r="O87" i="23" s="1"/>
  <c r="P87" i="23" s="1"/>
  <c r="M89" i="23"/>
  <c r="N89" i="23" s="1"/>
  <c r="O89" i="23" s="1"/>
  <c r="P89" i="23" s="1"/>
  <c r="M90" i="23"/>
  <c r="N90" i="23" s="1"/>
  <c r="O90" i="23" s="1"/>
  <c r="P90" i="23" s="1"/>
  <c r="M92" i="23"/>
  <c r="N92" i="23" s="1"/>
  <c r="O92" i="23" s="1"/>
  <c r="P92" i="23" s="1"/>
  <c r="M94" i="23"/>
  <c r="N94" i="23" s="1"/>
  <c r="O94" i="23" s="1"/>
  <c r="P94" i="23" s="1"/>
  <c r="M96" i="23"/>
  <c r="N96" i="23" s="1"/>
  <c r="O96" i="23" s="1"/>
  <c r="P96" i="23" s="1"/>
  <c r="M101" i="23"/>
  <c r="N101" i="23" s="1"/>
  <c r="O101" i="23" s="1"/>
  <c r="P101" i="23" s="1"/>
  <c r="M104" i="23"/>
  <c r="N104" i="23" s="1"/>
  <c r="O104" i="23" s="1"/>
  <c r="P104" i="23" s="1"/>
  <c r="M109" i="23"/>
  <c r="N109" i="23" s="1"/>
  <c r="O109" i="23" s="1"/>
  <c r="P109" i="23" s="1"/>
  <c r="M111" i="23"/>
  <c r="N111" i="23" s="1"/>
  <c r="O111" i="23" s="1"/>
  <c r="P111" i="23" s="1"/>
  <c r="M127" i="23"/>
  <c r="N127" i="23" s="1"/>
  <c r="O127" i="23" s="1"/>
  <c r="P127" i="23" s="1"/>
  <c r="M129" i="23"/>
  <c r="N129" i="23" s="1"/>
  <c r="O129" i="23" s="1"/>
  <c r="P129" i="23" s="1"/>
  <c r="M130" i="23"/>
  <c r="N130" i="23" s="1"/>
  <c r="O130" i="23" s="1"/>
  <c r="P130" i="23" s="1"/>
  <c r="M131" i="23"/>
  <c r="N131" i="23" s="1"/>
  <c r="O131" i="23" s="1"/>
  <c r="P131" i="23" s="1"/>
  <c r="M132" i="23"/>
  <c r="N132" i="23" s="1"/>
  <c r="O132" i="23" s="1"/>
  <c r="P132" i="23" s="1"/>
  <c r="M133" i="23"/>
  <c r="N133" i="23" s="1"/>
  <c r="O133" i="23" s="1"/>
  <c r="P133" i="23" s="1"/>
  <c r="M134" i="23"/>
  <c r="N134" i="23" s="1"/>
  <c r="O134" i="23" s="1"/>
  <c r="P134" i="23" s="1"/>
  <c r="M135" i="23"/>
  <c r="N135" i="23" s="1"/>
  <c r="O135" i="23" s="1"/>
  <c r="P135" i="23" s="1"/>
  <c r="M136" i="23"/>
  <c r="N136" i="23" s="1"/>
  <c r="O136" i="23" s="1"/>
  <c r="P136" i="23" s="1"/>
  <c r="M137" i="23"/>
  <c r="N137" i="23" s="1"/>
  <c r="O137" i="23" s="1"/>
  <c r="P137" i="23" s="1"/>
  <c r="M138" i="23"/>
  <c r="N138" i="23" s="1"/>
  <c r="O138" i="23" s="1"/>
  <c r="P138" i="23" s="1"/>
  <c r="M139" i="23"/>
  <c r="N139" i="23" s="1"/>
  <c r="O139" i="23" s="1"/>
  <c r="P139" i="23" s="1"/>
  <c r="M140" i="23"/>
  <c r="N140" i="23" s="1"/>
  <c r="O140" i="23" s="1"/>
  <c r="P140" i="23" s="1"/>
  <c r="M141" i="23"/>
  <c r="N141" i="23" s="1"/>
  <c r="O141" i="23" s="1"/>
  <c r="P141" i="23" s="1"/>
  <c r="M142" i="23"/>
  <c r="N142" i="23" s="1"/>
  <c r="O142" i="23" s="1"/>
  <c r="P142" i="23" s="1"/>
  <c r="M144" i="23"/>
  <c r="N144" i="23" s="1"/>
  <c r="O144" i="23" s="1"/>
  <c r="P144" i="23" s="1"/>
  <c r="M146" i="23"/>
  <c r="N146" i="23" s="1"/>
  <c r="O146" i="23" s="1"/>
  <c r="P146" i="23" s="1"/>
  <c r="M148" i="23"/>
  <c r="N148" i="23" s="1"/>
  <c r="O148" i="23" s="1"/>
  <c r="P148" i="23" s="1"/>
  <c r="M149" i="23"/>
  <c r="N149" i="23" s="1"/>
  <c r="O149" i="23" s="1"/>
  <c r="P149" i="23" s="1"/>
  <c r="M150" i="23"/>
  <c r="N150" i="23" s="1"/>
  <c r="O150" i="23" s="1"/>
  <c r="P150" i="23" s="1"/>
  <c r="M153" i="23"/>
  <c r="N153" i="23" s="1"/>
  <c r="O153" i="23" s="1"/>
  <c r="P153" i="23" s="1"/>
  <c r="M154" i="23"/>
  <c r="N154" i="23" s="1"/>
  <c r="O154" i="23" s="1"/>
  <c r="P154" i="23" s="1"/>
  <c r="M157" i="23"/>
  <c r="N157" i="23" s="1"/>
  <c r="O157" i="23" s="1"/>
  <c r="P157" i="23" s="1"/>
  <c r="M158" i="23"/>
  <c r="N158" i="23" s="1"/>
  <c r="O158" i="23" s="1"/>
  <c r="P158" i="23" s="1"/>
  <c r="M161" i="23"/>
  <c r="N161" i="23" s="1"/>
  <c r="O161" i="23" s="1"/>
  <c r="P161" i="23" s="1"/>
  <c r="M162" i="23"/>
  <c r="N162" i="23" s="1"/>
  <c r="O162" i="23" s="1"/>
  <c r="P162" i="23" s="1"/>
  <c r="M165" i="23"/>
  <c r="N165" i="23" s="1"/>
  <c r="O165" i="23" s="1"/>
  <c r="P165" i="23" s="1"/>
  <c r="M166" i="23"/>
  <c r="N166" i="23" s="1"/>
  <c r="O166" i="23" s="1"/>
  <c r="P166" i="23" s="1"/>
  <c r="M169" i="23"/>
  <c r="N169" i="23" s="1"/>
  <c r="O169" i="23" s="1"/>
  <c r="P169" i="23" s="1"/>
  <c r="M170" i="23"/>
  <c r="N170" i="23" s="1"/>
  <c r="O170" i="23" s="1"/>
  <c r="P170" i="23" s="1"/>
  <c r="M173" i="23"/>
  <c r="N173" i="23" s="1"/>
  <c r="O173" i="23" s="1"/>
  <c r="P173" i="23" s="1"/>
  <c r="M174" i="23"/>
  <c r="N174" i="23" s="1"/>
  <c r="O174" i="23" s="1"/>
  <c r="P174" i="23" s="1"/>
  <c r="M175" i="23"/>
  <c r="N175" i="23" s="1"/>
  <c r="O175" i="23" s="1"/>
  <c r="P175" i="23" s="1"/>
  <c r="M95" i="23"/>
  <c r="N95" i="23" s="1"/>
  <c r="O95" i="23" s="1"/>
  <c r="P95" i="23" s="1"/>
  <c r="M97" i="23"/>
  <c r="N97" i="23" s="1"/>
  <c r="O97" i="23" s="1"/>
  <c r="P97" i="23" s="1"/>
  <c r="M155" i="23"/>
  <c r="N155" i="23" s="1"/>
  <c r="O155" i="23" s="1"/>
  <c r="P155" i="23" s="1"/>
  <c r="M156" i="23"/>
  <c r="N156" i="23" s="1"/>
  <c r="O156" i="23" s="1"/>
  <c r="P156" i="23" s="1"/>
  <c r="M163" i="23"/>
  <c r="N163" i="23" s="1"/>
  <c r="O163" i="23" s="1"/>
  <c r="P163" i="23" s="1"/>
  <c r="M164" i="23"/>
  <c r="N164" i="23" s="1"/>
  <c r="O164" i="23" s="1"/>
  <c r="P164" i="23" s="1"/>
  <c r="M171" i="23"/>
  <c r="N171" i="23" s="1"/>
  <c r="O171" i="23" s="1"/>
  <c r="P171" i="23" s="1"/>
  <c r="M172" i="23"/>
  <c r="N172" i="23" s="1"/>
  <c r="O172" i="23" s="1"/>
  <c r="P172" i="23" s="1"/>
  <c r="M180" i="23"/>
  <c r="N180" i="23" s="1"/>
  <c r="O180" i="23" s="1"/>
  <c r="P180" i="23" s="1"/>
  <c r="M181" i="23"/>
  <c r="N181" i="23" s="1"/>
  <c r="O181" i="23" s="1"/>
  <c r="P181" i="23" s="1"/>
  <c r="M182" i="23"/>
  <c r="N182" i="23" s="1"/>
  <c r="O182" i="23" s="1"/>
  <c r="P182" i="23" s="1"/>
  <c r="M183" i="23"/>
  <c r="N183" i="23" s="1"/>
  <c r="O183" i="23" s="1"/>
  <c r="P183" i="23" s="1"/>
  <c r="M186" i="23"/>
  <c r="N186" i="23" s="1"/>
  <c r="O186" i="23" s="1"/>
  <c r="P186" i="23" s="1"/>
  <c r="M190" i="23"/>
  <c r="N190" i="23" s="1"/>
  <c r="O190" i="23" s="1"/>
  <c r="P190" i="23" s="1"/>
  <c r="M192" i="23"/>
  <c r="N192" i="23" s="1"/>
  <c r="O192" i="23" s="1"/>
  <c r="P192" i="23" s="1"/>
  <c r="M193" i="23"/>
  <c r="N193" i="23" s="1"/>
  <c r="O193" i="23" s="1"/>
  <c r="P193" i="23" s="1"/>
  <c r="M197" i="23"/>
  <c r="N197" i="23" s="1"/>
  <c r="O197" i="23" s="1"/>
  <c r="P197" i="23" s="1"/>
  <c r="M199" i="23"/>
  <c r="N199" i="23" s="1"/>
  <c r="O199" i="23" s="1"/>
  <c r="P199" i="23" s="1"/>
  <c r="M202" i="23"/>
  <c r="N202" i="23" s="1"/>
  <c r="O202" i="23" s="1"/>
  <c r="P202" i="23" s="1"/>
  <c r="M203" i="23"/>
  <c r="N203" i="23" s="1"/>
  <c r="O203" i="23" s="1"/>
  <c r="P203" i="23" s="1"/>
  <c r="M207" i="23"/>
  <c r="N207" i="23" s="1"/>
  <c r="O207" i="23" s="1"/>
  <c r="P207" i="23" s="1"/>
  <c r="M211" i="23"/>
  <c r="N211" i="23" s="1"/>
  <c r="O211" i="23" s="1"/>
  <c r="P211" i="23" s="1"/>
  <c r="M212" i="23"/>
  <c r="N212" i="23" s="1"/>
  <c r="O212" i="23" s="1"/>
  <c r="P212" i="23" s="1"/>
  <c r="M105" i="23"/>
  <c r="N105" i="23" s="1"/>
  <c r="O105" i="23" s="1"/>
  <c r="P105" i="23" s="1"/>
  <c r="M112" i="23"/>
  <c r="N112" i="23" s="1"/>
  <c r="O112" i="23" s="1"/>
  <c r="P112" i="23" s="1"/>
  <c r="M143" i="23"/>
  <c r="N143" i="23" s="1"/>
  <c r="O143" i="23" s="1"/>
  <c r="P143" i="23" s="1"/>
  <c r="M145" i="23"/>
  <c r="N145" i="23" s="1"/>
  <c r="O145" i="23" s="1"/>
  <c r="P145" i="23" s="1"/>
  <c r="M147" i="23"/>
  <c r="N147" i="23" s="1"/>
  <c r="O147" i="23" s="1"/>
  <c r="P147" i="23" s="1"/>
  <c r="M151" i="23"/>
  <c r="N151" i="23" s="1"/>
  <c r="O151" i="23" s="1"/>
  <c r="P151" i="23" s="1"/>
  <c r="M152" i="23"/>
  <c r="N152" i="23" s="1"/>
  <c r="O152" i="23" s="1"/>
  <c r="P152" i="23" s="1"/>
  <c r="M167" i="23"/>
  <c r="N167" i="23" s="1"/>
  <c r="O167" i="23" s="1"/>
  <c r="P167" i="23" s="1"/>
  <c r="M168" i="23"/>
  <c r="N168" i="23" s="1"/>
  <c r="O168" i="23" s="1"/>
  <c r="P168" i="23" s="1"/>
  <c r="M184" i="23"/>
  <c r="N184" i="23" s="1"/>
  <c r="O184" i="23" s="1"/>
  <c r="P184" i="23" s="1"/>
  <c r="M187" i="23"/>
  <c r="N187" i="23" s="1"/>
  <c r="O187" i="23" s="1"/>
  <c r="P187" i="23" s="1"/>
  <c r="M189" i="23"/>
  <c r="N189" i="23" s="1"/>
  <c r="O189" i="23" s="1"/>
  <c r="P189" i="23" s="1"/>
  <c r="M200" i="23"/>
  <c r="N200" i="23" s="1"/>
  <c r="O200" i="23" s="1"/>
  <c r="P200" i="23" s="1"/>
  <c r="M213" i="23"/>
  <c r="N213" i="23" s="1"/>
  <c r="O213" i="23" s="1"/>
  <c r="P213" i="23" s="1"/>
  <c r="M217" i="23"/>
  <c r="N217" i="23" s="1"/>
  <c r="O217" i="23" s="1"/>
  <c r="P217" i="23" s="1"/>
  <c r="M218" i="23"/>
  <c r="N218" i="23" s="1"/>
  <c r="O218" i="23" s="1"/>
  <c r="P218" i="23" s="1"/>
  <c r="M219" i="23"/>
  <c r="N219" i="23" s="1"/>
  <c r="O219" i="23" s="1"/>
  <c r="P219" i="23" s="1"/>
  <c r="M220" i="23"/>
  <c r="N220" i="23" s="1"/>
  <c r="O220" i="23" s="1"/>
  <c r="P220" i="23" s="1"/>
  <c r="M223" i="23"/>
  <c r="N223" i="23" s="1"/>
  <c r="O223" i="23" s="1"/>
  <c r="P223" i="23" s="1"/>
  <c r="M225" i="23"/>
  <c r="N225" i="23" s="1"/>
  <c r="O225" i="23" s="1"/>
  <c r="P225" i="23" s="1"/>
  <c r="M226" i="23"/>
  <c r="N226" i="23" s="1"/>
  <c r="O226" i="23" s="1"/>
  <c r="P226" i="23" s="1"/>
  <c r="M227" i="23"/>
  <c r="N227" i="23" s="1"/>
  <c r="O227" i="23" s="1"/>
  <c r="P227" i="23" s="1"/>
  <c r="M231" i="23"/>
  <c r="N231" i="23" s="1"/>
  <c r="O231" i="23" s="1"/>
  <c r="P231" i="23" s="1"/>
  <c r="M232" i="23"/>
  <c r="N232" i="23" s="1"/>
  <c r="O232" i="23" s="1"/>
  <c r="P232" i="23" s="1"/>
  <c r="M235" i="23"/>
  <c r="N235" i="23" s="1"/>
  <c r="O235" i="23" s="1"/>
  <c r="P235" i="23" s="1"/>
  <c r="M236" i="23"/>
  <c r="N236" i="23" s="1"/>
  <c r="O236" i="23" s="1"/>
  <c r="P236" i="23" s="1"/>
  <c r="M240" i="23"/>
  <c r="N240" i="23" s="1"/>
  <c r="O240" i="23" s="1"/>
  <c r="P240" i="23" s="1"/>
  <c r="M243" i="23"/>
  <c r="N243" i="23" s="1"/>
  <c r="O243" i="23" s="1"/>
  <c r="P243" i="23" s="1"/>
  <c r="M245" i="23"/>
  <c r="N245" i="23" s="1"/>
  <c r="O245" i="23" s="1"/>
  <c r="P245" i="23" s="1"/>
  <c r="M246" i="23"/>
  <c r="N246" i="23" s="1"/>
  <c r="O246" i="23" s="1"/>
  <c r="P246" i="23" s="1"/>
  <c r="M247" i="23"/>
  <c r="N247" i="23" s="1"/>
  <c r="O247" i="23" s="1"/>
  <c r="P247" i="23" s="1"/>
  <c r="M249" i="23"/>
  <c r="N249" i="23" s="1"/>
  <c r="O249" i="23" s="1"/>
  <c r="P249" i="23" s="1"/>
  <c r="M250" i="23"/>
  <c r="N250" i="23" s="1"/>
  <c r="O250" i="23" s="1"/>
  <c r="P250" i="23" s="1"/>
  <c r="M252" i="23"/>
  <c r="N252" i="23" s="1"/>
  <c r="O252" i="23" s="1"/>
  <c r="P252" i="23" s="1"/>
  <c r="M255" i="23"/>
  <c r="N255" i="23" s="1"/>
  <c r="O255" i="23" s="1"/>
  <c r="P255" i="23" s="1"/>
  <c r="M257" i="23"/>
  <c r="N257" i="23" s="1"/>
  <c r="O257" i="23" s="1"/>
  <c r="P257" i="23" s="1"/>
  <c r="M258" i="23"/>
  <c r="N258" i="23" s="1"/>
  <c r="O258" i="23" s="1"/>
  <c r="P258" i="23" s="1"/>
  <c r="M259" i="23"/>
  <c r="N259" i="23" s="1"/>
  <c r="O259" i="23" s="1"/>
  <c r="P259" i="23" s="1"/>
  <c r="M261" i="23"/>
  <c r="N261" i="23" s="1"/>
  <c r="O261" i="23" s="1"/>
  <c r="P261" i="23" s="1"/>
  <c r="M263" i="23"/>
  <c r="N263" i="23" s="1"/>
  <c r="O263" i="23" s="1"/>
  <c r="P263" i="23" s="1"/>
  <c r="M264" i="23"/>
  <c r="N264" i="23" s="1"/>
  <c r="O264" i="23" s="1"/>
  <c r="P264" i="23" s="1"/>
  <c r="M267" i="23"/>
  <c r="N267" i="23" s="1"/>
  <c r="O267" i="23" s="1"/>
  <c r="P267" i="23" s="1"/>
  <c r="M268" i="23"/>
  <c r="N268" i="23" s="1"/>
  <c r="O268" i="23" s="1"/>
  <c r="P268" i="23" s="1"/>
  <c r="M269" i="23"/>
  <c r="N269" i="23" s="1"/>
  <c r="O269" i="23" s="1"/>
  <c r="P269" i="23" s="1"/>
  <c r="M271" i="23"/>
  <c r="N271" i="23" s="1"/>
  <c r="O271" i="23" s="1"/>
  <c r="P271" i="23" s="1"/>
  <c r="M274" i="23"/>
  <c r="N274" i="23" s="1"/>
  <c r="O274" i="23" s="1"/>
  <c r="P274" i="23" s="1"/>
  <c r="M279" i="23"/>
  <c r="N279" i="23" s="1"/>
  <c r="O279" i="23" s="1"/>
  <c r="P279" i="23" s="1"/>
  <c r="M280" i="23"/>
  <c r="N280" i="23" s="1"/>
  <c r="O280" i="23" s="1"/>
  <c r="P280" i="23" s="1"/>
  <c r="M281" i="23"/>
  <c r="N281" i="23" s="1"/>
  <c r="O281" i="23" s="1"/>
  <c r="P281" i="23" s="1"/>
  <c r="M283" i="23"/>
  <c r="N283" i="23" s="1"/>
  <c r="O283" i="23" s="1"/>
  <c r="P283" i="23" s="1"/>
  <c r="M286" i="23"/>
  <c r="N286" i="23" s="1"/>
  <c r="O286" i="23" s="1"/>
  <c r="P286" i="23" s="1"/>
  <c r="M290" i="23"/>
  <c r="N290" i="23" s="1"/>
  <c r="O290" i="23" s="1"/>
  <c r="P290" i="23" s="1"/>
  <c r="M292" i="23"/>
  <c r="N292" i="23" s="1"/>
  <c r="O292" i="23" s="1"/>
  <c r="P292" i="23" s="1"/>
  <c r="M293" i="23"/>
  <c r="N293" i="23" s="1"/>
  <c r="O293" i="23" s="1"/>
  <c r="P293" i="23" s="1"/>
  <c r="M295" i="23"/>
  <c r="N295" i="23" s="1"/>
  <c r="O295" i="23" s="1"/>
  <c r="P295" i="23" s="1"/>
  <c r="M296" i="23"/>
  <c r="N296" i="23" s="1"/>
  <c r="O296" i="23" s="1"/>
  <c r="P296" i="23" s="1"/>
  <c r="M297" i="23"/>
  <c r="N297" i="23" s="1"/>
  <c r="O297" i="23" s="1"/>
  <c r="P297" i="23" s="1"/>
  <c r="M299" i="23"/>
  <c r="N299" i="23" s="1"/>
  <c r="O299" i="23" s="1"/>
  <c r="P299" i="23" s="1"/>
  <c r="M300" i="23"/>
  <c r="N300" i="23" s="1"/>
  <c r="O300" i="23" s="1"/>
  <c r="P300" i="23" s="1"/>
  <c r="M301" i="23"/>
  <c r="N301" i="23" s="1"/>
  <c r="O301" i="23" s="1"/>
  <c r="P301" i="23" s="1"/>
  <c r="M303" i="23"/>
  <c r="N303" i="23" s="1"/>
  <c r="O303" i="23" s="1"/>
  <c r="P303" i="23" s="1"/>
  <c r="M307" i="23"/>
  <c r="N307" i="23" s="1"/>
  <c r="O307" i="23" s="1"/>
  <c r="P307" i="23" s="1"/>
  <c r="M311" i="23"/>
  <c r="N311" i="23" s="1"/>
  <c r="O311" i="23" s="1"/>
  <c r="P311" i="23" s="1"/>
  <c r="M315" i="23"/>
  <c r="N315" i="23" s="1"/>
  <c r="O315" i="23" s="1"/>
  <c r="P315" i="23" s="1"/>
  <c r="M316" i="23"/>
  <c r="N316" i="23" s="1"/>
  <c r="O316" i="23" s="1"/>
  <c r="P316" i="23" s="1"/>
  <c r="M124" i="23"/>
  <c r="N124" i="23" s="1"/>
  <c r="O124" i="23" s="1"/>
  <c r="P124" i="23" s="1"/>
  <c r="M125" i="23"/>
  <c r="N125" i="23" s="1"/>
  <c r="O125" i="23" s="1"/>
  <c r="P125" i="23" s="1"/>
  <c r="M126" i="23"/>
  <c r="N126" i="23" s="1"/>
  <c r="O126" i="23" s="1"/>
  <c r="P126" i="23" s="1"/>
  <c r="M128" i="23"/>
  <c r="N128" i="23" s="1"/>
  <c r="O128" i="23" s="1"/>
  <c r="P128" i="23" s="1"/>
  <c r="M159" i="23"/>
  <c r="N159" i="23" s="1"/>
  <c r="O159" i="23" s="1"/>
  <c r="P159" i="23" s="1"/>
  <c r="M160" i="23"/>
  <c r="N160" i="23" s="1"/>
  <c r="O160" i="23" s="1"/>
  <c r="P160" i="23" s="1"/>
  <c r="M176" i="23"/>
  <c r="N176" i="23" s="1"/>
  <c r="O176" i="23" s="1"/>
  <c r="P176" i="23" s="1"/>
  <c r="M177" i="23"/>
  <c r="N177" i="23" s="1"/>
  <c r="O177" i="23" s="1"/>
  <c r="P177" i="23" s="1"/>
  <c r="M178" i="23"/>
  <c r="N178" i="23" s="1"/>
  <c r="O178" i="23" s="1"/>
  <c r="P178" i="23" s="1"/>
  <c r="M179" i="23"/>
  <c r="N179" i="23" s="1"/>
  <c r="O179" i="23" s="1"/>
  <c r="P179" i="23" s="1"/>
  <c r="M185" i="23"/>
  <c r="N185" i="23" s="1"/>
  <c r="O185" i="23" s="1"/>
  <c r="P185" i="23" s="1"/>
  <c r="M188" i="23"/>
  <c r="N188" i="23" s="1"/>
  <c r="O188" i="23" s="1"/>
  <c r="P188" i="23" s="1"/>
  <c r="M191" i="23"/>
  <c r="N191" i="23" s="1"/>
  <c r="O191" i="23" s="1"/>
  <c r="P191" i="23" s="1"/>
  <c r="M194" i="23"/>
  <c r="N194" i="23" s="1"/>
  <c r="O194" i="23" s="1"/>
  <c r="P194" i="23" s="1"/>
  <c r="M195" i="23"/>
  <c r="N195" i="23" s="1"/>
  <c r="O195" i="23" s="1"/>
  <c r="P195" i="23" s="1"/>
  <c r="M196" i="23"/>
  <c r="N196" i="23" s="1"/>
  <c r="O196" i="23" s="1"/>
  <c r="P196" i="23" s="1"/>
  <c r="M198" i="23"/>
  <c r="N198" i="23" s="1"/>
  <c r="O198" i="23" s="1"/>
  <c r="P198" i="23" s="1"/>
  <c r="M201" i="23"/>
  <c r="N201" i="23" s="1"/>
  <c r="O201" i="23" s="1"/>
  <c r="P201" i="23" s="1"/>
  <c r="M204" i="23"/>
  <c r="N204" i="23" s="1"/>
  <c r="O204" i="23" s="1"/>
  <c r="P204" i="23" s="1"/>
  <c r="M205" i="23"/>
  <c r="N205" i="23" s="1"/>
  <c r="O205" i="23" s="1"/>
  <c r="P205" i="23" s="1"/>
  <c r="M206" i="23"/>
  <c r="N206" i="23" s="1"/>
  <c r="O206" i="23" s="1"/>
  <c r="P206" i="23" s="1"/>
  <c r="M208" i="23"/>
  <c r="N208" i="23" s="1"/>
  <c r="O208" i="23" s="1"/>
  <c r="P208" i="23" s="1"/>
  <c r="M209" i="23"/>
  <c r="N209" i="23" s="1"/>
  <c r="O209" i="23" s="1"/>
  <c r="P209" i="23" s="1"/>
  <c r="M210" i="23"/>
  <c r="N210" i="23" s="1"/>
  <c r="O210" i="23" s="1"/>
  <c r="P210" i="23" s="1"/>
  <c r="M214" i="23"/>
  <c r="N214" i="23" s="1"/>
  <c r="O214" i="23" s="1"/>
  <c r="P214" i="23" s="1"/>
  <c r="M215" i="23"/>
  <c r="N215" i="23" s="1"/>
  <c r="O215" i="23" s="1"/>
  <c r="P215" i="23" s="1"/>
  <c r="M216" i="23"/>
  <c r="N216" i="23" s="1"/>
  <c r="O216" i="23" s="1"/>
  <c r="P216" i="23" s="1"/>
  <c r="M221" i="23"/>
  <c r="N221" i="23" s="1"/>
  <c r="O221" i="23" s="1"/>
  <c r="P221" i="23" s="1"/>
  <c r="M222" i="23"/>
  <c r="N222" i="23" s="1"/>
  <c r="O222" i="23" s="1"/>
  <c r="P222" i="23" s="1"/>
  <c r="M224" i="23"/>
  <c r="N224" i="23" s="1"/>
  <c r="O224" i="23" s="1"/>
  <c r="P224" i="23" s="1"/>
  <c r="M228" i="23"/>
  <c r="N228" i="23" s="1"/>
  <c r="O228" i="23" s="1"/>
  <c r="P228" i="23" s="1"/>
  <c r="M229" i="23"/>
  <c r="N229" i="23" s="1"/>
  <c r="O229" i="23" s="1"/>
  <c r="P229" i="23" s="1"/>
  <c r="M230" i="23"/>
  <c r="N230" i="23" s="1"/>
  <c r="O230" i="23" s="1"/>
  <c r="P230" i="23" s="1"/>
  <c r="M233" i="23"/>
  <c r="N233" i="23" s="1"/>
  <c r="O233" i="23" s="1"/>
  <c r="P233" i="23" s="1"/>
  <c r="M234" i="23"/>
  <c r="N234" i="23" s="1"/>
  <c r="O234" i="23" s="1"/>
  <c r="P234" i="23" s="1"/>
  <c r="M237" i="23"/>
  <c r="N237" i="23" s="1"/>
  <c r="O237" i="23" s="1"/>
  <c r="P237" i="23" s="1"/>
  <c r="M238" i="23"/>
  <c r="N238" i="23" s="1"/>
  <c r="O238" i="23" s="1"/>
  <c r="P238" i="23" s="1"/>
  <c r="M239" i="23"/>
  <c r="N239" i="23" s="1"/>
  <c r="O239" i="23" s="1"/>
  <c r="P239" i="23" s="1"/>
  <c r="M241" i="23"/>
  <c r="N241" i="23" s="1"/>
  <c r="O241" i="23" s="1"/>
  <c r="P241" i="23" s="1"/>
  <c r="M242" i="23"/>
  <c r="N242" i="23" s="1"/>
  <c r="O242" i="23" s="1"/>
  <c r="P242" i="23" s="1"/>
  <c r="M244" i="23"/>
  <c r="N244" i="23" s="1"/>
  <c r="O244" i="23" s="1"/>
  <c r="P244" i="23" s="1"/>
  <c r="M248" i="23"/>
  <c r="N248" i="23" s="1"/>
  <c r="O248" i="23" s="1"/>
  <c r="P248" i="23" s="1"/>
  <c r="M251" i="23"/>
  <c r="N251" i="23" s="1"/>
  <c r="O251" i="23" s="1"/>
  <c r="P251" i="23" s="1"/>
  <c r="M253" i="23"/>
  <c r="N253" i="23" s="1"/>
  <c r="O253" i="23" s="1"/>
  <c r="P253" i="23" s="1"/>
  <c r="M254" i="23"/>
  <c r="N254" i="23" s="1"/>
  <c r="O254" i="23" s="1"/>
  <c r="P254" i="23" s="1"/>
  <c r="M256" i="23"/>
  <c r="N256" i="23" s="1"/>
  <c r="O256" i="23" s="1"/>
  <c r="P256" i="23" s="1"/>
  <c r="M260" i="23"/>
  <c r="N260" i="23" s="1"/>
  <c r="O260" i="23" s="1"/>
  <c r="P260" i="23" s="1"/>
  <c r="M262" i="23"/>
  <c r="N262" i="23" s="1"/>
  <c r="O262" i="23" s="1"/>
  <c r="P262" i="23" s="1"/>
  <c r="M265" i="23"/>
  <c r="N265" i="23" s="1"/>
  <c r="O265" i="23" s="1"/>
  <c r="P265" i="23" s="1"/>
  <c r="M266" i="23"/>
  <c r="N266" i="23" s="1"/>
  <c r="O266" i="23" s="1"/>
  <c r="P266" i="23" s="1"/>
  <c r="M270" i="23"/>
  <c r="N270" i="23" s="1"/>
  <c r="O270" i="23" s="1"/>
  <c r="P270" i="23" s="1"/>
  <c r="M272" i="23"/>
  <c r="N272" i="23" s="1"/>
  <c r="O272" i="23" s="1"/>
  <c r="P272" i="23" s="1"/>
  <c r="M273" i="23"/>
  <c r="N273" i="23" s="1"/>
  <c r="O273" i="23" s="1"/>
  <c r="P273" i="23" s="1"/>
  <c r="M275" i="23"/>
  <c r="N275" i="23" s="1"/>
  <c r="O275" i="23" s="1"/>
  <c r="P275" i="23" s="1"/>
  <c r="M276" i="23"/>
  <c r="N276" i="23" s="1"/>
  <c r="O276" i="23" s="1"/>
  <c r="P276" i="23" s="1"/>
  <c r="M277" i="23"/>
  <c r="N277" i="23" s="1"/>
  <c r="O277" i="23" s="1"/>
  <c r="P277" i="23" s="1"/>
  <c r="M278" i="23"/>
  <c r="N278" i="23" s="1"/>
  <c r="O278" i="23" s="1"/>
  <c r="P278" i="23" s="1"/>
  <c r="M282" i="23"/>
  <c r="N282" i="23" s="1"/>
  <c r="O282" i="23" s="1"/>
  <c r="P282" i="23" s="1"/>
  <c r="M284" i="23"/>
  <c r="N284" i="23" s="1"/>
  <c r="O284" i="23" s="1"/>
  <c r="P284" i="23" s="1"/>
  <c r="M285" i="23"/>
  <c r="N285" i="23" s="1"/>
  <c r="O285" i="23" s="1"/>
  <c r="P285" i="23" s="1"/>
  <c r="M287" i="23"/>
  <c r="N287" i="23" s="1"/>
  <c r="O287" i="23" s="1"/>
  <c r="P287" i="23" s="1"/>
  <c r="M288" i="23"/>
  <c r="N288" i="23" s="1"/>
  <c r="O288" i="23" s="1"/>
  <c r="P288" i="23" s="1"/>
  <c r="M289" i="23"/>
  <c r="N289" i="23" s="1"/>
  <c r="O289" i="23" s="1"/>
  <c r="P289" i="23" s="1"/>
  <c r="M291" i="23"/>
  <c r="N291" i="23" s="1"/>
  <c r="O291" i="23" s="1"/>
  <c r="P291" i="23" s="1"/>
  <c r="M294" i="23"/>
  <c r="N294" i="23" s="1"/>
  <c r="O294" i="23" s="1"/>
  <c r="P294" i="23" s="1"/>
  <c r="M298" i="23"/>
  <c r="N298" i="23" s="1"/>
  <c r="O298" i="23" s="1"/>
  <c r="P298" i="23" s="1"/>
  <c r="M302" i="23"/>
  <c r="N302" i="23" s="1"/>
  <c r="O302" i="23" s="1"/>
  <c r="P302" i="23" s="1"/>
  <c r="M304" i="23"/>
  <c r="N304" i="23" s="1"/>
  <c r="O304" i="23" s="1"/>
  <c r="P304" i="23" s="1"/>
  <c r="M305" i="23"/>
  <c r="N305" i="23" s="1"/>
  <c r="O305" i="23" s="1"/>
  <c r="P305" i="23" s="1"/>
  <c r="M306" i="23"/>
  <c r="N306" i="23" s="1"/>
  <c r="O306" i="23" s="1"/>
  <c r="P306" i="23" s="1"/>
  <c r="M308" i="23"/>
  <c r="N308" i="23" s="1"/>
  <c r="O308" i="23" s="1"/>
  <c r="P308" i="23" s="1"/>
  <c r="M309" i="23"/>
  <c r="N309" i="23" s="1"/>
  <c r="O309" i="23" s="1"/>
  <c r="P309" i="23" s="1"/>
  <c r="M310" i="23"/>
  <c r="N310" i="23" s="1"/>
  <c r="O310" i="23" s="1"/>
  <c r="P310" i="23" s="1"/>
  <c r="M312" i="23"/>
  <c r="N312" i="23" s="1"/>
  <c r="O312" i="23" s="1"/>
  <c r="P312" i="23" s="1"/>
  <c r="M313" i="23"/>
  <c r="N313" i="23" s="1"/>
  <c r="O313" i="23" s="1"/>
  <c r="P313" i="23" s="1"/>
  <c r="M314" i="23"/>
  <c r="N314" i="23" s="1"/>
  <c r="O314" i="23" s="1"/>
  <c r="P314" i="23" s="1"/>
  <c r="M318" i="23"/>
  <c r="N318" i="23" s="1"/>
  <c r="O318" i="23" s="1"/>
  <c r="P318" i="23" s="1"/>
  <c r="M319" i="23"/>
  <c r="N319" i="23" s="1"/>
  <c r="O319" i="23" s="1"/>
  <c r="P319" i="23" s="1"/>
  <c r="M320" i="23"/>
  <c r="N320" i="23" s="1"/>
  <c r="O320" i="23" s="1"/>
  <c r="P320" i="23" s="1"/>
  <c r="M321" i="23"/>
  <c r="N321" i="23" s="1"/>
  <c r="O321" i="23" s="1"/>
  <c r="P321" i="23" s="1"/>
  <c r="M322" i="23"/>
  <c r="N322" i="23" s="1"/>
  <c r="O322" i="23" s="1"/>
  <c r="P322" i="23" s="1"/>
  <c r="M23" i="23"/>
  <c r="N23" i="23" s="1"/>
  <c r="M317" i="23"/>
  <c r="N317" i="23" s="1"/>
  <c r="O317" i="23" s="1"/>
  <c r="P317" i="23" s="1"/>
  <c r="Q26" i="23"/>
  <c r="R26" i="23" s="1"/>
  <c r="S26" i="23" s="1"/>
  <c r="Q27" i="23"/>
  <c r="R27" i="23" s="1"/>
  <c r="S27" i="23" s="1"/>
  <c r="Q28" i="23"/>
  <c r="R28" i="23" s="1"/>
  <c r="S28" i="23" s="1"/>
  <c r="Q29" i="23"/>
  <c r="R29" i="23" s="1"/>
  <c r="S29" i="23" s="1"/>
  <c r="Q33" i="23"/>
  <c r="R33" i="23" s="1"/>
  <c r="S33" i="23" s="1"/>
  <c r="Q36" i="23"/>
  <c r="R36" i="23" s="1"/>
  <c r="S36" i="23" s="1"/>
  <c r="Q39" i="23"/>
  <c r="R39" i="23" s="1"/>
  <c r="S39" i="23" s="1"/>
  <c r="Q41" i="23"/>
  <c r="R41" i="23" s="1"/>
  <c r="S41" i="23" s="1"/>
  <c r="Q42" i="23"/>
  <c r="R42" i="23" s="1"/>
  <c r="S42" i="23" s="1"/>
  <c r="Q25" i="23"/>
  <c r="R25" i="23" s="1"/>
  <c r="S25" i="23" s="1"/>
  <c r="Q31" i="23"/>
  <c r="R31" i="23" s="1"/>
  <c r="S31" i="23" s="1"/>
  <c r="Q32" i="23"/>
  <c r="R32" i="23" s="1"/>
  <c r="S32" i="23" s="1"/>
  <c r="Q37" i="23"/>
  <c r="R37" i="23" s="1"/>
  <c r="S37" i="23" s="1"/>
  <c r="Q38" i="23"/>
  <c r="R38" i="23" s="1"/>
  <c r="S38" i="23" s="1"/>
  <c r="Q40" i="23"/>
  <c r="R40" i="23" s="1"/>
  <c r="S40" i="23" s="1"/>
  <c r="Q30" i="23"/>
  <c r="R30" i="23" s="1"/>
  <c r="S30" i="23" s="1"/>
  <c r="Q44" i="23"/>
  <c r="R44" i="23" s="1"/>
  <c r="S44" i="23" s="1"/>
  <c r="Q46" i="23"/>
  <c r="R46" i="23" s="1"/>
  <c r="S46" i="23" s="1"/>
  <c r="Q48" i="23"/>
  <c r="R48" i="23" s="1"/>
  <c r="S48" i="23" s="1"/>
  <c r="Q50" i="23"/>
  <c r="R50" i="23" s="1"/>
  <c r="S50" i="23" s="1"/>
  <c r="Q51" i="23"/>
  <c r="R51" i="23" s="1"/>
  <c r="S51" i="23" s="1"/>
  <c r="Q54" i="23"/>
  <c r="R54" i="23" s="1"/>
  <c r="S54" i="23" s="1"/>
  <c r="Q55" i="23"/>
  <c r="R55" i="23" s="1"/>
  <c r="S55" i="23" s="1"/>
  <c r="Q57" i="23"/>
  <c r="R57" i="23" s="1"/>
  <c r="S57" i="23" s="1"/>
  <c r="Q59" i="23"/>
  <c r="R59" i="23" s="1"/>
  <c r="S59" i="23" s="1"/>
  <c r="Q61" i="23"/>
  <c r="R61" i="23" s="1"/>
  <c r="S61" i="23" s="1"/>
  <c r="Q64" i="23"/>
  <c r="R64" i="23" s="1"/>
  <c r="S64" i="23" s="1"/>
  <c r="Q65" i="23"/>
  <c r="R65" i="23" s="1"/>
  <c r="S65" i="23" s="1"/>
  <c r="Q66" i="23"/>
  <c r="R66" i="23" s="1"/>
  <c r="S66" i="23" s="1"/>
  <c r="Q34" i="23"/>
  <c r="R34" i="23" s="1"/>
  <c r="S34" i="23" s="1"/>
  <c r="Q35" i="23"/>
  <c r="R35" i="23" s="1"/>
  <c r="S35" i="23" s="1"/>
  <c r="Q47" i="23"/>
  <c r="R47" i="23" s="1"/>
  <c r="S47" i="23" s="1"/>
  <c r="Q53" i="23"/>
  <c r="R53" i="23" s="1"/>
  <c r="S53" i="23" s="1"/>
  <c r="Q56" i="23"/>
  <c r="R56" i="23" s="1"/>
  <c r="S56" i="23" s="1"/>
  <c r="Q58" i="23"/>
  <c r="R58" i="23" s="1"/>
  <c r="S58" i="23" s="1"/>
  <c r="Q60" i="23"/>
  <c r="R60" i="23" s="1"/>
  <c r="S60" i="23" s="1"/>
  <c r="Q62" i="23"/>
  <c r="R62" i="23" s="1"/>
  <c r="S62" i="23" s="1"/>
  <c r="Q67" i="23"/>
  <c r="R67" i="23" s="1"/>
  <c r="S67" i="23" s="1"/>
  <c r="Q24" i="23"/>
  <c r="R24" i="23" s="1"/>
  <c r="S24" i="23" s="1"/>
  <c r="Q43" i="23"/>
  <c r="R43" i="23" s="1"/>
  <c r="S43" i="23" s="1"/>
  <c r="Q45" i="23"/>
  <c r="R45" i="23" s="1"/>
  <c r="S45" i="23" s="1"/>
  <c r="Q49" i="23"/>
  <c r="R49" i="23" s="1"/>
  <c r="S49" i="23" s="1"/>
  <c r="Q52" i="23"/>
  <c r="R52" i="23" s="1"/>
  <c r="S52" i="23" s="1"/>
  <c r="Q70" i="23"/>
  <c r="R70" i="23" s="1"/>
  <c r="S70" i="23" s="1"/>
  <c r="Q72" i="23"/>
  <c r="R72" i="23" s="1"/>
  <c r="S72" i="23" s="1"/>
  <c r="Q75" i="23"/>
  <c r="R75" i="23" s="1"/>
  <c r="S75" i="23" s="1"/>
  <c r="Q78" i="23"/>
  <c r="R78" i="23" s="1"/>
  <c r="S78" i="23" s="1"/>
  <c r="Q82" i="23"/>
  <c r="R82" i="23" s="1"/>
  <c r="S82" i="23" s="1"/>
  <c r="Q83" i="23"/>
  <c r="R83" i="23" s="1"/>
  <c r="S83" i="23" s="1"/>
  <c r="Q86" i="23"/>
  <c r="R86" i="23" s="1"/>
  <c r="S86" i="23" s="1"/>
  <c r="Q87" i="23"/>
  <c r="R87" i="23" s="1"/>
  <c r="S87" i="23" s="1"/>
  <c r="Q88" i="23"/>
  <c r="R88" i="23" s="1"/>
  <c r="S88" i="23" s="1"/>
  <c r="Q89" i="23"/>
  <c r="R89" i="23" s="1"/>
  <c r="S89" i="23" s="1"/>
  <c r="Q96" i="23"/>
  <c r="R96" i="23" s="1"/>
  <c r="S96" i="23" s="1"/>
  <c r="Q97" i="23"/>
  <c r="R97" i="23" s="1"/>
  <c r="S97" i="23" s="1"/>
  <c r="Q98" i="23"/>
  <c r="R98" i="23" s="1"/>
  <c r="S98" i="23" s="1"/>
  <c r="Q100" i="23"/>
  <c r="R100" i="23" s="1"/>
  <c r="S100" i="23" s="1"/>
  <c r="Q101" i="23"/>
  <c r="R101" i="23" s="1"/>
  <c r="S101" i="23" s="1"/>
  <c r="Q102" i="23"/>
  <c r="R102" i="23" s="1"/>
  <c r="S102" i="23" s="1"/>
  <c r="Q104" i="23"/>
  <c r="R104" i="23" s="1"/>
  <c r="S104" i="23" s="1"/>
  <c r="Q105" i="23"/>
  <c r="R105" i="23" s="1"/>
  <c r="S105" i="23" s="1"/>
  <c r="Q106" i="23"/>
  <c r="R106" i="23" s="1"/>
  <c r="S106" i="23" s="1"/>
  <c r="Q108" i="23"/>
  <c r="R108" i="23" s="1"/>
  <c r="S108" i="23" s="1"/>
  <c r="Q109" i="23"/>
  <c r="R109" i="23" s="1"/>
  <c r="S109" i="23" s="1"/>
  <c r="Q111" i="23"/>
  <c r="R111" i="23" s="1"/>
  <c r="S111" i="23" s="1"/>
  <c r="Q114" i="23"/>
  <c r="R114" i="23" s="1"/>
  <c r="S114" i="23" s="1"/>
  <c r="Q115" i="23"/>
  <c r="R115" i="23" s="1"/>
  <c r="S115" i="23" s="1"/>
  <c r="Q118" i="23"/>
  <c r="R118" i="23" s="1"/>
  <c r="S118" i="23" s="1"/>
  <c r="Q119" i="23"/>
  <c r="R119" i="23" s="1"/>
  <c r="S119" i="23" s="1"/>
  <c r="Q122" i="23"/>
  <c r="R122" i="23" s="1"/>
  <c r="S122" i="23" s="1"/>
  <c r="Q123" i="23"/>
  <c r="R123" i="23" s="1"/>
  <c r="S123" i="23" s="1"/>
  <c r="Q63" i="23"/>
  <c r="R63" i="23" s="1"/>
  <c r="S63" i="23" s="1"/>
  <c r="Q68" i="23"/>
  <c r="R68" i="23" s="1"/>
  <c r="S68" i="23" s="1"/>
  <c r="Q69" i="23"/>
  <c r="R69" i="23" s="1"/>
  <c r="S69" i="23" s="1"/>
  <c r="Q71" i="23"/>
  <c r="R71" i="23" s="1"/>
  <c r="S71" i="23" s="1"/>
  <c r="Q73" i="23"/>
  <c r="R73" i="23" s="1"/>
  <c r="S73" i="23" s="1"/>
  <c r="Q74" i="23"/>
  <c r="R74" i="23" s="1"/>
  <c r="S74" i="23" s="1"/>
  <c r="Q76" i="23"/>
  <c r="R76" i="23" s="1"/>
  <c r="S76" i="23" s="1"/>
  <c r="Q77" i="23"/>
  <c r="R77" i="23" s="1"/>
  <c r="S77" i="23" s="1"/>
  <c r="Q79" i="23"/>
  <c r="R79" i="23" s="1"/>
  <c r="S79" i="23" s="1"/>
  <c r="Q80" i="23"/>
  <c r="R80" i="23" s="1"/>
  <c r="S80" i="23" s="1"/>
  <c r="Q81" i="23"/>
  <c r="R81" i="23" s="1"/>
  <c r="S81" i="23" s="1"/>
  <c r="Q84" i="23"/>
  <c r="R84" i="23" s="1"/>
  <c r="S84" i="23" s="1"/>
  <c r="Q85" i="23"/>
  <c r="R85" i="23" s="1"/>
  <c r="S85" i="23" s="1"/>
  <c r="Q90" i="23"/>
  <c r="R90" i="23" s="1"/>
  <c r="S90" i="23" s="1"/>
  <c r="Q91" i="23"/>
  <c r="R91" i="23" s="1"/>
  <c r="S91" i="23" s="1"/>
  <c r="Q93" i="23"/>
  <c r="R93" i="23" s="1"/>
  <c r="S93" i="23" s="1"/>
  <c r="Q95" i="23"/>
  <c r="R95" i="23" s="1"/>
  <c r="S95" i="23" s="1"/>
  <c r="Q103" i="23"/>
  <c r="R103" i="23" s="1"/>
  <c r="S103" i="23" s="1"/>
  <c r="Q110" i="23"/>
  <c r="R110" i="23" s="1"/>
  <c r="S110" i="23" s="1"/>
  <c r="Q112" i="23"/>
  <c r="R112" i="23" s="1"/>
  <c r="S112" i="23" s="1"/>
  <c r="Q117" i="23"/>
  <c r="R117" i="23" s="1"/>
  <c r="S117" i="23" s="1"/>
  <c r="Q120" i="23"/>
  <c r="R120" i="23" s="1"/>
  <c r="S120" i="23" s="1"/>
  <c r="Q124" i="23"/>
  <c r="R124" i="23" s="1"/>
  <c r="S124" i="23" s="1"/>
  <c r="Q125" i="23"/>
  <c r="R125" i="23" s="1"/>
  <c r="S125" i="23" s="1"/>
  <c r="Q130" i="23"/>
  <c r="R130" i="23" s="1"/>
  <c r="S130" i="23" s="1"/>
  <c r="Q131" i="23"/>
  <c r="R131" i="23" s="1"/>
  <c r="S131" i="23" s="1"/>
  <c r="Q134" i="23"/>
  <c r="R134" i="23" s="1"/>
  <c r="S134" i="23" s="1"/>
  <c r="Q135" i="23"/>
  <c r="R135" i="23" s="1"/>
  <c r="S135" i="23" s="1"/>
  <c r="Q138" i="23"/>
  <c r="R138" i="23" s="1"/>
  <c r="S138" i="23" s="1"/>
  <c r="Q139" i="23"/>
  <c r="R139" i="23" s="1"/>
  <c r="S139" i="23" s="1"/>
  <c r="Q142" i="23"/>
  <c r="R142" i="23" s="1"/>
  <c r="S142" i="23" s="1"/>
  <c r="Q143" i="23"/>
  <c r="R143" i="23" s="1"/>
  <c r="S143" i="23" s="1"/>
  <c r="Q144" i="23"/>
  <c r="R144" i="23" s="1"/>
  <c r="S144" i="23" s="1"/>
  <c r="Q145" i="23"/>
  <c r="R145" i="23" s="1"/>
  <c r="S145" i="23" s="1"/>
  <c r="Q146" i="23"/>
  <c r="R146" i="23" s="1"/>
  <c r="S146" i="23" s="1"/>
  <c r="Q147" i="23"/>
  <c r="R147" i="23" s="1"/>
  <c r="S147" i="23" s="1"/>
  <c r="Q148" i="23"/>
  <c r="R148" i="23" s="1"/>
  <c r="S148" i="23" s="1"/>
  <c r="Q149" i="23"/>
  <c r="R149" i="23" s="1"/>
  <c r="S149" i="23" s="1"/>
  <c r="Q150" i="23"/>
  <c r="R150" i="23" s="1"/>
  <c r="S150" i="23" s="1"/>
  <c r="Q151" i="23"/>
  <c r="R151" i="23" s="1"/>
  <c r="S151" i="23" s="1"/>
  <c r="Q154" i="23"/>
  <c r="R154" i="23" s="1"/>
  <c r="S154" i="23" s="1"/>
  <c r="Q155" i="23"/>
  <c r="R155" i="23" s="1"/>
  <c r="S155" i="23" s="1"/>
  <c r="Q158" i="23"/>
  <c r="R158" i="23" s="1"/>
  <c r="S158" i="23" s="1"/>
  <c r="Q159" i="23"/>
  <c r="R159" i="23" s="1"/>
  <c r="S159" i="23" s="1"/>
  <c r="Q162" i="23"/>
  <c r="R162" i="23" s="1"/>
  <c r="S162" i="23" s="1"/>
  <c r="Q163" i="23"/>
  <c r="R163" i="23" s="1"/>
  <c r="S163" i="23" s="1"/>
  <c r="Q166" i="23"/>
  <c r="R166" i="23" s="1"/>
  <c r="S166" i="23" s="1"/>
  <c r="Q167" i="23"/>
  <c r="R167" i="23" s="1"/>
  <c r="S167" i="23" s="1"/>
  <c r="Q170" i="23"/>
  <c r="R170" i="23" s="1"/>
  <c r="S170" i="23" s="1"/>
  <c r="Q171" i="23"/>
  <c r="R171" i="23" s="1"/>
  <c r="S171" i="23" s="1"/>
  <c r="Q174" i="23"/>
  <c r="R174" i="23" s="1"/>
  <c r="S174" i="23" s="1"/>
  <c r="Q175" i="23"/>
  <c r="R175" i="23" s="1"/>
  <c r="S175" i="23" s="1"/>
  <c r="Q92" i="23"/>
  <c r="R92" i="23" s="1"/>
  <c r="S92" i="23" s="1"/>
  <c r="Q94" i="23"/>
  <c r="R94" i="23" s="1"/>
  <c r="S94" i="23" s="1"/>
  <c r="Q107" i="23"/>
  <c r="R107" i="23" s="1"/>
  <c r="S107" i="23" s="1"/>
  <c r="Q116" i="23"/>
  <c r="R116" i="23" s="1"/>
  <c r="S116" i="23" s="1"/>
  <c r="Q121" i="23"/>
  <c r="R121" i="23" s="1"/>
  <c r="S121" i="23" s="1"/>
  <c r="Q126" i="23"/>
  <c r="R126" i="23" s="1"/>
  <c r="S126" i="23" s="1"/>
  <c r="Q128" i="23"/>
  <c r="R128" i="23" s="1"/>
  <c r="S128" i="23" s="1"/>
  <c r="Q133" i="23"/>
  <c r="R133" i="23" s="1"/>
  <c r="S133" i="23" s="1"/>
  <c r="Q136" i="23"/>
  <c r="R136" i="23" s="1"/>
  <c r="S136" i="23" s="1"/>
  <c r="Q141" i="23"/>
  <c r="R141" i="23" s="1"/>
  <c r="S141" i="23" s="1"/>
  <c r="Q152" i="23"/>
  <c r="R152" i="23" s="1"/>
  <c r="S152" i="23" s="1"/>
  <c r="Q157" i="23"/>
  <c r="R157" i="23" s="1"/>
  <c r="S157" i="23" s="1"/>
  <c r="Q160" i="23"/>
  <c r="R160" i="23" s="1"/>
  <c r="S160" i="23" s="1"/>
  <c r="Q165" i="23"/>
  <c r="R165" i="23" s="1"/>
  <c r="S165" i="23" s="1"/>
  <c r="Q168" i="23"/>
  <c r="R168" i="23" s="1"/>
  <c r="S168" i="23" s="1"/>
  <c r="Q173" i="23"/>
  <c r="R173" i="23" s="1"/>
  <c r="S173" i="23" s="1"/>
  <c r="Q176" i="23"/>
  <c r="R176" i="23" s="1"/>
  <c r="S176" i="23" s="1"/>
  <c r="Q177" i="23"/>
  <c r="R177" i="23" s="1"/>
  <c r="S177" i="23" s="1"/>
  <c r="Q182" i="23"/>
  <c r="R182" i="23" s="1"/>
  <c r="S182" i="23" s="1"/>
  <c r="Q183" i="23"/>
  <c r="R183" i="23" s="1"/>
  <c r="S183" i="23" s="1"/>
  <c r="Q185" i="23"/>
  <c r="R185" i="23" s="1"/>
  <c r="S185" i="23" s="1"/>
  <c r="Q186" i="23"/>
  <c r="R186" i="23" s="1"/>
  <c r="S186" i="23" s="1"/>
  <c r="Q187" i="23"/>
  <c r="R187" i="23" s="1"/>
  <c r="S187" i="23" s="1"/>
  <c r="Q189" i="23"/>
  <c r="R189" i="23" s="1"/>
  <c r="S189" i="23" s="1"/>
  <c r="Q190" i="23"/>
  <c r="R190" i="23" s="1"/>
  <c r="S190" i="23" s="1"/>
  <c r="Q191" i="23"/>
  <c r="R191" i="23" s="1"/>
  <c r="S191" i="23" s="1"/>
  <c r="Q192" i="23"/>
  <c r="R192" i="23" s="1"/>
  <c r="S192" i="23" s="1"/>
  <c r="Q196" i="23"/>
  <c r="R196" i="23" s="1"/>
  <c r="S196" i="23" s="1"/>
  <c r="Q201" i="23"/>
  <c r="R201" i="23" s="1"/>
  <c r="S201" i="23" s="1"/>
  <c r="Q202" i="23"/>
  <c r="R202" i="23" s="1"/>
  <c r="S202" i="23" s="1"/>
  <c r="Q203" i="23"/>
  <c r="R203" i="23" s="1"/>
  <c r="S203" i="23" s="1"/>
  <c r="Q204" i="23"/>
  <c r="R204" i="23" s="1"/>
  <c r="S204" i="23" s="1"/>
  <c r="Q205" i="23"/>
  <c r="R205" i="23" s="1"/>
  <c r="S205" i="23" s="1"/>
  <c r="Q206" i="23"/>
  <c r="R206" i="23" s="1"/>
  <c r="S206" i="23" s="1"/>
  <c r="Q208" i="23"/>
  <c r="R208" i="23" s="1"/>
  <c r="S208" i="23" s="1"/>
  <c r="Q209" i="23"/>
  <c r="R209" i="23" s="1"/>
  <c r="S209" i="23" s="1"/>
  <c r="Q210" i="23"/>
  <c r="R210" i="23" s="1"/>
  <c r="S210" i="23" s="1"/>
  <c r="Q113" i="23"/>
  <c r="R113" i="23" s="1"/>
  <c r="S113" i="23" s="1"/>
  <c r="Q132" i="23"/>
  <c r="R132" i="23" s="1"/>
  <c r="S132" i="23" s="1"/>
  <c r="Q137" i="23"/>
  <c r="R137" i="23" s="1"/>
  <c r="S137" i="23" s="1"/>
  <c r="Q153" i="23"/>
  <c r="R153" i="23" s="1"/>
  <c r="S153" i="23" s="1"/>
  <c r="Q156" i="23"/>
  <c r="R156" i="23" s="1"/>
  <c r="S156" i="23" s="1"/>
  <c r="Q169" i="23"/>
  <c r="R169" i="23" s="1"/>
  <c r="S169" i="23" s="1"/>
  <c r="Q172" i="23"/>
  <c r="R172" i="23" s="1"/>
  <c r="S172" i="23" s="1"/>
  <c r="Q178" i="23"/>
  <c r="R178" i="23" s="1"/>
  <c r="S178" i="23" s="1"/>
  <c r="Q179" i="23"/>
  <c r="R179" i="23" s="1"/>
  <c r="S179" i="23" s="1"/>
  <c r="Q181" i="23"/>
  <c r="R181" i="23" s="1"/>
  <c r="S181" i="23" s="1"/>
  <c r="Q188" i="23"/>
  <c r="R188" i="23" s="1"/>
  <c r="S188" i="23" s="1"/>
  <c r="Q193" i="23"/>
  <c r="R193" i="23" s="1"/>
  <c r="S193" i="23" s="1"/>
  <c r="Q194" i="23"/>
  <c r="R194" i="23" s="1"/>
  <c r="S194" i="23" s="1"/>
  <c r="Q195" i="23"/>
  <c r="R195" i="23" s="1"/>
  <c r="S195" i="23" s="1"/>
  <c r="Q197" i="23"/>
  <c r="R197" i="23" s="1"/>
  <c r="S197" i="23" s="1"/>
  <c r="Q198" i="23"/>
  <c r="R198" i="23" s="1"/>
  <c r="S198" i="23" s="1"/>
  <c r="Q207" i="23"/>
  <c r="R207" i="23" s="1"/>
  <c r="S207" i="23" s="1"/>
  <c r="Q211" i="23"/>
  <c r="R211" i="23" s="1"/>
  <c r="S211" i="23" s="1"/>
  <c r="Q214" i="23"/>
  <c r="R214" i="23" s="1"/>
  <c r="S214" i="23" s="1"/>
  <c r="Q215" i="23"/>
  <c r="R215" i="23" s="1"/>
  <c r="S215" i="23" s="1"/>
  <c r="Q216" i="23"/>
  <c r="R216" i="23" s="1"/>
  <c r="S216" i="23" s="1"/>
  <c r="Q217" i="23"/>
  <c r="R217" i="23" s="1"/>
  <c r="S217" i="23" s="1"/>
  <c r="Q222" i="23"/>
  <c r="R222" i="23" s="1"/>
  <c r="S222" i="23" s="1"/>
  <c r="Q225" i="23"/>
  <c r="R225" i="23" s="1"/>
  <c r="S225" i="23" s="1"/>
  <c r="Q228" i="23"/>
  <c r="R228" i="23" s="1"/>
  <c r="S228" i="23" s="1"/>
  <c r="Q229" i="23"/>
  <c r="R229" i="23" s="1"/>
  <c r="S229" i="23" s="1"/>
  <c r="Q230" i="23"/>
  <c r="R230" i="23" s="1"/>
  <c r="S230" i="23" s="1"/>
  <c r="Q231" i="23"/>
  <c r="R231" i="23" s="1"/>
  <c r="S231" i="23" s="1"/>
  <c r="Q233" i="23"/>
  <c r="R233" i="23" s="1"/>
  <c r="S233" i="23" s="1"/>
  <c r="Q234" i="23"/>
  <c r="R234" i="23" s="1"/>
  <c r="S234" i="23" s="1"/>
  <c r="Q235" i="23"/>
  <c r="R235" i="23" s="1"/>
  <c r="S235" i="23" s="1"/>
  <c r="Q237" i="23"/>
  <c r="R237" i="23" s="1"/>
  <c r="S237" i="23" s="1"/>
  <c r="Q238" i="23"/>
  <c r="R238" i="23" s="1"/>
  <c r="S238" i="23" s="1"/>
  <c r="Q239" i="23"/>
  <c r="R239" i="23" s="1"/>
  <c r="S239" i="23" s="1"/>
  <c r="Q240" i="23"/>
  <c r="R240" i="23" s="1"/>
  <c r="S240" i="23" s="1"/>
  <c r="Q241" i="23"/>
  <c r="R241" i="23" s="1"/>
  <c r="S241" i="23" s="1"/>
  <c r="Q242" i="23"/>
  <c r="R242" i="23" s="1"/>
  <c r="S242" i="23" s="1"/>
  <c r="Q251" i="23"/>
  <c r="R251" i="23" s="1"/>
  <c r="S251" i="23" s="1"/>
  <c r="Q252" i="23"/>
  <c r="R252" i="23" s="1"/>
  <c r="S252" i="23" s="1"/>
  <c r="Q253" i="23"/>
  <c r="R253" i="23" s="1"/>
  <c r="S253" i="23" s="1"/>
  <c r="Q254" i="23"/>
  <c r="R254" i="23" s="1"/>
  <c r="S254" i="23" s="1"/>
  <c r="Q257" i="23"/>
  <c r="R257" i="23" s="1"/>
  <c r="S257" i="23" s="1"/>
  <c r="Q258" i="23"/>
  <c r="R258" i="23" s="1"/>
  <c r="S258" i="23" s="1"/>
  <c r="Q262" i="23"/>
  <c r="R262" i="23" s="1"/>
  <c r="S262" i="23" s="1"/>
  <c r="Q263" i="23"/>
  <c r="R263" i="23" s="1"/>
  <c r="S263" i="23" s="1"/>
  <c r="Q264" i="23"/>
  <c r="R264" i="23" s="1"/>
  <c r="S264" i="23" s="1"/>
  <c r="Q265" i="23"/>
  <c r="R265" i="23" s="1"/>
  <c r="S265" i="23" s="1"/>
  <c r="Q266" i="23"/>
  <c r="R266" i="23" s="1"/>
  <c r="S266" i="23" s="1"/>
  <c r="Q267" i="23"/>
  <c r="R267" i="23" s="1"/>
  <c r="S267" i="23" s="1"/>
  <c r="Q270" i="23"/>
  <c r="R270" i="23" s="1"/>
  <c r="S270" i="23" s="1"/>
  <c r="Q271" i="23"/>
  <c r="R271" i="23" s="1"/>
  <c r="S271" i="23" s="1"/>
  <c r="Q272" i="23"/>
  <c r="R272" i="23" s="1"/>
  <c r="S272" i="23" s="1"/>
  <c r="Q273" i="23"/>
  <c r="R273" i="23" s="1"/>
  <c r="S273" i="23" s="1"/>
  <c r="Q276" i="23"/>
  <c r="R276" i="23" s="1"/>
  <c r="S276" i="23" s="1"/>
  <c r="Q277" i="23"/>
  <c r="R277" i="23" s="1"/>
  <c r="S277" i="23" s="1"/>
  <c r="Q278" i="23"/>
  <c r="R278" i="23" s="1"/>
  <c r="S278" i="23" s="1"/>
  <c r="Q279" i="23"/>
  <c r="R279" i="23" s="1"/>
  <c r="S279" i="23" s="1"/>
  <c r="Q282" i="23"/>
  <c r="R282" i="23" s="1"/>
  <c r="S282" i="23" s="1"/>
  <c r="Q283" i="23"/>
  <c r="R283" i="23" s="1"/>
  <c r="S283" i="23" s="1"/>
  <c r="Q284" i="23"/>
  <c r="R284" i="23" s="1"/>
  <c r="S284" i="23" s="1"/>
  <c r="Q285" i="23"/>
  <c r="R285" i="23" s="1"/>
  <c r="S285" i="23" s="1"/>
  <c r="Q288" i="23"/>
  <c r="R288" i="23" s="1"/>
  <c r="S288" i="23" s="1"/>
  <c r="Q289" i="23"/>
  <c r="R289" i="23" s="1"/>
  <c r="S289" i="23" s="1"/>
  <c r="Q294" i="23"/>
  <c r="R294" i="23" s="1"/>
  <c r="S294" i="23" s="1"/>
  <c r="Q295" i="23"/>
  <c r="R295" i="23" s="1"/>
  <c r="S295" i="23" s="1"/>
  <c r="Q298" i="23"/>
  <c r="R298" i="23" s="1"/>
  <c r="S298" i="23" s="1"/>
  <c r="Q299" i="23"/>
  <c r="R299" i="23" s="1"/>
  <c r="S299" i="23" s="1"/>
  <c r="Q302" i="23"/>
  <c r="R302" i="23" s="1"/>
  <c r="S302" i="23" s="1"/>
  <c r="Q303" i="23"/>
  <c r="R303" i="23" s="1"/>
  <c r="S303" i="23" s="1"/>
  <c r="Q304" i="23"/>
  <c r="R304" i="23" s="1"/>
  <c r="S304" i="23" s="1"/>
  <c r="Q305" i="23"/>
  <c r="R305" i="23" s="1"/>
  <c r="S305" i="23" s="1"/>
  <c r="Q306" i="23"/>
  <c r="R306" i="23" s="1"/>
  <c r="S306" i="23" s="1"/>
  <c r="Q307" i="23"/>
  <c r="R307" i="23" s="1"/>
  <c r="S307" i="23" s="1"/>
  <c r="Q308" i="23"/>
  <c r="R308" i="23" s="1"/>
  <c r="S308" i="23" s="1"/>
  <c r="Q309" i="23"/>
  <c r="R309" i="23" s="1"/>
  <c r="S309" i="23" s="1"/>
  <c r="Q310" i="23"/>
  <c r="R310" i="23" s="1"/>
  <c r="S310" i="23" s="1"/>
  <c r="Q311" i="23"/>
  <c r="R311" i="23" s="1"/>
  <c r="S311" i="23" s="1"/>
  <c r="Q312" i="23"/>
  <c r="R312" i="23" s="1"/>
  <c r="S312" i="23" s="1"/>
  <c r="Q313" i="23"/>
  <c r="R313" i="23" s="1"/>
  <c r="S313" i="23" s="1"/>
  <c r="Q314" i="23"/>
  <c r="R314" i="23" s="1"/>
  <c r="S314" i="23" s="1"/>
  <c r="Q315" i="23"/>
  <c r="R315" i="23" s="1"/>
  <c r="S315" i="23" s="1"/>
  <c r="Q99" i="23"/>
  <c r="R99" i="23" s="1"/>
  <c r="S99" i="23" s="1"/>
  <c r="Q127" i="23"/>
  <c r="R127" i="23" s="1"/>
  <c r="S127" i="23" s="1"/>
  <c r="Q129" i="23"/>
  <c r="R129" i="23" s="1"/>
  <c r="S129" i="23" s="1"/>
  <c r="Q140" i="23"/>
  <c r="R140" i="23" s="1"/>
  <c r="S140" i="23" s="1"/>
  <c r="Q161" i="23"/>
  <c r="R161" i="23" s="1"/>
  <c r="S161" i="23" s="1"/>
  <c r="Q164" i="23"/>
  <c r="R164" i="23" s="1"/>
  <c r="S164" i="23" s="1"/>
  <c r="Q180" i="23"/>
  <c r="R180" i="23" s="1"/>
  <c r="S180" i="23" s="1"/>
  <c r="Q184" i="23"/>
  <c r="R184" i="23" s="1"/>
  <c r="S184" i="23" s="1"/>
  <c r="Q199" i="23"/>
  <c r="R199" i="23" s="1"/>
  <c r="S199" i="23" s="1"/>
  <c r="Q200" i="23"/>
  <c r="R200" i="23" s="1"/>
  <c r="S200" i="23" s="1"/>
  <c r="Q212" i="23"/>
  <c r="R212" i="23" s="1"/>
  <c r="S212" i="23" s="1"/>
  <c r="Q213" i="23"/>
  <c r="R213" i="23" s="1"/>
  <c r="S213" i="23" s="1"/>
  <c r="Q218" i="23"/>
  <c r="R218" i="23" s="1"/>
  <c r="S218" i="23" s="1"/>
  <c r="Q219" i="23"/>
  <c r="R219" i="23" s="1"/>
  <c r="S219" i="23" s="1"/>
  <c r="Q220" i="23"/>
  <c r="R220" i="23" s="1"/>
  <c r="S220" i="23" s="1"/>
  <c r="Q221" i="23"/>
  <c r="R221" i="23" s="1"/>
  <c r="S221" i="23" s="1"/>
  <c r="Q223" i="23"/>
  <c r="R223" i="23" s="1"/>
  <c r="S223" i="23" s="1"/>
  <c r="Q224" i="23"/>
  <c r="R224" i="23" s="1"/>
  <c r="S224" i="23" s="1"/>
  <c r="Q226" i="23"/>
  <c r="R226" i="23" s="1"/>
  <c r="S226" i="23" s="1"/>
  <c r="Q227" i="23"/>
  <c r="R227" i="23" s="1"/>
  <c r="S227" i="23" s="1"/>
  <c r="Q232" i="23"/>
  <c r="R232" i="23" s="1"/>
  <c r="S232" i="23" s="1"/>
  <c r="Q236" i="23"/>
  <c r="R236" i="23" s="1"/>
  <c r="S236" i="23" s="1"/>
  <c r="Q243" i="23"/>
  <c r="R243" i="23" s="1"/>
  <c r="S243" i="23" s="1"/>
  <c r="Q244" i="23"/>
  <c r="R244" i="23" s="1"/>
  <c r="S244" i="23" s="1"/>
  <c r="Q245" i="23"/>
  <c r="R245" i="23" s="1"/>
  <c r="S245" i="23" s="1"/>
  <c r="Q246" i="23"/>
  <c r="R246" i="23" s="1"/>
  <c r="S246" i="23" s="1"/>
  <c r="Q247" i="23"/>
  <c r="R247" i="23" s="1"/>
  <c r="S247" i="23" s="1"/>
  <c r="Q248" i="23"/>
  <c r="R248" i="23" s="1"/>
  <c r="S248" i="23" s="1"/>
  <c r="Q249" i="23"/>
  <c r="R249" i="23" s="1"/>
  <c r="S249" i="23" s="1"/>
  <c r="Q250" i="23"/>
  <c r="R250" i="23" s="1"/>
  <c r="S250" i="23" s="1"/>
  <c r="Q255" i="23"/>
  <c r="R255" i="23" s="1"/>
  <c r="S255" i="23" s="1"/>
  <c r="Q256" i="23"/>
  <c r="R256" i="23" s="1"/>
  <c r="S256" i="23" s="1"/>
  <c r="Q259" i="23"/>
  <c r="R259" i="23" s="1"/>
  <c r="S259" i="23" s="1"/>
  <c r="Q260" i="23"/>
  <c r="R260" i="23" s="1"/>
  <c r="S260" i="23" s="1"/>
  <c r="Q261" i="23"/>
  <c r="R261" i="23" s="1"/>
  <c r="S261" i="23" s="1"/>
  <c r="Q268" i="23"/>
  <c r="R268" i="23" s="1"/>
  <c r="S268" i="23" s="1"/>
  <c r="Q269" i="23"/>
  <c r="R269" i="23" s="1"/>
  <c r="S269" i="23" s="1"/>
  <c r="Q274" i="23"/>
  <c r="R274" i="23" s="1"/>
  <c r="S274" i="23" s="1"/>
  <c r="Q275" i="23"/>
  <c r="R275" i="23" s="1"/>
  <c r="S275" i="23" s="1"/>
  <c r="Q280" i="23"/>
  <c r="R280" i="23" s="1"/>
  <c r="S280" i="23" s="1"/>
  <c r="Q281" i="23"/>
  <c r="R281" i="23" s="1"/>
  <c r="S281" i="23" s="1"/>
  <c r="Q286" i="23"/>
  <c r="R286" i="23" s="1"/>
  <c r="S286" i="23" s="1"/>
  <c r="Q287" i="23"/>
  <c r="R287" i="23" s="1"/>
  <c r="S287" i="23" s="1"/>
  <c r="Q290" i="23"/>
  <c r="R290" i="23" s="1"/>
  <c r="S290" i="23" s="1"/>
  <c r="Q291" i="23"/>
  <c r="R291" i="23" s="1"/>
  <c r="S291" i="23" s="1"/>
  <c r="Q292" i="23"/>
  <c r="R292" i="23" s="1"/>
  <c r="S292" i="23" s="1"/>
  <c r="Q293" i="23"/>
  <c r="R293" i="23" s="1"/>
  <c r="S293" i="23" s="1"/>
  <c r="Q296" i="23"/>
  <c r="R296" i="23" s="1"/>
  <c r="S296" i="23" s="1"/>
  <c r="Q297" i="23"/>
  <c r="R297" i="23" s="1"/>
  <c r="S297" i="23" s="1"/>
  <c r="Q300" i="23"/>
  <c r="R300" i="23" s="1"/>
  <c r="S300" i="23" s="1"/>
  <c r="Q301" i="23"/>
  <c r="R301" i="23" s="1"/>
  <c r="S301" i="23" s="1"/>
  <c r="Q316" i="23"/>
  <c r="R316" i="23" s="1"/>
  <c r="S316" i="23" s="1"/>
  <c r="Q317" i="23"/>
  <c r="R317" i="23" s="1"/>
  <c r="S317" i="23" s="1"/>
  <c r="Q318" i="23"/>
  <c r="R318" i="23" s="1"/>
  <c r="S318" i="23" s="1"/>
  <c r="Q322" i="23"/>
  <c r="R322" i="23" s="1"/>
  <c r="S322" i="23" s="1"/>
  <c r="Q321" i="23"/>
  <c r="R321" i="23" s="1"/>
  <c r="S321" i="23" s="1"/>
  <c r="Q319" i="23"/>
  <c r="R319" i="23" s="1"/>
  <c r="S319" i="23" s="1"/>
  <c r="Q320" i="23"/>
  <c r="R320" i="23" s="1"/>
  <c r="S320" i="23" s="1"/>
  <c r="Q23" i="23"/>
  <c r="R23" i="23" s="1"/>
  <c r="V26" i="23"/>
  <c r="W26" i="23" s="1"/>
  <c r="V27" i="23"/>
  <c r="W27" i="23" s="1"/>
  <c r="V28" i="23"/>
  <c r="W28" i="23" s="1"/>
  <c r="V29" i="23"/>
  <c r="W29" i="23" s="1"/>
  <c r="V30" i="23"/>
  <c r="W30" i="23" s="1"/>
  <c r="V31" i="23"/>
  <c r="W31" i="23" s="1"/>
  <c r="V35" i="23"/>
  <c r="W35" i="23" s="1"/>
  <c r="V36" i="23"/>
  <c r="W36" i="23" s="1"/>
  <c r="V41" i="23"/>
  <c r="W41" i="23" s="1"/>
  <c r="V42" i="23"/>
  <c r="W42" i="23" s="1"/>
  <c r="V24" i="23"/>
  <c r="W24" i="23" s="1"/>
  <c r="V32" i="23"/>
  <c r="W32" i="23" s="1"/>
  <c r="V33" i="23"/>
  <c r="W33" i="23" s="1"/>
  <c r="V37" i="23"/>
  <c r="W37" i="23" s="1"/>
  <c r="V38" i="23"/>
  <c r="W38" i="23" s="1"/>
  <c r="V40" i="23"/>
  <c r="W40" i="23" s="1"/>
  <c r="V25" i="23"/>
  <c r="W25" i="23" s="1"/>
  <c r="V34" i="23"/>
  <c r="W34" i="23" s="1"/>
  <c r="V43" i="23"/>
  <c r="W43" i="23" s="1"/>
  <c r="V44" i="23"/>
  <c r="W44" i="23" s="1"/>
  <c r="V45" i="23"/>
  <c r="W45" i="23" s="1"/>
  <c r="V46" i="23"/>
  <c r="W46" i="23" s="1"/>
  <c r="V47" i="23"/>
  <c r="W47" i="23" s="1"/>
  <c r="V48" i="23"/>
  <c r="W48" i="23" s="1"/>
  <c r="V49" i="23"/>
  <c r="W49" i="23" s="1"/>
  <c r="V50" i="23"/>
  <c r="W50" i="23" s="1"/>
  <c r="V53" i="23"/>
  <c r="W53" i="23" s="1"/>
  <c r="V54" i="23"/>
  <c r="W54" i="23" s="1"/>
  <c r="V63" i="23"/>
  <c r="W63" i="23" s="1"/>
  <c r="V64" i="23"/>
  <c r="W64" i="23" s="1"/>
  <c r="V65" i="23"/>
  <c r="W65" i="23" s="1"/>
  <c r="V66" i="23"/>
  <c r="W66" i="23" s="1"/>
  <c r="V67" i="23"/>
  <c r="W67" i="23" s="1"/>
  <c r="V51" i="23"/>
  <c r="W51" i="23" s="1"/>
  <c r="V56" i="23"/>
  <c r="W56" i="23" s="1"/>
  <c r="V58" i="23"/>
  <c r="W58" i="23" s="1"/>
  <c r="V60" i="23"/>
  <c r="W60" i="23" s="1"/>
  <c r="V62" i="23"/>
  <c r="W62" i="23" s="1"/>
  <c r="V39" i="23"/>
  <c r="W39" i="23" s="1"/>
  <c r="V55" i="23"/>
  <c r="W55" i="23" s="1"/>
  <c r="V57" i="23"/>
  <c r="W57" i="23" s="1"/>
  <c r="V59" i="23"/>
  <c r="W59" i="23" s="1"/>
  <c r="V61" i="23"/>
  <c r="W61" i="23" s="1"/>
  <c r="V69" i="23"/>
  <c r="W69" i="23" s="1"/>
  <c r="V70" i="23"/>
  <c r="W70" i="23" s="1"/>
  <c r="V71" i="23"/>
  <c r="W71" i="23" s="1"/>
  <c r="V72" i="23"/>
  <c r="W72" i="23" s="1"/>
  <c r="V77" i="23"/>
  <c r="W77" i="23" s="1"/>
  <c r="V79" i="23"/>
  <c r="W79" i="23" s="1"/>
  <c r="V80" i="23"/>
  <c r="W80" i="23" s="1"/>
  <c r="V81" i="23"/>
  <c r="W81" i="23" s="1"/>
  <c r="V84" i="23"/>
  <c r="W84" i="23" s="1"/>
  <c r="V85" i="23"/>
  <c r="W85" i="23" s="1"/>
  <c r="V87" i="23"/>
  <c r="W87" i="23" s="1"/>
  <c r="V90" i="23"/>
  <c r="W90" i="23" s="1"/>
  <c r="V92" i="23"/>
  <c r="W92" i="23" s="1"/>
  <c r="V96" i="23"/>
  <c r="W96" i="23" s="1"/>
  <c r="V98" i="23"/>
  <c r="W98" i="23" s="1"/>
  <c r="V100" i="23"/>
  <c r="W100" i="23" s="1"/>
  <c r="V102" i="23"/>
  <c r="W102" i="23" s="1"/>
  <c r="V104" i="23"/>
  <c r="W104" i="23" s="1"/>
  <c r="V106" i="23"/>
  <c r="W106" i="23" s="1"/>
  <c r="V108" i="23"/>
  <c r="W108" i="23" s="1"/>
  <c r="V111" i="23"/>
  <c r="W111" i="23" s="1"/>
  <c r="V112" i="23"/>
  <c r="W112" i="23" s="1"/>
  <c r="V113" i="23"/>
  <c r="W113" i="23" s="1"/>
  <c r="V115" i="23"/>
  <c r="W115" i="23" s="1"/>
  <c r="V116" i="23"/>
  <c r="W116" i="23" s="1"/>
  <c r="V117" i="23"/>
  <c r="W117" i="23" s="1"/>
  <c r="V120" i="23"/>
  <c r="W120" i="23" s="1"/>
  <c r="V121" i="23"/>
  <c r="W121" i="23" s="1"/>
  <c r="V123" i="23"/>
  <c r="W123" i="23" s="1"/>
  <c r="V52" i="23"/>
  <c r="W52" i="23" s="1"/>
  <c r="V68" i="23"/>
  <c r="W68" i="23" s="1"/>
  <c r="V73" i="23"/>
  <c r="W73" i="23" s="1"/>
  <c r="V74" i="23"/>
  <c r="W74" i="23" s="1"/>
  <c r="V75" i="23"/>
  <c r="W75" i="23" s="1"/>
  <c r="V76" i="23"/>
  <c r="W76" i="23" s="1"/>
  <c r="V78" i="23"/>
  <c r="W78" i="23" s="1"/>
  <c r="V82" i="23"/>
  <c r="W82" i="23" s="1"/>
  <c r="V83" i="23"/>
  <c r="W83" i="23" s="1"/>
  <c r="V86" i="23"/>
  <c r="W86" i="23" s="1"/>
  <c r="V88" i="23"/>
  <c r="W88" i="23" s="1"/>
  <c r="V89" i="23"/>
  <c r="W89" i="23" s="1"/>
  <c r="V91" i="23"/>
  <c r="W91" i="23" s="1"/>
  <c r="V93" i="23"/>
  <c r="W93" i="23" s="1"/>
  <c r="V95" i="23"/>
  <c r="W95" i="23" s="1"/>
  <c r="V101" i="23"/>
  <c r="W101" i="23" s="1"/>
  <c r="V103" i="23"/>
  <c r="W103" i="23" s="1"/>
  <c r="V109" i="23"/>
  <c r="W109" i="23" s="1"/>
  <c r="V110" i="23"/>
  <c r="W110" i="23" s="1"/>
  <c r="V118" i="23"/>
  <c r="W118" i="23" s="1"/>
  <c r="V119" i="23"/>
  <c r="W119" i="23" s="1"/>
  <c r="V126" i="23"/>
  <c r="W126" i="23" s="1"/>
  <c r="V128" i="23"/>
  <c r="W128" i="23" s="1"/>
  <c r="V129" i="23"/>
  <c r="W129" i="23" s="1"/>
  <c r="V131" i="23"/>
  <c r="W131" i="23" s="1"/>
  <c r="V132" i="23"/>
  <c r="W132" i="23" s="1"/>
  <c r="V133" i="23"/>
  <c r="W133" i="23" s="1"/>
  <c r="V136" i="23"/>
  <c r="W136" i="23" s="1"/>
  <c r="V137" i="23"/>
  <c r="W137" i="23" s="1"/>
  <c r="V139" i="23"/>
  <c r="W139" i="23" s="1"/>
  <c r="V140" i="23"/>
  <c r="W140" i="23" s="1"/>
  <c r="V141" i="23"/>
  <c r="W141" i="23" s="1"/>
  <c r="V148" i="23"/>
  <c r="W148" i="23" s="1"/>
  <c r="V149" i="23"/>
  <c r="W149" i="23" s="1"/>
  <c r="V152" i="23"/>
  <c r="W152" i="23" s="1"/>
  <c r="V153" i="23"/>
  <c r="W153" i="23" s="1"/>
  <c r="V156" i="23"/>
  <c r="W156" i="23" s="1"/>
  <c r="V157" i="23"/>
  <c r="W157" i="23" s="1"/>
  <c r="V160" i="23"/>
  <c r="W160" i="23" s="1"/>
  <c r="V161" i="23"/>
  <c r="W161" i="23" s="1"/>
  <c r="V164" i="23"/>
  <c r="W164" i="23" s="1"/>
  <c r="V165" i="23"/>
  <c r="W165" i="23" s="1"/>
  <c r="V168" i="23"/>
  <c r="W168" i="23" s="1"/>
  <c r="V169" i="23"/>
  <c r="W169" i="23" s="1"/>
  <c r="V172" i="23"/>
  <c r="W172" i="23" s="1"/>
  <c r="V173" i="23"/>
  <c r="W173" i="23" s="1"/>
  <c r="V175" i="23"/>
  <c r="W175" i="23" s="1"/>
  <c r="V99" i="23"/>
  <c r="W99" i="23" s="1"/>
  <c r="V105" i="23"/>
  <c r="W105" i="23" s="1"/>
  <c r="V114" i="23"/>
  <c r="W114" i="23" s="1"/>
  <c r="V124" i="23"/>
  <c r="W124" i="23" s="1"/>
  <c r="V134" i="23"/>
  <c r="W134" i="23" s="1"/>
  <c r="V135" i="23"/>
  <c r="W135" i="23" s="1"/>
  <c r="V142" i="23"/>
  <c r="W142" i="23" s="1"/>
  <c r="V144" i="23"/>
  <c r="W144" i="23" s="1"/>
  <c r="V146" i="23"/>
  <c r="W146" i="23" s="1"/>
  <c r="V150" i="23"/>
  <c r="W150" i="23" s="1"/>
  <c r="V155" i="23"/>
  <c r="W155" i="23" s="1"/>
  <c r="V158" i="23"/>
  <c r="W158" i="23" s="1"/>
  <c r="V163" i="23"/>
  <c r="W163" i="23" s="1"/>
  <c r="V166" i="23"/>
  <c r="W166" i="23" s="1"/>
  <c r="V171" i="23"/>
  <c r="W171" i="23" s="1"/>
  <c r="V174" i="23"/>
  <c r="W174" i="23" s="1"/>
  <c r="V178" i="23"/>
  <c r="W178" i="23" s="1"/>
  <c r="V179" i="23"/>
  <c r="W179" i="23" s="1"/>
  <c r="V180" i="23"/>
  <c r="W180" i="23" s="1"/>
  <c r="V181" i="23"/>
  <c r="W181" i="23" s="1"/>
  <c r="V183" i="23"/>
  <c r="W183" i="23" s="1"/>
  <c r="V187" i="23"/>
  <c r="W187" i="23" s="1"/>
  <c r="V192" i="23"/>
  <c r="W192" i="23" s="1"/>
  <c r="V193" i="23"/>
  <c r="W193" i="23" s="1"/>
  <c r="V194" i="23"/>
  <c r="W194" i="23" s="1"/>
  <c r="V196" i="23"/>
  <c r="W196" i="23" s="1"/>
  <c r="V197" i="23"/>
  <c r="W197" i="23" s="1"/>
  <c r="V198" i="23"/>
  <c r="W198" i="23" s="1"/>
  <c r="V199" i="23"/>
  <c r="W199" i="23" s="1"/>
  <c r="V205" i="23"/>
  <c r="W205" i="23" s="1"/>
  <c r="V206" i="23"/>
  <c r="W206" i="23" s="1"/>
  <c r="V209" i="23"/>
  <c r="W209" i="23" s="1"/>
  <c r="V210" i="23"/>
  <c r="W210" i="23" s="1"/>
  <c r="V212" i="23"/>
  <c r="W212" i="23" s="1"/>
  <c r="V97" i="23"/>
  <c r="W97" i="23" s="1"/>
  <c r="V107" i="23"/>
  <c r="W107" i="23" s="1"/>
  <c r="V122" i="23"/>
  <c r="W122" i="23" s="1"/>
  <c r="V125" i="23"/>
  <c r="W125" i="23" s="1"/>
  <c r="V127" i="23"/>
  <c r="W127" i="23" s="1"/>
  <c r="V130" i="23"/>
  <c r="W130" i="23" s="1"/>
  <c r="V159" i="23"/>
  <c r="W159" i="23" s="1"/>
  <c r="V162" i="23"/>
  <c r="W162" i="23" s="1"/>
  <c r="V176" i="23"/>
  <c r="W176" i="23" s="1"/>
  <c r="V182" i="23"/>
  <c r="W182" i="23" s="1"/>
  <c r="V184" i="23"/>
  <c r="W184" i="23" s="1"/>
  <c r="V189" i="23"/>
  <c r="W189" i="23" s="1"/>
  <c r="V190" i="23"/>
  <c r="W190" i="23" s="1"/>
  <c r="V200" i="23"/>
  <c r="W200" i="23" s="1"/>
  <c r="V214" i="23"/>
  <c r="W214" i="23" s="1"/>
  <c r="V215" i="23"/>
  <c r="W215" i="23" s="1"/>
  <c r="V217" i="23"/>
  <c r="W217" i="23" s="1"/>
  <c r="V220" i="23"/>
  <c r="W220" i="23" s="1"/>
  <c r="V222" i="23"/>
  <c r="W222" i="23" s="1"/>
  <c r="V224" i="23"/>
  <c r="W224" i="23" s="1"/>
  <c r="V226" i="23"/>
  <c r="W226" i="23" s="1"/>
  <c r="V227" i="23"/>
  <c r="W227" i="23" s="1"/>
  <c r="V228" i="23"/>
  <c r="W228" i="23" s="1"/>
  <c r="V229" i="23"/>
  <c r="W229" i="23" s="1"/>
  <c r="V231" i="23"/>
  <c r="W231" i="23" s="1"/>
  <c r="V232" i="23"/>
  <c r="W232" i="23" s="1"/>
  <c r="V233" i="23"/>
  <c r="W233" i="23" s="1"/>
  <c r="V235" i="23"/>
  <c r="W235" i="23" s="1"/>
  <c r="V236" i="23"/>
  <c r="W236" i="23" s="1"/>
  <c r="V237" i="23"/>
  <c r="W237" i="23" s="1"/>
  <c r="V240" i="23"/>
  <c r="W240" i="23" s="1"/>
  <c r="V241" i="23"/>
  <c r="W241" i="23" s="1"/>
  <c r="V242" i="23"/>
  <c r="W242" i="23" s="1"/>
  <c r="V243" i="23"/>
  <c r="W243" i="23" s="1"/>
  <c r="V247" i="23"/>
  <c r="W247" i="23" s="1"/>
  <c r="V252" i="23"/>
  <c r="W252" i="23" s="1"/>
  <c r="V253" i="23"/>
  <c r="W253" i="23" s="1"/>
  <c r="V254" i="23"/>
  <c r="W254" i="23" s="1"/>
  <c r="V255" i="23"/>
  <c r="W255" i="23" s="1"/>
  <c r="V257" i="23"/>
  <c r="W257" i="23" s="1"/>
  <c r="V258" i="23"/>
  <c r="W258" i="23" s="1"/>
  <c r="V259" i="23"/>
  <c r="W259" i="23" s="1"/>
  <c r="V261" i="23"/>
  <c r="W261" i="23" s="1"/>
  <c r="V262" i="23"/>
  <c r="W262" i="23" s="1"/>
  <c r="V264" i="23"/>
  <c r="W264" i="23" s="1"/>
  <c r="V265" i="23"/>
  <c r="W265" i="23" s="1"/>
  <c r="V267" i="23"/>
  <c r="W267" i="23" s="1"/>
  <c r="V271" i="23"/>
  <c r="W271" i="23" s="1"/>
  <c r="V272" i="23"/>
  <c r="W272" i="23" s="1"/>
  <c r="V273" i="23"/>
  <c r="W273" i="23" s="1"/>
  <c r="V274" i="23"/>
  <c r="W274" i="23" s="1"/>
  <c r="V276" i="23"/>
  <c r="W276" i="23" s="1"/>
  <c r="V277" i="23"/>
  <c r="W277" i="23" s="1"/>
  <c r="V279" i="23"/>
  <c r="W279" i="23" s="1"/>
  <c r="V283" i="23"/>
  <c r="W283" i="23" s="1"/>
  <c r="V284" i="23"/>
  <c r="W284" i="23" s="1"/>
  <c r="V285" i="23"/>
  <c r="W285" i="23" s="1"/>
  <c r="V286" i="23"/>
  <c r="W286" i="23" s="1"/>
  <c r="V288" i="23"/>
  <c r="W288" i="23" s="1"/>
  <c r="V289" i="23"/>
  <c r="W289" i="23" s="1"/>
  <c r="V290" i="23"/>
  <c r="W290" i="23" s="1"/>
  <c r="V295" i="23"/>
  <c r="W295" i="23" s="1"/>
  <c r="V299" i="23"/>
  <c r="W299" i="23" s="1"/>
  <c r="V303" i="23"/>
  <c r="W303" i="23" s="1"/>
  <c r="V304" i="23"/>
  <c r="W304" i="23" s="1"/>
  <c r="V305" i="23"/>
  <c r="W305" i="23" s="1"/>
  <c r="V307" i="23"/>
  <c r="W307" i="23" s="1"/>
  <c r="V308" i="23"/>
  <c r="W308" i="23" s="1"/>
  <c r="V309" i="23"/>
  <c r="W309" i="23" s="1"/>
  <c r="V311" i="23"/>
  <c r="W311" i="23" s="1"/>
  <c r="V312" i="23"/>
  <c r="W312" i="23" s="1"/>
  <c r="V313" i="23"/>
  <c r="W313" i="23" s="1"/>
  <c r="V315" i="23"/>
  <c r="W315" i="23" s="1"/>
  <c r="V94" i="23"/>
  <c r="W94" i="23" s="1"/>
  <c r="V138" i="23"/>
  <c r="W138" i="23" s="1"/>
  <c r="V143" i="23"/>
  <c r="W143" i="23" s="1"/>
  <c r="V145" i="23"/>
  <c r="W145" i="23" s="1"/>
  <c r="V147" i="23"/>
  <c r="W147" i="23" s="1"/>
  <c r="V151" i="23"/>
  <c r="W151" i="23" s="1"/>
  <c r="V154" i="23"/>
  <c r="W154" i="23" s="1"/>
  <c r="V167" i="23"/>
  <c r="W167" i="23" s="1"/>
  <c r="V170" i="23"/>
  <c r="W170" i="23" s="1"/>
  <c r="V177" i="23"/>
  <c r="W177" i="23" s="1"/>
  <c r="V185" i="23"/>
  <c r="W185" i="23" s="1"/>
  <c r="V186" i="23"/>
  <c r="W186" i="23" s="1"/>
  <c r="V188" i="23"/>
  <c r="W188" i="23" s="1"/>
  <c r="V191" i="23"/>
  <c r="W191" i="23" s="1"/>
  <c r="V195" i="23"/>
  <c r="W195" i="23" s="1"/>
  <c r="V201" i="23"/>
  <c r="W201" i="23" s="1"/>
  <c r="V202" i="23"/>
  <c r="W202" i="23" s="1"/>
  <c r="V203" i="23"/>
  <c r="W203" i="23" s="1"/>
  <c r="V204" i="23"/>
  <c r="W204" i="23" s="1"/>
  <c r="V207" i="23"/>
  <c r="W207" i="23" s="1"/>
  <c r="V208" i="23"/>
  <c r="W208" i="23" s="1"/>
  <c r="V211" i="23"/>
  <c r="W211" i="23" s="1"/>
  <c r="V213" i="23"/>
  <c r="W213" i="23" s="1"/>
  <c r="V216" i="23"/>
  <c r="W216" i="23" s="1"/>
  <c r="V218" i="23"/>
  <c r="W218" i="23" s="1"/>
  <c r="V219" i="23"/>
  <c r="W219" i="23" s="1"/>
  <c r="V221" i="23"/>
  <c r="W221" i="23" s="1"/>
  <c r="V223" i="23"/>
  <c r="W223" i="23" s="1"/>
  <c r="V225" i="23"/>
  <c r="W225" i="23" s="1"/>
  <c r="V230" i="23"/>
  <c r="W230" i="23" s="1"/>
  <c r="V234" i="23"/>
  <c r="W234" i="23" s="1"/>
  <c r="V238" i="23"/>
  <c r="W238" i="23" s="1"/>
  <c r="V239" i="23"/>
  <c r="W239" i="23" s="1"/>
  <c r="V244" i="23"/>
  <c r="W244" i="23" s="1"/>
  <c r="V245" i="23"/>
  <c r="W245" i="23" s="1"/>
  <c r="V246" i="23"/>
  <c r="W246" i="23" s="1"/>
  <c r="V248" i="23"/>
  <c r="W248" i="23" s="1"/>
  <c r="V249" i="23"/>
  <c r="W249" i="23" s="1"/>
  <c r="V250" i="23"/>
  <c r="W250" i="23" s="1"/>
  <c r="V251" i="23"/>
  <c r="W251" i="23" s="1"/>
  <c r="V256" i="23"/>
  <c r="W256" i="23" s="1"/>
  <c r="V260" i="23"/>
  <c r="W260" i="23" s="1"/>
  <c r="V263" i="23"/>
  <c r="W263" i="23" s="1"/>
  <c r="V266" i="23"/>
  <c r="W266" i="23" s="1"/>
  <c r="V268" i="23"/>
  <c r="W268" i="23" s="1"/>
  <c r="V269" i="23"/>
  <c r="W269" i="23" s="1"/>
  <c r="V270" i="23"/>
  <c r="W270" i="23" s="1"/>
  <c r="V275" i="23"/>
  <c r="W275" i="23" s="1"/>
  <c r="V278" i="23"/>
  <c r="W278" i="23" s="1"/>
  <c r="V280" i="23"/>
  <c r="W280" i="23" s="1"/>
  <c r="V281" i="23"/>
  <c r="W281" i="23" s="1"/>
  <c r="V282" i="23"/>
  <c r="W282" i="23" s="1"/>
  <c r="V287" i="23"/>
  <c r="W287" i="23" s="1"/>
  <c r="V291" i="23"/>
  <c r="W291" i="23" s="1"/>
  <c r="V292" i="23"/>
  <c r="W292" i="23" s="1"/>
  <c r="V293" i="23"/>
  <c r="W293" i="23" s="1"/>
  <c r="V294" i="23"/>
  <c r="W294" i="23" s="1"/>
  <c r="V296" i="23"/>
  <c r="W296" i="23" s="1"/>
  <c r="V297" i="23"/>
  <c r="W297" i="23" s="1"/>
  <c r="V298" i="23"/>
  <c r="W298" i="23" s="1"/>
  <c r="V300" i="23"/>
  <c r="W300" i="23" s="1"/>
  <c r="V301" i="23"/>
  <c r="W301" i="23" s="1"/>
  <c r="V302" i="23"/>
  <c r="W302" i="23" s="1"/>
  <c r="V306" i="23"/>
  <c r="W306" i="23" s="1"/>
  <c r="V310" i="23"/>
  <c r="W310" i="23" s="1"/>
  <c r="V314" i="23"/>
  <c r="W314" i="23" s="1"/>
  <c r="V316" i="23"/>
  <c r="W316" i="23" s="1"/>
  <c r="V318" i="23"/>
  <c r="W318" i="23" s="1"/>
  <c r="V319" i="23"/>
  <c r="W319" i="23" s="1"/>
  <c r="V321" i="23"/>
  <c r="W321" i="23" s="1"/>
  <c r="V322" i="23"/>
  <c r="W322" i="23" s="1"/>
  <c r="V23" i="23"/>
  <c r="W23" i="23" s="1"/>
  <c r="V317" i="23"/>
  <c r="W317" i="23" s="1"/>
  <c r="V320" i="23"/>
  <c r="W320" i="23" s="1"/>
  <c r="Z24" i="23"/>
  <c r="AA24" i="23" s="1"/>
  <c r="Z27" i="23"/>
  <c r="AA27" i="23" s="1"/>
  <c r="Z28" i="23"/>
  <c r="AA28" i="23" s="1"/>
  <c r="Z30" i="23"/>
  <c r="AA30" i="23" s="1"/>
  <c r="Z29" i="23"/>
  <c r="AA29" i="23" s="1"/>
  <c r="Z31" i="23"/>
  <c r="AA31" i="23" s="1"/>
  <c r="Z32" i="23"/>
  <c r="AA32" i="23" s="1"/>
  <c r="Z34" i="23"/>
  <c r="AA34" i="23" s="1"/>
  <c r="Z35" i="23"/>
  <c r="AA35" i="23" s="1"/>
  <c r="Z40" i="23"/>
  <c r="AA40" i="23" s="1"/>
  <c r="Z41" i="23"/>
  <c r="AA41" i="23" s="1"/>
  <c r="Z25" i="23"/>
  <c r="AA25" i="23" s="1"/>
  <c r="Z26" i="23"/>
  <c r="AA26" i="23" s="1"/>
  <c r="Z33" i="23"/>
  <c r="AA33" i="23" s="1"/>
  <c r="Z37" i="23"/>
  <c r="AA37" i="23" s="1"/>
  <c r="Z38" i="23"/>
  <c r="AA38" i="23" s="1"/>
  <c r="Z39" i="23"/>
  <c r="AA39" i="23" s="1"/>
  <c r="Z43" i="23"/>
  <c r="AA43" i="23" s="1"/>
  <c r="Z45" i="23"/>
  <c r="AA45" i="23" s="1"/>
  <c r="Z47" i="23"/>
  <c r="AA47" i="23" s="1"/>
  <c r="Z49" i="23"/>
  <c r="AA49" i="23" s="1"/>
  <c r="Z52" i="23"/>
  <c r="AA52" i="23" s="1"/>
  <c r="Z53" i="23"/>
  <c r="AA53" i="23" s="1"/>
  <c r="Z56" i="23"/>
  <c r="AA56" i="23" s="1"/>
  <c r="Z58" i="23"/>
  <c r="AA58" i="23" s="1"/>
  <c r="Z60" i="23"/>
  <c r="AA60" i="23" s="1"/>
  <c r="Z62" i="23"/>
  <c r="AA62" i="23" s="1"/>
  <c r="Z63" i="23"/>
  <c r="AA63" i="23" s="1"/>
  <c r="Z65" i="23"/>
  <c r="AA65" i="23" s="1"/>
  <c r="Z67" i="23"/>
  <c r="AA67" i="23" s="1"/>
  <c r="Z36" i="23"/>
  <c r="AA36" i="23" s="1"/>
  <c r="Z46" i="23"/>
  <c r="AA46" i="23" s="1"/>
  <c r="Z48" i="23"/>
  <c r="AA48" i="23" s="1"/>
  <c r="Z51" i="23"/>
  <c r="AA51" i="23" s="1"/>
  <c r="Z54" i="23"/>
  <c r="AA54" i="23" s="1"/>
  <c r="Z44" i="23"/>
  <c r="AA44" i="23" s="1"/>
  <c r="Z66" i="23"/>
  <c r="AA66" i="23" s="1"/>
  <c r="Z68" i="23"/>
  <c r="AA68" i="23" s="1"/>
  <c r="Z69" i="23"/>
  <c r="AA69" i="23" s="1"/>
  <c r="Z71" i="23"/>
  <c r="AA71" i="23" s="1"/>
  <c r="Z74" i="23"/>
  <c r="AA74" i="23" s="1"/>
  <c r="Z76" i="23"/>
  <c r="AA76" i="23" s="1"/>
  <c r="Z77" i="23"/>
  <c r="AA77" i="23" s="1"/>
  <c r="Z78" i="23"/>
  <c r="AA78" i="23" s="1"/>
  <c r="Z79" i="23"/>
  <c r="AA79" i="23" s="1"/>
  <c r="Z80" i="23"/>
  <c r="AA80" i="23" s="1"/>
  <c r="Z81" i="23"/>
  <c r="AA81" i="23" s="1"/>
  <c r="Z84" i="23"/>
  <c r="AA84" i="23" s="1"/>
  <c r="Z85" i="23"/>
  <c r="AA85" i="23" s="1"/>
  <c r="Z87" i="23"/>
  <c r="AA87" i="23" s="1"/>
  <c r="Z90" i="23"/>
  <c r="AA90" i="23" s="1"/>
  <c r="Z92" i="23"/>
  <c r="AA92" i="23" s="1"/>
  <c r="Z94" i="23"/>
  <c r="AA94" i="23" s="1"/>
  <c r="Z95" i="23"/>
  <c r="AA95" i="23" s="1"/>
  <c r="Z97" i="23"/>
  <c r="AA97" i="23" s="1"/>
  <c r="Z99" i="23"/>
  <c r="AA99" i="23" s="1"/>
  <c r="Z101" i="23"/>
  <c r="AA101" i="23" s="1"/>
  <c r="Z103" i="23"/>
  <c r="AA103" i="23" s="1"/>
  <c r="Z105" i="23"/>
  <c r="AA105" i="23" s="1"/>
  <c r="Z107" i="23"/>
  <c r="AA107" i="23" s="1"/>
  <c r="Z109" i="23"/>
  <c r="AA109" i="23" s="1"/>
  <c r="Z110" i="23"/>
  <c r="AA110" i="23" s="1"/>
  <c r="Z111" i="23"/>
  <c r="AA111" i="23" s="1"/>
  <c r="Z112" i="23"/>
  <c r="AA112" i="23" s="1"/>
  <c r="Z113" i="23"/>
  <c r="AA113" i="23" s="1"/>
  <c r="Z115" i="23"/>
  <c r="AA115" i="23" s="1"/>
  <c r="Z116" i="23"/>
  <c r="AA116" i="23" s="1"/>
  <c r="Z117" i="23"/>
  <c r="AA117" i="23" s="1"/>
  <c r="Z120" i="23"/>
  <c r="AA120" i="23" s="1"/>
  <c r="Z121" i="23"/>
  <c r="AA121" i="23" s="1"/>
  <c r="Z42" i="23"/>
  <c r="AA42" i="23" s="1"/>
  <c r="Z50" i="23"/>
  <c r="AA50" i="23" s="1"/>
  <c r="Z55" i="23"/>
  <c r="AA55" i="23" s="1"/>
  <c r="Z57" i="23"/>
  <c r="AA57" i="23" s="1"/>
  <c r="Z59" i="23"/>
  <c r="AA59" i="23" s="1"/>
  <c r="Z61" i="23"/>
  <c r="AA61" i="23" s="1"/>
  <c r="Z64" i="23"/>
  <c r="AA64" i="23" s="1"/>
  <c r="Z70" i="23"/>
  <c r="AA70" i="23" s="1"/>
  <c r="Z72" i="23"/>
  <c r="AA72" i="23" s="1"/>
  <c r="Z73" i="23"/>
  <c r="AA73" i="23" s="1"/>
  <c r="Z75" i="23"/>
  <c r="AA75" i="23" s="1"/>
  <c r="Z82" i="23"/>
  <c r="AA82" i="23" s="1"/>
  <c r="Z83" i="23"/>
  <c r="AA83" i="23" s="1"/>
  <c r="Z86" i="23"/>
  <c r="AA86" i="23" s="1"/>
  <c r="Z88" i="23"/>
  <c r="AA88" i="23" s="1"/>
  <c r="Z89" i="23"/>
  <c r="AA89" i="23" s="1"/>
  <c r="Z91" i="23"/>
  <c r="AA91" i="23" s="1"/>
  <c r="Z93" i="23"/>
  <c r="AA93" i="23" s="1"/>
  <c r="Z100" i="23"/>
  <c r="AA100" i="23" s="1"/>
  <c r="Z102" i="23"/>
  <c r="AA102" i="23" s="1"/>
  <c r="Z108" i="23"/>
  <c r="AA108" i="23" s="1"/>
  <c r="Z114" i="23"/>
  <c r="AA114" i="23" s="1"/>
  <c r="Z119" i="23"/>
  <c r="AA119" i="23" s="1"/>
  <c r="Z122" i="23"/>
  <c r="AA122" i="23" s="1"/>
  <c r="Z126" i="23"/>
  <c r="AA126" i="23" s="1"/>
  <c r="Z128" i="23"/>
  <c r="AA128" i="23" s="1"/>
  <c r="Z129" i="23"/>
  <c r="AA129" i="23" s="1"/>
  <c r="Z131" i="23"/>
  <c r="AA131" i="23" s="1"/>
  <c r="Z132" i="23"/>
  <c r="AA132" i="23" s="1"/>
  <c r="Z133" i="23"/>
  <c r="AA133" i="23" s="1"/>
  <c r="Z136" i="23"/>
  <c r="AA136" i="23" s="1"/>
  <c r="Z137" i="23"/>
  <c r="AA137" i="23" s="1"/>
  <c r="Z139" i="23"/>
  <c r="AA139" i="23" s="1"/>
  <c r="Z140" i="23"/>
  <c r="AA140" i="23" s="1"/>
  <c r="Z141" i="23"/>
  <c r="AA141" i="23" s="1"/>
  <c r="Z148" i="23"/>
  <c r="AA148" i="23" s="1"/>
  <c r="Z152" i="23"/>
  <c r="AA152" i="23" s="1"/>
  <c r="Z153" i="23"/>
  <c r="AA153" i="23" s="1"/>
  <c r="Z156" i="23"/>
  <c r="AA156" i="23" s="1"/>
  <c r="Z157" i="23"/>
  <c r="AA157" i="23" s="1"/>
  <c r="Z160" i="23"/>
  <c r="AA160" i="23" s="1"/>
  <c r="Z161" i="23"/>
  <c r="AA161" i="23" s="1"/>
  <c r="Z164" i="23"/>
  <c r="AA164" i="23" s="1"/>
  <c r="Z165" i="23"/>
  <c r="AA165" i="23" s="1"/>
  <c r="Z168" i="23"/>
  <c r="AA168" i="23" s="1"/>
  <c r="Z169" i="23"/>
  <c r="AA169" i="23" s="1"/>
  <c r="Z172" i="23"/>
  <c r="AA172" i="23" s="1"/>
  <c r="Z173" i="23"/>
  <c r="AA173" i="23" s="1"/>
  <c r="Z175" i="23"/>
  <c r="AA175" i="23" s="1"/>
  <c r="Z104" i="23"/>
  <c r="AA104" i="23" s="1"/>
  <c r="Z106" i="23"/>
  <c r="AA106" i="23" s="1"/>
  <c r="Z130" i="23"/>
  <c r="AA130" i="23" s="1"/>
  <c r="Z135" i="23"/>
  <c r="AA135" i="23" s="1"/>
  <c r="Z138" i="23"/>
  <c r="AA138" i="23" s="1"/>
  <c r="Z154" i="23"/>
  <c r="AA154" i="23" s="1"/>
  <c r="Z155" i="23"/>
  <c r="AA155" i="23" s="1"/>
  <c r="Z162" i="23"/>
  <c r="AA162" i="23" s="1"/>
  <c r="Z163" i="23"/>
  <c r="AA163" i="23" s="1"/>
  <c r="Z170" i="23"/>
  <c r="AA170" i="23" s="1"/>
  <c r="Z171" i="23"/>
  <c r="AA171" i="23" s="1"/>
  <c r="Z178" i="23"/>
  <c r="AA178" i="23" s="1"/>
  <c r="Z179" i="23"/>
  <c r="AA179" i="23" s="1"/>
  <c r="Z180" i="23"/>
  <c r="AA180" i="23" s="1"/>
  <c r="Z181" i="23"/>
  <c r="AA181" i="23" s="1"/>
  <c r="Z185" i="23"/>
  <c r="AA185" i="23" s="1"/>
  <c r="Z189" i="23"/>
  <c r="AA189" i="23" s="1"/>
  <c r="Z191" i="23"/>
  <c r="AA191" i="23" s="1"/>
  <c r="Z192" i="23"/>
  <c r="AA192" i="23" s="1"/>
  <c r="Z194" i="23"/>
  <c r="AA194" i="23" s="1"/>
  <c r="Z195" i="23"/>
  <c r="AA195" i="23" s="1"/>
  <c r="Z196" i="23"/>
  <c r="AA196" i="23" s="1"/>
  <c r="Z198" i="23"/>
  <c r="AA198" i="23" s="1"/>
  <c r="Z201" i="23"/>
  <c r="AA201" i="23" s="1"/>
  <c r="Z203" i="23"/>
  <c r="AA203" i="23" s="1"/>
  <c r="Z204" i="23"/>
  <c r="AA204" i="23" s="1"/>
  <c r="Z206" i="23"/>
  <c r="AA206" i="23" s="1"/>
  <c r="Z207" i="23"/>
  <c r="AA207" i="23" s="1"/>
  <c r="Z208" i="23"/>
  <c r="AA208" i="23" s="1"/>
  <c r="Z210" i="23"/>
  <c r="AA210" i="23" s="1"/>
  <c r="Z96" i="23"/>
  <c r="AA96" i="23" s="1"/>
  <c r="Z118" i="23"/>
  <c r="AA118" i="23" s="1"/>
  <c r="Z142" i="23"/>
  <c r="AA142" i="23" s="1"/>
  <c r="Z143" i="23"/>
  <c r="AA143" i="23" s="1"/>
  <c r="Z144" i="23"/>
  <c r="AA144" i="23" s="1"/>
  <c r="Z145" i="23"/>
  <c r="AA145" i="23" s="1"/>
  <c r="Z146" i="23"/>
  <c r="AA146" i="23" s="1"/>
  <c r="Z147" i="23"/>
  <c r="AA147" i="23" s="1"/>
  <c r="Z150" i="23"/>
  <c r="AA150" i="23" s="1"/>
  <c r="Z151" i="23"/>
  <c r="AA151" i="23" s="1"/>
  <c r="Z166" i="23"/>
  <c r="AA166" i="23" s="1"/>
  <c r="Z167" i="23"/>
  <c r="AA167" i="23" s="1"/>
  <c r="Z183" i="23"/>
  <c r="AA183" i="23" s="1"/>
  <c r="Z186" i="23"/>
  <c r="AA186" i="23" s="1"/>
  <c r="Z188" i="23"/>
  <c r="AA188" i="23" s="1"/>
  <c r="Z199" i="23"/>
  <c r="AA199" i="23" s="1"/>
  <c r="Z202" i="23"/>
  <c r="AA202" i="23" s="1"/>
  <c r="Z212" i="23"/>
  <c r="AA212" i="23" s="1"/>
  <c r="Z213" i="23"/>
  <c r="AA213" i="23" s="1"/>
  <c r="Z216" i="23"/>
  <c r="AA216" i="23" s="1"/>
  <c r="Z218" i="23"/>
  <c r="AA218" i="23" s="1"/>
  <c r="Z219" i="23"/>
  <c r="AA219" i="23" s="1"/>
  <c r="Z221" i="23"/>
  <c r="AA221" i="23" s="1"/>
  <c r="Z223" i="23"/>
  <c r="AA223" i="23" s="1"/>
  <c r="Z224" i="23"/>
  <c r="AA224" i="23" s="1"/>
  <c r="Z225" i="23"/>
  <c r="AA225" i="23" s="1"/>
  <c r="Z226" i="23"/>
  <c r="AA226" i="23" s="1"/>
  <c r="Z227" i="23"/>
  <c r="AA227" i="23" s="1"/>
  <c r="Z230" i="23"/>
  <c r="AA230" i="23" s="1"/>
  <c r="Z232" i="23"/>
  <c r="AA232" i="23" s="1"/>
  <c r="Z234" i="23"/>
  <c r="AA234" i="23" s="1"/>
  <c r="Z236" i="23"/>
  <c r="AA236" i="23" s="1"/>
  <c r="Z239" i="23"/>
  <c r="AA239" i="23" s="1"/>
  <c r="Z242" i="23"/>
  <c r="AA242" i="23" s="1"/>
  <c r="Z244" i="23"/>
  <c r="AA244" i="23" s="1"/>
  <c r="Z245" i="23"/>
  <c r="AA245" i="23" s="1"/>
  <c r="Z246" i="23"/>
  <c r="AA246" i="23" s="1"/>
  <c r="Z248" i="23"/>
  <c r="AA248" i="23" s="1"/>
  <c r="Z249" i="23"/>
  <c r="AA249" i="23" s="1"/>
  <c r="Z250" i="23"/>
  <c r="AA250" i="23" s="1"/>
  <c r="Z251" i="23"/>
  <c r="AA251" i="23" s="1"/>
  <c r="Z254" i="23"/>
  <c r="AA254" i="23" s="1"/>
  <c r="Z256" i="23"/>
  <c r="AA256" i="23" s="1"/>
  <c r="Z258" i="23"/>
  <c r="AA258" i="23" s="1"/>
  <c r="Z260" i="23"/>
  <c r="AA260" i="23" s="1"/>
  <c r="Z263" i="23"/>
  <c r="AA263" i="23" s="1"/>
  <c r="Z266" i="23"/>
  <c r="AA266" i="23" s="1"/>
  <c r="Z268" i="23"/>
  <c r="AA268" i="23" s="1"/>
  <c r="Z269" i="23"/>
  <c r="AA269" i="23" s="1"/>
  <c r="Z270" i="23"/>
  <c r="AA270" i="23" s="1"/>
  <c r="Z275" i="23"/>
  <c r="AA275" i="23" s="1"/>
  <c r="Z278" i="23"/>
  <c r="AA278" i="23" s="1"/>
  <c r="Z280" i="23"/>
  <c r="AA280" i="23" s="1"/>
  <c r="Z282" i="23"/>
  <c r="AA282" i="23" s="1"/>
  <c r="Z285" i="23"/>
  <c r="AA285" i="23" s="1"/>
  <c r="Z287" i="23"/>
  <c r="AA287" i="23" s="1"/>
  <c r="Z289" i="23"/>
  <c r="AA289" i="23" s="1"/>
  <c r="Z291" i="23"/>
  <c r="AA291" i="23" s="1"/>
  <c r="Z292" i="23"/>
  <c r="AA292" i="23" s="1"/>
  <c r="Z294" i="23"/>
  <c r="AA294" i="23" s="1"/>
  <c r="Z295" i="23"/>
  <c r="AA295" i="23" s="1"/>
  <c r="Z296" i="23"/>
  <c r="AA296" i="23" s="1"/>
  <c r="Z298" i="23"/>
  <c r="AA298" i="23" s="1"/>
  <c r="Z300" i="23"/>
  <c r="AA300" i="23" s="1"/>
  <c r="Z302" i="23"/>
  <c r="AA302" i="23" s="1"/>
  <c r="Z306" i="23"/>
  <c r="AA306" i="23" s="1"/>
  <c r="Z310" i="23"/>
  <c r="AA310" i="23" s="1"/>
  <c r="Z314" i="23"/>
  <c r="AA314" i="23" s="1"/>
  <c r="Z98" i="23"/>
  <c r="AA98" i="23" s="1"/>
  <c r="Z123" i="23"/>
  <c r="AA123" i="23" s="1"/>
  <c r="Z124" i="23"/>
  <c r="AA124" i="23" s="1"/>
  <c r="Z125" i="23"/>
  <c r="AA125" i="23" s="1"/>
  <c r="Z127" i="23"/>
  <c r="AA127" i="23" s="1"/>
  <c r="Z134" i="23"/>
  <c r="AA134" i="23" s="1"/>
  <c r="Z149" i="23"/>
  <c r="AA149" i="23" s="1"/>
  <c r="Z158" i="23"/>
  <c r="AA158" i="23" s="1"/>
  <c r="Z159" i="23"/>
  <c r="AA159" i="23" s="1"/>
  <c r="Z174" i="23"/>
  <c r="AA174" i="23" s="1"/>
  <c r="Z176" i="23"/>
  <c r="AA176" i="23" s="1"/>
  <c r="Z177" i="23"/>
  <c r="AA177" i="23" s="1"/>
  <c r="Z182" i="23"/>
  <c r="AA182" i="23" s="1"/>
  <c r="Z184" i="23"/>
  <c r="AA184" i="23" s="1"/>
  <c r="Z187" i="23"/>
  <c r="AA187" i="23" s="1"/>
  <c r="Z190" i="23"/>
  <c r="AA190" i="23" s="1"/>
  <c r="Z193" i="23"/>
  <c r="AA193" i="23" s="1"/>
  <c r="Z197" i="23"/>
  <c r="AA197" i="23" s="1"/>
  <c r="Z200" i="23"/>
  <c r="AA200" i="23" s="1"/>
  <c r="Z205" i="23"/>
  <c r="AA205" i="23" s="1"/>
  <c r="Z209" i="23"/>
  <c r="AA209" i="23" s="1"/>
  <c r="Z211" i="23"/>
  <c r="AA211" i="23" s="1"/>
  <c r="Z214" i="23"/>
  <c r="AA214" i="23" s="1"/>
  <c r="Z215" i="23"/>
  <c r="AA215" i="23" s="1"/>
  <c r="Z217" i="23"/>
  <c r="AA217" i="23" s="1"/>
  <c r="Z220" i="23"/>
  <c r="AA220" i="23" s="1"/>
  <c r="Z222" i="23"/>
  <c r="AA222" i="23" s="1"/>
  <c r="Z228" i="23"/>
  <c r="AA228" i="23" s="1"/>
  <c r="Z229" i="23"/>
  <c r="AA229" i="23" s="1"/>
  <c r="Z231" i="23"/>
  <c r="AA231" i="23" s="1"/>
  <c r="Z233" i="23"/>
  <c r="AA233" i="23" s="1"/>
  <c r="Z235" i="23"/>
  <c r="AA235" i="23" s="1"/>
  <c r="Z237" i="23"/>
  <c r="AA237" i="23" s="1"/>
  <c r="Z238" i="23"/>
  <c r="AA238" i="23" s="1"/>
  <c r="Z240" i="23"/>
  <c r="AA240" i="23" s="1"/>
  <c r="Z241" i="23"/>
  <c r="AA241" i="23" s="1"/>
  <c r="Z243" i="23"/>
  <c r="AA243" i="23" s="1"/>
  <c r="Z247" i="23"/>
  <c r="AA247" i="23" s="1"/>
  <c r="Z252" i="23"/>
  <c r="AA252" i="23" s="1"/>
  <c r="Z253" i="23"/>
  <c r="AA253" i="23" s="1"/>
  <c r="Z255" i="23"/>
  <c r="AA255" i="23" s="1"/>
  <c r="Z257" i="23"/>
  <c r="AA257" i="23" s="1"/>
  <c r="Z259" i="23"/>
  <c r="AA259" i="23" s="1"/>
  <c r="Z261" i="23"/>
  <c r="AA261" i="23" s="1"/>
  <c r="Z262" i="23"/>
  <c r="AA262" i="23" s="1"/>
  <c r="Z264" i="23"/>
  <c r="AA264" i="23" s="1"/>
  <c r="Z265" i="23"/>
  <c r="AA265" i="23" s="1"/>
  <c r="Z267" i="23"/>
  <c r="AA267" i="23" s="1"/>
  <c r="Z271" i="23"/>
  <c r="AA271" i="23" s="1"/>
  <c r="Z272" i="23"/>
  <c r="AA272" i="23" s="1"/>
  <c r="Z273" i="23"/>
  <c r="AA273" i="23" s="1"/>
  <c r="Z274" i="23"/>
  <c r="AA274" i="23" s="1"/>
  <c r="Z276" i="23"/>
  <c r="AA276" i="23" s="1"/>
  <c r="Z277" i="23"/>
  <c r="AA277" i="23" s="1"/>
  <c r="Z279" i="23"/>
  <c r="AA279" i="23" s="1"/>
  <c r="Z281" i="23"/>
  <c r="AA281" i="23" s="1"/>
  <c r="Z283" i="23"/>
  <c r="AA283" i="23" s="1"/>
  <c r="Z284" i="23"/>
  <c r="AA284" i="23" s="1"/>
  <c r="Z286" i="23"/>
  <c r="AA286" i="23" s="1"/>
  <c r="Z288" i="23"/>
  <c r="AA288" i="23" s="1"/>
  <c r="Z290" i="23"/>
  <c r="AA290" i="23" s="1"/>
  <c r="Z293" i="23"/>
  <c r="AA293" i="23" s="1"/>
  <c r="Z297" i="23"/>
  <c r="AA297" i="23" s="1"/>
  <c r="Z299" i="23"/>
  <c r="AA299" i="23" s="1"/>
  <c r="Z301" i="23"/>
  <c r="AA301" i="23" s="1"/>
  <c r="Z303" i="23"/>
  <c r="AA303" i="23" s="1"/>
  <c r="Z304" i="23"/>
  <c r="AA304" i="23" s="1"/>
  <c r="Z305" i="23"/>
  <c r="AA305" i="23" s="1"/>
  <c r="Z307" i="23"/>
  <c r="AA307" i="23" s="1"/>
  <c r="Z308" i="23"/>
  <c r="AA308" i="23" s="1"/>
  <c r="Z309" i="23"/>
  <c r="AA309" i="23" s="1"/>
  <c r="Z311" i="23"/>
  <c r="AA311" i="23" s="1"/>
  <c r="Z312" i="23"/>
  <c r="AA312" i="23" s="1"/>
  <c r="Z313" i="23"/>
  <c r="AA313" i="23" s="1"/>
  <c r="Z315" i="23"/>
  <c r="AA315" i="23" s="1"/>
  <c r="Z317" i="23"/>
  <c r="AA317" i="23" s="1"/>
  <c r="Z319" i="23"/>
  <c r="AA319" i="23" s="1"/>
  <c r="Z320" i="23"/>
  <c r="AA320" i="23" s="1"/>
  <c r="Z321" i="23"/>
  <c r="AA321" i="23" s="1"/>
  <c r="Z23" i="23"/>
  <c r="AA23" i="23" s="1"/>
  <c r="Z316" i="23"/>
  <c r="AA316" i="23" s="1"/>
  <c r="Z322" i="23"/>
  <c r="AA322" i="23" s="1"/>
  <c r="Z318" i="23"/>
  <c r="AA318" i="23" s="1"/>
  <c r="AD26" i="23"/>
  <c r="AE26" i="23" s="1"/>
  <c r="AD27" i="23"/>
  <c r="AE27" i="23" s="1"/>
  <c r="AD24" i="23"/>
  <c r="AE24" i="23" s="1"/>
  <c r="AD29" i="23"/>
  <c r="AE29" i="23" s="1"/>
  <c r="AD31" i="23"/>
  <c r="AE31" i="23" s="1"/>
  <c r="AD34" i="23"/>
  <c r="AE34" i="23" s="1"/>
  <c r="AD35" i="23"/>
  <c r="AE35" i="23" s="1"/>
  <c r="AD36" i="23"/>
  <c r="AE36" i="23" s="1"/>
  <c r="AD41" i="23"/>
  <c r="AE41" i="23" s="1"/>
  <c r="AD33" i="23"/>
  <c r="AE33" i="23" s="1"/>
  <c r="AD37" i="23"/>
  <c r="AE37" i="23" s="1"/>
  <c r="AD38" i="23"/>
  <c r="AE38" i="23" s="1"/>
  <c r="AD42" i="23"/>
  <c r="AE42" i="23" s="1"/>
  <c r="AD43" i="23"/>
  <c r="AE43" i="23" s="1"/>
  <c r="AD44" i="23"/>
  <c r="AE44" i="23" s="1"/>
  <c r="AD45" i="23"/>
  <c r="AE45" i="23" s="1"/>
  <c r="AD46" i="23"/>
  <c r="AE46" i="23" s="1"/>
  <c r="AD47" i="23"/>
  <c r="AE47" i="23" s="1"/>
  <c r="AD48" i="23"/>
  <c r="AE48" i="23" s="1"/>
  <c r="AD49" i="23"/>
  <c r="AE49" i="23" s="1"/>
  <c r="AD50" i="23"/>
  <c r="AE50" i="23" s="1"/>
  <c r="AD53" i="23"/>
  <c r="AE53" i="23" s="1"/>
  <c r="AD54" i="23"/>
  <c r="AE54" i="23" s="1"/>
  <c r="AD63" i="23"/>
  <c r="AE63" i="23" s="1"/>
  <c r="AD64" i="23"/>
  <c r="AE64" i="23" s="1"/>
  <c r="AD65" i="23"/>
  <c r="AE65" i="23" s="1"/>
  <c r="AD66" i="23"/>
  <c r="AE66" i="23" s="1"/>
  <c r="AD67" i="23"/>
  <c r="AE67" i="23" s="1"/>
  <c r="AD30" i="23"/>
  <c r="AE30" i="23" s="1"/>
  <c r="AD39" i="23"/>
  <c r="AE39" i="23" s="1"/>
  <c r="AD51" i="23"/>
  <c r="AE51" i="23" s="1"/>
  <c r="AD52" i="23"/>
  <c r="AE52" i="23" s="1"/>
  <c r="AD40" i="23"/>
  <c r="AE40" i="23" s="1"/>
  <c r="AD55" i="23"/>
  <c r="AE55" i="23" s="1"/>
  <c r="AD56" i="23"/>
  <c r="AE56" i="23" s="1"/>
  <c r="AD57" i="23"/>
  <c r="AE57" i="23" s="1"/>
  <c r="AD59" i="23"/>
  <c r="AE59" i="23" s="1"/>
  <c r="AD60" i="23"/>
  <c r="AE60" i="23" s="1"/>
  <c r="AD61" i="23"/>
  <c r="AE61" i="23" s="1"/>
  <c r="AD69" i="23"/>
  <c r="AE69" i="23" s="1"/>
  <c r="AD70" i="23"/>
  <c r="AE70" i="23" s="1"/>
  <c r="AD71" i="23"/>
  <c r="AE71" i="23" s="1"/>
  <c r="AD72" i="23"/>
  <c r="AE72" i="23" s="1"/>
  <c r="AD77" i="23"/>
  <c r="AE77" i="23" s="1"/>
  <c r="AD78" i="23"/>
  <c r="AE78" i="23" s="1"/>
  <c r="AD79" i="23"/>
  <c r="AE79" i="23" s="1"/>
  <c r="AD80" i="23"/>
  <c r="AE80" i="23" s="1"/>
  <c r="AD81" i="23"/>
  <c r="AE81" i="23" s="1"/>
  <c r="AD84" i="23"/>
  <c r="AE84" i="23" s="1"/>
  <c r="AD85" i="23"/>
  <c r="AE85" i="23" s="1"/>
  <c r="AD87" i="23"/>
  <c r="AE87" i="23" s="1"/>
  <c r="AD90" i="23"/>
  <c r="AE90" i="23" s="1"/>
  <c r="AD92" i="23"/>
  <c r="AE92" i="23" s="1"/>
  <c r="AD94" i="23"/>
  <c r="AE94" i="23" s="1"/>
  <c r="AD96" i="23"/>
  <c r="AE96" i="23" s="1"/>
  <c r="AD98" i="23"/>
  <c r="AE98" i="23" s="1"/>
  <c r="AD100" i="23"/>
  <c r="AE100" i="23" s="1"/>
  <c r="AD102" i="23"/>
  <c r="AE102" i="23" s="1"/>
  <c r="AD104" i="23"/>
  <c r="AE104" i="23" s="1"/>
  <c r="AD106" i="23"/>
  <c r="AE106" i="23" s="1"/>
  <c r="AD108" i="23"/>
  <c r="AE108" i="23" s="1"/>
  <c r="AD112" i="23"/>
  <c r="AE112" i="23" s="1"/>
  <c r="AD113" i="23"/>
  <c r="AE113" i="23" s="1"/>
  <c r="AD115" i="23"/>
  <c r="AE115" i="23" s="1"/>
  <c r="AD116" i="23"/>
  <c r="AE116" i="23" s="1"/>
  <c r="AD117" i="23"/>
  <c r="AE117" i="23" s="1"/>
  <c r="AD120" i="23"/>
  <c r="AE120" i="23" s="1"/>
  <c r="AD121" i="23"/>
  <c r="AE121" i="23" s="1"/>
  <c r="AD25" i="23"/>
  <c r="AE25" i="23" s="1"/>
  <c r="AD28" i="23"/>
  <c r="AE28" i="23" s="1"/>
  <c r="AD32" i="23"/>
  <c r="AE32" i="23" s="1"/>
  <c r="AD58" i="23"/>
  <c r="AE58" i="23" s="1"/>
  <c r="AD62" i="23"/>
  <c r="AE62" i="23" s="1"/>
  <c r="AD68" i="23"/>
  <c r="AE68" i="23" s="1"/>
  <c r="AD73" i="23"/>
  <c r="AE73" i="23" s="1"/>
  <c r="AD74" i="23"/>
  <c r="AE74" i="23" s="1"/>
  <c r="AD75" i="23"/>
  <c r="AE75" i="23" s="1"/>
  <c r="AD76" i="23"/>
  <c r="AE76" i="23" s="1"/>
  <c r="AD82" i="23"/>
  <c r="AE82" i="23" s="1"/>
  <c r="AD83" i="23"/>
  <c r="AE83" i="23" s="1"/>
  <c r="AD86" i="23"/>
  <c r="AE86" i="23" s="1"/>
  <c r="AD88" i="23"/>
  <c r="AE88" i="23" s="1"/>
  <c r="AD89" i="23"/>
  <c r="AE89" i="23" s="1"/>
  <c r="AD91" i="23"/>
  <c r="AE91" i="23" s="1"/>
  <c r="AD93" i="23"/>
  <c r="AE93" i="23" s="1"/>
  <c r="AD97" i="23"/>
  <c r="AE97" i="23" s="1"/>
  <c r="AD99" i="23"/>
  <c r="AE99" i="23" s="1"/>
  <c r="AD105" i="23"/>
  <c r="AE105" i="23" s="1"/>
  <c r="AD107" i="23"/>
  <c r="AE107" i="23" s="1"/>
  <c r="AD111" i="23"/>
  <c r="AE111" i="23" s="1"/>
  <c r="AD118" i="23"/>
  <c r="AE118" i="23" s="1"/>
  <c r="AD119" i="23"/>
  <c r="AE119" i="23" s="1"/>
  <c r="AD126" i="23"/>
  <c r="AE126" i="23" s="1"/>
  <c r="AD128" i="23"/>
  <c r="AE128" i="23" s="1"/>
  <c r="AD129" i="23"/>
  <c r="AE129" i="23" s="1"/>
  <c r="AD131" i="23"/>
  <c r="AE131" i="23" s="1"/>
  <c r="AD132" i="23"/>
  <c r="AE132" i="23" s="1"/>
  <c r="AD133" i="23"/>
  <c r="AE133" i="23" s="1"/>
  <c r="AD136" i="23"/>
  <c r="AE136" i="23" s="1"/>
  <c r="AD137" i="23"/>
  <c r="AE137" i="23" s="1"/>
  <c r="AD139" i="23"/>
  <c r="AE139" i="23" s="1"/>
  <c r="AD140" i="23"/>
  <c r="AE140" i="23" s="1"/>
  <c r="AD141" i="23"/>
  <c r="AE141" i="23" s="1"/>
  <c r="AD149" i="23"/>
  <c r="AE149" i="23" s="1"/>
  <c r="AD152" i="23"/>
  <c r="AE152" i="23" s="1"/>
  <c r="AD153" i="23"/>
  <c r="AE153" i="23" s="1"/>
  <c r="AD156" i="23"/>
  <c r="AE156" i="23" s="1"/>
  <c r="AD157" i="23"/>
  <c r="AE157" i="23" s="1"/>
  <c r="AD160" i="23"/>
  <c r="AE160" i="23" s="1"/>
  <c r="AD161" i="23"/>
  <c r="AE161" i="23" s="1"/>
  <c r="AD164" i="23"/>
  <c r="AE164" i="23" s="1"/>
  <c r="AD165" i="23"/>
  <c r="AE165" i="23" s="1"/>
  <c r="AD168" i="23"/>
  <c r="AE168" i="23" s="1"/>
  <c r="AD169" i="23"/>
  <c r="AE169" i="23" s="1"/>
  <c r="AD172" i="23"/>
  <c r="AE172" i="23" s="1"/>
  <c r="AD173" i="23"/>
  <c r="AE173" i="23" s="1"/>
  <c r="AD103" i="23"/>
  <c r="AE103" i="23" s="1"/>
  <c r="AD109" i="23"/>
  <c r="AE109" i="23" s="1"/>
  <c r="AD122" i="23"/>
  <c r="AE122" i="23" s="1"/>
  <c r="AD124" i="23"/>
  <c r="AE124" i="23" s="1"/>
  <c r="AD134" i="23"/>
  <c r="AE134" i="23" s="1"/>
  <c r="AD135" i="23"/>
  <c r="AE135" i="23" s="1"/>
  <c r="AD142" i="23"/>
  <c r="AE142" i="23" s="1"/>
  <c r="AD144" i="23"/>
  <c r="AE144" i="23" s="1"/>
  <c r="AD146" i="23"/>
  <c r="AE146" i="23" s="1"/>
  <c r="AD150" i="23"/>
  <c r="AE150" i="23" s="1"/>
  <c r="AD155" i="23"/>
  <c r="AE155" i="23" s="1"/>
  <c r="AD158" i="23"/>
  <c r="AE158" i="23" s="1"/>
  <c r="AD163" i="23"/>
  <c r="AE163" i="23" s="1"/>
  <c r="AD166" i="23"/>
  <c r="AE166" i="23" s="1"/>
  <c r="AD171" i="23"/>
  <c r="AE171" i="23" s="1"/>
  <c r="AD174" i="23"/>
  <c r="AE174" i="23" s="1"/>
  <c r="AD178" i="23"/>
  <c r="AE178" i="23" s="1"/>
  <c r="AD179" i="23"/>
  <c r="AE179" i="23" s="1"/>
  <c r="AD180" i="23"/>
  <c r="AE180" i="23" s="1"/>
  <c r="AD181" i="23"/>
  <c r="AE181" i="23" s="1"/>
  <c r="AD183" i="23"/>
  <c r="AE183" i="23" s="1"/>
  <c r="AD187" i="23"/>
  <c r="AE187" i="23" s="1"/>
  <c r="AD192" i="23"/>
  <c r="AE192" i="23" s="1"/>
  <c r="AD193" i="23"/>
  <c r="AE193" i="23" s="1"/>
  <c r="AD194" i="23"/>
  <c r="AE194" i="23" s="1"/>
  <c r="AD196" i="23"/>
  <c r="AE196" i="23" s="1"/>
  <c r="AD197" i="23"/>
  <c r="AE197" i="23" s="1"/>
  <c r="AD198" i="23"/>
  <c r="AE198" i="23" s="1"/>
  <c r="AD199" i="23"/>
  <c r="AE199" i="23" s="1"/>
  <c r="AD204" i="23"/>
  <c r="AE204" i="23" s="1"/>
  <c r="AD205" i="23"/>
  <c r="AE205" i="23" s="1"/>
  <c r="AD206" i="23"/>
  <c r="AE206" i="23" s="1"/>
  <c r="AD208" i="23"/>
  <c r="AE208" i="23" s="1"/>
  <c r="AD209" i="23"/>
  <c r="AE209" i="23" s="1"/>
  <c r="AD210" i="23"/>
  <c r="AE210" i="23" s="1"/>
  <c r="AD95" i="23"/>
  <c r="AE95" i="23" s="1"/>
  <c r="AD110" i="23"/>
  <c r="AE110" i="23" s="1"/>
  <c r="AD114" i="23"/>
  <c r="AE114" i="23" s="1"/>
  <c r="AD123" i="23"/>
  <c r="AE123" i="23" s="1"/>
  <c r="AD125" i="23"/>
  <c r="AE125" i="23" s="1"/>
  <c r="AD127" i="23"/>
  <c r="AE127" i="23" s="1"/>
  <c r="AD138" i="23"/>
  <c r="AE138" i="23" s="1"/>
  <c r="AD154" i="23"/>
  <c r="AE154" i="23" s="1"/>
  <c r="AD159" i="23"/>
  <c r="AE159" i="23" s="1"/>
  <c r="AD170" i="23"/>
  <c r="AE170" i="23" s="1"/>
  <c r="AD176" i="23"/>
  <c r="AE176" i="23" s="1"/>
  <c r="AD182" i="23"/>
  <c r="AE182" i="23" s="1"/>
  <c r="AD184" i="23"/>
  <c r="AE184" i="23" s="1"/>
  <c r="AD185" i="23"/>
  <c r="AE185" i="23" s="1"/>
  <c r="AD190" i="23"/>
  <c r="AE190" i="23" s="1"/>
  <c r="AD191" i="23"/>
  <c r="AE191" i="23" s="1"/>
  <c r="AD195" i="23"/>
  <c r="AE195" i="23" s="1"/>
  <c r="AD200" i="23"/>
  <c r="AE200" i="23" s="1"/>
  <c r="AD201" i="23"/>
  <c r="AE201" i="23" s="1"/>
  <c r="AD203" i="23"/>
  <c r="AE203" i="23" s="1"/>
  <c r="AD207" i="23"/>
  <c r="AE207" i="23" s="1"/>
  <c r="AD214" i="23"/>
  <c r="AE214" i="23" s="1"/>
  <c r="AD215" i="23"/>
  <c r="AE215" i="23" s="1"/>
  <c r="AD217" i="23"/>
  <c r="AE217" i="23" s="1"/>
  <c r="AD220" i="23"/>
  <c r="AE220" i="23" s="1"/>
  <c r="AD222" i="23"/>
  <c r="AE222" i="23" s="1"/>
  <c r="AD224" i="23"/>
  <c r="AE224" i="23" s="1"/>
  <c r="AD227" i="23"/>
  <c r="AE227" i="23" s="1"/>
  <c r="AD228" i="23"/>
  <c r="AE228" i="23" s="1"/>
  <c r="AD229" i="23"/>
  <c r="AE229" i="23" s="1"/>
  <c r="AD231" i="23"/>
  <c r="AE231" i="23" s="1"/>
  <c r="AD232" i="23"/>
  <c r="AE232" i="23" s="1"/>
  <c r="AD233" i="23"/>
  <c r="AE233" i="23" s="1"/>
  <c r="AD235" i="23"/>
  <c r="AE235" i="23" s="1"/>
  <c r="AD236" i="23"/>
  <c r="AE236" i="23" s="1"/>
  <c r="AD237" i="23"/>
  <c r="AE237" i="23" s="1"/>
  <c r="AD240" i="23"/>
  <c r="AE240" i="23" s="1"/>
  <c r="AD241" i="23"/>
  <c r="AE241" i="23" s="1"/>
  <c r="AD242" i="23"/>
  <c r="AE242" i="23" s="1"/>
  <c r="AD243" i="23"/>
  <c r="AE243" i="23" s="1"/>
  <c r="AD246" i="23"/>
  <c r="AE246" i="23" s="1"/>
  <c r="AD247" i="23"/>
  <c r="AE247" i="23" s="1"/>
  <c r="AD252" i="23"/>
  <c r="AE252" i="23" s="1"/>
  <c r="AD253" i="23"/>
  <c r="AE253" i="23" s="1"/>
  <c r="AD254" i="23"/>
  <c r="AE254" i="23" s="1"/>
  <c r="AD255" i="23"/>
  <c r="AE255" i="23" s="1"/>
  <c r="AD257" i="23"/>
  <c r="AE257" i="23" s="1"/>
  <c r="AD258" i="23"/>
  <c r="AE258" i="23" s="1"/>
  <c r="AD259" i="23"/>
  <c r="AE259" i="23" s="1"/>
  <c r="AD261" i="23"/>
  <c r="AE261" i="23" s="1"/>
  <c r="AD264" i="23"/>
  <c r="AE264" i="23" s="1"/>
  <c r="AD265" i="23"/>
  <c r="AE265" i="23" s="1"/>
  <c r="AD267" i="23"/>
  <c r="AE267" i="23" s="1"/>
  <c r="AD271" i="23"/>
  <c r="AE271" i="23" s="1"/>
  <c r="AD272" i="23"/>
  <c r="AE272" i="23" s="1"/>
  <c r="AD273" i="23"/>
  <c r="AE273" i="23" s="1"/>
  <c r="AD274" i="23"/>
  <c r="AE274" i="23" s="1"/>
  <c r="AD276" i="23"/>
  <c r="AE276" i="23" s="1"/>
  <c r="AD279" i="23"/>
  <c r="AE279" i="23" s="1"/>
  <c r="AD284" i="23"/>
  <c r="AE284" i="23" s="1"/>
  <c r="AD285" i="23"/>
  <c r="AE285" i="23" s="1"/>
  <c r="AD286" i="23"/>
  <c r="AE286" i="23" s="1"/>
  <c r="AD288" i="23"/>
  <c r="AE288" i="23" s="1"/>
  <c r="AD289" i="23"/>
  <c r="AE289" i="23" s="1"/>
  <c r="AD290" i="23"/>
  <c r="AE290" i="23" s="1"/>
  <c r="AD291" i="23"/>
  <c r="AE291" i="23" s="1"/>
  <c r="AD295" i="23"/>
  <c r="AE295" i="23" s="1"/>
  <c r="AD299" i="23"/>
  <c r="AE299" i="23" s="1"/>
  <c r="AD303" i="23"/>
  <c r="AE303" i="23" s="1"/>
  <c r="AD304" i="23"/>
  <c r="AE304" i="23" s="1"/>
  <c r="AD307" i="23"/>
  <c r="AE307" i="23" s="1"/>
  <c r="AD308" i="23"/>
  <c r="AE308" i="23" s="1"/>
  <c r="AD311" i="23"/>
  <c r="AE311" i="23" s="1"/>
  <c r="AD312" i="23"/>
  <c r="AE312" i="23" s="1"/>
  <c r="AD101" i="23"/>
  <c r="AE101" i="23" s="1"/>
  <c r="AD130" i="23"/>
  <c r="AE130" i="23" s="1"/>
  <c r="AD143" i="23"/>
  <c r="AE143" i="23" s="1"/>
  <c r="AD145" i="23"/>
  <c r="AE145" i="23" s="1"/>
  <c r="AD147" i="23"/>
  <c r="AE147" i="23" s="1"/>
  <c r="AD148" i="23"/>
  <c r="AE148" i="23" s="1"/>
  <c r="AD151" i="23"/>
  <c r="AE151" i="23" s="1"/>
  <c r="AD162" i="23"/>
  <c r="AE162" i="23" s="1"/>
  <c r="AD167" i="23"/>
  <c r="AE167" i="23" s="1"/>
  <c r="AD175" i="23"/>
  <c r="AE175" i="23" s="1"/>
  <c r="AD177" i="23"/>
  <c r="AE177" i="23" s="1"/>
  <c r="AD186" i="23"/>
  <c r="AE186" i="23" s="1"/>
  <c r="AD188" i="23"/>
  <c r="AE188" i="23" s="1"/>
  <c r="AD189" i="23"/>
  <c r="AE189" i="23" s="1"/>
  <c r="AD202" i="23"/>
  <c r="AE202" i="23" s="1"/>
  <c r="AD211" i="23"/>
  <c r="AE211" i="23" s="1"/>
  <c r="AD212" i="23"/>
  <c r="AE212" i="23" s="1"/>
  <c r="AD213" i="23"/>
  <c r="AE213" i="23" s="1"/>
  <c r="AD216" i="23"/>
  <c r="AE216" i="23" s="1"/>
  <c r="AD218" i="23"/>
  <c r="AE218" i="23" s="1"/>
  <c r="AD219" i="23"/>
  <c r="AE219" i="23" s="1"/>
  <c r="AD221" i="23"/>
  <c r="AE221" i="23" s="1"/>
  <c r="AD223" i="23"/>
  <c r="AE223" i="23" s="1"/>
  <c r="AD225" i="23"/>
  <c r="AE225" i="23" s="1"/>
  <c r="AD226" i="23"/>
  <c r="AE226" i="23" s="1"/>
  <c r="AD230" i="23"/>
  <c r="AE230" i="23" s="1"/>
  <c r="AD234" i="23"/>
  <c r="AE234" i="23" s="1"/>
  <c r="AD238" i="23"/>
  <c r="AE238" i="23" s="1"/>
  <c r="AD239" i="23"/>
  <c r="AE239" i="23" s="1"/>
  <c r="AD244" i="23"/>
  <c r="AE244" i="23" s="1"/>
  <c r="AD245" i="23"/>
  <c r="AE245" i="23" s="1"/>
  <c r="AD248" i="23"/>
  <c r="AE248" i="23" s="1"/>
  <c r="AD249" i="23"/>
  <c r="AE249" i="23" s="1"/>
  <c r="AD250" i="23"/>
  <c r="AE250" i="23" s="1"/>
  <c r="AD251" i="23"/>
  <c r="AE251" i="23" s="1"/>
  <c r="AD256" i="23"/>
  <c r="AE256" i="23" s="1"/>
  <c r="AD260" i="23"/>
  <c r="AE260" i="23" s="1"/>
  <c r="AD262" i="23"/>
  <c r="AE262" i="23" s="1"/>
  <c r="AD263" i="23"/>
  <c r="AE263" i="23" s="1"/>
  <c r="AD266" i="23"/>
  <c r="AE266" i="23" s="1"/>
  <c r="AD268" i="23"/>
  <c r="AE268" i="23" s="1"/>
  <c r="AD269" i="23"/>
  <c r="AE269" i="23" s="1"/>
  <c r="AD270" i="23"/>
  <c r="AE270" i="23" s="1"/>
  <c r="AD275" i="23"/>
  <c r="AE275" i="23" s="1"/>
  <c r="AD277" i="23"/>
  <c r="AE277" i="23" s="1"/>
  <c r="AD278" i="23"/>
  <c r="AE278" i="23" s="1"/>
  <c r="AD280" i="23"/>
  <c r="AE280" i="23" s="1"/>
  <c r="AD281" i="23"/>
  <c r="AE281" i="23" s="1"/>
  <c r="AD282" i="23"/>
  <c r="AE282" i="23" s="1"/>
  <c r="AD283" i="23"/>
  <c r="AE283" i="23" s="1"/>
  <c r="AD287" i="23"/>
  <c r="AE287" i="23" s="1"/>
  <c r="AD292" i="23"/>
  <c r="AE292" i="23" s="1"/>
  <c r="AD293" i="23"/>
  <c r="AE293" i="23" s="1"/>
  <c r="AD294" i="23"/>
  <c r="AE294" i="23" s="1"/>
  <c r="AD296" i="23"/>
  <c r="AE296" i="23" s="1"/>
  <c r="AD297" i="23"/>
  <c r="AE297" i="23" s="1"/>
  <c r="AD298" i="23"/>
  <c r="AE298" i="23" s="1"/>
  <c r="AD300" i="23"/>
  <c r="AE300" i="23" s="1"/>
  <c r="AD301" i="23"/>
  <c r="AE301" i="23" s="1"/>
  <c r="AD302" i="23"/>
  <c r="AE302" i="23" s="1"/>
  <c r="AD305" i="23"/>
  <c r="AE305" i="23" s="1"/>
  <c r="AD306" i="23"/>
  <c r="AE306" i="23" s="1"/>
  <c r="AD309" i="23"/>
  <c r="AE309" i="23" s="1"/>
  <c r="AD310" i="23"/>
  <c r="AE310" i="23" s="1"/>
  <c r="AD313" i="23"/>
  <c r="AE313" i="23" s="1"/>
  <c r="AD314" i="23"/>
  <c r="AE314" i="23" s="1"/>
  <c r="AD316" i="23"/>
  <c r="AE316" i="23" s="1"/>
  <c r="AD318" i="23"/>
  <c r="AE318" i="23" s="1"/>
  <c r="AD319" i="23"/>
  <c r="AE319" i="23" s="1"/>
  <c r="AD322" i="23"/>
  <c r="AE322" i="23" s="1"/>
  <c r="AD23" i="23"/>
  <c r="AE23" i="23" s="1"/>
  <c r="AD315" i="23"/>
  <c r="AE315" i="23" s="1"/>
  <c r="AD317" i="23"/>
  <c r="AE317" i="23" s="1"/>
  <c r="AD320" i="23"/>
  <c r="AE320" i="23" s="1"/>
  <c r="AD321" i="23"/>
  <c r="AE321" i="23" s="1"/>
  <c r="C9" i="23"/>
  <c r="C4" i="23"/>
  <c r="AD54" i="62" l="1"/>
  <c r="AD52" i="62"/>
  <c r="AE53" i="62" s="1"/>
  <c r="AD49" i="62"/>
  <c r="AE50" i="62" s="1"/>
  <c r="AD51" i="62"/>
  <c r="AG37" i="62"/>
  <c r="AG39" i="62"/>
  <c r="AF8" i="62"/>
  <c r="AG38" i="62"/>
  <c r="AE10" i="62"/>
  <c r="AF44" i="62"/>
  <c r="AF45" i="62"/>
  <c r="AF43" i="62"/>
  <c r="AD42" i="62"/>
  <c r="AD40" i="62"/>
  <c r="AE41" i="62" s="1"/>
  <c r="AD11" i="62"/>
  <c r="AE47" i="62"/>
  <c r="AE48" i="62"/>
  <c r="AE46" i="62"/>
  <c r="AE60" i="62"/>
  <c r="AE58" i="62"/>
  <c r="AF59" i="62" s="1"/>
  <c r="AG34" i="62"/>
  <c r="AH35" i="62" s="1"/>
  <c r="AG36" i="62"/>
  <c r="AC14" i="62"/>
  <c r="AD56" i="62"/>
  <c r="AD57" i="62"/>
  <c r="AD55" i="62"/>
  <c r="AE13" i="62"/>
  <c r="AM12" i="62"/>
  <c r="AN7" i="62"/>
  <c r="AL9" i="62"/>
  <c r="AM15" i="62"/>
  <c r="AP13" i="62"/>
  <c r="AP11" i="62"/>
  <c r="AP14" i="62"/>
  <c r="AP10" i="62"/>
  <c r="AM8" i="62"/>
  <c r="AN24" i="62"/>
  <c r="AP17" i="55"/>
  <c r="AP18" i="55"/>
  <c r="AZ15" i="55"/>
  <c r="AP19" i="55"/>
  <c r="BG15" i="55"/>
  <c r="AA3" i="47"/>
  <c r="AA3" i="45"/>
  <c r="AA3" i="43"/>
  <c r="AA3" i="48"/>
  <c r="AA3" i="46"/>
  <c r="AA3" i="44"/>
  <c r="AG89" i="55"/>
  <c r="AR61" i="55"/>
  <c r="AR60" i="55"/>
  <c r="CK18" i="62"/>
  <c r="AE41" i="5"/>
  <c r="J20" i="23"/>
  <c r="AC20" i="23"/>
  <c r="H15" i="23" s="1"/>
  <c r="L20" i="23"/>
  <c r="H7" i="23" s="1"/>
  <c r="AG20" i="23"/>
  <c r="H17" i="23" s="1"/>
  <c r="AE20" i="23"/>
  <c r="H16" i="23" s="1"/>
  <c r="W20" i="23"/>
  <c r="C6" i="23"/>
  <c r="Y20" i="23"/>
  <c r="H13" i="23" s="1"/>
  <c r="U20" i="23"/>
  <c r="R20" i="23"/>
  <c r="H10" i="23" s="1"/>
  <c r="S23" i="23"/>
  <c r="C17" i="23"/>
  <c r="C16" i="23"/>
  <c r="C15" i="23"/>
  <c r="C13" i="23"/>
  <c r="C12" i="23"/>
  <c r="C11" i="23"/>
  <c r="C10" i="23"/>
  <c r="O23" i="23"/>
  <c r="P23" i="23" s="1"/>
  <c r="N20" i="23"/>
  <c r="C8" i="23"/>
  <c r="C7" i="23"/>
  <c r="F20" i="23"/>
  <c r="G23" i="23"/>
  <c r="H23" i="23" s="1"/>
  <c r="C14" i="23"/>
  <c r="AA20" i="23"/>
  <c r="AF47" i="62" l="1"/>
  <c r="AE52" i="62"/>
  <c r="AF53" i="62" s="1"/>
  <c r="AE54" i="62"/>
  <c r="AE49" i="62"/>
  <c r="AF50" i="62" s="1"/>
  <c r="AE51" i="62"/>
  <c r="AD14" i="62"/>
  <c r="AE56" i="62"/>
  <c r="AE40" i="62"/>
  <c r="AF41" i="62" s="1"/>
  <c r="AE42" i="62"/>
  <c r="AE57" i="62"/>
  <c r="AE55" i="62"/>
  <c r="AH34" i="62"/>
  <c r="AI35" i="62" s="1"/>
  <c r="AH36" i="62"/>
  <c r="AF10" i="62"/>
  <c r="AG44" i="62"/>
  <c r="AG45" i="62"/>
  <c r="AG43" i="62"/>
  <c r="AF58" i="62"/>
  <c r="AG59" i="62" s="1"/>
  <c r="AF60" i="62"/>
  <c r="AF48" i="62"/>
  <c r="AF46" i="62"/>
  <c r="AH39" i="62"/>
  <c r="AH37" i="62"/>
  <c r="AF13" i="62"/>
  <c r="AG8" i="62"/>
  <c r="AH38" i="62"/>
  <c r="AL8" i="62"/>
  <c r="AQ14" i="62"/>
  <c r="AQ11" i="62"/>
  <c r="AQ13" i="62"/>
  <c r="AN15" i="62"/>
  <c r="AM9" i="62"/>
  <c r="AO7" i="62"/>
  <c r="AN12" i="62"/>
  <c r="AN8" i="62"/>
  <c r="AQ10" i="62"/>
  <c r="AO24" i="62"/>
  <c r="AZ63" i="55"/>
  <c r="M95" i="55"/>
  <c r="M97" i="55" s="1"/>
  <c r="AS18" i="55"/>
  <c r="AS19" i="55"/>
  <c r="BG63" i="55"/>
  <c r="Q95" i="55"/>
  <c r="U95" i="55"/>
  <c r="CL18" i="62"/>
  <c r="F22" i="24"/>
  <c r="F24" i="24"/>
  <c r="F20" i="24"/>
  <c r="G20" i="24" s="1"/>
  <c r="H33" i="25" s="1"/>
  <c r="F25" i="24"/>
  <c r="F21" i="24"/>
  <c r="F23" i="24"/>
  <c r="AE47" i="5"/>
  <c r="AE46" i="5"/>
  <c r="AE45" i="5"/>
  <c r="AE44" i="5"/>
  <c r="AE43" i="5"/>
  <c r="AE42" i="5"/>
  <c r="H11" i="23"/>
  <c r="H6" i="23"/>
  <c r="D19" i="24"/>
  <c r="I19" i="24"/>
  <c r="J19" i="24"/>
  <c r="F19" i="24"/>
  <c r="G19" i="24" s="1"/>
  <c r="H19" i="24"/>
  <c r="H12" i="23"/>
  <c r="H8" i="23"/>
  <c r="H4" i="23"/>
  <c r="H14" i="23"/>
  <c r="AF52" i="62" l="1"/>
  <c r="AG53" i="62" s="1"/>
  <c r="AF54" i="62"/>
  <c r="AF49" i="62"/>
  <c r="AG50" i="62" s="1"/>
  <c r="AF51" i="62"/>
  <c r="AI34" i="62"/>
  <c r="AJ35" i="62" s="1"/>
  <c r="AI36" i="62"/>
  <c r="AG13" i="62"/>
  <c r="AH8" i="62"/>
  <c r="AI38" i="62"/>
  <c r="AE14" i="62"/>
  <c r="AF56" i="62"/>
  <c r="AI39" i="62"/>
  <c r="AI37" i="62"/>
  <c r="AF57" i="62"/>
  <c r="AG57" i="62" s="1"/>
  <c r="AF55" i="62"/>
  <c r="AF11" i="62"/>
  <c r="AG47" i="62"/>
  <c r="AF40" i="62"/>
  <c r="AG41" i="62" s="1"/>
  <c r="AF42" i="62"/>
  <c r="AG46" i="62"/>
  <c r="AG48" i="62"/>
  <c r="AG58" i="62"/>
  <c r="AH59" i="62" s="1"/>
  <c r="AG60" i="62"/>
  <c r="AG10" i="62"/>
  <c r="AH44" i="62"/>
  <c r="AH45" i="62"/>
  <c r="AH43" i="62"/>
  <c r="AR10" i="62"/>
  <c r="AO8" i="62"/>
  <c r="AO12" i="62"/>
  <c r="AP7" i="62"/>
  <c r="AN9" i="62"/>
  <c r="AO15" i="62"/>
  <c r="AR13" i="62"/>
  <c r="AR11" i="62"/>
  <c r="AR14" i="62"/>
  <c r="AP24" i="62"/>
  <c r="CM18" i="62"/>
  <c r="I20" i="24"/>
  <c r="D20" i="24"/>
  <c r="J20" i="24"/>
  <c r="H20" i="24"/>
  <c r="H31" i="25"/>
  <c r="K19" i="24"/>
  <c r="AI2" i="4"/>
  <c r="AD22" i="4"/>
  <c r="AG54" i="62" l="1"/>
  <c r="AG52" i="62"/>
  <c r="AH53" i="62" s="1"/>
  <c r="AJ38" i="62"/>
  <c r="AG49" i="62"/>
  <c r="AH50" i="62" s="1"/>
  <c r="AG51" i="62"/>
  <c r="AH58" i="62"/>
  <c r="AI59" i="62" s="1"/>
  <c r="AH60" i="62"/>
  <c r="AJ39" i="62"/>
  <c r="AJ37" i="62"/>
  <c r="AH48" i="62"/>
  <c r="AH46" i="62"/>
  <c r="AG11" i="62"/>
  <c r="AH47" i="62"/>
  <c r="AG40" i="62"/>
  <c r="AH41" i="62" s="1"/>
  <c r="AG42" i="62"/>
  <c r="AH10" i="62"/>
  <c r="AI44" i="62"/>
  <c r="AJ34" i="62"/>
  <c r="AK35" i="62" s="1"/>
  <c r="AJ36" i="62"/>
  <c r="AI43" i="62"/>
  <c r="AI45" i="62"/>
  <c r="AF14" i="62"/>
  <c r="AG56" i="62"/>
  <c r="AG55" i="62" s="1"/>
  <c r="AH57" i="62"/>
  <c r="AH13" i="62"/>
  <c r="AS14" i="62"/>
  <c r="AS11" i="62"/>
  <c r="AS13" i="62"/>
  <c r="AS10" i="62"/>
  <c r="AP8" i="62"/>
  <c r="AP15" i="62"/>
  <c r="AO9" i="62"/>
  <c r="AQ7" i="62"/>
  <c r="AP12" i="62"/>
  <c r="AQ24" i="62"/>
  <c r="CN18" i="62"/>
  <c r="D31" i="25"/>
  <c r="S19" i="2" s="1"/>
  <c r="M10" i="6"/>
  <c r="AH54" i="62" l="1"/>
  <c r="AH52" i="62"/>
  <c r="AI53" i="62" s="1"/>
  <c r="AH49" i="62"/>
  <c r="AI50" i="62" s="1"/>
  <c r="AH51" i="62"/>
  <c r="AH42" i="62"/>
  <c r="AH40" i="62"/>
  <c r="AI41" i="62" s="1"/>
  <c r="AG14" i="62"/>
  <c r="AH56" i="62"/>
  <c r="AH55" i="62" s="1"/>
  <c r="AI56" i="62" s="1"/>
  <c r="AI55" i="62" s="1"/>
  <c r="AJ56" i="62" s="1"/>
  <c r="AI47" i="62"/>
  <c r="AI57" i="62"/>
  <c r="AI48" i="62"/>
  <c r="AI46" i="62"/>
  <c r="AI11" i="62" s="1"/>
  <c r="AJ45" i="62"/>
  <c r="AJ43" i="62"/>
  <c r="AJ8" i="62"/>
  <c r="AK38" i="62"/>
  <c r="AI10" i="62"/>
  <c r="AJ44" i="62"/>
  <c r="AK37" i="62"/>
  <c r="AK39" i="62"/>
  <c r="AK34" i="62"/>
  <c r="AL35" i="62" s="1"/>
  <c r="AK36" i="62"/>
  <c r="AI58" i="62"/>
  <c r="AJ59" i="62" s="1"/>
  <c r="AI60" i="62"/>
  <c r="AT10" i="62"/>
  <c r="AQ12" i="62"/>
  <c r="AR7" i="62"/>
  <c r="AP9" i="62"/>
  <c r="AQ15" i="62"/>
  <c r="AT13" i="62"/>
  <c r="AT11" i="62"/>
  <c r="AT14" i="62"/>
  <c r="AQ8" i="62"/>
  <c r="AR24" i="62"/>
  <c r="CO18" i="62"/>
  <c r="AE19" i="2"/>
  <c r="F31" i="25"/>
  <c r="G31" i="25" s="1"/>
  <c r="I31" i="25" s="1"/>
  <c r="B14" i="4"/>
  <c r="AI52" i="62" l="1"/>
  <c r="AJ53" i="62" s="1"/>
  <c r="AI54" i="62"/>
  <c r="AI49" i="62"/>
  <c r="AJ50" i="62" s="1"/>
  <c r="AI51" i="62"/>
  <c r="AL38" i="62"/>
  <c r="AK45" i="62"/>
  <c r="AK43" i="62"/>
  <c r="AJ46" i="62"/>
  <c r="AJ48" i="62"/>
  <c r="AL36" i="62"/>
  <c r="AL34" i="62"/>
  <c r="AM35" i="62" s="1"/>
  <c r="AJ57" i="62"/>
  <c r="AK57" i="62" s="1"/>
  <c r="AJ55" i="62"/>
  <c r="AL39" i="62"/>
  <c r="AL37" i="62"/>
  <c r="AJ47" i="62"/>
  <c r="AJ60" i="62"/>
  <c r="AJ58" i="62"/>
  <c r="AK59" i="62" s="1"/>
  <c r="AJ13" i="62"/>
  <c r="AJ10" i="62"/>
  <c r="AK44" i="62"/>
  <c r="AI40" i="62"/>
  <c r="AJ41" i="62" s="1"/>
  <c r="AI42" i="62"/>
  <c r="AS7" i="62"/>
  <c r="AU10" i="62"/>
  <c r="AU14" i="62"/>
  <c r="AU11" i="62"/>
  <c r="AU13" i="62"/>
  <c r="AR15" i="62"/>
  <c r="AQ9" i="62"/>
  <c r="AR12" i="62"/>
  <c r="AR8" i="62"/>
  <c r="AS24" i="62"/>
  <c r="CP18" i="62"/>
  <c r="J31" i="25"/>
  <c r="K31" i="25" s="1"/>
  <c r="O32" i="25" s="1"/>
  <c r="AN52" i="1"/>
  <c r="Z8" i="1"/>
  <c r="Z6" i="1"/>
  <c r="Z36" i="1"/>
  <c r="Z34" i="1"/>
  <c r="Z33" i="1"/>
  <c r="C21" i="1"/>
  <c r="C20" i="1"/>
  <c r="AM38" i="62" l="1"/>
  <c r="AJ54" i="62"/>
  <c r="AJ52" i="62"/>
  <c r="AK53" i="62" s="1"/>
  <c r="AJ49" i="62"/>
  <c r="AK50" i="62" s="1"/>
  <c r="AJ51" i="62"/>
  <c r="AK60" i="62"/>
  <c r="AK58" i="62"/>
  <c r="AL59" i="62" s="1"/>
  <c r="AM37" i="62"/>
  <c r="AN38" i="62" s="1"/>
  <c r="AM39" i="62"/>
  <c r="AJ40" i="62"/>
  <c r="AK41" i="62" s="1"/>
  <c r="AJ42" i="62"/>
  <c r="AJ14" i="62"/>
  <c r="AK56" i="62"/>
  <c r="AK55" i="62" s="1"/>
  <c r="AL56" i="62" s="1"/>
  <c r="AL55" i="62" s="1"/>
  <c r="AM56" i="62" s="1"/>
  <c r="AM55" i="62" s="1"/>
  <c r="AN56" i="62" s="1"/>
  <c r="AL57" i="62"/>
  <c r="AM57" i="62" s="1"/>
  <c r="AM34" i="62"/>
  <c r="AN35" i="62" s="1"/>
  <c r="AM36" i="62"/>
  <c r="AK13" i="62"/>
  <c r="AK48" i="62"/>
  <c r="AK46" i="62"/>
  <c r="AJ11" i="62"/>
  <c r="AK47" i="62"/>
  <c r="AL44" i="62"/>
  <c r="AL43" i="62"/>
  <c r="AL45" i="62"/>
  <c r="AS8" i="62"/>
  <c r="AS15" i="62"/>
  <c r="AV10" i="62"/>
  <c r="AS12" i="62"/>
  <c r="AT7" i="62"/>
  <c r="AR9" i="62"/>
  <c r="AV13" i="62"/>
  <c r="AV11" i="62"/>
  <c r="AV14" i="62"/>
  <c r="AT24" i="62"/>
  <c r="CQ18" i="62"/>
  <c r="AJ18" i="5"/>
  <c r="AG2" i="4"/>
  <c r="AC15" i="4"/>
  <c r="AH2" i="4" s="1"/>
  <c r="AD15" i="4"/>
  <c r="O33" i="4"/>
  <c r="O34" i="4"/>
  <c r="O35" i="4"/>
  <c r="O36" i="4"/>
  <c r="O37" i="4"/>
  <c r="O38" i="4"/>
  <c r="O39" i="4"/>
  <c r="O40" i="4"/>
  <c r="O41" i="4"/>
  <c r="O42" i="4"/>
  <c r="O43" i="4"/>
  <c r="O44" i="4"/>
  <c r="O45" i="4"/>
  <c r="O46" i="4"/>
  <c r="O47" i="4"/>
  <c r="O48" i="4"/>
  <c r="O49" i="4"/>
  <c r="O50" i="4"/>
  <c r="O51" i="4"/>
  <c r="O52" i="4"/>
  <c r="O53" i="4"/>
  <c r="O54" i="4"/>
  <c r="O55" i="4"/>
  <c r="O56" i="4"/>
  <c r="O57" i="4"/>
  <c r="O58" i="4"/>
  <c r="O59" i="4"/>
  <c r="O60" i="4"/>
  <c r="O61" i="4"/>
  <c r="O62" i="4"/>
  <c r="O63" i="4"/>
  <c r="O64" i="4"/>
  <c r="O65" i="4"/>
  <c r="O66" i="4"/>
  <c r="O67" i="4"/>
  <c r="O68" i="4"/>
  <c r="O69" i="4"/>
  <c r="O70" i="4"/>
  <c r="O71" i="4"/>
  <c r="O72" i="4"/>
  <c r="O73" i="4"/>
  <c r="O74" i="4"/>
  <c r="AE54" i="5"/>
  <c r="P48" i="5"/>
  <c r="P17" i="5"/>
  <c r="O17" i="5"/>
  <c r="L46" i="50" s="1"/>
  <c r="W17" i="52" s="1"/>
  <c r="AE16" i="5"/>
  <c r="P15" i="5"/>
  <c r="O15" i="5"/>
  <c r="P14" i="5"/>
  <c r="O14" i="5"/>
  <c r="AE13" i="5"/>
  <c r="P11" i="5"/>
  <c r="O11" i="5"/>
  <c r="C18" i="50" s="1"/>
  <c r="O9" i="5"/>
  <c r="O8" i="5"/>
  <c r="AE8" i="5" s="1"/>
  <c r="O7" i="5"/>
  <c r="O6" i="5"/>
  <c r="P6" i="5" s="1"/>
  <c r="AM5" i="5"/>
  <c r="AM4" i="5"/>
  <c r="AM3" i="5"/>
  <c r="H31" i="4"/>
  <c r="I31" i="4" s="1"/>
  <c r="H32" i="4"/>
  <c r="I32" i="4" s="1"/>
  <c r="H33" i="4"/>
  <c r="I33" i="4" s="1"/>
  <c r="H34" i="4"/>
  <c r="I34" i="4" s="1"/>
  <c r="H35" i="4"/>
  <c r="I35" i="4" s="1"/>
  <c r="H36" i="4"/>
  <c r="I36" i="4" s="1"/>
  <c r="H37" i="4"/>
  <c r="I37" i="4" s="1"/>
  <c r="H38" i="4"/>
  <c r="I38" i="4" s="1"/>
  <c r="H39" i="4"/>
  <c r="I39" i="4" s="1"/>
  <c r="H40" i="4"/>
  <c r="I40" i="4" s="1"/>
  <c r="H41" i="4"/>
  <c r="I41" i="4" s="1"/>
  <c r="H42" i="4"/>
  <c r="I42" i="4" s="1"/>
  <c r="H43" i="4"/>
  <c r="I43" i="4" s="1"/>
  <c r="H44" i="4"/>
  <c r="I44" i="4" s="1"/>
  <c r="H45" i="4"/>
  <c r="I45" i="4" s="1"/>
  <c r="H46" i="4"/>
  <c r="I46" i="4" s="1"/>
  <c r="H47" i="4"/>
  <c r="I47" i="4" s="1"/>
  <c r="H48" i="4"/>
  <c r="I48" i="4" s="1"/>
  <c r="H49" i="4"/>
  <c r="I49" i="4" s="1"/>
  <c r="H50" i="4"/>
  <c r="I50" i="4" s="1"/>
  <c r="H51" i="4"/>
  <c r="I51" i="4" s="1"/>
  <c r="H52" i="4"/>
  <c r="I52" i="4" s="1"/>
  <c r="H53" i="4"/>
  <c r="I53" i="4" s="1"/>
  <c r="H54" i="4"/>
  <c r="I54" i="4" s="1"/>
  <c r="H55" i="4"/>
  <c r="I55" i="4" s="1"/>
  <c r="H56" i="4"/>
  <c r="I56" i="4" s="1"/>
  <c r="H57" i="4"/>
  <c r="I57" i="4" s="1"/>
  <c r="H58" i="4"/>
  <c r="I58" i="4" s="1"/>
  <c r="H59" i="4"/>
  <c r="I59" i="4" s="1"/>
  <c r="H60" i="4"/>
  <c r="I60" i="4" s="1"/>
  <c r="H61" i="4"/>
  <c r="I61" i="4" s="1"/>
  <c r="H62" i="4"/>
  <c r="I62" i="4" s="1"/>
  <c r="H63" i="4"/>
  <c r="I63" i="4" s="1"/>
  <c r="H64" i="4"/>
  <c r="I64" i="4" s="1"/>
  <c r="H65" i="4"/>
  <c r="I65" i="4" s="1"/>
  <c r="H66" i="4"/>
  <c r="I66" i="4" s="1"/>
  <c r="H67" i="4"/>
  <c r="I67" i="4" s="1"/>
  <c r="H68" i="4"/>
  <c r="I68" i="4" s="1"/>
  <c r="H69" i="4"/>
  <c r="I69" i="4" s="1"/>
  <c r="H70" i="4"/>
  <c r="I70" i="4" s="1"/>
  <c r="H71" i="4"/>
  <c r="I71" i="4" s="1"/>
  <c r="H72" i="4"/>
  <c r="I72" i="4" s="1"/>
  <c r="H73" i="4"/>
  <c r="I73" i="4" s="1"/>
  <c r="H74" i="4"/>
  <c r="I74" i="4" s="1"/>
  <c r="H30" i="4"/>
  <c r="I30" i="4" s="1"/>
  <c r="N30" i="4" s="1"/>
  <c r="N74" i="4"/>
  <c r="N73" i="4"/>
  <c r="N72" i="4"/>
  <c r="N71" i="4"/>
  <c r="N70" i="4"/>
  <c r="N69" i="4"/>
  <c r="N68" i="4"/>
  <c r="N67" i="4"/>
  <c r="N66" i="4"/>
  <c r="N65" i="4"/>
  <c r="N64" i="4"/>
  <c r="N63" i="4"/>
  <c r="N62" i="4"/>
  <c r="N61" i="4"/>
  <c r="N60" i="4"/>
  <c r="N59" i="4"/>
  <c r="N58" i="4"/>
  <c r="N57" i="4"/>
  <c r="N56" i="4"/>
  <c r="N55" i="4"/>
  <c r="N54" i="4"/>
  <c r="N53" i="4"/>
  <c r="N52" i="4"/>
  <c r="N51" i="4"/>
  <c r="N50" i="4"/>
  <c r="N49" i="4"/>
  <c r="N48" i="4"/>
  <c r="N47" i="4"/>
  <c r="N46" i="4"/>
  <c r="N45" i="4"/>
  <c r="N44" i="4"/>
  <c r="N43" i="4"/>
  <c r="N42" i="4"/>
  <c r="N41" i="4"/>
  <c r="N40" i="4"/>
  <c r="N39" i="4"/>
  <c r="N38" i="4"/>
  <c r="N37" i="4"/>
  <c r="N36" i="4"/>
  <c r="N35" i="4"/>
  <c r="N34" i="4"/>
  <c r="N33" i="4"/>
  <c r="N31" i="4"/>
  <c r="Y27" i="2"/>
  <c r="AK17" i="2"/>
  <c r="AK52" i="62" l="1"/>
  <c r="AL53" i="62" s="1"/>
  <c r="AK54" i="62"/>
  <c r="AK49" i="62"/>
  <c r="AL50" i="62" s="1"/>
  <c r="AK51" i="62"/>
  <c r="AL10" i="62"/>
  <c r="AM44" i="62"/>
  <c r="AN55" i="62"/>
  <c r="AO56" i="62" s="1"/>
  <c r="AN57" i="62"/>
  <c r="AO57" i="62" s="1"/>
  <c r="AP57" i="62" s="1"/>
  <c r="AK11" i="62"/>
  <c r="AL47" i="62"/>
  <c r="AL46" i="62"/>
  <c r="AL48" i="62"/>
  <c r="AK40" i="62"/>
  <c r="AL41" i="62" s="1"/>
  <c r="AK42" i="62"/>
  <c r="AN36" i="62"/>
  <c r="AN34" i="62"/>
  <c r="AO35" i="62" s="1"/>
  <c r="AN37" i="62"/>
  <c r="AO38" i="62" s="1"/>
  <c r="AN39" i="62"/>
  <c r="AM43" i="62"/>
  <c r="AN44" i="62" s="1"/>
  <c r="AM45" i="62"/>
  <c r="AL58" i="62"/>
  <c r="AM59" i="62" s="1"/>
  <c r="AL60" i="62"/>
  <c r="AS9" i="62"/>
  <c r="AW10" i="62"/>
  <c r="AT8" i="62"/>
  <c r="AW14" i="62"/>
  <c r="AW11" i="62"/>
  <c r="AW13" i="62"/>
  <c r="AT15" i="62"/>
  <c r="AU7" i="62"/>
  <c r="AT12" i="62"/>
  <c r="AU24" i="62"/>
  <c r="AE15" i="5"/>
  <c r="L44" i="50"/>
  <c r="W13" i="52" s="1"/>
  <c r="AE7" i="5"/>
  <c r="L10" i="50"/>
  <c r="AE14" i="5"/>
  <c r="L43" i="50"/>
  <c r="P9" i="5"/>
  <c r="L8" i="50"/>
  <c r="CR18" i="62"/>
  <c r="H3" i="4"/>
  <c r="O31" i="4"/>
  <c r="AE17" i="5"/>
  <c r="AE11" i="5"/>
  <c r="AE48" i="5"/>
  <c r="N32" i="4"/>
  <c r="AJ2" i="4"/>
  <c r="AC3" i="4" s="1"/>
  <c r="AK27" i="2"/>
  <c r="P3" i="5"/>
  <c r="P7" i="5"/>
  <c r="O32" i="4"/>
  <c r="AD26" i="4"/>
  <c r="O3" i="5"/>
  <c r="AE6" i="5"/>
  <c r="AE9" i="5"/>
  <c r="P8" i="5"/>
  <c r="AL52" i="62" l="1"/>
  <c r="AL13" i="62" s="1"/>
  <c r="AL54" i="62"/>
  <c r="AO55" i="62"/>
  <c r="AP56" i="62" s="1"/>
  <c r="AP55" i="62" s="1"/>
  <c r="AQ56" i="62" s="1"/>
  <c r="AL49" i="62"/>
  <c r="AM50" i="62" s="1"/>
  <c r="AL51" i="62"/>
  <c r="AM58" i="62"/>
  <c r="AN59" i="62" s="1"/>
  <c r="AM60" i="62"/>
  <c r="AL40" i="62"/>
  <c r="AM41" i="62" s="1"/>
  <c r="AL42" i="62"/>
  <c r="AM46" i="62"/>
  <c r="AM48" i="62"/>
  <c r="AN43" i="62"/>
  <c r="AO44" i="62" s="1"/>
  <c r="AN45" i="62"/>
  <c r="AL11" i="62"/>
  <c r="AM47" i="62"/>
  <c r="AO37" i="62"/>
  <c r="AP38" i="62" s="1"/>
  <c r="AO39" i="62"/>
  <c r="AQ55" i="62"/>
  <c r="AR56" i="62" s="1"/>
  <c r="AQ57" i="62"/>
  <c r="AO36" i="62"/>
  <c r="AO34" i="62"/>
  <c r="AP35" i="62" s="1"/>
  <c r="AX14" i="62"/>
  <c r="AX10" i="62"/>
  <c r="AU12" i="62"/>
  <c r="AV7" i="62"/>
  <c r="AT9" i="62"/>
  <c r="AU15" i="62"/>
  <c r="AU8" i="62"/>
  <c r="AV24" i="62"/>
  <c r="J3" i="4"/>
  <c r="Z11" i="53"/>
  <c r="L9" i="50"/>
  <c r="F9" i="51"/>
  <c r="E41" i="53"/>
  <c r="S11" i="52"/>
  <c r="S9" i="52"/>
  <c r="F6" i="51"/>
  <c r="CS18" i="62"/>
  <c r="AE10" i="5"/>
  <c r="AA11" i="53"/>
  <c r="C25" i="23"/>
  <c r="D25" i="23" s="1"/>
  <c r="C27" i="23"/>
  <c r="D27" i="23" s="1"/>
  <c r="C28" i="23"/>
  <c r="D28" i="23" s="1"/>
  <c r="C29" i="23"/>
  <c r="D29" i="23" s="1"/>
  <c r="C30" i="23"/>
  <c r="D30" i="23" s="1"/>
  <c r="C31" i="23"/>
  <c r="D31" i="23" s="1"/>
  <c r="C32" i="23"/>
  <c r="D32" i="23" s="1"/>
  <c r="C33" i="23"/>
  <c r="D33" i="23" s="1"/>
  <c r="C35" i="23"/>
  <c r="D35" i="23" s="1"/>
  <c r="C36" i="23"/>
  <c r="D36" i="23" s="1"/>
  <c r="C37" i="23"/>
  <c r="D37" i="23" s="1"/>
  <c r="C42" i="23"/>
  <c r="D42" i="23" s="1"/>
  <c r="C26" i="23"/>
  <c r="D26" i="23" s="1"/>
  <c r="C34" i="23"/>
  <c r="D34" i="23" s="1"/>
  <c r="C38" i="23"/>
  <c r="D38" i="23" s="1"/>
  <c r="C41" i="23"/>
  <c r="D41" i="23" s="1"/>
  <c r="C24" i="23"/>
  <c r="D24" i="23" s="1"/>
  <c r="C40" i="23"/>
  <c r="D40" i="23" s="1"/>
  <c r="C44" i="23"/>
  <c r="D44" i="23" s="1"/>
  <c r="C46" i="23"/>
  <c r="D46" i="23" s="1"/>
  <c r="C48" i="23"/>
  <c r="D48" i="23" s="1"/>
  <c r="C50" i="23"/>
  <c r="D50" i="23" s="1"/>
  <c r="C53" i="23"/>
  <c r="D53" i="23" s="1"/>
  <c r="C54" i="23"/>
  <c r="D54" i="23" s="1"/>
  <c r="C57" i="23"/>
  <c r="D57" i="23" s="1"/>
  <c r="C59" i="23"/>
  <c r="D59" i="23" s="1"/>
  <c r="C61" i="23"/>
  <c r="D61" i="23" s="1"/>
  <c r="C63" i="23"/>
  <c r="D63" i="23" s="1"/>
  <c r="C64" i="23"/>
  <c r="D64" i="23" s="1"/>
  <c r="C66" i="23"/>
  <c r="D66" i="23" s="1"/>
  <c r="C67" i="23"/>
  <c r="D67" i="23" s="1"/>
  <c r="C39" i="23"/>
  <c r="D39" i="23" s="1"/>
  <c r="C43" i="23"/>
  <c r="D43" i="23" s="1"/>
  <c r="C45" i="23"/>
  <c r="D45" i="23" s="1"/>
  <c r="C51" i="23"/>
  <c r="D51" i="23" s="1"/>
  <c r="C52" i="23"/>
  <c r="D52" i="23" s="1"/>
  <c r="C65" i="23"/>
  <c r="D65" i="23" s="1"/>
  <c r="C49" i="23"/>
  <c r="D49" i="23" s="1"/>
  <c r="C55" i="23"/>
  <c r="D55" i="23" s="1"/>
  <c r="C69" i="23"/>
  <c r="D69" i="23" s="1"/>
  <c r="C70" i="23"/>
  <c r="D70" i="23" s="1"/>
  <c r="C71" i="23"/>
  <c r="D71" i="23" s="1"/>
  <c r="C72" i="23"/>
  <c r="D72" i="23" s="1"/>
  <c r="C77" i="23"/>
  <c r="D77" i="23" s="1"/>
  <c r="C78" i="23"/>
  <c r="D78" i="23" s="1"/>
  <c r="C79" i="23"/>
  <c r="D79" i="23" s="1"/>
  <c r="C80" i="23"/>
  <c r="D80" i="23" s="1"/>
  <c r="C81" i="23"/>
  <c r="D81" i="23" s="1"/>
  <c r="C82" i="23"/>
  <c r="D82" i="23" s="1"/>
  <c r="C85" i="23"/>
  <c r="D85" i="23" s="1"/>
  <c r="C86" i="23"/>
  <c r="D86" i="23" s="1"/>
  <c r="C88" i="23"/>
  <c r="D88" i="23" s="1"/>
  <c r="C91" i="23"/>
  <c r="D91" i="23" s="1"/>
  <c r="C93" i="23"/>
  <c r="D93" i="23" s="1"/>
  <c r="C95" i="23"/>
  <c r="D95" i="23" s="1"/>
  <c r="C96" i="23"/>
  <c r="D96" i="23" s="1"/>
  <c r="C98" i="23"/>
  <c r="D98" i="23" s="1"/>
  <c r="C100" i="23"/>
  <c r="D100" i="23" s="1"/>
  <c r="C102" i="23"/>
  <c r="D102" i="23" s="1"/>
  <c r="C104" i="23"/>
  <c r="D104" i="23" s="1"/>
  <c r="C106" i="23"/>
  <c r="D106" i="23" s="1"/>
  <c r="C108" i="23"/>
  <c r="D108" i="23" s="1"/>
  <c r="C110" i="23"/>
  <c r="D110" i="23" s="1"/>
  <c r="C111" i="23"/>
  <c r="D111" i="23" s="1"/>
  <c r="C113" i="23"/>
  <c r="D113" i="23" s="1"/>
  <c r="C114" i="23"/>
  <c r="D114" i="23" s="1"/>
  <c r="C116" i="23"/>
  <c r="D116" i="23" s="1"/>
  <c r="C117" i="23"/>
  <c r="D117" i="23" s="1"/>
  <c r="C118" i="23"/>
  <c r="D118" i="23" s="1"/>
  <c r="C121" i="23"/>
  <c r="D121" i="23" s="1"/>
  <c r="C122" i="23"/>
  <c r="D122" i="23" s="1"/>
  <c r="C47" i="23"/>
  <c r="D47" i="23" s="1"/>
  <c r="C56" i="23"/>
  <c r="D56" i="23" s="1"/>
  <c r="C58" i="23"/>
  <c r="D58" i="23" s="1"/>
  <c r="C60" i="23"/>
  <c r="D60" i="23" s="1"/>
  <c r="C62" i="23"/>
  <c r="D62" i="23" s="1"/>
  <c r="C68" i="23"/>
  <c r="D68" i="23" s="1"/>
  <c r="C73" i="23"/>
  <c r="D73" i="23" s="1"/>
  <c r="C74" i="23"/>
  <c r="D74" i="23" s="1"/>
  <c r="C75" i="23"/>
  <c r="D75" i="23" s="1"/>
  <c r="C76" i="23"/>
  <c r="D76" i="23" s="1"/>
  <c r="C83" i="23"/>
  <c r="D83" i="23" s="1"/>
  <c r="C84" i="23"/>
  <c r="D84" i="23" s="1"/>
  <c r="C87" i="23"/>
  <c r="D87" i="23" s="1"/>
  <c r="C89" i="23"/>
  <c r="D89" i="23" s="1"/>
  <c r="C90" i="23"/>
  <c r="D90" i="23" s="1"/>
  <c r="C92" i="23"/>
  <c r="D92" i="23" s="1"/>
  <c r="C94" i="23"/>
  <c r="D94" i="23" s="1"/>
  <c r="C97" i="23"/>
  <c r="D97" i="23" s="1"/>
  <c r="C99" i="23"/>
  <c r="D99" i="23" s="1"/>
  <c r="C105" i="23"/>
  <c r="D105" i="23" s="1"/>
  <c r="C107" i="23"/>
  <c r="D107" i="23" s="1"/>
  <c r="C115" i="23"/>
  <c r="D115" i="23" s="1"/>
  <c r="C120" i="23"/>
  <c r="D120" i="23" s="1"/>
  <c r="C123" i="23"/>
  <c r="D123" i="23" s="1"/>
  <c r="C127" i="23"/>
  <c r="D127" i="23" s="1"/>
  <c r="C129" i="23"/>
  <c r="D129" i="23" s="1"/>
  <c r="C130" i="23"/>
  <c r="D130" i="23" s="1"/>
  <c r="C132" i="23"/>
  <c r="D132" i="23" s="1"/>
  <c r="C133" i="23"/>
  <c r="D133" i="23" s="1"/>
  <c r="C134" i="23"/>
  <c r="D134" i="23" s="1"/>
  <c r="C137" i="23"/>
  <c r="D137" i="23" s="1"/>
  <c r="C138" i="23"/>
  <c r="D138" i="23" s="1"/>
  <c r="C140" i="23"/>
  <c r="D140" i="23" s="1"/>
  <c r="C141" i="23"/>
  <c r="D141" i="23" s="1"/>
  <c r="C142" i="23"/>
  <c r="D142" i="23" s="1"/>
  <c r="C153" i="23"/>
  <c r="D153" i="23" s="1"/>
  <c r="C154" i="23"/>
  <c r="D154" i="23" s="1"/>
  <c r="C157" i="23"/>
  <c r="D157" i="23" s="1"/>
  <c r="C158" i="23"/>
  <c r="D158" i="23" s="1"/>
  <c r="C161" i="23"/>
  <c r="D161" i="23" s="1"/>
  <c r="C162" i="23"/>
  <c r="D162" i="23" s="1"/>
  <c r="C165" i="23"/>
  <c r="D165" i="23" s="1"/>
  <c r="C166" i="23"/>
  <c r="D166" i="23" s="1"/>
  <c r="C169" i="23"/>
  <c r="D169" i="23" s="1"/>
  <c r="C170" i="23"/>
  <c r="D170" i="23" s="1"/>
  <c r="C173" i="23"/>
  <c r="D173" i="23" s="1"/>
  <c r="C174" i="23"/>
  <c r="D174" i="23" s="1"/>
  <c r="C109" i="23"/>
  <c r="D109" i="23" s="1"/>
  <c r="C119" i="23"/>
  <c r="D119" i="23" s="1"/>
  <c r="C131" i="23"/>
  <c r="D131" i="23" s="1"/>
  <c r="C136" i="23"/>
  <c r="D136" i="23" s="1"/>
  <c r="C139" i="23"/>
  <c r="D139" i="23" s="1"/>
  <c r="C149" i="23"/>
  <c r="D149" i="23" s="1"/>
  <c r="C150" i="23"/>
  <c r="D150" i="23" s="1"/>
  <c r="C155" i="23"/>
  <c r="D155" i="23" s="1"/>
  <c r="C156" i="23"/>
  <c r="D156" i="23" s="1"/>
  <c r="C163" i="23"/>
  <c r="D163" i="23" s="1"/>
  <c r="C164" i="23"/>
  <c r="D164" i="23" s="1"/>
  <c r="C171" i="23"/>
  <c r="D171" i="23" s="1"/>
  <c r="C172" i="23"/>
  <c r="D172" i="23" s="1"/>
  <c r="C179" i="23"/>
  <c r="D179" i="23" s="1"/>
  <c r="C180" i="23"/>
  <c r="D180" i="23" s="1"/>
  <c r="C181" i="23"/>
  <c r="D181" i="23" s="1"/>
  <c r="C182" i="23"/>
  <c r="D182" i="23" s="1"/>
  <c r="C186" i="23"/>
  <c r="D186" i="23" s="1"/>
  <c r="C190" i="23"/>
  <c r="D190" i="23" s="1"/>
  <c r="C192" i="23"/>
  <c r="D192" i="23" s="1"/>
  <c r="C193" i="23"/>
  <c r="D193" i="23" s="1"/>
  <c r="C195" i="23"/>
  <c r="D195" i="23" s="1"/>
  <c r="C196" i="23"/>
  <c r="D196" i="23" s="1"/>
  <c r="C197" i="23"/>
  <c r="D197" i="23" s="1"/>
  <c r="C199" i="23"/>
  <c r="D199" i="23" s="1"/>
  <c r="C202" i="23"/>
  <c r="D202" i="23" s="1"/>
  <c r="C204" i="23"/>
  <c r="D204" i="23" s="1"/>
  <c r="C205" i="23"/>
  <c r="D205" i="23" s="1"/>
  <c r="C208" i="23"/>
  <c r="D208" i="23" s="1"/>
  <c r="C209" i="23"/>
  <c r="D209" i="23" s="1"/>
  <c r="C213" i="23"/>
  <c r="D213" i="23" s="1"/>
  <c r="C103" i="23"/>
  <c r="D103" i="23" s="1"/>
  <c r="C125" i="23"/>
  <c r="D125" i="23" s="1"/>
  <c r="C135" i="23"/>
  <c r="D135" i="23" s="1"/>
  <c r="C144" i="23"/>
  <c r="D144" i="23" s="1"/>
  <c r="C146" i="23"/>
  <c r="D146" i="23" s="1"/>
  <c r="C148" i="23"/>
  <c r="D148" i="23" s="1"/>
  <c r="C152" i="23"/>
  <c r="D152" i="23" s="1"/>
  <c r="C159" i="23"/>
  <c r="D159" i="23" s="1"/>
  <c r="C168" i="23"/>
  <c r="D168" i="23" s="1"/>
  <c r="C175" i="23"/>
  <c r="D175" i="23" s="1"/>
  <c r="C187" i="23"/>
  <c r="D187" i="23" s="1"/>
  <c r="C188" i="23"/>
  <c r="D188" i="23" s="1"/>
  <c r="C189" i="23"/>
  <c r="D189" i="23" s="1"/>
  <c r="C194" i="23"/>
  <c r="D194" i="23" s="1"/>
  <c r="C198" i="23"/>
  <c r="D198" i="23" s="1"/>
  <c r="C203" i="23"/>
  <c r="D203" i="23" s="1"/>
  <c r="C206" i="23"/>
  <c r="D206" i="23" s="1"/>
  <c r="C207" i="23"/>
  <c r="D207" i="23" s="1"/>
  <c r="C210" i="23"/>
  <c r="D210" i="23" s="1"/>
  <c r="C211" i="23"/>
  <c r="D211" i="23" s="1"/>
  <c r="C214" i="23"/>
  <c r="D214" i="23" s="1"/>
  <c r="C217" i="23"/>
  <c r="D217" i="23" s="1"/>
  <c r="C219" i="23"/>
  <c r="D219" i="23" s="1"/>
  <c r="C220" i="23"/>
  <c r="D220" i="23" s="1"/>
  <c r="C222" i="23"/>
  <c r="D222" i="23" s="1"/>
  <c r="C224" i="23"/>
  <c r="D224" i="23" s="1"/>
  <c r="C226" i="23"/>
  <c r="D226" i="23" s="1"/>
  <c r="C227" i="23"/>
  <c r="D227" i="23" s="1"/>
  <c r="C228" i="23"/>
  <c r="D228" i="23" s="1"/>
  <c r="C231" i="23"/>
  <c r="D231" i="23" s="1"/>
  <c r="C235" i="23"/>
  <c r="D235" i="23" s="1"/>
  <c r="C240" i="23"/>
  <c r="D240" i="23" s="1"/>
  <c r="C243" i="23"/>
  <c r="D243" i="23" s="1"/>
  <c r="C245" i="23"/>
  <c r="D245" i="23" s="1"/>
  <c r="C246" i="23"/>
  <c r="D246" i="23" s="1"/>
  <c r="C247" i="23"/>
  <c r="D247" i="23" s="1"/>
  <c r="C249" i="23"/>
  <c r="D249" i="23" s="1"/>
  <c r="C250" i="23"/>
  <c r="D250" i="23" s="1"/>
  <c r="C252" i="23"/>
  <c r="D252" i="23" s="1"/>
  <c r="C255" i="23"/>
  <c r="D255" i="23" s="1"/>
  <c r="C259" i="23"/>
  <c r="D259" i="23" s="1"/>
  <c r="C261" i="23"/>
  <c r="D261" i="23" s="1"/>
  <c r="C263" i="23"/>
  <c r="D263" i="23" s="1"/>
  <c r="C264" i="23"/>
  <c r="D264" i="23" s="1"/>
  <c r="C267" i="23"/>
  <c r="D267" i="23" s="1"/>
  <c r="C269" i="23"/>
  <c r="D269" i="23" s="1"/>
  <c r="C271" i="23"/>
  <c r="D271" i="23" s="1"/>
  <c r="C274" i="23"/>
  <c r="D274" i="23" s="1"/>
  <c r="C279" i="23"/>
  <c r="D279" i="23" s="1"/>
  <c r="C280" i="23"/>
  <c r="D280" i="23" s="1"/>
  <c r="C281" i="23"/>
  <c r="D281" i="23" s="1"/>
  <c r="C283" i="23"/>
  <c r="D283" i="23" s="1"/>
  <c r="C286" i="23"/>
  <c r="D286" i="23" s="1"/>
  <c r="C290" i="23"/>
  <c r="D290" i="23" s="1"/>
  <c r="C292" i="23"/>
  <c r="D292" i="23" s="1"/>
  <c r="C293" i="23"/>
  <c r="D293" i="23" s="1"/>
  <c r="C295" i="23"/>
  <c r="D295" i="23" s="1"/>
  <c r="C296" i="23"/>
  <c r="D296" i="23" s="1"/>
  <c r="C297" i="23"/>
  <c r="D297" i="23" s="1"/>
  <c r="C299" i="23"/>
  <c r="D299" i="23" s="1"/>
  <c r="C300" i="23"/>
  <c r="D300" i="23" s="1"/>
  <c r="C301" i="23"/>
  <c r="D301" i="23" s="1"/>
  <c r="C303" i="23"/>
  <c r="D303" i="23" s="1"/>
  <c r="C307" i="23"/>
  <c r="D307" i="23" s="1"/>
  <c r="C311" i="23"/>
  <c r="D311" i="23" s="1"/>
  <c r="C315" i="23"/>
  <c r="D315" i="23" s="1"/>
  <c r="C316" i="23"/>
  <c r="D316" i="23" s="1"/>
  <c r="C317" i="23"/>
  <c r="D317" i="23" s="1"/>
  <c r="C101" i="23"/>
  <c r="D101" i="23" s="1"/>
  <c r="C112" i="23"/>
  <c r="D112" i="23" s="1"/>
  <c r="C124" i="23"/>
  <c r="D124" i="23" s="1"/>
  <c r="C126" i="23"/>
  <c r="D126" i="23" s="1"/>
  <c r="C128" i="23"/>
  <c r="D128" i="23" s="1"/>
  <c r="C143" i="23"/>
  <c r="D143" i="23" s="1"/>
  <c r="C145" i="23"/>
  <c r="D145" i="23" s="1"/>
  <c r="C147" i="23"/>
  <c r="D147" i="23" s="1"/>
  <c r="C151" i="23"/>
  <c r="D151" i="23" s="1"/>
  <c r="C160" i="23"/>
  <c r="D160" i="23" s="1"/>
  <c r="C167" i="23"/>
  <c r="D167" i="23" s="1"/>
  <c r="C176" i="23"/>
  <c r="D176" i="23" s="1"/>
  <c r="C177" i="23"/>
  <c r="D177" i="23" s="1"/>
  <c r="C178" i="23"/>
  <c r="D178" i="23" s="1"/>
  <c r="C183" i="23"/>
  <c r="D183" i="23" s="1"/>
  <c r="C184" i="23"/>
  <c r="D184" i="23" s="1"/>
  <c r="C185" i="23"/>
  <c r="D185" i="23" s="1"/>
  <c r="C191" i="23"/>
  <c r="D191" i="23" s="1"/>
  <c r="C200" i="23"/>
  <c r="D200" i="23" s="1"/>
  <c r="C201" i="23"/>
  <c r="D201" i="23" s="1"/>
  <c r="C212" i="23"/>
  <c r="D212" i="23" s="1"/>
  <c r="C215" i="23"/>
  <c r="D215" i="23" s="1"/>
  <c r="C216" i="23"/>
  <c r="D216" i="23" s="1"/>
  <c r="C218" i="23"/>
  <c r="D218" i="23" s="1"/>
  <c r="C221" i="23"/>
  <c r="D221" i="23" s="1"/>
  <c r="C223" i="23"/>
  <c r="D223" i="23" s="1"/>
  <c r="C225" i="23"/>
  <c r="D225" i="23" s="1"/>
  <c r="C229" i="23"/>
  <c r="D229" i="23" s="1"/>
  <c r="C230" i="23"/>
  <c r="D230" i="23" s="1"/>
  <c r="C232" i="23"/>
  <c r="D232" i="23" s="1"/>
  <c r="C233" i="23"/>
  <c r="D233" i="23" s="1"/>
  <c r="C234" i="23"/>
  <c r="D234" i="23" s="1"/>
  <c r="C236" i="23"/>
  <c r="D236" i="23" s="1"/>
  <c r="C237" i="23"/>
  <c r="D237" i="23" s="1"/>
  <c r="C238" i="23"/>
  <c r="D238" i="23" s="1"/>
  <c r="C239" i="23"/>
  <c r="D239" i="23" s="1"/>
  <c r="C241" i="23"/>
  <c r="D241" i="23" s="1"/>
  <c r="C242" i="23"/>
  <c r="D242" i="23" s="1"/>
  <c r="C244" i="23"/>
  <c r="D244" i="23" s="1"/>
  <c r="C248" i="23"/>
  <c r="D248" i="23" s="1"/>
  <c r="C251" i="23"/>
  <c r="D251" i="23" s="1"/>
  <c r="C253" i="23"/>
  <c r="D253" i="23" s="1"/>
  <c r="C254" i="23"/>
  <c r="D254" i="23" s="1"/>
  <c r="C256" i="23"/>
  <c r="D256" i="23" s="1"/>
  <c r="C257" i="23"/>
  <c r="D257" i="23" s="1"/>
  <c r="C258" i="23"/>
  <c r="D258" i="23" s="1"/>
  <c r="C260" i="23"/>
  <c r="D260" i="23" s="1"/>
  <c r="C262" i="23"/>
  <c r="D262" i="23" s="1"/>
  <c r="C265" i="23"/>
  <c r="D265" i="23" s="1"/>
  <c r="C266" i="23"/>
  <c r="D266" i="23" s="1"/>
  <c r="C268" i="23"/>
  <c r="D268" i="23" s="1"/>
  <c r="C270" i="23"/>
  <c r="D270" i="23" s="1"/>
  <c r="C272" i="23"/>
  <c r="D272" i="23" s="1"/>
  <c r="C273" i="23"/>
  <c r="D273" i="23" s="1"/>
  <c r="C275" i="23"/>
  <c r="D275" i="23" s="1"/>
  <c r="C276" i="23"/>
  <c r="D276" i="23" s="1"/>
  <c r="C277" i="23"/>
  <c r="D277" i="23" s="1"/>
  <c r="C278" i="23"/>
  <c r="D278" i="23" s="1"/>
  <c r="C282" i="23"/>
  <c r="D282" i="23" s="1"/>
  <c r="C284" i="23"/>
  <c r="D284" i="23" s="1"/>
  <c r="C285" i="23"/>
  <c r="D285" i="23" s="1"/>
  <c r="C287" i="23"/>
  <c r="D287" i="23" s="1"/>
  <c r="C288" i="23"/>
  <c r="D288" i="23" s="1"/>
  <c r="C289" i="23"/>
  <c r="D289" i="23" s="1"/>
  <c r="C291" i="23"/>
  <c r="D291" i="23" s="1"/>
  <c r="C294" i="23"/>
  <c r="D294" i="23" s="1"/>
  <c r="C298" i="23"/>
  <c r="D298" i="23" s="1"/>
  <c r="C302" i="23"/>
  <c r="D302" i="23" s="1"/>
  <c r="C304" i="23"/>
  <c r="D304" i="23" s="1"/>
  <c r="C305" i="23"/>
  <c r="D305" i="23" s="1"/>
  <c r="C306" i="23"/>
  <c r="D306" i="23" s="1"/>
  <c r="C308" i="23"/>
  <c r="D308" i="23" s="1"/>
  <c r="C309" i="23"/>
  <c r="D309" i="23" s="1"/>
  <c r="C310" i="23"/>
  <c r="D310" i="23" s="1"/>
  <c r="C312" i="23"/>
  <c r="D312" i="23" s="1"/>
  <c r="C313" i="23"/>
  <c r="D313" i="23" s="1"/>
  <c r="C314" i="23"/>
  <c r="D314" i="23" s="1"/>
  <c r="C318" i="23"/>
  <c r="D318" i="23" s="1"/>
  <c r="C320" i="23"/>
  <c r="D320" i="23" s="1"/>
  <c r="C321" i="23"/>
  <c r="D321" i="23" s="1"/>
  <c r="C322" i="23"/>
  <c r="D322" i="23" s="1"/>
  <c r="C23" i="23"/>
  <c r="D23" i="23" s="1"/>
  <c r="C319" i="23"/>
  <c r="D319" i="23" s="1"/>
  <c r="P10" i="5"/>
  <c r="AD3" i="4"/>
  <c r="C3" i="23"/>
  <c r="O10" i="5"/>
  <c r="AE3" i="5"/>
  <c r="AM53" i="62" l="1"/>
  <c r="AM52" i="62"/>
  <c r="AN53" i="62" s="1"/>
  <c r="AM54" i="62"/>
  <c r="AM49" i="62"/>
  <c r="AN50" i="62" s="1"/>
  <c r="AM51" i="62"/>
  <c r="AO43" i="62"/>
  <c r="AP44" i="62" s="1"/>
  <c r="AO45" i="62"/>
  <c r="AP36" i="62"/>
  <c r="AP34" i="62"/>
  <c r="AQ35" i="62" s="1"/>
  <c r="AR55" i="62"/>
  <c r="AS56" i="62" s="1"/>
  <c r="AR57" i="62"/>
  <c r="AS57" i="62" s="1"/>
  <c r="AN46" i="62"/>
  <c r="AN48" i="62"/>
  <c r="AN47" i="62"/>
  <c r="AP37" i="62"/>
  <c r="AQ38" i="62" s="1"/>
  <c r="AP39" i="62"/>
  <c r="AM40" i="62"/>
  <c r="AN41" i="62" s="1"/>
  <c r="AM42" i="62"/>
  <c r="AN58" i="62"/>
  <c r="AO59" i="62" s="1"/>
  <c r="AN60" i="62"/>
  <c r="AY14" i="62"/>
  <c r="AY11" i="62"/>
  <c r="AY13" i="62"/>
  <c r="AV15" i="62"/>
  <c r="AU9" i="62"/>
  <c r="AW7" i="62"/>
  <c r="AV12" i="62"/>
  <c r="AV8" i="62"/>
  <c r="AW24" i="62"/>
  <c r="C17" i="50"/>
  <c r="F10" i="51" s="1"/>
  <c r="CT18" i="62"/>
  <c r="D20" i="23"/>
  <c r="E39" i="53"/>
  <c r="F8" i="51"/>
  <c r="S7" i="52"/>
  <c r="AS55" i="62" l="1"/>
  <c r="AT56" i="62" s="1"/>
  <c r="AN54" i="62"/>
  <c r="AN52" i="62"/>
  <c r="AO53" i="62" s="1"/>
  <c r="AN49" i="62"/>
  <c r="AO50" i="62" s="1"/>
  <c r="AN51" i="62"/>
  <c r="AO47" i="62"/>
  <c r="AO58" i="62"/>
  <c r="AP59" i="62" s="1"/>
  <c r="AO60" i="62"/>
  <c r="AO48" i="62"/>
  <c r="AO46" i="62"/>
  <c r="AP47" i="62" s="1"/>
  <c r="AT55" i="62"/>
  <c r="AU56" i="62" s="1"/>
  <c r="AT57" i="62"/>
  <c r="AQ34" i="62"/>
  <c r="AR35" i="62" s="1"/>
  <c r="AQ36" i="62"/>
  <c r="AP43" i="62"/>
  <c r="AQ44" i="62" s="1"/>
  <c r="AP45" i="62"/>
  <c r="AN40" i="62"/>
  <c r="AO41" i="62" s="1"/>
  <c r="AN42" i="62"/>
  <c r="AQ39" i="62"/>
  <c r="AQ37" i="62"/>
  <c r="AR38" i="62" s="1"/>
  <c r="AZ10" i="62"/>
  <c r="AW12" i="62"/>
  <c r="AZ14" i="62"/>
  <c r="AW8" i="62"/>
  <c r="AX7" i="62"/>
  <c r="AV9" i="62"/>
  <c r="AW15" i="62"/>
  <c r="AZ13" i="62"/>
  <c r="AZ11" i="62"/>
  <c r="AX24" i="62"/>
  <c r="CV18" i="62"/>
  <c r="H3" i="23"/>
  <c r="AO52" i="62" l="1"/>
  <c r="AP53" i="62" s="1"/>
  <c r="AO54" i="62"/>
  <c r="AO49" i="62"/>
  <c r="AP50" i="62" s="1"/>
  <c r="AO51" i="62"/>
  <c r="AQ45" i="62"/>
  <c r="AQ43" i="62"/>
  <c r="AR44" i="62" s="1"/>
  <c r="AR36" i="62"/>
  <c r="AR34" i="62"/>
  <c r="AS35" i="62" s="1"/>
  <c r="AU57" i="62"/>
  <c r="AV57" i="62" s="1"/>
  <c r="AU55" i="62"/>
  <c r="AV56" i="62" s="1"/>
  <c r="AV55" i="62" s="1"/>
  <c r="AW56" i="62" s="1"/>
  <c r="AR37" i="62"/>
  <c r="AS38" i="62" s="1"/>
  <c r="AR39" i="62"/>
  <c r="AS39" i="62" s="1"/>
  <c r="AP46" i="62"/>
  <c r="AQ47" i="62" s="1"/>
  <c r="AP48" i="62"/>
  <c r="AO40" i="62"/>
  <c r="AP41" i="62" s="1"/>
  <c r="AO42" i="62"/>
  <c r="AP58" i="62"/>
  <c r="AQ59" i="62" s="1"/>
  <c r="AP60" i="62"/>
  <c r="AX12" i="62"/>
  <c r="BA13" i="62"/>
  <c r="BA10" i="62"/>
  <c r="BA14" i="62"/>
  <c r="AX15" i="62"/>
  <c r="AW9" i="62"/>
  <c r="AY7" i="62"/>
  <c r="AX8" i="62"/>
  <c r="BA11" i="62"/>
  <c r="AY24" i="62"/>
  <c r="CW18" i="62"/>
  <c r="CX18" i="62"/>
  <c r="AP52" i="62" l="1"/>
  <c r="AQ53" i="62" s="1"/>
  <c r="AP54" i="62"/>
  <c r="AP51" i="62"/>
  <c r="AP49" i="62"/>
  <c r="AQ50" i="62" s="1"/>
  <c r="AT39" i="62"/>
  <c r="AT37" i="62"/>
  <c r="AS37" i="62"/>
  <c r="AT38" i="62" s="1"/>
  <c r="AW55" i="62"/>
  <c r="AX56" i="62" s="1"/>
  <c r="AW57" i="62"/>
  <c r="AX57" i="62" s="1"/>
  <c r="AQ60" i="62"/>
  <c r="AQ58" i="62"/>
  <c r="AR59" i="62" s="1"/>
  <c r="AS36" i="62"/>
  <c r="AS34" i="62"/>
  <c r="AT35" i="62" s="1"/>
  <c r="AP40" i="62"/>
  <c r="AQ41" i="62" s="1"/>
  <c r="AP42" i="62"/>
  <c r="AQ48" i="62"/>
  <c r="AQ46" i="62"/>
  <c r="AR47" i="62" s="1"/>
  <c r="AR43" i="62"/>
  <c r="AS44" i="62" s="1"/>
  <c r="AR45" i="62"/>
  <c r="BB11" i="62"/>
  <c r="AZ7" i="62"/>
  <c r="AY8" i="62"/>
  <c r="AY12" i="62"/>
  <c r="AY15" i="62"/>
  <c r="BB14" i="62"/>
  <c r="BB10" i="62"/>
  <c r="BB13" i="62"/>
  <c r="AZ24" i="62"/>
  <c r="CY18" i="62"/>
  <c r="AX55" i="62" l="1"/>
  <c r="AY56" i="62" s="1"/>
  <c r="AQ54" i="62"/>
  <c r="AQ52" i="62"/>
  <c r="AR53" i="62" s="1"/>
  <c r="AQ51" i="62"/>
  <c r="AQ49" i="62"/>
  <c r="AR50" i="62" s="1"/>
  <c r="AT34" i="62"/>
  <c r="AU35" i="62" s="1"/>
  <c r="AT36" i="62"/>
  <c r="AR60" i="62"/>
  <c r="AR58" i="62"/>
  <c r="AS59" i="62" s="1"/>
  <c r="AS43" i="62"/>
  <c r="AT44" i="62" s="1"/>
  <c r="AS45" i="62"/>
  <c r="AY55" i="62"/>
  <c r="AZ56" i="62" s="1"/>
  <c r="AY57" i="62"/>
  <c r="AR46" i="62"/>
  <c r="AS47" i="62" s="1"/>
  <c r="AR48" i="62"/>
  <c r="AS48" i="62" s="1"/>
  <c r="AU38" i="62"/>
  <c r="AQ40" i="62"/>
  <c r="AR41" i="62" s="1"/>
  <c r="AQ42" i="62"/>
  <c r="AU37" i="62"/>
  <c r="AV38" i="62" s="1"/>
  <c r="AU39" i="62"/>
  <c r="BC11" i="62"/>
  <c r="BA7" i="62"/>
  <c r="AZ8" i="62"/>
  <c r="AZ12" i="62"/>
  <c r="BC13" i="62"/>
  <c r="BC10" i="62"/>
  <c r="BC14" i="62"/>
  <c r="AZ15" i="62"/>
  <c r="AY9" i="62"/>
  <c r="BA24" i="62"/>
  <c r="DA18" i="62"/>
  <c r="DB18" i="62"/>
  <c r="AR52" i="62" l="1"/>
  <c r="AS53" i="62" s="1"/>
  <c r="AR54" i="62"/>
  <c r="AR49" i="62"/>
  <c r="AS50" i="62" s="1"/>
  <c r="AR51" i="62"/>
  <c r="AT46" i="62"/>
  <c r="AT48" i="62"/>
  <c r="AS46" i="62"/>
  <c r="AT47" i="62" s="1"/>
  <c r="AV39" i="62"/>
  <c r="AV37" i="62"/>
  <c r="AW38" i="62" s="1"/>
  <c r="AZ55" i="62"/>
  <c r="BA56" i="62" s="1"/>
  <c r="AZ57" i="62"/>
  <c r="BA57" i="62" s="1"/>
  <c r="BB57" i="62" s="1"/>
  <c r="BC57" i="62" s="1"/>
  <c r="AR40" i="62"/>
  <c r="AS41" i="62" s="1"/>
  <c r="AR42" i="62"/>
  <c r="AS42" i="62" s="1"/>
  <c r="AT45" i="62"/>
  <c r="AT43" i="62"/>
  <c r="AU44" i="62" s="1"/>
  <c r="AS58" i="62"/>
  <c r="AT59" i="62" s="1"/>
  <c r="AS60" i="62"/>
  <c r="AU34" i="62"/>
  <c r="AV35" i="62" s="1"/>
  <c r="AU36" i="62"/>
  <c r="BD14" i="62"/>
  <c r="BD10" i="62"/>
  <c r="BD13" i="62"/>
  <c r="BA8" i="62"/>
  <c r="BA12" i="62"/>
  <c r="BB7" i="62"/>
  <c r="BD11" i="62"/>
  <c r="AZ9" i="62"/>
  <c r="BA15" i="62"/>
  <c r="BB24" i="62"/>
  <c r="DD18" i="62"/>
  <c r="DC18" i="62"/>
  <c r="AI75" i="54"/>
  <c r="AZ4" i="54"/>
  <c r="AS54" i="62" l="1"/>
  <c r="AS52" i="62"/>
  <c r="AT53" i="62" s="1"/>
  <c r="AS51" i="62"/>
  <c r="AS49" i="62"/>
  <c r="AT50" i="62" s="1"/>
  <c r="BA55" i="62"/>
  <c r="BB56" i="62" s="1"/>
  <c r="BB55" i="62" s="1"/>
  <c r="BC56" i="62" s="1"/>
  <c r="BC55" i="62" s="1"/>
  <c r="BD56" i="62" s="1"/>
  <c r="BD55" i="62" s="1"/>
  <c r="BE56" i="62" s="1"/>
  <c r="AU43" i="62"/>
  <c r="AV44" i="62" s="1"/>
  <c r="AU45" i="62"/>
  <c r="AT40" i="62"/>
  <c r="AT42" i="62"/>
  <c r="AS40" i="62"/>
  <c r="AT41" i="62" s="1"/>
  <c r="BD57" i="62"/>
  <c r="AV34" i="62"/>
  <c r="AW35" i="62" s="1"/>
  <c r="AV36" i="62"/>
  <c r="AW37" i="62"/>
  <c r="AX38" i="62" s="1"/>
  <c r="AW39" i="62"/>
  <c r="AT58" i="62"/>
  <c r="AU59" i="62" s="1"/>
  <c r="AT60" i="62"/>
  <c r="AU46" i="62"/>
  <c r="AU48" i="62"/>
  <c r="AU47" i="62"/>
  <c r="BE11" i="62"/>
  <c r="BB12" i="62"/>
  <c r="BE13" i="62"/>
  <c r="BE10" i="62"/>
  <c r="BE14" i="62"/>
  <c r="BB15" i="62"/>
  <c r="BA9" i="62"/>
  <c r="BC7" i="62"/>
  <c r="BB8" i="62"/>
  <c r="BC24" i="62"/>
  <c r="DE18" i="62"/>
  <c r="DH18" i="62"/>
  <c r="DF18" i="62"/>
  <c r="B66" i="54"/>
  <c r="K20" i="24"/>
  <c r="AT52" i="62" l="1"/>
  <c r="AU53" i="62" s="1"/>
  <c r="AT54" i="62"/>
  <c r="AV47" i="62"/>
  <c r="AT49" i="62"/>
  <c r="AU50" i="62" s="1"/>
  <c r="AT51" i="62"/>
  <c r="BE57" i="62"/>
  <c r="BF57" i="62" s="1"/>
  <c r="BG57" i="62" s="1"/>
  <c r="BE55" i="62"/>
  <c r="BF56" i="62" s="1"/>
  <c r="AV48" i="62"/>
  <c r="AV46" i="62"/>
  <c r="AW47" i="62" s="1"/>
  <c r="AW34" i="62"/>
  <c r="AX35" i="62" s="1"/>
  <c r="AW36" i="62"/>
  <c r="AU60" i="62"/>
  <c r="AU58" i="62"/>
  <c r="AV59" i="62" s="1"/>
  <c r="AU40" i="62"/>
  <c r="AU42" i="62"/>
  <c r="AU41" i="62"/>
  <c r="AV43" i="62"/>
  <c r="AW44" i="62" s="1"/>
  <c r="AV45" i="62"/>
  <c r="AW45" i="62" s="1"/>
  <c r="AX39" i="62"/>
  <c r="AX37" i="62"/>
  <c r="AY38" i="62" s="1"/>
  <c r="BB9" i="62"/>
  <c r="BC12" i="62"/>
  <c r="BD7" i="62"/>
  <c r="BF11" i="62"/>
  <c r="BC8" i="62"/>
  <c r="BC15" i="62"/>
  <c r="BF14" i="62"/>
  <c r="BF10" i="62"/>
  <c r="BF13" i="62"/>
  <c r="BD24" i="62"/>
  <c r="DI18" i="62"/>
  <c r="DG18" i="62"/>
  <c r="D33" i="25"/>
  <c r="S20" i="2" s="1"/>
  <c r="AW43" i="62" l="1"/>
  <c r="AX44" i="62" s="1"/>
  <c r="BF55" i="62"/>
  <c r="BG56" i="62" s="1"/>
  <c r="BG55" i="62" s="1"/>
  <c r="AU52" i="62"/>
  <c r="AV53" i="62" s="1"/>
  <c r="AU54" i="62"/>
  <c r="AU49" i="62"/>
  <c r="AV50" i="62" s="1"/>
  <c r="AU51" i="62"/>
  <c r="AV41" i="62"/>
  <c r="AV42" i="62"/>
  <c r="AV40" i="62"/>
  <c r="AV58" i="62"/>
  <c r="AW59" i="62" s="1"/>
  <c r="AV60" i="62"/>
  <c r="AX36" i="62"/>
  <c r="AX34" i="62"/>
  <c r="AY35" i="62" s="1"/>
  <c r="AY39" i="62"/>
  <c r="AY37" i="62"/>
  <c r="AZ38" i="62" s="1"/>
  <c r="AX45" i="62"/>
  <c r="AY45" i="62" s="1"/>
  <c r="AX43" i="62"/>
  <c r="AW46" i="62"/>
  <c r="AX47" i="62" s="1"/>
  <c r="AW48" i="62"/>
  <c r="BG10" i="62"/>
  <c r="BH56" i="62"/>
  <c r="BH55" i="62" s="1"/>
  <c r="BG14" i="62"/>
  <c r="BD15" i="62"/>
  <c r="BG11" i="62"/>
  <c r="BE7" i="62"/>
  <c r="BD12" i="62"/>
  <c r="BG13" i="62"/>
  <c r="BD8" i="62"/>
  <c r="BH57" i="62"/>
  <c r="BE24" i="62"/>
  <c r="AE20" i="2"/>
  <c r="F33" i="25"/>
  <c r="G33" i="25" s="1"/>
  <c r="I33" i="25" s="1"/>
  <c r="G21" i="24"/>
  <c r="H21" i="24"/>
  <c r="J21" i="24"/>
  <c r="I21" i="24"/>
  <c r="D21" i="24"/>
  <c r="AY44" i="62" l="1"/>
  <c r="AW41" i="62"/>
  <c r="AV52" i="62"/>
  <c r="AW53" i="62" s="1"/>
  <c r="AV54" i="62"/>
  <c r="AV49" i="62"/>
  <c r="AW50" i="62" s="1"/>
  <c r="AV51" i="62"/>
  <c r="AY43" i="62"/>
  <c r="AZ45" i="62"/>
  <c r="AX13" i="62"/>
  <c r="AZ37" i="62"/>
  <c r="BA38" i="62" s="1"/>
  <c r="AZ39" i="62"/>
  <c r="AY34" i="62"/>
  <c r="AZ35" i="62" s="1"/>
  <c r="AY36" i="62"/>
  <c r="AW58" i="62"/>
  <c r="AX59" i="62" s="1"/>
  <c r="AW60" i="62"/>
  <c r="AX48" i="62"/>
  <c r="AX46" i="62"/>
  <c r="AW40" i="62"/>
  <c r="AX41" i="62" s="1"/>
  <c r="AW42" i="62"/>
  <c r="BE12" i="62"/>
  <c r="BF7" i="62"/>
  <c r="BH11" i="62"/>
  <c r="BE15" i="62"/>
  <c r="BI56" i="62"/>
  <c r="BI55" i="62" s="1"/>
  <c r="BH14" i="62"/>
  <c r="BH10" i="62"/>
  <c r="BH13" i="62"/>
  <c r="BE8" i="62"/>
  <c r="BF24" i="62"/>
  <c r="BI57" i="62"/>
  <c r="J33" i="25"/>
  <c r="H35" i="25"/>
  <c r="K21" i="24"/>
  <c r="D35" i="25" s="1"/>
  <c r="S21" i="2" s="1"/>
  <c r="AW52" i="62" l="1"/>
  <c r="AX53" i="62" s="1"/>
  <c r="AW54" i="62"/>
  <c r="AW51" i="62"/>
  <c r="AW49" i="62"/>
  <c r="AX50" i="62" s="1"/>
  <c r="BA37" i="62"/>
  <c r="BB38" i="62" s="1"/>
  <c r="BA39" i="62"/>
  <c r="AX40" i="62"/>
  <c r="AX42" i="62"/>
  <c r="AX11" i="62"/>
  <c r="AY47" i="62"/>
  <c r="AY48" i="62"/>
  <c r="AY46" i="62"/>
  <c r="AZ47" i="62" s="1"/>
  <c r="AZ34" i="62"/>
  <c r="BA35" i="62" s="1"/>
  <c r="AZ36" i="62"/>
  <c r="AX60" i="62"/>
  <c r="AX58" i="62"/>
  <c r="AY59" i="62" s="1"/>
  <c r="BA45" i="62"/>
  <c r="BB45" i="62" s="1"/>
  <c r="BC45" i="62" s="1"/>
  <c r="AY10" i="62"/>
  <c r="AZ44" i="62"/>
  <c r="AZ43" i="62" s="1"/>
  <c r="BA44" i="62" s="1"/>
  <c r="BA43" i="62" s="1"/>
  <c r="BB44" i="62" s="1"/>
  <c r="BB43" i="62" s="1"/>
  <c r="BC44" i="62" s="1"/>
  <c r="BC43" i="62" s="1"/>
  <c r="BD44" i="62" s="1"/>
  <c r="BI13" i="62"/>
  <c r="BI10" i="62"/>
  <c r="BJ56" i="62"/>
  <c r="BJ55" i="62" s="1"/>
  <c r="BI14" i="62"/>
  <c r="BF15" i="62"/>
  <c r="BF8" i="62"/>
  <c r="BI11" i="62"/>
  <c r="BG7" i="62"/>
  <c r="BF12" i="62"/>
  <c r="BE9" i="62"/>
  <c r="BJ57" i="62"/>
  <c r="BG24" i="62"/>
  <c r="AE21" i="2"/>
  <c r="K33" i="25"/>
  <c r="O34" i="25" s="1"/>
  <c r="F35" i="25"/>
  <c r="AX52" i="62" l="1"/>
  <c r="AY53" i="62" s="1"/>
  <c r="AX54" i="62"/>
  <c r="AX51" i="62"/>
  <c r="AY51" i="62" s="1"/>
  <c r="AX49" i="62"/>
  <c r="AY50" i="62" s="1"/>
  <c r="BA34" i="62"/>
  <c r="BB35" i="62" s="1"/>
  <c r="BA36" i="62"/>
  <c r="AZ48" i="62"/>
  <c r="AZ46" i="62"/>
  <c r="BA47" i="62" s="1"/>
  <c r="AY42" i="62"/>
  <c r="AY40" i="62"/>
  <c r="BD45" i="62"/>
  <c r="BD43" i="62"/>
  <c r="BE44" i="62" s="1"/>
  <c r="AX9" i="62"/>
  <c r="AY41" i="62"/>
  <c r="BB39" i="62"/>
  <c r="BB37" i="62"/>
  <c r="BC38" i="62" s="1"/>
  <c r="AY60" i="62"/>
  <c r="AY58" i="62"/>
  <c r="AZ59" i="62" s="1"/>
  <c r="BK56" i="62"/>
  <c r="BK55" i="62" s="1"/>
  <c r="BJ14" i="62"/>
  <c r="BJ10" i="62"/>
  <c r="BJ13" i="62"/>
  <c r="BG8" i="62"/>
  <c r="BF9" i="62"/>
  <c r="BG12" i="62"/>
  <c r="BH7" i="62"/>
  <c r="BJ11" i="62"/>
  <c r="BG15" i="62"/>
  <c r="BH24" i="62"/>
  <c r="BK57" i="62"/>
  <c r="G35" i="25"/>
  <c r="I35" i="25" s="1"/>
  <c r="J22" i="24"/>
  <c r="H22" i="24"/>
  <c r="D22" i="24"/>
  <c r="G23" i="24"/>
  <c r="H39" i="25" s="1"/>
  <c r="J24" i="24"/>
  <c r="H24" i="24"/>
  <c r="D24" i="24"/>
  <c r="D23" i="24"/>
  <c r="J23" i="24"/>
  <c r="H23" i="24"/>
  <c r="G22" i="24"/>
  <c r="G25" i="24"/>
  <c r="H43" i="25" s="1"/>
  <c r="I23" i="24"/>
  <c r="D25" i="24"/>
  <c r="H25" i="24"/>
  <c r="I25" i="24"/>
  <c r="J25" i="24"/>
  <c r="I24" i="24"/>
  <c r="G24" i="24"/>
  <c r="H41" i="25" s="1"/>
  <c r="I22" i="24"/>
  <c r="AY49" i="62" l="1"/>
  <c r="AZ50" i="62" s="1"/>
  <c r="AY52" i="62"/>
  <c r="AZ53" i="62" s="1"/>
  <c r="AY54" i="62"/>
  <c r="AZ51" i="62"/>
  <c r="AZ49" i="62"/>
  <c r="BA50" i="62" s="1"/>
  <c r="BE43" i="62"/>
  <c r="BF44" i="62" s="1"/>
  <c r="BE45" i="62"/>
  <c r="BF45" i="62" s="1"/>
  <c r="AZ41" i="62"/>
  <c r="AZ42" i="62"/>
  <c r="AZ40" i="62"/>
  <c r="AZ60" i="62"/>
  <c r="AZ58" i="62"/>
  <c r="BA59" i="62" s="1"/>
  <c r="BA46" i="62"/>
  <c r="BB47" i="62" s="1"/>
  <c r="BA48" i="62"/>
  <c r="BC37" i="62"/>
  <c r="BD38" i="62" s="1"/>
  <c r="BC39" i="62"/>
  <c r="BB34" i="62"/>
  <c r="BC35" i="62" s="1"/>
  <c r="BB36" i="62"/>
  <c r="BK11" i="62"/>
  <c r="BK13" i="62"/>
  <c r="BK10" i="62"/>
  <c r="BL56" i="62"/>
  <c r="BL55" i="62" s="1"/>
  <c r="BK14" i="62"/>
  <c r="BH15" i="62"/>
  <c r="BH8" i="62"/>
  <c r="BI7" i="62"/>
  <c r="BH12" i="62"/>
  <c r="BG9" i="62"/>
  <c r="BL57" i="62"/>
  <c r="BI24" i="62"/>
  <c r="G26" i="24"/>
  <c r="J35" i="25"/>
  <c r="K24" i="24"/>
  <c r="D41" i="25" s="1"/>
  <c r="K25" i="24"/>
  <c r="D43" i="25" s="1"/>
  <c r="H37" i="25"/>
  <c r="H45" i="25" s="1"/>
  <c r="K23" i="24"/>
  <c r="D39" i="25" s="1"/>
  <c r="K22" i="24"/>
  <c r="BA41" i="62" l="1"/>
  <c r="AZ54" i="62"/>
  <c r="AZ52" i="62"/>
  <c r="BA53" i="62" s="1"/>
  <c r="BA51" i="62"/>
  <c r="BB51" i="62" s="1"/>
  <c r="BA49" i="62"/>
  <c r="BB50" i="62" s="1"/>
  <c r="BF43" i="62"/>
  <c r="BG44" i="62" s="1"/>
  <c r="BG43" i="62" s="1"/>
  <c r="BH44" i="62" s="1"/>
  <c r="BB46" i="62"/>
  <c r="BC47" i="62" s="1"/>
  <c r="BB48" i="62"/>
  <c r="BA60" i="62"/>
  <c r="BA58" i="62"/>
  <c r="BB59" i="62" s="1"/>
  <c r="BC36" i="62"/>
  <c r="BC34" i="62"/>
  <c r="BD35" i="62" s="1"/>
  <c r="BA42" i="62"/>
  <c r="BA40" i="62"/>
  <c r="BB41" i="62" s="1"/>
  <c r="BD39" i="62"/>
  <c r="BD37" i="62"/>
  <c r="BE38" i="62" s="1"/>
  <c r="BG45" i="62"/>
  <c r="BM56" i="62"/>
  <c r="BM55" i="62" s="1"/>
  <c r="BL14" i="62"/>
  <c r="BL13" i="62"/>
  <c r="BH9" i="62"/>
  <c r="BI12" i="62"/>
  <c r="BJ7" i="62"/>
  <c r="BL11" i="62"/>
  <c r="BI15" i="62"/>
  <c r="BL10" i="62"/>
  <c r="BI8" i="62"/>
  <c r="BJ24" i="62"/>
  <c r="BM57" i="62"/>
  <c r="F43" i="25"/>
  <c r="G43" i="25" s="1"/>
  <c r="I43" i="25" s="1"/>
  <c r="J43" i="25" s="1"/>
  <c r="K43" i="25" s="1"/>
  <c r="O44" i="25" s="1"/>
  <c r="S25" i="2"/>
  <c r="AE25" i="2" s="1"/>
  <c r="F41" i="25"/>
  <c r="G41" i="25" s="1"/>
  <c r="I41" i="25" s="1"/>
  <c r="J41" i="25" s="1"/>
  <c r="K41" i="25" s="1"/>
  <c r="O42" i="25" s="1"/>
  <c r="S24" i="2"/>
  <c r="AE24" i="2" s="1"/>
  <c r="F39" i="25"/>
  <c r="G39" i="25" s="1"/>
  <c r="I39" i="25" s="1"/>
  <c r="J39" i="25" s="1"/>
  <c r="K39" i="25" s="1"/>
  <c r="O40" i="25" s="1"/>
  <c r="S23" i="2"/>
  <c r="AE23" i="2" s="1"/>
  <c r="K35" i="25"/>
  <c r="O36" i="25" s="1"/>
  <c r="D37" i="25"/>
  <c r="S22" i="2" s="1"/>
  <c r="K26" i="24"/>
  <c r="BB49" i="62" l="1"/>
  <c r="BC50" i="62" s="1"/>
  <c r="BA52" i="62"/>
  <c r="BB53" i="62" s="1"/>
  <c r="BA54" i="62"/>
  <c r="BC49" i="62"/>
  <c r="BC51" i="62"/>
  <c r="BB42" i="62"/>
  <c r="BB40" i="62"/>
  <c r="BC41" i="62" s="1"/>
  <c r="BD34" i="62"/>
  <c r="BE35" i="62" s="1"/>
  <c r="BD36" i="62"/>
  <c r="BB60" i="62"/>
  <c r="BB58" i="62"/>
  <c r="BC59" i="62" s="1"/>
  <c r="BH43" i="62"/>
  <c r="BI44" i="62" s="1"/>
  <c r="BH45" i="62"/>
  <c r="BI45" i="62" s="1"/>
  <c r="BJ45" i="62" s="1"/>
  <c r="BC46" i="62"/>
  <c r="BD47" i="62" s="1"/>
  <c r="BC48" i="62"/>
  <c r="BE37" i="62"/>
  <c r="BF38" i="62" s="1"/>
  <c r="BE39" i="62"/>
  <c r="BM11" i="62"/>
  <c r="BK7" i="62"/>
  <c r="BI9" i="62"/>
  <c r="BM13" i="62"/>
  <c r="BM10" i="62"/>
  <c r="BN56" i="62"/>
  <c r="BN55" i="62" s="1"/>
  <c r="BM14" i="62"/>
  <c r="BJ15" i="62"/>
  <c r="BJ12" i="62"/>
  <c r="BJ8" i="62"/>
  <c r="BN57" i="62"/>
  <c r="BK24" i="62"/>
  <c r="AE22" i="2"/>
  <c r="AE26" i="2" s="1"/>
  <c r="S26" i="2"/>
  <c r="F37" i="25"/>
  <c r="G37" i="25" s="1"/>
  <c r="D45" i="25"/>
  <c r="BD50" i="62" l="1"/>
  <c r="BI43" i="62"/>
  <c r="BJ44" i="62" s="1"/>
  <c r="BJ43" i="62" s="1"/>
  <c r="BK44" i="62" s="1"/>
  <c r="BK43" i="62" s="1"/>
  <c r="BL44" i="62" s="1"/>
  <c r="BB52" i="62"/>
  <c r="BC53" i="62" s="1"/>
  <c r="BB54" i="62"/>
  <c r="BD49" i="62"/>
  <c r="BE50" i="62" s="1"/>
  <c r="BD51" i="62"/>
  <c r="BK45" i="62"/>
  <c r="BC60" i="62"/>
  <c r="BC58" i="62"/>
  <c r="BD59" i="62" s="1"/>
  <c r="BF37" i="62"/>
  <c r="BG38" i="62" s="1"/>
  <c r="BF39" i="62"/>
  <c r="BE36" i="62"/>
  <c r="BE34" i="62"/>
  <c r="BF35" i="62" s="1"/>
  <c r="BD46" i="62"/>
  <c r="BE47" i="62" s="1"/>
  <c r="BD48" i="62"/>
  <c r="BC42" i="62"/>
  <c r="BC40" i="62"/>
  <c r="BK15" i="62"/>
  <c r="BN10" i="62"/>
  <c r="BJ9" i="62"/>
  <c r="BK12" i="62"/>
  <c r="BL7" i="62"/>
  <c r="BN11" i="62"/>
  <c r="BO56" i="62"/>
  <c r="BO55" i="62" s="1"/>
  <c r="BN14" i="62"/>
  <c r="BN13" i="62"/>
  <c r="BK8" i="62"/>
  <c r="BL24" i="62"/>
  <c r="BO57" i="62"/>
  <c r="G45" i="25"/>
  <c r="I37" i="25"/>
  <c r="F45" i="25"/>
  <c r="BC52" i="62" l="1"/>
  <c r="BD53" i="62" s="1"/>
  <c r="BC54" i="62"/>
  <c r="BE51" i="62"/>
  <c r="BF51" i="62" s="1"/>
  <c r="BE49" i="62"/>
  <c r="BF50" i="62" s="1"/>
  <c r="BG39" i="62"/>
  <c r="BG37" i="62"/>
  <c r="BH38" i="62" s="1"/>
  <c r="BF36" i="62"/>
  <c r="BF34" i="62"/>
  <c r="BG35" i="62" s="1"/>
  <c r="BD58" i="62"/>
  <c r="BE59" i="62" s="1"/>
  <c r="BD60" i="62"/>
  <c r="BC9" i="62"/>
  <c r="BD41" i="62"/>
  <c r="BL43" i="62"/>
  <c r="BM44" i="62" s="1"/>
  <c r="BL45" i="62"/>
  <c r="BM45" i="62" s="1"/>
  <c r="BD40" i="62"/>
  <c r="BD42" i="62"/>
  <c r="BE46" i="62"/>
  <c r="BF47" i="62" s="1"/>
  <c r="BE48" i="62"/>
  <c r="BO11" i="62"/>
  <c r="BL12" i="62"/>
  <c r="BK9" i="62"/>
  <c r="BO13" i="62"/>
  <c r="BO10" i="62"/>
  <c r="BP56" i="62"/>
  <c r="BO14" i="62"/>
  <c r="BL15" i="62"/>
  <c r="BM7" i="62"/>
  <c r="BL8" i="62"/>
  <c r="BP55" i="62"/>
  <c r="BP57" i="62"/>
  <c r="BM24" i="62"/>
  <c r="J37" i="25"/>
  <c r="I45" i="25"/>
  <c r="C5" i="23"/>
  <c r="BF49" i="62" l="1"/>
  <c r="BG50" i="62" s="1"/>
  <c r="BD52" i="62"/>
  <c r="BE53" i="62" s="1"/>
  <c r="BD54" i="62"/>
  <c r="BG49" i="62"/>
  <c r="BH50" i="62" s="1"/>
  <c r="BG51" i="62"/>
  <c r="BH51" i="62" s="1"/>
  <c r="BI51" i="62" s="1"/>
  <c r="BM43" i="62"/>
  <c r="BN44" i="62" s="1"/>
  <c r="BN43" i="62" s="1"/>
  <c r="BO44" i="62" s="1"/>
  <c r="BN45" i="62"/>
  <c r="BE58" i="62"/>
  <c r="BF59" i="62" s="1"/>
  <c r="BE60" i="62"/>
  <c r="BF48" i="62"/>
  <c r="BG48" i="62" s="1"/>
  <c r="BF46" i="62"/>
  <c r="BG47" i="62" s="1"/>
  <c r="BG46" i="62" s="1"/>
  <c r="BH47" i="62" s="1"/>
  <c r="BG36" i="62"/>
  <c r="BG34" i="62"/>
  <c r="BH35" i="62" s="1"/>
  <c r="BE40" i="62"/>
  <c r="BE42" i="62"/>
  <c r="BD9" i="62"/>
  <c r="BE41" i="62"/>
  <c r="BH39" i="62"/>
  <c r="BH37" i="62"/>
  <c r="BI38" i="62" s="1"/>
  <c r="BM15" i="62"/>
  <c r="BP10" i="62"/>
  <c r="BL9" i="62"/>
  <c r="BM12" i="62"/>
  <c r="BN7" i="62"/>
  <c r="BP11" i="62"/>
  <c r="BQ56" i="62"/>
  <c r="BQ55" i="62" s="1"/>
  <c r="BP14" i="62"/>
  <c r="BP13" i="62"/>
  <c r="BM8" i="62"/>
  <c r="BN24" i="62"/>
  <c r="BQ57" i="62"/>
  <c r="K37" i="25"/>
  <c r="J45" i="25"/>
  <c r="BH49" i="62" l="1"/>
  <c r="BI50" i="62" s="1"/>
  <c r="BI49" i="62" s="1"/>
  <c r="BJ50" i="62" s="1"/>
  <c r="BJ49" i="62" s="1"/>
  <c r="BK50" i="62" s="1"/>
  <c r="BK49" i="62" s="1"/>
  <c r="BL50" i="62" s="1"/>
  <c r="BE54" i="62"/>
  <c r="BE52" i="62"/>
  <c r="BF53" i="62" s="1"/>
  <c r="BJ51" i="62"/>
  <c r="BK51" i="62" s="1"/>
  <c r="BF41" i="62"/>
  <c r="BH46" i="62"/>
  <c r="BI47" i="62" s="1"/>
  <c r="BH48" i="62"/>
  <c r="BH36" i="62"/>
  <c r="BH34" i="62"/>
  <c r="BI35" i="62" s="1"/>
  <c r="BI37" i="62"/>
  <c r="BJ38" i="62" s="1"/>
  <c r="BI39" i="62"/>
  <c r="BF60" i="62"/>
  <c r="BF58" i="62"/>
  <c r="BG59" i="62" s="1"/>
  <c r="BF40" i="62"/>
  <c r="BF42" i="62"/>
  <c r="BO43" i="62"/>
  <c r="BP44" i="62" s="1"/>
  <c r="BO45" i="62"/>
  <c r="BQ11" i="62"/>
  <c r="BO7" i="62"/>
  <c r="BN12" i="62"/>
  <c r="BM9" i="62"/>
  <c r="BQ13" i="62"/>
  <c r="BQ10" i="62"/>
  <c r="BR56" i="62"/>
  <c r="BR55" i="62" s="1"/>
  <c r="BQ14" i="62"/>
  <c r="BN15" i="62"/>
  <c r="BN8" i="62"/>
  <c r="BR57" i="62"/>
  <c r="BO24" i="62"/>
  <c r="K45" i="25"/>
  <c r="O38" i="25"/>
  <c r="O46" i="25" s="1"/>
  <c r="BG41" i="62" l="1"/>
  <c r="BF52" i="62"/>
  <c r="BG53" i="62" s="1"/>
  <c r="BF54" i="62"/>
  <c r="BL49" i="62"/>
  <c r="BM50" i="62" s="1"/>
  <c r="BL51" i="62"/>
  <c r="BJ39" i="62"/>
  <c r="BJ37" i="62"/>
  <c r="BK38" i="62" s="1"/>
  <c r="BG58" i="62"/>
  <c r="BH59" i="62" s="1"/>
  <c r="BG60" i="62"/>
  <c r="BI34" i="62"/>
  <c r="BJ35" i="62" s="1"/>
  <c r="BI36" i="62"/>
  <c r="BP43" i="62"/>
  <c r="BQ44" i="62" s="1"/>
  <c r="BP45" i="62"/>
  <c r="BG40" i="62"/>
  <c r="BG42" i="62"/>
  <c r="BI46" i="62"/>
  <c r="BJ47" i="62" s="1"/>
  <c r="BI48" i="62"/>
  <c r="BS56" i="62"/>
  <c r="BS55" i="62" s="1"/>
  <c r="BR14" i="62"/>
  <c r="BR10" i="62"/>
  <c r="BR13" i="62"/>
  <c r="BN9" i="62"/>
  <c r="BO8" i="62"/>
  <c r="BO12" i="62"/>
  <c r="BP7" i="62"/>
  <c r="BR11" i="62"/>
  <c r="BO15" i="62"/>
  <c r="BP24" i="62"/>
  <c r="BS57" i="62"/>
  <c r="AQ84" i="55"/>
  <c r="BH41" i="62" l="1"/>
  <c r="BG52" i="62"/>
  <c r="BH53" i="62" s="1"/>
  <c r="BG54" i="62"/>
  <c r="BM51" i="62"/>
  <c r="BM49" i="62"/>
  <c r="BN50" i="62" s="1"/>
  <c r="BQ43" i="62"/>
  <c r="BR44" i="62" s="1"/>
  <c r="BQ45" i="62"/>
  <c r="BJ36" i="62"/>
  <c r="BJ34" i="62"/>
  <c r="BK35" i="62" s="1"/>
  <c r="BJ46" i="62"/>
  <c r="BK47" i="62" s="1"/>
  <c r="BJ48" i="62"/>
  <c r="BH58" i="62"/>
  <c r="BI59" i="62" s="1"/>
  <c r="BH60" i="62"/>
  <c r="BH42" i="62"/>
  <c r="BH40" i="62"/>
  <c r="BK39" i="62"/>
  <c r="BK37" i="62"/>
  <c r="BL38" i="62" s="1"/>
  <c r="BS13" i="62"/>
  <c r="BP8" i="62"/>
  <c r="BO9" i="62"/>
  <c r="BS10" i="62"/>
  <c r="BT56" i="62"/>
  <c r="BT55" i="62" s="1"/>
  <c r="BS14" i="62"/>
  <c r="BP15" i="62"/>
  <c r="BS11" i="62"/>
  <c r="BQ7" i="62"/>
  <c r="BP12" i="62"/>
  <c r="BT57" i="62"/>
  <c r="BQ24" i="62"/>
  <c r="AC95" i="55"/>
  <c r="AC97" i="55" s="1"/>
  <c r="U97" i="55"/>
  <c r="AG95" i="55"/>
  <c r="AG97" i="55" s="1"/>
  <c r="Y95" i="55"/>
  <c r="Y97" i="55" s="1"/>
  <c r="Q97" i="55"/>
  <c r="O26" i="5"/>
  <c r="AE26" i="5" s="1"/>
  <c r="B14" i="55"/>
  <c r="AZ1" i="55"/>
  <c r="AK85" i="55"/>
  <c r="X109" i="55" s="1"/>
  <c r="AK86" i="55"/>
  <c r="AC109" i="55" s="1"/>
  <c r="AK84" i="55"/>
  <c r="C6" i="58" s="1"/>
  <c r="BI41" i="62" l="1"/>
  <c r="BH52" i="62"/>
  <c r="BI53" i="62" s="1"/>
  <c r="BH54" i="62"/>
  <c r="BN51" i="62"/>
  <c r="BN49" i="62"/>
  <c r="BO50" i="62" s="1"/>
  <c r="BI58" i="62"/>
  <c r="BJ59" i="62" s="1"/>
  <c r="BI60" i="62"/>
  <c r="BK46" i="62"/>
  <c r="BL47" i="62" s="1"/>
  <c r="BK48" i="62"/>
  <c r="BK36" i="62"/>
  <c r="BK34" i="62"/>
  <c r="BL35" i="62" s="1"/>
  <c r="BR43" i="62"/>
  <c r="BS44" i="62" s="1"/>
  <c r="BR45" i="62"/>
  <c r="BL37" i="62"/>
  <c r="BM38" i="62" s="1"/>
  <c r="BL39" i="62"/>
  <c r="BI40" i="62"/>
  <c r="BI42" i="62"/>
  <c r="BU56" i="62"/>
  <c r="BU55" i="62" s="1"/>
  <c r="BT14" i="62"/>
  <c r="BQ12" i="62"/>
  <c r="BR7" i="62"/>
  <c r="BT11" i="62"/>
  <c r="BQ8" i="62"/>
  <c r="BQ15" i="62"/>
  <c r="BT10" i="62"/>
  <c r="BT13" i="62"/>
  <c r="BP9" i="62"/>
  <c r="BR24" i="62"/>
  <c r="BU57" i="62"/>
  <c r="AP94" i="55"/>
  <c r="AZ77" i="55" s="1"/>
  <c r="U18" i="24" s="1"/>
  <c r="P40" i="5" s="1"/>
  <c r="C6" i="56"/>
  <c r="D6" i="56" s="1"/>
  <c r="C8" i="56" s="1"/>
  <c r="AE45" i="56" s="1"/>
  <c r="AQ94" i="55"/>
  <c r="R146" i="55"/>
  <c r="Z146" i="55" s="1"/>
  <c r="R134" i="55"/>
  <c r="Z134" i="55" s="1"/>
  <c r="R143" i="55"/>
  <c r="Z143" i="55" s="1"/>
  <c r="R128" i="55"/>
  <c r="Z128" i="55" s="1"/>
  <c r="R26" i="5"/>
  <c r="AZ2" i="55"/>
  <c r="O27" i="5"/>
  <c r="AE27" i="5" s="1"/>
  <c r="B63" i="55"/>
  <c r="D6" i="58"/>
  <c r="R116" i="55"/>
  <c r="Z116" i="55" s="1"/>
  <c r="R152" i="55"/>
  <c r="Z152" i="55" s="1"/>
  <c r="R140" i="55"/>
  <c r="Z140" i="55" s="1"/>
  <c r="R137" i="55"/>
  <c r="Z137" i="55" s="1"/>
  <c r="R122" i="55"/>
  <c r="Z122" i="55" s="1"/>
  <c r="AI108" i="55"/>
  <c r="R149" i="55"/>
  <c r="Z149" i="55" s="1"/>
  <c r="R119" i="55"/>
  <c r="Z119" i="55" s="1"/>
  <c r="R125" i="55"/>
  <c r="Z125" i="55" s="1"/>
  <c r="R131" i="55"/>
  <c r="Z131" i="55" s="1"/>
  <c r="BJ41" i="62" l="1"/>
  <c r="BI54" i="62"/>
  <c r="BI52" i="62"/>
  <c r="BJ53" i="62" s="1"/>
  <c r="BO49" i="62"/>
  <c r="BP50" i="62" s="1"/>
  <c r="BO51" i="62"/>
  <c r="BM39" i="62"/>
  <c r="BM37" i="62"/>
  <c r="BN38" i="62" s="1"/>
  <c r="BS45" i="62"/>
  <c r="BT45" i="62" s="1"/>
  <c r="BU45" i="62" s="1"/>
  <c r="BV45" i="62" s="1"/>
  <c r="BS43" i="62"/>
  <c r="BT44" i="62" s="1"/>
  <c r="BL36" i="62"/>
  <c r="BL34" i="62"/>
  <c r="BM35" i="62" s="1"/>
  <c r="BJ40" i="62"/>
  <c r="BK41" i="62" s="1"/>
  <c r="BJ42" i="62"/>
  <c r="BL48" i="62"/>
  <c r="BL46" i="62"/>
  <c r="BM47" i="62" s="1"/>
  <c r="BJ60" i="62"/>
  <c r="BJ58" i="62"/>
  <c r="BK59" i="62" s="1"/>
  <c r="BQ9" i="62"/>
  <c r="BU13" i="62"/>
  <c r="BU10" i="62"/>
  <c r="BV56" i="62"/>
  <c r="BV55" i="62" s="1"/>
  <c r="BU14" i="62"/>
  <c r="BR15" i="62"/>
  <c r="BU11" i="62"/>
  <c r="BS7" i="62"/>
  <c r="BR12" i="62"/>
  <c r="BR8" i="62"/>
  <c r="BV57" i="62"/>
  <c r="BS24" i="62"/>
  <c r="M13" i="24"/>
  <c r="I36" i="5" s="1"/>
  <c r="BG77" i="55"/>
  <c r="E18" i="24"/>
  <c r="M18" i="24"/>
  <c r="I40" i="5" s="1"/>
  <c r="Q18" i="24"/>
  <c r="M40" i="5" s="1"/>
  <c r="O18" i="24"/>
  <c r="K40" i="5" s="1"/>
  <c r="R27" i="5"/>
  <c r="AK89" i="55"/>
  <c r="BT43" i="62" l="1"/>
  <c r="BU44" i="62" s="1"/>
  <c r="BU43" i="62" s="1"/>
  <c r="BV44" i="62" s="1"/>
  <c r="BV43" i="62" s="1"/>
  <c r="BJ52" i="62"/>
  <c r="BK53" i="62" s="1"/>
  <c r="BJ54" i="62"/>
  <c r="BP49" i="62"/>
  <c r="BQ50" i="62" s="1"/>
  <c r="BP51" i="62"/>
  <c r="BM46" i="62"/>
  <c r="BN47" i="62" s="1"/>
  <c r="BM48" i="62"/>
  <c r="BK40" i="62"/>
  <c r="BL41" i="62" s="1"/>
  <c r="BK42" i="62"/>
  <c r="BM36" i="62"/>
  <c r="BM34" i="62"/>
  <c r="BN35" i="62" s="1"/>
  <c r="BK60" i="62"/>
  <c r="BK58" i="62"/>
  <c r="BL59" i="62" s="1"/>
  <c r="BN39" i="62"/>
  <c r="BN37" i="62"/>
  <c r="BO38" i="62" s="1"/>
  <c r="C7" i="58"/>
  <c r="D7" i="58" s="1"/>
  <c r="C8" i="58" s="1"/>
  <c r="C9" i="58" s="1"/>
  <c r="BW56" i="62"/>
  <c r="BW55" i="62" s="1"/>
  <c r="BV14" i="62"/>
  <c r="BS12" i="62"/>
  <c r="BT7" i="62"/>
  <c r="BV11" i="62"/>
  <c r="BS15" i="62"/>
  <c r="BV10" i="62"/>
  <c r="BV13" i="62"/>
  <c r="BR9" i="62"/>
  <c r="BS8" i="62"/>
  <c r="BT24" i="62"/>
  <c r="BW57" i="62"/>
  <c r="BW45" i="62"/>
  <c r="U11" i="24"/>
  <c r="M15" i="24"/>
  <c r="I38" i="5" s="1"/>
  <c r="Q8" i="24"/>
  <c r="M31" i="5" s="1"/>
  <c r="Q10" i="24"/>
  <c r="M33" i="5" s="1"/>
  <c r="M10" i="24"/>
  <c r="I33" i="5" s="1"/>
  <c r="AD152" i="55"/>
  <c r="AF149" i="55"/>
  <c r="AF143" i="55"/>
  <c r="AD119" i="55"/>
  <c r="AD116" i="55"/>
  <c r="AF152" i="55"/>
  <c r="AF134" i="55"/>
  <c r="AD143" i="55"/>
  <c r="AD149" i="55"/>
  <c r="AD122" i="55"/>
  <c r="AF119" i="55"/>
  <c r="AF116" i="55"/>
  <c r="AF131" i="55"/>
  <c r="AD146" i="55"/>
  <c r="AD125" i="55"/>
  <c r="AF122" i="55"/>
  <c r="AF128" i="55"/>
  <c r="AD134" i="55"/>
  <c r="AD137" i="55"/>
  <c r="AD140" i="55"/>
  <c r="AF140" i="55"/>
  <c r="AF146" i="55"/>
  <c r="AD128" i="55"/>
  <c r="AF125" i="55"/>
  <c r="AD131" i="55"/>
  <c r="AF137" i="55"/>
  <c r="Q12" i="24"/>
  <c r="M35" i="5" s="1"/>
  <c r="AP118" i="56"/>
  <c r="AQ118" i="56" s="1"/>
  <c r="Q13" i="24"/>
  <c r="M36" i="5" s="1"/>
  <c r="U16" i="24"/>
  <c r="E7" i="24"/>
  <c r="F7" i="24" s="1"/>
  <c r="G7" i="24" s="1"/>
  <c r="H7" i="25" s="1"/>
  <c r="E10" i="24"/>
  <c r="F10" i="24" s="1"/>
  <c r="G10" i="24" s="1"/>
  <c r="H13" i="25" s="1"/>
  <c r="E11" i="24"/>
  <c r="I11" i="24" s="1"/>
  <c r="O15" i="24"/>
  <c r="K38" i="5" s="1"/>
  <c r="E12" i="24"/>
  <c r="J12" i="24" s="1"/>
  <c r="Q11" i="24"/>
  <c r="M34" i="5" s="1"/>
  <c r="U15" i="24"/>
  <c r="U7" i="24"/>
  <c r="Q14" i="24"/>
  <c r="M37" i="5" s="1"/>
  <c r="U8" i="24"/>
  <c r="Q15" i="24"/>
  <c r="M38" i="5" s="1"/>
  <c r="O14" i="24"/>
  <c r="K37" i="5" s="1"/>
  <c r="O28" i="5"/>
  <c r="R28" i="5" s="1"/>
  <c r="O16" i="24"/>
  <c r="K39" i="5" s="1"/>
  <c r="E13" i="24"/>
  <c r="F13" i="24" s="1"/>
  <c r="G13" i="24" s="1"/>
  <c r="H19" i="25" s="1"/>
  <c r="E14" i="24"/>
  <c r="J14" i="24" s="1"/>
  <c r="E15" i="24"/>
  <c r="I15" i="24" s="1"/>
  <c r="M11" i="24"/>
  <c r="I34" i="5" s="1"/>
  <c r="O7" i="24"/>
  <c r="K30" i="5" s="1"/>
  <c r="E16" i="24"/>
  <c r="J16" i="24" s="1"/>
  <c r="M16" i="24"/>
  <c r="I39" i="5" s="1"/>
  <c r="M12" i="24"/>
  <c r="I35" i="5" s="1"/>
  <c r="U12" i="24"/>
  <c r="P35" i="5" s="1"/>
  <c r="M7" i="24"/>
  <c r="I30" i="5" s="1"/>
  <c r="Q16" i="24"/>
  <c r="M39" i="5" s="1"/>
  <c r="U13" i="24"/>
  <c r="O12" i="24"/>
  <c r="K35" i="5" s="1"/>
  <c r="M14" i="24"/>
  <c r="I37" i="5" s="1"/>
  <c r="O13" i="24"/>
  <c r="K36" i="5" s="1"/>
  <c r="B77" i="55"/>
  <c r="M8" i="24"/>
  <c r="I31" i="5" s="1"/>
  <c r="O10" i="24"/>
  <c r="K33" i="5" s="1"/>
  <c r="E8" i="24"/>
  <c r="G8" i="24" s="1"/>
  <c r="B111" i="55"/>
  <c r="O8" i="24"/>
  <c r="K31" i="5" s="1"/>
  <c r="U10" i="24"/>
  <c r="P33" i="5" s="1"/>
  <c r="T109" i="55"/>
  <c r="AZ3" i="55"/>
  <c r="U14" i="24"/>
  <c r="Q7" i="24"/>
  <c r="M30" i="5" s="1"/>
  <c r="O11" i="24"/>
  <c r="K34" i="5" s="1"/>
  <c r="BW44" i="62" l="1"/>
  <c r="BW43" i="62" s="1"/>
  <c r="BK52" i="62"/>
  <c r="BL53" i="62" s="1"/>
  <c r="BK54" i="62"/>
  <c r="BQ51" i="62"/>
  <c r="BR51" i="62" s="1"/>
  <c r="BS51" i="62" s="1"/>
  <c r="BT51" i="62" s="1"/>
  <c r="BU51" i="62" s="1"/>
  <c r="BQ49" i="62"/>
  <c r="BR50" i="62" s="1"/>
  <c r="BO37" i="62"/>
  <c r="BP38" i="62" s="1"/>
  <c r="BO39" i="62"/>
  <c r="BL60" i="62"/>
  <c r="BL58" i="62"/>
  <c r="BM59" i="62" s="1"/>
  <c r="BN36" i="62"/>
  <c r="BN34" i="62"/>
  <c r="BO35" i="62" s="1"/>
  <c r="BL40" i="62"/>
  <c r="BM41" i="62" s="1"/>
  <c r="BL42" i="62"/>
  <c r="BN46" i="62"/>
  <c r="BO47" i="62" s="1"/>
  <c r="BN48" i="62"/>
  <c r="BS9" i="62"/>
  <c r="BW13" i="62"/>
  <c r="BW10" i="62"/>
  <c r="BX56" i="62"/>
  <c r="BX55" i="62" s="1"/>
  <c r="BW14" i="62"/>
  <c r="BT15" i="62"/>
  <c r="BW11" i="62"/>
  <c r="BU7" i="62"/>
  <c r="BT12" i="62"/>
  <c r="BT8" i="62"/>
  <c r="BX45" i="62"/>
  <c r="BX57" i="62"/>
  <c r="BU24" i="62"/>
  <c r="AZ99" i="55"/>
  <c r="AT118" i="58" s="1"/>
  <c r="I12" i="24"/>
  <c r="K12" i="24" s="1"/>
  <c r="D17" i="25" s="1"/>
  <c r="F17" i="25" s="1"/>
  <c r="G17" i="25" s="1"/>
  <c r="H12" i="24"/>
  <c r="J15" i="24"/>
  <c r="K15" i="24" s="1"/>
  <c r="D23" i="25" s="1"/>
  <c r="F23" i="25" s="1"/>
  <c r="G23" i="25" s="1"/>
  <c r="J10" i="24"/>
  <c r="T11" i="24"/>
  <c r="AF34" i="5" s="1"/>
  <c r="I13" i="24"/>
  <c r="T13" i="24"/>
  <c r="AE36" i="5" s="1"/>
  <c r="T12" i="24"/>
  <c r="O35" i="5" s="1"/>
  <c r="AE35" i="5" s="1"/>
  <c r="D12" i="24"/>
  <c r="H13" i="24"/>
  <c r="D13" i="24"/>
  <c r="J13" i="24"/>
  <c r="H15" i="24"/>
  <c r="T10" i="24"/>
  <c r="O33" i="5" s="1"/>
  <c r="AE33" i="5" s="1"/>
  <c r="D16" i="24"/>
  <c r="AR118" i="56"/>
  <c r="I16" i="24"/>
  <c r="K16" i="24" s="1"/>
  <c r="D25" i="25" s="1"/>
  <c r="S16" i="2" s="1"/>
  <c r="AE16" i="2" s="1"/>
  <c r="H16" i="24"/>
  <c r="P26" i="5"/>
  <c r="AL47" i="60" s="1"/>
  <c r="T50" i="60" s="1"/>
  <c r="D7" i="24"/>
  <c r="H7" i="24" s="1"/>
  <c r="T15" i="24"/>
  <c r="AF38" i="5" s="1"/>
  <c r="AE28" i="5"/>
  <c r="I7" i="24"/>
  <c r="F12" i="24"/>
  <c r="G12" i="24" s="1"/>
  <c r="H17" i="25" s="1"/>
  <c r="D15" i="24"/>
  <c r="BG99" i="55"/>
  <c r="I14" i="24"/>
  <c r="K14" i="24" s="1"/>
  <c r="D21" i="25" s="1"/>
  <c r="F21" i="25" s="1"/>
  <c r="G21" i="25" s="1"/>
  <c r="H10" i="24"/>
  <c r="J11" i="24"/>
  <c r="K11" i="24" s="1"/>
  <c r="D15" i="25" s="1"/>
  <c r="D10" i="24"/>
  <c r="H11" i="24"/>
  <c r="D14" i="24"/>
  <c r="I10" i="24"/>
  <c r="F11" i="24"/>
  <c r="G11" i="24" s="1"/>
  <c r="H15" i="25" s="1"/>
  <c r="T16" i="24"/>
  <c r="AF39" i="5" s="1"/>
  <c r="F16" i="24"/>
  <c r="G16" i="24" s="1"/>
  <c r="H25" i="25" s="1"/>
  <c r="H14" i="24"/>
  <c r="J7" i="24"/>
  <c r="D11" i="24"/>
  <c r="T14" i="24"/>
  <c r="AF37" i="5" s="1"/>
  <c r="F15" i="24"/>
  <c r="G15" i="24" s="1"/>
  <c r="H23" i="25" s="1"/>
  <c r="J8" i="24"/>
  <c r="I8" i="24"/>
  <c r="T7" i="24"/>
  <c r="AF30" i="5" s="1"/>
  <c r="G14" i="24"/>
  <c r="F14" i="24" s="1"/>
  <c r="T8" i="24"/>
  <c r="AF31" i="5" s="1"/>
  <c r="B3" i="56"/>
  <c r="N2" i="56"/>
  <c r="F8" i="24"/>
  <c r="H9" i="25"/>
  <c r="BR49" i="62" l="1"/>
  <c r="BS50" i="62" s="1"/>
  <c r="BX44" i="62"/>
  <c r="BX43" i="62" s="1"/>
  <c r="BL54" i="62"/>
  <c r="BL52" i="62"/>
  <c r="BM53" i="62" s="1"/>
  <c r="BS49" i="62"/>
  <c r="BT50" i="62" s="1"/>
  <c r="BO46" i="62"/>
  <c r="BP47" i="62" s="1"/>
  <c r="BO48" i="62"/>
  <c r="BM40" i="62"/>
  <c r="BN41" i="62" s="1"/>
  <c r="BM42" i="62"/>
  <c r="BO34" i="62"/>
  <c r="BP35" i="62" s="1"/>
  <c r="BO36" i="62"/>
  <c r="BM60" i="62"/>
  <c r="BM58" i="62"/>
  <c r="BN59" i="62" s="1"/>
  <c r="BP37" i="62"/>
  <c r="BQ38" i="62" s="1"/>
  <c r="BP39" i="62"/>
  <c r="BU12" i="62"/>
  <c r="BV7" i="62"/>
  <c r="BX11" i="62"/>
  <c r="BU15" i="62"/>
  <c r="BY56" i="62"/>
  <c r="BY55" i="62" s="1"/>
  <c r="BX14" i="62"/>
  <c r="BX10" i="62"/>
  <c r="BX13" i="62"/>
  <c r="BT9" i="62"/>
  <c r="BU8" i="62"/>
  <c r="BV51" i="62"/>
  <c r="BV24" i="62"/>
  <c r="BY57" i="62"/>
  <c r="BY45" i="62"/>
  <c r="K10" i="24"/>
  <c r="D13" i="25" s="1"/>
  <c r="F13" i="25" s="1"/>
  <c r="G13" i="25" s="1"/>
  <c r="I13" i="25" s="1"/>
  <c r="J13" i="25" s="1"/>
  <c r="K13" i="25" s="1"/>
  <c r="O14" i="25" s="1"/>
  <c r="K8" i="24"/>
  <c r="D9" i="25" s="1"/>
  <c r="K13" i="24"/>
  <c r="D19" i="25" s="1"/>
  <c r="F19" i="25" s="1"/>
  <c r="G19" i="25" s="1"/>
  <c r="I19" i="25" s="1"/>
  <c r="J19" i="25" s="1"/>
  <c r="K19" i="25" s="1"/>
  <c r="O20" i="25" s="1"/>
  <c r="AE34" i="5"/>
  <c r="AF35" i="5"/>
  <c r="AF33" i="5"/>
  <c r="K7" i="24"/>
  <c r="D7" i="25" s="1"/>
  <c r="S7" i="2" s="1"/>
  <c r="AE7" i="2" s="1"/>
  <c r="AF36" i="5"/>
  <c r="O29" i="5"/>
  <c r="P29" i="5" s="1"/>
  <c r="AE38" i="5"/>
  <c r="H21" i="25"/>
  <c r="I21" i="25" s="1"/>
  <c r="J21" i="25" s="1"/>
  <c r="K21" i="25" s="1"/>
  <c r="O22" i="25" s="1"/>
  <c r="AZ4" i="55"/>
  <c r="I17" i="25"/>
  <c r="J17" i="25" s="1"/>
  <c r="K17" i="25" s="1"/>
  <c r="O18" i="25" s="1"/>
  <c r="AE37" i="5"/>
  <c r="B99" i="55"/>
  <c r="AE39" i="5"/>
  <c r="AE31" i="5"/>
  <c r="U9" i="24"/>
  <c r="P32" i="5" s="1"/>
  <c r="I23" i="25"/>
  <c r="J23" i="25" s="1"/>
  <c r="K23" i="25" s="1"/>
  <c r="O24" i="25" s="1"/>
  <c r="S14" i="2"/>
  <c r="AE14" i="2" s="1"/>
  <c r="S15" i="2"/>
  <c r="AE15" i="2" s="1"/>
  <c r="AE30" i="5"/>
  <c r="S12" i="2"/>
  <c r="AE12" i="2" s="1"/>
  <c r="F25" i="25"/>
  <c r="G25" i="25" s="1"/>
  <c r="I25" i="25" s="1"/>
  <c r="J25" i="25" s="1"/>
  <c r="K25" i="25" s="1"/>
  <c r="O26" i="25" s="1"/>
  <c r="F15" i="25"/>
  <c r="G15" i="25" s="1"/>
  <c r="I15" i="25" s="1"/>
  <c r="J15" i="25" s="1"/>
  <c r="K15" i="25" s="1"/>
  <c r="O16" i="25" s="1"/>
  <c r="S11" i="2"/>
  <c r="AE11" i="2" s="1"/>
  <c r="D8" i="24" l="1"/>
  <c r="H8" i="24" s="1"/>
  <c r="BY44" i="62"/>
  <c r="BY43" i="62" s="1"/>
  <c r="BM52" i="62"/>
  <c r="BN53" i="62" s="1"/>
  <c r="BM54" i="62"/>
  <c r="BT49" i="62"/>
  <c r="BU50" i="62" s="1"/>
  <c r="BQ37" i="62"/>
  <c r="BR38" i="62" s="1"/>
  <c r="BQ39" i="62"/>
  <c r="BN60" i="62"/>
  <c r="BN58" i="62"/>
  <c r="BO59" i="62" s="1"/>
  <c r="S13" i="2"/>
  <c r="AE13" i="2" s="1"/>
  <c r="BP36" i="62"/>
  <c r="BP34" i="62"/>
  <c r="BQ35" i="62" s="1"/>
  <c r="BN40" i="62"/>
  <c r="BO41" i="62" s="1"/>
  <c r="BN42" i="62"/>
  <c r="BP48" i="62"/>
  <c r="BP46" i="62"/>
  <c r="BQ47" i="62" s="1"/>
  <c r="BU9" i="62"/>
  <c r="BY13" i="62"/>
  <c r="BY10" i="62"/>
  <c r="BZ56" i="62"/>
  <c r="BZ55" i="62" s="1"/>
  <c r="BY14" i="62"/>
  <c r="BV15" i="62"/>
  <c r="BY11" i="62"/>
  <c r="BW7" i="62"/>
  <c r="BV12" i="62"/>
  <c r="BV8" i="62"/>
  <c r="S10" i="2"/>
  <c r="AE10" i="2" s="1"/>
  <c r="BZ45" i="62"/>
  <c r="BZ57" i="62"/>
  <c r="BW24" i="62"/>
  <c r="BW51" i="62"/>
  <c r="F7" i="25"/>
  <c r="G7" i="25" s="1"/>
  <c r="I7" i="25" s="1"/>
  <c r="J7" i="25" s="1"/>
  <c r="K7" i="25" s="1"/>
  <c r="O8" i="25" s="1"/>
  <c r="AE29" i="5"/>
  <c r="F9" i="25"/>
  <c r="G9" i="25" s="1"/>
  <c r="I9" i="25" s="1"/>
  <c r="J9" i="25" s="1"/>
  <c r="K9" i="25" s="1"/>
  <c r="O10" i="25" s="1"/>
  <c r="S8" i="2"/>
  <c r="AE8" i="2" s="1"/>
  <c r="AV118" i="58"/>
  <c r="AU118" i="58"/>
  <c r="R2" i="58" s="1"/>
  <c r="BZ44" i="62" l="1"/>
  <c r="BZ43" i="62" s="1"/>
  <c r="BN52" i="62"/>
  <c r="BO53" i="62" s="1"/>
  <c r="BN54" i="62"/>
  <c r="BU49" i="62"/>
  <c r="BV50" i="62" s="1"/>
  <c r="BQ46" i="62"/>
  <c r="BR47" i="62" s="1"/>
  <c r="BQ48" i="62"/>
  <c r="BO40" i="62"/>
  <c r="BP41" i="62" s="1"/>
  <c r="BO42" i="62"/>
  <c r="BQ36" i="62"/>
  <c r="BQ34" i="62"/>
  <c r="BR35" i="62" s="1"/>
  <c r="BO60" i="62"/>
  <c r="BO58" i="62"/>
  <c r="BP59" i="62" s="1"/>
  <c r="BR37" i="62"/>
  <c r="BS38" i="62" s="1"/>
  <c r="BR39" i="62"/>
  <c r="CA56" i="62"/>
  <c r="CA55" i="62" s="1"/>
  <c r="BZ14" i="62"/>
  <c r="CA44" i="62"/>
  <c r="CA43" i="62" s="1"/>
  <c r="BZ10" i="62"/>
  <c r="BW15" i="62"/>
  <c r="BZ13" i="62"/>
  <c r="BV9" i="62"/>
  <c r="BW12" i="62"/>
  <c r="BX7" i="62"/>
  <c r="BZ11" i="62"/>
  <c r="BW8" i="62"/>
  <c r="BX51" i="62"/>
  <c r="BX24" i="62"/>
  <c r="CA57" i="62"/>
  <c r="CA45" i="62"/>
  <c r="Q9" i="24"/>
  <c r="M32" i="5" s="1"/>
  <c r="O9" i="24"/>
  <c r="K32" i="5" s="1"/>
  <c r="E9" i="24"/>
  <c r="M9" i="24"/>
  <c r="BO52" i="62" l="1"/>
  <c r="BP53" i="62" s="1"/>
  <c r="BO54" i="62"/>
  <c r="BV49" i="62"/>
  <c r="BW50" i="62"/>
  <c r="BS37" i="62"/>
  <c r="BT38" i="62" s="1"/>
  <c r="BS39" i="62"/>
  <c r="BP58" i="62"/>
  <c r="BQ59" i="62" s="1"/>
  <c r="BP60" i="62"/>
  <c r="BR34" i="62"/>
  <c r="BS35" i="62" s="1"/>
  <c r="BR36" i="62"/>
  <c r="BP40" i="62"/>
  <c r="BQ41" i="62" s="1"/>
  <c r="BP42" i="62"/>
  <c r="BR46" i="62"/>
  <c r="BS47" i="62" s="1"/>
  <c r="BR48" i="62"/>
  <c r="BY7" i="62"/>
  <c r="BW9" i="62"/>
  <c r="CA13" i="62"/>
  <c r="CB44" i="62"/>
  <c r="CB43" i="62" s="1"/>
  <c r="CA10" i="62"/>
  <c r="CB56" i="62"/>
  <c r="CB55" i="62" s="1"/>
  <c r="CA14" i="62"/>
  <c r="BX15" i="62"/>
  <c r="BX8" i="62"/>
  <c r="CA11" i="62"/>
  <c r="BX12" i="62"/>
  <c r="CB45" i="62"/>
  <c r="CB57" i="62"/>
  <c r="BY24" i="62"/>
  <c r="BY51" i="62"/>
  <c r="T9" i="24"/>
  <c r="O32" i="5" s="1"/>
  <c r="I32" i="5"/>
  <c r="F18" i="24"/>
  <c r="G18" i="24" s="1"/>
  <c r="H29" i="25" s="1"/>
  <c r="H18" i="24"/>
  <c r="J18" i="24"/>
  <c r="D18" i="24"/>
  <c r="I18" i="24"/>
  <c r="J9" i="24"/>
  <c r="H9" i="24"/>
  <c r="F9" i="24"/>
  <c r="G9" i="24" s="1"/>
  <c r="I9" i="24"/>
  <c r="D9" i="24"/>
  <c r="BP52" i="62" l="1"/>
  <c r="BQ53" i="62" s="1"/>
  <c r="BP54" i="62"/>
  <c r="BW49" i="62"/>
  <c r="BX50" i="62" s="1"/>
  <c r="BS46" i="62"/>
  <c r="BT47" i="62" s="1"/>
  <c r="BS48" i="62"/>
  <c r="BT48" i="62" s="1"/>
  <c r="BQ40" i="62"/>
  <c r="BR41" i="62" s="1"/>
  <c r="BQ42" i="62"/>
  <c r="BS36" i="62"/>
  <c r="BS34" i="62"/>
  <c r="BT35" i="62" s="1"/>
  <c r="BQ58" i="62"/>
  <c r="BR59" i="62" s="1"/>
  <c r="BQ60" i="62"/>
  <c r="BT37" i="62"/>
  <c r="BU38" i="62" s="1"/>
  <c r="BT39" i="62"/>
  <c r="BY15" i="62"/>
  <c r="CC56" i="62"/>
  <c r="CC55" i="62" s="1"/>
  <c r="CB14" i="62"/>
  <c r="CB13" i="62"/>
  <c r="BX9" i="62"/>
  <c r="BY8" i="62"/>
  <c r="BY12" i="62"/>
  <c r="BZ7" i="62"/>
  <c r="CB11" i="62"/>
  <c r="CC44" i="62"/>
  <c r="CC43" i="62" s="1"/>
  <c r="CB10" i="62"/>
  <c r="BZ51" i="62"/>
  <c r="BZ24" i="62"/>
  <c r="CC57" i="62"/>
  <c r="CC45" i="62"/>
  <c r="AF32" i="5"/>
  <c r="AE32" i="5"/>
  <c r="K18" i="24"/>
  <c r="D29" i="25" s="1"/>
  <c r="S18" i="2" s="1"/>
  <c r="AE18" i="2" s="1"/>
  <c r="K9" i="24"/>
  <c r="D11" i="25" s="1"/>
  <c r="G17" i="24"/>
  <c r="G27" i="24" s="1"/>
  <c r="H11" i="25"/>
  <c r="H27" i="25" s="1"/>
  <c r="H47" i="25" s="1"/>
  <c r="BT46" i="62" l="1"/>
  <c r="BU47" i="62" s="1"/>
  <c r="BQ54" i="62"/>
  <c r="BQ52" i="62"/>
  <c r="BR53" i="62" s="1"/>
  <c r="BX49" i="62"/>
  <c r="BY50" i="62" s="1"/>
  <c r="BU37" i="62"/>
  <c r="BV38" i="62" s="1"/>
  <c r="BU39" i="62"/>
  <c r="BR58" i="62"/>
  <c r="BS59" i="62" s="1"/>
  <c r="BR60" i="62"/>
  <c r="BT34" i="62"/>
  <c r="BU35" i="62" s="1"/>
  <c r="BT36" i="62"/>
  <c r="BR40" i="62"/>
  <c r="BS41" i="62" s="1"/>
  <c r="BR42" i="62"/>
  <c r="BU46" i="62"/>
  <c r="BV47" i="62" s="1"/>
  <c r="BU48" i="62"/>
  <c r="BV48" i="62" s="1"/>
  <c r="CD44" i="62"/>
  <c r="CD43" i="62" s="1"/>
  <c r="CC10" i="62"/>
  <c r="CC11" i="62"/>
  <c r="CA7" i="62"/>
  <c r="BZ12" i="62"/>
  <c r="BY9" i="62"/>
  <c r="CC13" i="62"/>
  <c r="CD56" i="62"/>
  <c r="CD55" i="62" s="1"/>
  <c r="CC14" i="62"/>
  <c r="BZ15" i="62"/>
  <c r="BZ8" i="62"/>
  <c r="CD45" i="62"/>
  <c r="CD57" i="62"/>
  <c r="CA24" i="62"/>
  <c r="CA51" i="62"/>
  <c r="F29" i="25"/>
  <c r="G29" i="25" s="1"/>
  <c r="I29" i="25" s="1"/>
  <c r="J29" i="25" s="1"/>
  <c r="K29" i="25" s="1"/>
  <c r="K17" i="24"/>
  <c r="K27" i="24" s="1"/>
  <c r="D27" i="25"/>
  <c r="D47" i="25" s="1"/>
  <c r="F11" i="25"/>
  <c r="S9" i="2"/>
  <c r="BR52" i="62" l="1"/>
  <c r="BS53" i="62" s="1"/>
  <c r="BR54" i="62"/>
  <c r="BY49" i="62"/>
  <c r="BZ50" i="62"/>
  <c r="BV46" i="62"/>
  <c r="BW47" i="62" s="1"/>
  <c r="BW46" i="62" s="1"/>
  <c r="BX47" i="62" s="1"/>
  <c r="BW48" i="62"/>
  <c r="BS40" i="62"/>
  <c r="BT41" i="62" s="1"/>
  <c r="BS42" i="62"/>
  <c r="BU34" i="62"/>
  <c r="BV35" i="62" s="1"/>
  <c r="BU36" i="62"/>
  <c r="BS60" i="62"/>
  <c r="BS58" i="62"/>
  <c r="BT59" i="62" s="1"/>
  <c r="BV39" i="62"/>
  <c r="BV37" i="62"/>
  <c r="BW38" i="62" s="1"/>
  <c r="CA15" i="62"/>
  <c r="CE44" i="62"/>
  <c r="CE43" i="62" s="1"/>
  <c r="CD10" i="62"/>
  <c r="CA12" i="62"/>
  <c r="CB7" i="62"/>
  <c r="CD11" i="62"/>
  <c r="CA8" i="62"/>
  <c r="CE56" i="62"/>
  <c r="CE55" i="62" s="1"/>
  <c r="CD14" i="62"/>
  <c r="CD13" i="62"/>
  <c r="BZ9" i="62"/>
  <c r="CB51" i="62"/>
  <c r="CB24" i="62"/>
  <c r="CE57" i="62"/>
  <c r="CE45" i="62"/>
  <c r="F27" i="25"/>
  <c r="F47" i="25" s="1"/>
  <c r="G11" i="25"/>
  <c r="S17" i="2"/>
  <c r="S27" i="2" s="1"/>
  <c r="AE9" i="2"/>
  <c r="AE17" i="2" s="1"/>
  <c r="AE27" i="2" s="1"/>
  <c r="C24" i="1" s="1"/>
  <c r="BS54" i="62" l="1"/>
  <c r="BS52" i="62"/>
  <c r="BT53" i="62" s="1"/>
  <c r="BZ49" i="62"/>
  <c r="CA50" i="62"/>
  <c r="BT58" i="62"/>
  <c r="BU59" i="62" s="1"/>
  <c r="BT60" i="62"/>
  <c r="BV36" i="62"/>
  <c r="BV34" i="62"/>
  <c r="BW35" i="62" s="1"/>
  <c r="BT40" i="62"/>
  <c r="BU41" i="62" s="1"/>
  <c r="BT42" i="62"/>
  <c r="BW37" i="62"/>
  <c r="BX38" i="62" s="1"/>
  <c r="BW39" i="62"/>
  <c r="BX39" i="62" s="1"/>
  <c r="BX46" i="62"/>
  <c r="BY47" i="62" s="1"/>
  <c r="BX48" i="62"/>
  <c r="CF56" i="62"/>
  <c r="CF55" i="62" s="1"/>
  <c r="CE14" i="62"/>
  <c r="CE11" i="62"/>
  <c r="CA9" i="62"/>
  <c r="CE13" i="62"/>
  <c r="CF44" i="62"/>
  <c r="CF43" i="62" s="1"/>
  <c r="CE10" i="62"/>
  <c r="CB15" i="62"/>
  <c r="CC7" i="62"/>
  <c r="CB12" i="62"/>
  <c r="CB8" i="62"/>
  <c r="CF45" i="62"/>
  <c r="CF57" i="62"/>
  <c r="CC24" i="62"/>
  <c r="CC51" i="62"/>
  <c r="I11" i="25"/>
  <c r="G27" i="25"/>
  <c r="G47" i="25" s="1"/>
  <c r="BT52" i="62" l="1"/>
  <c r="BU53" i="62" s="1"/>
  <c r="BT54" i="62"/>
  <c r="CA49" i="62"/>
  <c r="CB50" i="62" s="1"/>
  <c r="BX37" i="62"/>
  <c r="BY38" i="62" s="1"/>
  <c r="BY37" i="62" s="1"/>
  <c r="BZ38" i="62" s="1"/>
  <c r="BY46" i="62"/>
  <c r="BZ47" i="62" s="1"/>
  <c r="BY48" i="62"/>
  <c r="BZ48" i="62" s="1"/>
  <c r="BY39" i="62"/>
  <c r="BZ39" i="62" s="1"/>
  <c r="CA39" i="62" s="1"/>
  <c r="BU40" i="62"/>
  <c r="BV41" i="62" s="1"/>
  <c r="BU42" i="62"/>
  <c r="BW34" i="62"/>
  <c r="BX35" i="62" s="1"/>
  <c r="BW36" i="62"/>
  <c r="BU58" i="62"/>
  <c r="BV59" i="62" s="1"/>
  <c r="BU60" i="62"/>
  <c r="CC12" i="62"/>
  <c r="CG56" i="62"/>
  <c r="CG55" i="62" s="1"/>
  <c r="CF14" i="62"/>
  <c r="CD7" i="62"/>
  <c r="CF11" i="62"/>
  <c r="CC15" i="62"/>
  <c r="CG44" i="62"/>
  <c r="CG43" i="62" s="1"/>
  <c r="CF10" i="62"/>
  <c r="CF13" i="62"/>
  <c r="CB9" i="62"/>
  <c r="CC8" i="62"/>
  <c r="CD51" i="62"/>
  <c r="CD24" i="62"/>
  <c r="CG57" i="62"/>
  <c r="CG45" i="62"/>
  <c r="I27" i="25"/>
  <c r="I47" i="25" s="1"/>
  <c r="J11" i="25"/>
  <c r="BZ37" i="62" l="1"/>
  <c r="CA38" i="62" s="1"/>
  <c r="CA37" i="62" s="1"/>
  <c r="CB38" i="62" s="1"/>
  <c r="BZ46" i="62"/>
  <c r="CA47" i="62" s="1"/>
  <c r="BU54" i="62"/>
  <c r="BU52" i="62"/>
  <c r="BV53" i="62" s="1"/>
  <c r="CB49" i="62"/>
  <c r="CC50" i="62" s="1"/>
  <c r="BV58" i="62"/>
  <c r="BW59" i="62" s="1"/>
  <c r="BV60" i="62"/>
  <c r="BX36" i="62"/>
  <c r="BX34" i="62"/>
  <c r="BY35" i="62" s="1"/>
  <c r="BV40" i="62"/>
  <c r="BW41" i="62" s="1"/>
  <c r="BV42" i="62"/>
  <c r="CB37" i="62"/>
  <c r="CC38" i="62" s="1"/>
  <c r="CB39" i="62"/>
  <c r="CC39" i="62" s="1"/>
  <c r="CD39" i="62" s="1"/>
  <c r="CE39" i="62" s="1"/>
  <c r="CA48" i="62"/>
  <c r="CB48" i="62" s="1"/>
  <c r="CA46" i="62"/>
  <c r="CB47" i="62" s="1"/>
  <c r="CH44" i="62"/>
  <c r="CH43" i="62" s="1"/>
  <c r="CG10" i="62"/>
  <c r="CC9" i="62"/>
  <c r="CG13" i="62"/>
  <c r="CH56" i="62"/>
  <c r="CH55" i="62" s="1"/>
  <c r="CG14" i="62"/>
  <c r="CD15" i="62"/>
  <c r="CG11" i="62"/>
  <c r="CE7" i="62"/>
  <c r="CD12" i="62"/>
  <c r="CD8" i="62"/>
  <c r="CH45" i="62"/>
  <c r="CH57" i="62"/>
  <c r="CE24" i="62"/>
  <c r="CE51" i="62"/>
  <c r="K11" i="25"/>
  <c r="O12" i="25" s="1"/>
  <c r="J27" i="25"/>
  <c r="J47" i="25" s="1"/>
  <c r="BV54" i="62" l="1"/>
  <c r="BV52" i="62"/>
  <c r="BW53" i="62" s="1"/>
  <c r="CC49" i="62"/>
  <c r="CD50" i="62"/>
  <c r="CC37" i="62"/>
  <c r="CD38" i="62" s="1"/>
  <c r="CD37" i="62" s="1"/>
  <c r="CE38" i="62" s="1"/>
  <c r="CE37" i="62" s="1"/>
  <c r="CF38" i="62" s="1"/>
  <c r="CF37" i="62" s="1"/>
  <c r="CB46" i="62"/>
  <c r="CC47" i="62" s="1"/>
  <c r="CC46" i="62" s="1"/>
  <c r="CD47" i="62" s="1"/>
  <c r="CC48" i="62"/>
  <c r="BW40" i="62"/>
  <c r="BX41" i="62" s="1"/>
  <c r="BW42" i="62"/>
  <c r="BY36" i="62"/>
  <c r="BY34" i="62"/>
  <c r="BZ35" i="62" s="1"/>
  <c r="BW60" i="62"/>
  <c r="BW58" i="62"/>
  <c r="BX59" i="62" s="1"/>
  <c r="CE12" i="62"/>
  <c r="CI56" i="62"/>
  <c r="CI55" i="62" s="1"/>
  <c r="CH14" i="62"/>
  <c r="CF7" i="62"/>
  <c r="CH11" i="62"/>
  <c r="CF39" i="62"/>
  <c r="CE15" i="62"/>
  <c r="CI44" i="62"/>
  <c r="CI43" i="62" s="1"/>
  <c r="CH10" i="62"/>
  <c r="CH13" i="62"/>
  <c r="CD9" i="62"/>
  <c r="CE8" i="62"/>
  <c r="CF51" i="62"/>
  <c r="CF24" i="62"/>
  <c r="CI57" i="62"/>
  <c r="CI45" i="62"/>
  <c r="K27" i="25"/>
  <c r="K47" i="25" s="1"/>
  <c r="O48" i="25" s="1"/>
  <c r="O28" i="25"/>
  <c r="BW52" i="62" l="1"/>
  <c r="BX53" i="62" s="1"/>
  <c r="BW54" i="62"/>
  <c r="CD49" i="62"/>
  <c r="CE50" i="62" s="1"/>
  <c r="BX60" i="62"/>
  <c r="BX58" i="62"/>
  <c r="BY59" i="62" s="1"/>
  <c r="BZ36" i="62"/>
  <c r="BZ34" i="62"/>
  <c r="CA35" i="62" s="1"/>
  <c r="BX40" i="62"/>
  <c r="BY41" i="62" s="1"/>
  <c r="BX42" i="62"/>
  <c r="CD46" i="62"/>
  <c r="CE47" i="62" s="1"/>
  <c r="CD48" i="62"/>
  <c r="CJ44" i="62"/>
  <c r="CJ43" i="62" s="1"/>
  <c r="CI10" i="62"/>
  <c r="CF12" i="62"/>
  <c r="CE9" i="62"/>
  <c r="CI13" i="62"/>
  <c r="CJ56" i="62"/>
  <c r="CJ55" i="62" s="1"/>
  <c r="CI14" i="62"/>
  <c r="CF15" i="62"/>
  <c r="CG39" i="62"/>
  <c r="CI11" i="62"/>
  <c r="CG7" i="62"/>
  <c r="CG38" i="62"/>
  <c r="CG37" i="62" s="1"/>
  <c r="CF8" i="62"/>
  <c r="CJ45" i="62"/>
  <c r="CJ57" i="62"/>
  <c r="CG24" i="62"/>
  <c r="CG51" i="62"/>
  <c r="T18" i="24"/>
  <c r="O40" i="5" s="1"/>
  <c r="BX52" i="62" l="1"/>
  <c r="BY53" i="62" s="1"/>
  <c r="BX54" i="62"/>
  <c r="CE49" i="62"/>
  <c r="CF50" i="62" s="1"/>
  <c r="CE46" i="62"/>
  <c r="CF47" i="62" s="1"/>
  <c r="CE48" i="62"/>
  <c r="CF48" i="62" s="1"/>
  <c r="BY40" i="62"/>
  <c r="BZ41" i="62" s="1"/>
  <c r="BY42" i="62"/>
  <c r="CA34" i="62"/>
  <c r="CB35" i="62" s="1"/>
  <c r="CA36" i="62"/>
  <c r="BY60" i="62"/>
  <c r="BY58" i="62"/>
  <c r="BZ59" i="62" s="1"/>
  <c r="CJ11" i="62"/>
  <c r="CK44" i="62"/>
  <c r="CK43" i="62" s="1"/>
  <c r="CJ10" i="62"/>
  <c r="CF9" i="62"/>
  <c r="AF40" i="5"/>
  <c r="J4" i="25" s="1"/>
  <c r="P12" i="5"/>
  <c r="O12" i="5"/>
  <c r="CG12" i="62"/>
  <c r="CH7" i="62"/>
  <c r="CH38" i="62"/>
  <c r="CH37" i="62" s="1"/>
  <c r="CG8" i="62"/>
  <c r="CG15" i="62"/>
  <c r="CK56" i="62"/>
  <c r="CK55" i="62" s="1"/>
  <c r="CJ14" i="62"/>
  <c r="CJ13" i="62"/>
  <c r="CH39" i="62"/>
  <c r="CH51" i="62"/>
  <c r="CH24" i="62"/>
  <c r="CK57" i="62"/>
  <c r="CK45" i="62"/>
  <c r="F30" i="6"/>
  <c r="G30" i="6" s="1"/>
  <c r="AE40" i="5"/>
  <c r="T5" i="24"/>
  <c r="CF46" i="62" l="1"/>
  <c r="CG47" i="62" s="1"/>
  <c r="BY54" i="62"/>
  <c r="BY52" i="62"/>
  <c r="BZ53" i="62" s="1"/>
  <c r="CF49" i="62"/>
  <c r="CG50" i="62" s="1"/>
  <c r="BZ58" i="62"/>
  <c r="CA59" i="62" s="1"/>
  <c r="BZ60" i="62"/>
  <c r="CB36" i="62"/>
  <c r="CB34" i="62"/>
  <c r="CC35" i="62" s="1"/>
  <c r="BZ42" i="62"/>
  <c r="BZ40" i="62"/>
  <c r="CA41" i="62" s="1"/>
  <c r="CG48" i="62"/>
  <c r="CG46" i="62"/>
  <c r="CH47" i="62" s="1"/>
  <c r="CK11" i="62"/>
  <c r="CI7" i="62"/>
  <c r="CH12" i="62"/>
  <c r="CI38" i="62"/>
  <c r="CI37" i="62" s="1"/>
  <c r="CH8" i="62"/>
  <c r="CG9" i="62"/>
  <c r="CK13" i="62"/>
  <c r="CL44" i="62"/>
  <c r="CL43" i="62" s="1"/>
  <c r="CK10" i="62"/>
  <c r="CL56" i="62"/>
  <c r="CL55" i="62" s="1"/>
  <c r="CK14" i="62"/>
  <c r="CH15" i="62"/>
  <c r="CI39" i="62"/>
  <c r="CL45" i="62"/>
  <c r="CL57" i="62"/>
  <c r="CI24" i="62"/>
  <c r="CI51" i="62"/>
  <c r="AG6" i="5"/>
  <c r="F58" i="5"/>
  <c r="G20" i="50" s="1"/>
  <c r="N5" i="50"/>
  <c r="BZ54" i="62" l="1"/>
  <c r="BZ52" i="62"/>
  <c r="CA53" i="62" s="1"/>
  <c r="CG49" i="62"/>
  <c r="CH50" i="62" s="1"/>
  <c r="CH46" i="62"/>
  <c r="CI47" i="62" s="1"/>
  <c r="CH48" i="62"/>
  <c r="CI48" i="62" s="1"/>
  <c r="CJ48" i="62" s="1"/>
  <c r="CA40" i="62"/>
  <c r="CB41" i="62" s="1"/>
  <c r="CA42" i="62"/>
  <c r="CC36" i="62"/>
  <c r="CC34" i="62"/>
  <c r="CD35" i="62" s="1"/>
  <c r="CA58" i="62"/>
  <c r="CB59" i="62" s="1"/>
  <c r="CA60" i="62"/>
  <c r="CI15" i="62"/>
  <c r="CM44" i="62"/>
  <c r="CM43" i="62" s="1"/>
  <c r="CL10" i="62"/>
  <c r="CL13" i="62"/>
  <c r="CH9" i="62"/>
  <c r="CI12" i="62"/>
  <c r="CJ7" i="62"/>
  <c r="CL11" i="62"/>
  <c r="CJ38" i="62"/>
  <c r="CJ37" i="62" s="1"/>
  <c r="CI8" i="62"/>
  <c r="CM56" i="62"/>
  <c r="CM55" i="62" s="1"/>
  <c r="CL14" i="62"/>
  <c r="CJ39" i="62"/>
  <c r="CJ51" i="62"/>
  <c r="CJ24" i="62"/>
  <c r="CM57" i="62"/>
  <c r="CM45" i="62"/>
  <c r="A19" i="51"/>
  <c r="M20" i="50"/>
  <c r="AN53" i="50"/>
  <c r="E37" i="53"/>
  <c r="AE12" i="5"/>
  <c r="AJ58" i="5" s="1"/>
  <c r="CI46" i="62" l="1"/>
  <c r="CJ47" i="62" s="1"/>
  <c r="CJ46" i="62" s="1"/>
  <c r="CK47" i="62" s="1"/>
  <c r="CK46" i="62" s="1"/>
  <c r="CL47" i="62" s="1"/>
  <c r="CA52" i="62"/>
  <c r="CB53" i="62" s="1"/>
  <c r="CA54" i="62"/>
  <c r="CH49" i="62"/>
  <c r="CI50" i="62" s="1"/>
  <c r="CB60" i="62"/>
  <c r="CB58" i="62"/>
  <c r="CC59" i="62" s="1"/>
  <c r="CD36" i="62"/>
  <c r="CD34" i="62"/>
  <c r="CE35" i="62" s="1"/>
  <c r="CB40" i="62"/>
  <c r="CC41" i="62" s="1"/>
  <c r="CB42" i="62"/>
  <c r="CK48" i="62"/>
  <c r="CL48" i="62" s="1"/>
  <c r="CM48" i="62" s="1"/>
  <c r="CN56" i="62"/>
  <c r="CN55" i="62" s="1"/>
  <c r="CM14" i="62"/>
  <c r="CM11" i="62"/>
  <c r="CK39" i="62"/>
  <c r="CI9" i="62"/>
  <c r="CM13" i="62"/>
  <c r="CN44" i="62"/>
  <c r="CN43" i="62" s="1"/>
  <c r="CM10" i="62"/>
  <c r="CJ15" i="62"/>
  <c r="CK38" i="62"/>
  <c r="CK37" i="62" s="1"/>
  <c r="CJ8" i="62"/>
  <c r="CK7" i="62"/>
  <c r="CJ12" i="62"/>
  <c r="CN45" i="62"/>
  <c r="CN57" i="62"/>
  <c r="CK24" i="62"/>
  <c r="CK51" i="62"/>
  <c r="G58" i="5"/>
  <c r="A20" i="52"/>
  <c r="G22" i="62"/>
  <c r="CL46" i="62" l="1"/>
  <c r="CM47" i="62" s="1"/>
  <c r="CM46" i="62" s="1"/>
  <c r="CN47" i="62" s="1"/>
  <c r="CN46" i="62" s="1"/>
  <c r="CO47" i="62" s="1"/>
  <c r="CO46" i="62" s="1"/>
  <c r="CB52" i="62"/>
  <c r="CC53" i="62" s="1"/>
  <c r="CB54" i="62"/>
  <c r="CI49" i="62"/>
  <c r="CJ50" i="62"/>
  <c r="CC40" i="62"/>
  <c r="CD41" i="62" s="1"/>
  <c r="CC42" i="62"/>
  <c r="CN48" i="62"/>
  <c r="CO48" i="62" s="1"/>
  <c r="CE34" i="62"/>
  <c r="CF35" i="62" s="1"/>
  <c r="CE36" i="62"/>
  <c r="CC58" i="62"/>
  <c r="CD59" i="62" s="1"/>
  <c r="CC60" i="62"/>
  <c r="CK12" i="62"/>
  <c r="CO44" i="62"/>
  <c r="CO43" i="62" s="1"/>
  <c r="CN10" i="62"/>
  <c r="H23" i="62"/>
  <c r="I27" i="62" s="1"/>
  <c r="J25" i="62" s="1"/>
  <c r="G3" i="62"/>
  <c r="CL7" i="62"/>
  <c r="CN11" i="62"/>
  <c r="CL38" i="62"/>
  <c r="CL37" i="62" s="1"/>
  <c r="CK8" i="62"/>
  <c r="CK15" i="62"/>
  <c r="CO56" i="62"/>
  <c r="CO55" i="62" s="1"/>
  <c r="CN14" i="62"/>
  <c r="CN13" i="62"/>
  <c r="CJ9" i="62"/>
  <c r="CL39" i="62"/>
  <c r="H22" i="62"/>
  <c r="CL51" i="62"/>
  <c r="CL24" i="62"/>
  <c r="CO57" i="62"/>
  <c r="CO45" i="62"/>
  <c r="CC52" i="62" l="1"/>
  <c r="CD53" i="62" s="1"/>
  <c r="CC54" i="62"/>
  <c r="CJ49" i="62"/>
  <c r="CK50" i="62" s="1"/>
  <c r="CD58" i="62"/>
  <c r="CE59" i="62" s="1"/>
  <c r="CD60" i="62"/>
  <c r="CF34" i="62"/>
  <c r="CG35" i="62" s="1"/>
  <c r="CF36" i="62"/>
  <c r="CD42" i="62"/>
  <c r="CD40" i="62"/>
  <c r="CE41" i="62" s="1"/>
  <c r="CP56" i="62"/>
  <c r="CP55" i="62" s="1"/>
  <c r="CO14" i="62"/>
  <c r="K26" i="62"/>
  <c r="L30" i="62" s="1"/>
  <c r="M28" i="62" s="1"/>
  <c r="J4" i="62"/>
  <c r="CP47" i="62"/>
  <c r="CP46" i="62" s="1"/>
  <c r="CO11" i="62"/>
  <c r="CL12" i="62"/>
  <c r="I23" i="62"/>
  <c r="J27" i="62" s="1"/>
  <c r="K25" i="62" s="1"/>
  <c r="H3" i="62"/>
  <c r="CK9" i="62"/>
  <c r="CO13" i="62"/>
  <c r="CP44" i="62"/>
  <c r="CP43" i="62" s="1"/>
  <c r="CO10" i="62"/>
  <c r="CL15" i="62"/>
  <c r="CM38" i="62"/>
  <c r="CM37" i="62" s="1"/>
  <c r="CL8" i="62"/>
  <c r="CM7" i="62"/>
  <c r="CM39" i="62"/>
  <c r="CM51" i="62"/>
  <c r="CP45" i="62"/>
  <c r="CP57" i="62"/>
  <c r="CM24" i="62"/>
  <c r="CP48" i="62"/>
  <c r="CD54" i="62" l="1"/>
  <c r="CD52" i="62"/>
  <c r="CE53" i="62" s="1"/>
  <c r="CK49" i="62"/>
  <c r="CL50" i="62" s="1"/>
  <c r="CE40" i="62"/>
  <c r="CF41" i="62" s="1"/>
  <c r="CE42" i="62"/>
  <c r="CG36" i="62"/>
  <c r="CG34" i="62"/>
  <c r="CH35" i="62" s="1"/>
  <c r="CE58" i="62"/>
  <c r="CF59" i="62" s="1"/>
  <c r="CE60" i="62"/>
  <c r="J23" i="62"/>
  <c r="K27" i="62" s="1"/>
  <c r="L25" i="62" s="1"/>
  <c r="CQ56" i="62"/>
  <c r="CQ55" i="62" s="1"/>
  <c r="CP14" i="62"/>
  <c r="CM12" i="62"/>
  <c r="L26" i="62"/>
  <c r="M30" i="62" s="1"/>
  <c r="N28" i="62" s="1"/>
  <c r="K4" i="62"/>
  <c r="CN7" i="62"/>
  <c r="CQ47" i="62"/>
  <c r="CQ46" i="62" s="1"/>
  <c r="CP11" i="62"/>
  <c r="CN39" i="62"/>
  <c r="CM15" i="62"/>
  <c r="CQ44" i="62"/>
  <c r="CQ43" i="62" s="1"/>
  <c r="CP10" i="62"/>
  <c r="CP13" i="62"/>
  <c r="CL9" i="62"/>
  <c r="CN38" i="62"/>
  <c r="CN37" i="62" s="1"/>
  <c r="CM8" i="62"/>
  <c r="N29" i="62"/>
  <c r="O33" i="62" s="1"/>
  <c r="P31" i="62" s="1"/>
  <c r="M5" i="62"/>
  <c r="CN24" i="62"/>
  <c r="CQ57" i="62"/>
  <c r="CQ45" i="62"/>
  <c r="CN51" i="62"/>
  <c r="CQ48" i="62"/>
  <c r="K23" i="62" l="1"/>
  <c r="CE52" i="62"/>
  <c r="CF53" i="62" s="1"/>
  <c r="CE54" i="62"/>
  <c r="CL49" i="62"/>
  <c r="CM50" i="62" s="1"/>
  <c r="CF60" i="62"/>
  <c r="CF58" i="62"/>
  <c r="CG59" i="62" s="1"/>
  <c r="CH34" i="62"/>
  <c r="CI35" i="62" s="1"/>
  <c r="CH36" i="62"/>
  <c r="CF40" i="62"/>
  <c r="CG41" i="62" s="1"/>
  <c r="CF42" i="62"/>
  <c r="CR44" i="62"/>
  <c r="CR43" i="62" s="1"/>
  <c r="CQ10" i="62"/>
  <c r="CR47" i="62"/>
  <c r="CR46" i="62" s="1"/>
  <c r="CQ11" i="62"/>
  <c r="Q32" i="62"/>
  <c r="P6" i="62"/>
  <c r="CQ13" i="62"/>
  <c r="CN15" i="62"/>
  <c r="M26" i="62"/>
  <c r="N30" i="62" s="1"/>
  <c r="O28" i="62" s="1"/>
  <c r="L4" i="62"/>
  <c r="CN12" i="62"/>
  <c r="CM9" i="62"/>
  <c r="CR56" i="62"/>
  <c r="CR55" i="62" s="1"/>
  <c r="CQ14" i="62"/>
  <c r="CO39" i="62"/>
  <c r="CO7" i="62"/>
  <c r="CO38" i="62"/>
  <c r="CO37" i="62" s="1"/>
  <c r="CN8" i="62"/>
  <c r="O29" i="62"/>
  <c r="P33" i="62" s="1"/>
  <c r="N5" i="62"/>
  <c r="CR48" i="62"/>
  <c r="L27" i="62"/>
  <c r="M25" i="62" s="1"/>
  <c r="L23" i="62"/>
  <c r="CO51" i="62"/>
  <c r="CR45" i="62"/>
  <c r="CR57" i="62"/>
  <c r="CO24" i="62"/>
  <c r="CF52" i="62" l="1"/>
  <c r="CG53" i="62" s="1"/>
  <c r="CF54" i="62"/>
  <c r="CM49" i="62"/>
  <c r="CN50" i="62" s="1"/>
  <c r="CG42" i="62"/>
  <c r="CG40" i="62"/>
  <c r="CH41" i="62" s="1"/>
  <c r="CI34" i="62"/>
  <c r="CJ35" i="62" s="1"/>
  <c r="CI36" i="62"/>
  <c r="CG60" i="62"/>
  <c r="CG58" i="62"/>
  <c r="CH59" i="62" s="1"/>
  <c r="CS44" i="62"/>
  <c r="CS43" i="62" s="1"/>
  <c r="CR10" i="62"/>
  <c r="CN9" i="62"/>
  <c r="CO12" i="62"/>
  <c r="Q31" i="62"/>
  <c r="Q33" i="62"/>
  <c r="CP38" i="62"/>
  <c r="CP37" i="62" s="1"/>
  <c r="CO8" i="62"/>
  <c r="CP7" i="62"/>
  <c r="CP39" i="62"/>
  <c r="CS56" i="62"/>
  <c r="CS55" i="62" s="1"/>
  <c r="CR14" i="62"/>
  <c r="N26" i="62"/>
  <c r="O30" i="62" s="1"/>
  <c r="P28" i="62" s="1"/>
  <c r="M4" i="62"/>
  <c r="CS47" i="62"/>
  <c r="CS46" i="62" s="1"/>
  <c r="CR11" i="62"/>
  <c r="CO15" i="62"/>
  <c r="CR13" i="62"/>
  <c r="P29" i="62"/>
  <c r="O5" i="62"/>
  <c r="CP24" i="62"/>
  <c r="CS48" i="62"/>
  <c r="CS57" i="62"/>
  <c r="CS45" i="62"/>
  <c r="CP51" i="62"/>
  <c r="M27" i="62"/>
  <c r="N25" i="62" s="1"/>
  <c r="M23" i="62"/>
  <c r="CG52" i="62" l="1"/>
  <c r="CH53" i="62" s="1"/>
  <c r="CG54" i="62"/>
  <c r="CN49" i="62"/>
  <c r="CO50" i="62" s="1"/>
  <c r="CH58" i="62"/>
  <c r="CI59" i="62" s="1"/>
  <c r="CH60" i="62"/>
  <c r="CJ34" i="62"/>
  <c r="CK35" i="62" s="1"/>
  <c r="CJ36" i="62"/>
  <c r="CH40" i="62"/>
  <c r="CI41" i="62" s="1"/>
  <c r="CH42" i="62"/>
  <c r="CT47" i="62"/>
  <c r="CT46" i="62" s="1"/>
  <c r="CS11" i="62"/>
  <c r="CT56" i="62"/>
  <c r="CT55" i="62" s="1"/>
  <c r="CS14" i="62"/>
  <c r="CQ7" i="62"/>
  <c r="Q29" i="62"/>
  <c r="P5" i="62"/>
  <c r="CS13" i="62"/>
  <c r="CP15" i="62"/>
  <c r="O26" i="62"/>
  <c r="P30" i="62" s="1"/>
  <c r="Q28" i="62" s="1"/>
  <c r="N4" i="62"/>
  <c r="CP12" i="62"/>
  <c r="CT44" i="62"/>
  <c r="CT43" i="62" s="1"/>
  <c r="CS10" i="62"/>
  <c r="CO9" i="62"/>
  <c r="CQ38" i="62"/>
  <c r="CQ37" i="62" s="1"/>
  <c r="CP8" i="62"/>
  <c r="R33" i="62"/>
  <c r="R31" i="62"/>
  <c r="CQ39" i="62"/>
  <c r="R32" i="62"/>
  <c r="Q6" i="62"/>
  <c r="N27" i="62"/>
  <c r="O25" i="62" s="1"/>
  <c r="N23" i="62"/>
  <c r="CQ51" i="62"/>
  <c r="CT45" i="62"/>
  <c r="CT57" i="62"/>
  <c r="CT48" i="62"/>
  <c r="CQ24" i="62"/>
  <c r="CH54" i="62" l="1"/>
  <c r="CH52" i="62"/>
  <c r="CI53" i="62" s="1"/>
  <c r="CO49" i="62"/>
  <c r="CP50" i="62" s="1"/>
  <c r="CI40" i="62"/>
  <c r="CJ41" i="62" s="1"/>
  <c r="CI42" i="62"/>
  <c r="CK36" i="62"/>
  <c r="CK34" i="62"/>
  <c r="CL35" i="62" s="1"/>
  <c r="Q30" i="62"/>
  <c r="R28" i="62" s="1"/>
  <c r="CI58" i="62"/>
  <c r="CJ59" i="62" s="1"/>
  <c r="CI60" i="62"/>
  <c r="CP9" i="62"/>
  <c r="CU56" i="62"/>
  <c r="CT14" i="62"/>
  <c r="P26" i="62"/>
  <c r="O4" i="62"/>
  <c r="CQ15" i="62"/>
  <c r="CT13" i="62"/>
  <c r="S31" i="62"/>
  <c r="S33" i="62"/>
  <c r="R29" i="62"/>
  <c r="Q5" i="62"/>
  <c r="CR7" i="62"/>
  <c r="CR39" i="62"/>
  <c r="S32" i="62"/>
  <c r="R6" i="62"/>
  <c r="CU47" i="62"/>
  <c r="CU46" i="62" s="1"/>
  <c r="CT11" i="62"/>
  <c r="CU44" i="62"/>
  <c r="CU43" i="62" s="1"/>
  <c r="CT10" i="62"/>
  <c r="CQ12" i="62"/>
  <c r="CR38" i="62"/>
  <c r="CR37" i="62" s="1"/>
  <c r="CQ8" i="62"/>
  <c r="CR24" i="62"/>
  <c r="CU48" i="62"/>
  <c r="CU55" i="62"/>
  <c r="CU57" i="62"/>
  <c r="CU45" i="62"/>
  <c r="CR51" i="62"/>
  <c r="O27" i="62"/>
  <c r="P25" i="62" s="1"/>
  <c r="O23" i="62"/>
  <c r="R30" i="62" l="1"/>
  <c r="S28" i="62" s="1"/>
  <c r="CI52" i="62"/>
  <c r="CJ53" i="62" s="1"/>
  <c r="CI54" i="62"/>
  <c r="CP49" i="62"/>
  <c r="CQ50" i="62" s="1"/>
  <c r="CJ60" i="62"/>
  <c r="CJ58" i="62"/>
  <c r="CK59" i="62" s="1"/>
  <c r="CL36" i="62"/>
  <c r="CL34" i="62"/>
  <c r="CM35" i="62" s="1"/>
  <c r="CJ42" i="62"/>
  <c r="CJ40" i="62"/>
  <c r="CK41" i="62" s="1"/>
  <c r="CR12" i="62"/>
  <c r="CS7" i="62"/>
  <c r="CU13" i="62"/>
  <c r="CR15" i="62"/>
  <c r="Q26" i="62"/>
  <c r="P4" i="62"/>
  <c r="CV44" i="62"/>
  <c r="CV43" i="62" s="1"/>
  <c r="CU10" i="62"/>
  <c r="CV56" i="62"/>
  <c r="CV55" i="62" s="1"/>
  <c r="CU14" i="62"/>
  <c r="CV47" i="62"/>
  <c r="CV46" i="62" s="1"/>
  <c r="CU11" i="62"/>
  <c r="CQ9" i="62"/>
  <c r="S29" i="62"/>
  <c r="R5" i="62"/>
  <c r="CS38" i="62"/>
  <c r="CS37" i="62" s="1"/>
  <c r="CR8" i="62"/>
  <c r="T33" i="62"/>
  <c r="T31" i="62"/>
  <c r="CS39" i="62"/>
  <c r="T32" i="62"/>
  <c r="S6" i="62"/>
  <c r="P27" i="62"/>
  <c r="P23" i="62"/>
  <c r="P22" i="62" s="1"/>
  <c r="CS51" i="62"/>
  <c r="CV45" i="62"/>
  <c r="CV57" i="62"/>
  <c r="CV48" i="62"/>
  <c r="CS24" i="62"/>
  <c r="S30" i="62" l="1"/>
  <c r="CJ52" i="62"/>
  <c r="CK53" i="62" s="1"/>
  <c r="CJ54" i="62"/>
  <c r="CQ49" i="62"/>
  <c r="CR50" i="62" s="1"/>
  <c r="CK40" i="62"/>
  <c r="CL41" i="62" s="1"/>
  <c r="CK42" i="62"/>
  <c r="CM34" i="62"/>
  <c r="CN35" i="62" s="1"/>
  <c r="CM36" i="62"/>
  <c r="CK60" i="62"/>
  <c r="CK58" i="62"/>
  <c r="CL59" i="62" s="1"/>
  <c r="CW47" i="62"/>
  <c r="CW46" i="62" s="1"/>
  <c r="CV11" i="62"/>
  <c r="CW44" i="62"/>
  <c r="CW43" i="62" s="1"/>
  <c r="CV10" i="62"/>
  <c r="T29" i="62"/>
  <c r="S5" i="62"/>
  <c r="CT7" i="62"/>
  <c r="Q23" i="62"/>
  <c r="Q22" i="62" s="1"/>
  <c r="P3" i="62"/>
  <c r="CT39" i="62"/>
  <c r="U32" i="62"/>
  <c r="T6" i="62"/>
  <c r="CR9" i="62"/>
  <c r="CW56" i="62"/>
  <c r="CW55" i="62" s="1"/>
  <c r="CV14" i="62"/>
  <c r="CS12" i="62"/>
  <c r="CS15" i="62"/>
  <c r="CV13" i="62"/>
  <c r="CT38" i="62"/>
  <c r="CT37" i="62" s="1"/>
  <c r="CS8" i="62"/>
  <c r="U31" i="62"/>
  <c r="U33" i="62"/>
  <c r="T28" i="62"/>
  <c r="T30" i="62"/>
  <c r="CT24" i="62"/>
  <c r="CW48" i="62"/>
  <c r="CW57" i="62"/>
  <c r="CW45" i="62"/>
  <c r="CT51" i="62"/>
  <c r="Q25" i="62"/>
  <c r="Q27" i="62"/>
  <c r="CK52" i="62" l="1"/>
  <c r="CL53" i="62" s="1"/>
  <c r="CK54" i="62"/>
  <c r="CR49" i="62"/>
  <c r="CS50" i="62" s="1"/>
  <c r="CL60" i="62"/>
  <c r="CL58" i="62"/>
  <c r="CM59" i="62" s="1"/>
  <c r="CN36" i="62"/>
  <c r="CN34" i="62"/>
  <c r="CO35" i="62" s="1"/>
  <c r="CL40" i="62"/>
  <c r="CM41" i="62" s="1"/>
  <c r="CL42" i="62"/>
  <c r="R26" i="62"/>
  <c r="Q4" i="62"/>
  <c r="CT12" i="62"/>
  <c r="CX56" i="62"/>
  <c r="CX55" i="62" s="1"/>
  <c r="CW14" i="62"/>
  <c r="CX47" i="62"/>
  <c r="CX46" i="62" s="1"/>
  <c r="CW11" i="62"/>
  <c r="CS9" i="62"/>
  <c r="AX3" i="62"/>
  <c r="V32" i="62"/>
  <c r="U6" i="62"/>
  <c r="CU7" i="62"/>
  <c r="U29" i="62"/>
  <c r="T5" i="62"/>
  <c r="CW13" i="62"/>
  <c r="CT15" i="62"/>
  <c r="V33" i="62"/>
  <c r="V31" i="62"/>
  <c r="CU39" i="62"/>
  <c r="CX44" i="62"/>
  <c r="CX43" i="62" s="1"/>
  <c r="CW10" i="62"/>
  <c r="CU38" i="62"/>
  <c r="CU37" i="62" s="1"/>
  <c r="CT8" i="62"/>
  <c r="R23" i="62"/>
  <c r="R22" i="62" s="1"/>
  <c r="Q3" i="62"/>
  <c r="R27" i="62"/>
  <c r="R25" i="62"/>
  <c r="CU51" i="62"/>
  <c r="CX45" i="62"/>
  <c r="CX57" i="62"/>
  <c r="CX48" i="62"/>
  <c r="CU24" i="62"/>
  <c r="U28" i="62"/>
  <c r="U30" i="62"/>
  <c r="CL54" i="62" l="1"/>
  <c r="CL52" i="62"/>
  <c r="CM53" i="62" s="1"/>
  <c r="CS49" i="62"/>
  <c r="CT50" i="62" s="1"/>
  <c r="CM40" i="62"/>
  <c r="CN41" i="62" s="1"/>
  <c r="CM42" i="62"/>
  <c r="CO34" i="62"/>
  <c r="CP35" i="62" s="1"/>
  <c r="CO36" i="62"/>
  <c r="CM58" i="62"/>
  <c r="CN59" i="62" s="1"/>
  <c r="CM60" i="62"/>
  <c r="CU15" i="62"/>
  <c r="CY47" i="62"/>
  <c r="CY46" i="62" s="1"/>
  <c r="CX11" i="62"/>
  <c r="CY44" i="62"/>
  <c r="CY43" i="62" s="1"/>
  <c r="CX10" i="62"/>
  <c r="CU12" i="62"/>
  <c r="S23" i="62"/>
  <c r="S22" i="62" s="1"/>
  <c r="R3" i="62"/>
  <c r="S26" i="62"/>
  <c r="R4" i="62"/>
  <c r="CV39" i="62"/>
  <c r="W32" i="62"/>
  <c r="V6" i="62"/>
  <c r="CX13" i="62"/>
  <c r="V29" i="62"/>
  <c r="U5" i="62"/>
  <c r="CV7" i="62"/>
  <c r="CU3" i="62"/>
  <c r="CT9" i="62"/>
  <c r="CY56" i="62"/>
  <c r="CY55" i="62" s="1"/>
  <c r="CX14" i="62"/>
  <c r="CV38" i="62"/>
  <c r="CV37" i="62" s="1"/>
  <c r="CU8" i="62"/>
  <c r="W33" i="62"/>
  <c r="W31" i="62"/>
  <c r="V28" i="62"/>
  <c r="V30" i="62"/>
  <c r="CV24" i="62"/>
  <c r="CY48" i="62"/>
  <c r="CY57" i="62"/>
  <c r="CY45" i="62"/>
  <c r="CV51" i="62"/>
  <c r="S25" i="62"/>
  <c r="S27" i="62"/>
  <c r="CM52" i="62" l="1"/>
  <c r="CN53" i="62" s="1"/>
  <c r="CM54" i="62"/>
  <c r="CT49" i="62"/>
  <c r="CU50" i="62" s="1"/>
  <c r="CN58" i="62"/>
  <c r="CO59" i="62" s="1"/>
  <c r="CN60" i="62"/>
  <c r="CP36" i="62"/>
  <c r="CP34" i="62"/>
  <c r="CQ35" i="62" s="1"/>
  <c r="CN40" i="62"/>
  <c r="CO41" i="62" s="1"/>
  <c r="CN42" i="62"/>
  <c r="CZ44" i="62"/>
  <c r="CZ43" i="62" s="1"/>
  <c r="CY10" i="62"/>
  <c r="CZ56" i="62"/>
  <c r="CZ55" i="62" s="1"/>
  <c r="CY14" i="62"/>
  <c r="CU9" i="62"/>
  <c r="CW7" i="62"/>
  <c r="W29" i="62"/>
  <c r="V5" i="62"/>
  <c r="CY13" i="62"/>
  <c r="CV15" i="62"/>
  <c r="X32" i="62"/>
  <c r="W6" i="62"/>
  <c r="CW38" i="62"/>
  <c r="CW37" i="62" s="1"/>
  <c r="CV8" i="62"/>
  <c r="T26" i="62"/>
  <c r="S4" i="62"/>
  <c r="CV12" i="62"/>
  <c r="CZ47" i="62"/>
  <c r="CZ46" i="62" s="1"/>
  <c r="CY11" i="62"/>
  <c r="X31" i="62"/>
  <c r="X33" i="62"/>
  <c r="CW39" i="62"/>
  <c r="T23" i="62"/>
  <c r="T22" i="62" s="1"/>
  <c r="S3" i="62"/>
  <c r="T27" i="62"/>
  <c r="T25" i="62"/>
  <c r="CW51" i="62"/>
  <c r="CZ45" i="62"/>
  <c r="CZ57" i="62"/>
  <c r="CZ48" i="62"/>
  <c r="CW24" i="62"/>
  <c r="W28" i="62"/>
  <c r="W30" i="62"/>
  <c r="CN54" i="62" l="1"/>
  <c r="CN52" i="62"/>
  <c r="CO53" i="62" s="1"/>
  <c r="CU49" i="62"/>
  <c r="CV50" i="62" s="1"/>
  <c r="CO42" i="62"/>
  <c r="CO40" i="62"/>
  <c r="CP41" i="62" s="1"/>
  <c r="CQ36" i="62"/>
  <c r="CQ34" i="62"/>
  <c r="CR35" i="62" s="1"/>
  <c r="CO58" i="62"/>
  <c r="CP59" i="62" s="1"/>
  <c r="CO60" i="62"/>
  <c r="CW15" i="62"/>
  <c r="CZ13" i="62"/>
  <c r="X29" i="62"/>
  <c r="W5" i="62"/>
  <c r="CX7" i="62"/>
  <c r="CV9" i="62"/>
  <c r="DA56" i="62"/>
  <c r="DA55" i="62" s="1"/>
  <c r="CZ14" i="62"/>
  <c r="CW12" i="62"/>
  <c r="U23" i="62"/>
  <c r="U22" i="62" s="1"/>
  <c r="T3" i="62"/>
  <c r="U26" i="62"/>
  <c r="T4" i="62"/>
  <c r="CX38" i="62"/>
  <c r="CX37" i="62" s="1"/>
  <c r="CW8" i="62"/>
  <c r="Y33" i="62"/>
  <c r="Y31" i="62"/>
  <c r="DA47" i="62"/>
  <c r="DA46" i="62" s="1"/>
  <c r="CZ11" i="62"/>
  <c r="DA44" i="62"/>
  <c r="DA43" i="62" s="1"/>
  <c r="CZ10" i="62"/>
  <c r="CX39" i="62"/>
  <c r="Y32" i="62"/>
  <c r="X6" i="62"/>
  <c r="X28" i="62"/>
  <c r="X30" i="62"/>
  <c r="CX24" i="62"/>
  <c r="DA48" i="62"/>
  <c r="DA57" i="62"/>
  <c r="DA45" i="62"/>
  <c r="CX51" i="62"/>
  <c r="U27" i="62"/>
  <c r="U25" i="62"/>
  <c r="CO52" i="62" l="1"/>
  <c r="CP53" i="62" s="1"/>
  <c r="CO54" i="62"/>
  <c r="CV49" i="62"/>
  <c r="CW50" i="62" s="1"/>
  <c r="CP58" i="62"/>
  <c r="CQ59" i="62" s="1"/>
  <c r="CP60" i="62"/>
  <c r="CR34" i="62"/>
  <c r="CS35" i="62" s="1"/>
  <c r="CR36" i="62"/>
  <c r="CP42" i="62"/>
  <c r="CP40" i="62"/>
  <c r="CQ41" i="62" s="1"/>
  <c r="DB44" i="62"/>
  <c r="DB43" i="62" s="1"/>
  <c r="DA10" i="62"/>
  <c r="DB47" i="62"/>
  <c r="DB46" i="62" s="1"/>
  <c r="DA11" i="62"/>
  <c r="CW9" i="62"/>
  <c r="DA13" i="62"/>
  <c r="V26" i="62"/>
  <c r="U4" i="62"/>
  <c r="CY38" i="62"/>
  <c r="CY37" i="62" s="1"/>
  <c r="CX8" i="62"/>
  <c r="Z32" i="62"/>
  <c r="Y6" i="62"/>
  <c r="CX12" i="62"/>
  <c r="DB56" i="62"/>
  <c r="DB55" i="62" s="1"/>
  <c r="DA14" i="62"/>
  <c r="CY7" i="62"/>
  <c r="Y29" i="62"/>
  <c r="X5" i="62"/>
  <c r="CX15" i="62"/>
  <c r="CY39" i="62"/>
  <c r="Z33" i="62"/>
  <c r="Z31" i="62"/>
  <c r="V23" i="62"/>
  <c r="V22" i="62" s="1"/>
  <c r="U3" i="62"/>
  <c r="V25" i="62"/>
  <c r="V27" i="62"/>
  <c r="CY51" i="62"/>
  <c r="DB45" i="62"/>
  <c r="DB57" i="62"/>
  <c r="DB48" i="62"/>
  <c r="CY24" i="62"/>
  <c r="Y28" i="62"/>
  <c r="Y30" i="62"/>
  <c r="CP54" i="62" l="1"/>
  <c r="CP52" i="62"/>
  <c r="CQ53" i="62" s="1"/>
  <c r="CW49" i="62"/>
  <c r="CX50" i="62" s="1"/>
  <c r="CQ42" i="62"/>
  <c r="CQ40" i="62"/>
  <c r="CR41" i="62" s="1"/>
  <c r="CS34" i="62"/>
  <c r="CT35" i="62" s="1"/>
  <c r="CS36" i="62"/>
  <c r="CQ58" i="62"/>
  <c r="CR59" i="62" s="1"/>
  <c r="CQ60" i="62"/>
  <c r="CY15" i="62"/>
  <c r="Z29" i="62"/>
  <c r="Y5" i="62"/>
  <c r="CZ7" i="62"/>
  <c r="CX9" i="62"/>
  <c r="DC56" i="62"/>
  <c r="DC55" i="62" s="1"/>
  <c r="DB14" i="62"/>
  <c r="CY12" i="62"/>
  <c r="W26" i="62"/>
  <c r="V4" i="62"/>
  <c r="AA31" i="62"/>
  <c r="AA33" i="62"/>
  <c r="AA32" i="62"/>
  <c r="Z6" i="62"/>
  <c r="CZ38" i="62"/>
  <c r="CZ37" i="62" s="1"/>
  <c r="CY8" i="62"/>
  <c r="DB13" i="62"/>
  <c r="DC47" i="62"/>
  <c r="DC46" i="62" s="1"/>
  <c r="DB11" i="62"/>
  <c r="DC44" i="62"/>
  <c r="DC43" i="62" s="1"/>
  <c r="DB10" i="62"/>
  <c r="W23" i="62"/>
  <c r="W22" i="62" s="1"/>
  <c r="V3" i="62"/>
  <c r="CZ39" i="62"/>
  <c r="Z28" i="62"/>
  <c r="Z30" i="62"/>
  <c r="CZ24" i="62"/>
  <c r="DC48" i="62"/>
  <c r="DC57" i="62"/>
  <c r="DC45" i="62"/>
  <c r="CZ51" i="62"/>
  <c r="W25" i="62"/>
  <c r="W27" i="62"/>
  <c r="CQ54" i="62" l="1"/>
  <c r="CQ52" i="62"/>
  <c r="CR53" i="62" s="1"/>
  <c r="CX49" i="62"/>
  <c r="CY50" i="62" s="1"/>
  <c r="CR58" i="62"/>
  <c r="CS59" i="62" s="1"/>
  <c r="CR60" i="62"/>
  <c r="CT36" i="62"/>
  <c r="CT34" i="62"/>
  <c r="CU35" i="62" s="1"/>
  <c r="CR40" i="62"/>
  <c r="CS41" i="62" s="1"/>
  <c r="CR42" i="62"/>
  <c r="X26" i="62"/>
  <c r="W4" i="62"/>
  <c r="CZ12" i="62"/>
  <c r="DD56" i="62"/>
  <c r="DD55" i="62" s="1"/>
  <c r="DC14" i="62"/>
  <c r="DA39" i="62"/>
  <c r="AB33" i="62"/>
  <c r="AB31" i="62"/>
  <c r="DD44" i="62"/>
  <c r="DD43" i="62" s="1"/>
  <c r="DC10" i="62"/>
  <c r="DD47" i="62"/>
  <c r="DD46" i="62" s="1"/>
  <c r="DC11" i="62"/>
  <c r="CY9" i="62"/>
  <c r="DA7" i="62"/>
  <c r="AA29" i="62"/>
  <c r="Z5" i="62"/>
  <c r="DC13" i="62"/>
  <c r="CZ15" i="62"/>
  <c r="DA38" i="62"/>
  <c r="DA37" i="62" s="1"/>
  <c r="CZ8" i="62"/>
  <c r="X23" i="62"/>
  <c r="X22" i="62" s="1"/>
  <c r="W3" i="62"/>
  <c r="AB32" i="62"/>
  <c r="AA6" i="62"/>
  <c r="X25" i="62"/>
  <c r="X27" i="62"/>
  <c r="DA51" i="62"/>
  <c r="DD45" i="62"/>
  <c r="DD57" i="62"/>
  <c r="DD48" i="62"/>
  <c r="DA24" i="62"/>
  <c r="AA28" i="62"/>
  <c r="AA30" i="62"/>
  <c r="CR54" i="62" l="1"/>
  <c r="CR52" i="62"/>
  <c r="CS53" i="62" s="1"/>
  <c r="CY49" i="62"/>
  <c r="CZ50" i="62" s="1"/>
  <c r="CS40" i="62"/>
  <c r="CT41" i="62" s="1"/>
  <c r="CS42" i="62"/>
  <c r="CU36" i="62"/>
  <c r="CU34" i="62"/>
  <c r="CV35" i="62" s="1"/>
  <c r="CS60" i="62"/>
  <c r="CS58" i="62"/>
  <c r="CT59" i="62" s="1"/>
  <c r="DB38" i="62"/>
  <c r="DB37" i="62" s="1"/>
  <c r="DA8" i="62"/>
  <c r="DA15" i="62"/>
  <c r="DD13" i="62"/>
  <c r="AB29" i="62"/>
  <c r="AA5" i="62"/>
  <c r="DB7" i="62"/>
  <c r="CZ9" i="62"/>
  <c r="DE47" i="62"/>
  <c r="DE46" i="62" s="1"/>
  <c r="DD11" i="62"/>
  <c r="DE56" i="62"/>
  <c r="DE55" i="62" s="1"/>
  <c r="DD14" i="62"/>
  <c r="DE44" i="62"/>
  <c r="DE43" i="62" s="1"/>
  <c r="DD10" i="62"/>
  <c r="DA12" i="62"/>
  <c r="Y26" i="62"/>
  <c r="X4" i="62"/>
  <c r="Y23" i="62"/>
  <c r="Y22" i="62" s="1"/>
  <c r="X3" i="62"/>
  <c r="AC31" i="62"/>
  <c r="AC33" i="62"/>
  <c r="AC32" i="62"/>
  <c r="AB6" i="62"/>
  <c r="DB39" i="62"/>
  <c r="AB28" i="62"/>
  <c r="AB30" i="62"/>
  <c r="DB24" i="62"/>
  <c r="DE48" i="62"/>
  <c r="DE57" i="62"/>
  <c r="DE45" i="62"/>
  <c r="DB51" i="62"/>
  <c r="Y25" i="62"/>
  <c r="Y27" i="62"/>
  <c r="CS54" i="62" l="1"/>
  <c r="CS52" i="62"/>
  <c r="CT53" i="62" s="1"/>
  <c r="CZ49" i="62"/>
  <c r="DA50" i="62" s="1"/>
  <c r="CT58" i="62"/>
  <c r="CU59" i="62" s="1"/>
  <c r="CT60" i="62"/>
  <c r="CV34" i="62"/>
  <c r="CW35" i="62" s="1"/>
  <c r="CV36" i="62"/>
  <c r="CT40" i="62"/>
  <c r="CU41" i="62" s="1"/>
  <c r="CT42" i="62"/>
  <c r="DC38" i="62"/>
  <c r="DC37" i="62" s="1"/>
  <c r="DB8" i="62"/>
  <c r="DC39" i="62"/>
  <c r="AD33" i="62"/>
  <c r="AD31" i="62"/>
  <c r="Z26" i="62"/>
  <c r="Y4" i="62"/>
  <c r="DB12" i="62"/>
  <c r="DF44" i="62"/>
  <c r="DF43" i="62" s="1"/>
  <c r="DE10" i="62"/>
  <c r="DF56" i="62"/>
  <c r="DF55" i="62" s="1"/>
  <c r="DE14" i="62"/>
  <c r="DF47" i="62"/>
  <c r="DF46" i="62" s="1"/>
  <c r="DE11" i="62"/>
  <c r="DA9" i="62"/>
  <c r="DC7" i="62"/>
  <c r="AC29" i="62"/>
  <c r="AB5" i="62"/>
  <c r="DE13" i="62"/>
  <c r="DB15" i="62"/>
  <c r="AD32" i="62"/>
  <c r="AC6" i="62"/>
  <c r="Z23" i="62"/>
  <c r="Z22" i="62" s="1"/>
  <c r="Y3" i="62"/>
  <c r="Z25" i="62"/>
  <c r="Z27" i="62"/>
  <c r="DC51" i="62"/>
  <c r="DF45" i="62"/>
  <c r="DF57" i="62"/>
  <c r="DF48" i="62"/>
  <c r="DC24" i="62"/>
  <c r="AC28" i="62"/>
  <c r="AC30" i="62"/>
  <c r="CT52" i="62" l="1"/>
  <c r="CU53" i="62" s="1"/>
  <c r="CT54" i="62"/>
  <c r="DA49" i="62"/>
  <c r="DB50" i="62" s="1"/>
  <c r="CU40" i="62"/>
  <c r="CV41" i="62" s="1"/>
  <c r="CU42" i="62"/>
  <c r="CW34" i="62"/>
  <c r="CX35" i="62" s="1"/>
  <c r="CW36" i="62"/>
  <c r="CU60" i="62"/>
  <c r="CU58" i="62"/>
  <c r="CV59" i="62" s="1"/>
  <c r="AE32" i="62"/>
  <c r="AD6" i="62"/>
  <c r="DD38" i="62"/>
  <c r="DD37" i="62" s="1"/>
  <c r="DC8" i="62"/>
  <c r="DC15" i="62"/>
  <c r="DF13" i="62"/>
  <c r="AD29" i="62"/>
  <c r="AC5" i="62"/>
  <c r="DD7" i="62"/>
  <c r="DB9" i="62"/>
  <c r="DG47" i="62"/>
  <c r="DG46" i="62" s="1"/>
  <c r="DF11" i="62"/>
  <c r="DG56" i="62"/>
  <c r="DG55" i="62" s="1"/>
  <c r="DF14" i="62"/>
  <c r="DG44" i="62"/>
  <c r="DG43" i="62" s="1"/>
  <c r="DF10" i="62"/>
  <c r="DC12" i="62"/>
  <c r="AA26" i="62"/>
  <c r="Z4" i="62"/>
  <c r="AA23" i="62"/>
  <c r="AA22" i="62" s="1"/>
  <c r="Z3" i="62"/>
  <c r="AE31" i="62"/>
  <c r="AE33" i="62"/>
  <c r="DD39" i="62"/>
  <c r="AD28" i="62"/>
  <c r="AD30" i="62"/>
  <c r="DD24" i="62"/>
  <c r="DG48" i="62"/>
  <c r="DG57" i="62"/>
  <c r="DG45" i="62"/>
  <c r="DD51" i="62"/>
  <c r="AA25" i="62"/>
  <c r="AA27" i="62"/>
  <c r="CU54" i="62" l="1"/>
  <c r="CU52" i="62"/>
  <c r="CV53" i="62" s="1"/>
  <c r="DB49" i="62"/>
  <c r="DC50" i="62" s="1"/>
  <c r="CV58" i="62"/>
  <c r="CW59" i="62" s="1"/>
  <c r="CV60" i="62"/>
  <c r="CX34" i="62"/>
  <c r="CY35" i="62" s="1"/>
  <c r="CX36" i="62"/>
  <c r="CV42" i="62"/>
  <c r="CV40" i="62"/>
  <c r="CW41" i="62" s="1"/>
  <c r="DE38" i="62"/>
  <c r="DE37" i="62" s="1"/>
  <c r="DD8" i="62"/>
  <c r="AF31" i="62"/>
  <c r="AF33" i="62"/>
  <c r="AB26" i="62"/>
  <c r="AA4" i="62"/>
  <c r="DD12" i="62"/>
  <c r="DH44" i="62"/>
  <c r="DH43" i="62" s="1"/>
  <c r="DG10" i="62"/>
  <c r="DH56" i="62"/>
  <c r="DH55" i="62" s="1"/>
  <c r="DG14" i="62"/>
  <c r="DH47" i="62"/>
  <c r="DH46" i="62" s="1"/>
  <c r="DG11" i="62"/>
  <c r="DC9" i="62"/>
  <c r="DE7" i="62"/>
  <c r="AE29" i="62"/>
  <c r="AD5" i="62"/>
  <c r="DG13" i="62"/>
  <c r="DD15" i="62"/>
  <c r="DE39" i="62"/>
  <c r="AF32" i="62"/>
  <c r="AE6" i="62"/>
  <c r="AB23" i="62"/>
  <c r="AB22" i="62" s="1"/>
  <c r="AA3" i="62"/>
  <c r="AB25" i="62"/>
  <c r="AB27" i="62"/>
  <c r="DE51" i="62"/>
  <c r="DH45" i="62"/>
  <c r="DH57" i="62"/>
  <c r="DH48" i="62"/>
  <c r="DE24" i="62"/>
  <c r="AE28" i="62"/>
  <c r="AE30" i="62"/>
  <c r="CV52" i="62" l="1"/>
  <c r="CW53" i="62" s="1"/>
  <c r="CV54" i="62"/>
  <c r="DC49" i="62"/>
  <c r="DD50" i="62" s="1"/>
  <c r="CW42" i="62"/>
  <c r="CW40" i="62"/>
  <c r="CX41" i="62" s="1"/>
  <c r="CY36" i="62"/>
  <c r="CY34" i="62"/>
  <c r="CZ35" i="62" s="1"/>
  <c r="CW58" i="62"/>
  <c r="CX59" i="62" s="1"/>
  <c r="CW60" i="62"/>
  <c r="DF39" i="62"/>
  <c r="AG31" i="62"/>
  <c r="AG33" i="62"/>
  <c r="DE15" i="62"/>
  <c r="DH13" i="62"/>
  <c r="AF29" i="62"/>
  <c r="AE5" i="62"/>
  <c r="DF7" i="62"/>
  <c r="DD9" i="62"/>
  <c r="DI47" i="62"/>
  <c r="DI46" i="62" s="1"/>
  <c r="DH11" i="62"/>
  <c r="DI56" i="62"/>
  <c r="DI55" i="62" s="1"/>
  <c r="DH14" i="62"/>
  <c r="DI44" i="62"/>
  <c r="DI43" i="62" s="1"/>
  <c r="DH10" i="62"/>
  <c r="DE12" i="62"/>
  <c r="AC26" i="62"/>
  <c r="AB4" i="62"/>
  <c r="AC23" i="62"/>
  <c r="AC22" i="62" s="1"/>
  <c r="AB3" i="62"/>
  <c r="DF38" i="62"/>
  <c r="DF37" i="62" s="1"/>
  <c r="DE8" i="62"/>
  <c r="AG32" i="62"/>
  <c r="AF6" i="62"/>
  <c r="AF28" i="62"/>
  <c r="AF30" i="62"/>
  <c r="DF24" i="62"/>
  <c r="DI48" i="62"/>
  <c r="DI57" i="62"/>
  <c r="DI45" i="62"/>
  <c r="DF51" i="62"/>
  <c r="AC25" i="62"/>
  <c r="AC27" i="62"/>
  <c r="CW54" i="62" l="1"/>
  <c r="CW52" i="62"/>
  <c r="CX53" i="62" s="1"/>
  <c r="DD49" i="62"/>
  <c r="DE50" i="62" s="1"/>
  <c r="CX58" i="62"/>
  <c r="CY59" i="62" s="1"/>
  <c r="CX60" i="62"/>
  <c r="CY60" i="62" s="1"/>
  <c r="CZ34" i="62"/>
  <c r="DA35" i="62" s="1"/>
  <c r="CZ36" i="62"/>
  <c r="CX40" i="62"/>
  <c r="CY41" i="62" s="1"/>
  <c r="CX42" i="62"/>
  <c r="DG38" i="62"/>
  <c r="DG37" i="62" s="1"/>
  <c r="DF8" i="62"/>
  <c r="AH31" i="62"/>
  <c r="AH33" i="62"/>
  <c r="DG39" i="62"/>
  <c r="AD26" i="62"/>
  <c r="AC4" i="62"/>
  <c r="DF12" i="62"/>
  <c r="DJ44" i="62"/>
  <c r="DJ43" i="62" s="1"/>
  <c r="DI10" i="62"/>
  <c r="DJ56" i="62"/>
  <c r="DJ55" i="62" s="1"/>
  <c r="DI14" i="62"/>
  <c r="DJ47" i="62"/>
  <c r="DJ46" i="62" s="1"/>
  <c r="DI11" i="62"/>
  <c r="DE9" i="62"/>
  <c r="DG7" i="62"/>
  <c r="AG29" i="62"/>
  <c r="AF5" i="62"/>
  <c r="DI13" i="62"/>
  <c r="DF15" i="62"/>
  <c r="AD23" i="62"/>
  <c r="AD22" i="62" s="1"/>
  <c r="AC3" i="62"/>
  <c r="AH32" i="62"/>
  <c r="AG6" i="62"/>
  <c r="AD25" i="62"/>
  <c r="AD27" i="62"/>
  <c r="DG51" i="62"/>
  <c r="DJ45" i="62"/>
  <c r="DJ57" i="62"/>
  <c r="DJ48" i="62"/>
  <c r="DG24" i="62"/>
  <c r="AG28" i="62"/>
  <c r="AG30" i="62"/>
  <c r="CY58" i="62" l="1"/>
  <c r="CZ59" i="62" s="1"/>
  <c r="CX54" i="62"/>
  <c r="CX52" i="62"/>
  <c r="CY53" i="62" s="1"/>
  <c r="DE49" i="62"/>
  <c r="DF50" i="62" s="1"/>
  <c r="CY40" i="62"/>
  <c r="CZ41" i="62" s="1"/>
  <c r="CY42" i="62"/>
  <c r="DA36" i="62"/>
  <c r="DA34" i="62"/>
  <c r="DB35" i="62" s="1"/>
  <c r="CZ58" i="62"/>
  <c r="DA59" i="62" s="1"/>
  <c r="CZ60" i="62"/>
  <c r="DH39" i="62"/>
  <c r="AI31" i="62"/>
  <c r="AI33" i="62"/>
  <c r="DG15" i="62"/>
  <c r="DJ13" i="62"/>
  <c r="AH29" i="62"/>
  <c r="AG5" i="62"/>
  <c r="DH7" i="62"/>
  <c r="DF9" i="62"/>
  <c r="DK47" i="62"/>
  <c r="DK46" i="62" s="1"/>
  <c r="DJ11" i="62"/>
  <c r="DK56" i="62"/>
  <c r="DK55" i="62" s="1"/>
  <c r="DJ14" i="62"/>
  <c r="DK44" i="62"/>
  <c r="DK43" i="62" s="1"/>
  <c r="DJ10" i="62"/>
  <c r="DG12" i="62"/>
  <c r="AE26" i="62"/>
  <c r="AD4" i="62"/>
  <c r="AE23" i="62"/>
  <c r="AE22" i="62" s="1"/>
  <c r="AD3" i="62"/>
  <c r="DH38" i="62"/>
  <c r="DH37" i="62" s="1"/>
  <c r="DG8" i="62"/>
  <c r="AI32" i="62"/>
  <c r="AH6" i="62"/>
  <c r="AH28" i="62"/>
  <c r="AH30" i="62"/>
  <c r="DH24" i="62"/>
  <c r="DK48" i="62"/>
  <c r="DK57" i="62"/>
  <c r="DK45" i="62"/>
  <c r="DH51" i="62"/>
  <c r="AE25" i="62"/>
  <c r="AE27" i="62"/>
  <c r="CY52" i="62" l="1"/>
  <c r="CZ53" i="62" s="1"/>
  <c r="CY54" i="62"/>
  <c r="DF49" i="62"/>
  <c r="DG50" i="62" s="1"/>
  <c r="DA58" i="62"/>
  <c r="DB59" i="62" s="1"/>
  <c r="DA60" i="62"/>
  <c r="DB60" i="62" s="1"/>
  <c r="DC60" i="62" s="1"/>
  <c r="DB34" i="62"/>
  <c r="DC35" i="62" s="1"/>
  <c r="DB36" i="62"/>
  <c r="CZ42" i="62"/>
  <c r="CZ40" i="62"/>
  <c r="DA41" i="62" s="1"/>
  <c r="DI38" i="62"/>
  <c r="DI37" i="62" s="1"/>
  <c r="DH8" i="62"/>
  <c r="AJ31" i="62"/>
  <c r="AJ33" i="62"/>
  <c r="DI39" i="62"/>
  <c r="AF26" i="62"/>
  <c r="AE4" i="62"/>
  <c r="DH12" i="62"/>
  <c r="DL44" i="62"/>
  <c r="DL43" i="62" s="1"/>
  <c r="DK10" i="62"/>
  <c r="DL56" i="62"/>
  <c r="DL55" i="62" s="1"/>
  <c r="DK14" i="62"/>
  <c r="DL47" i="62"/>
  <c r="DL46" i="62" s="1"/>
  <c r="DK11" i="62"/>
  <c r="DG9" i="62"/>
  <c r="DI7" i="62"/>
  <c r="AI29" i="62"/>
  <c r="AH5" i="62"/>
  <c r="DK13" i="62"/>
  <c r="DH15" i="62"/>
  <c r="AF23" i="62"/>
  <c r="AF22" i="62" s="1"/>
  <c r="AE3" i="62"/>
  <c r="AJ32" i="62"/>
  <c r="AI6" i="62"/>
  <c r="AF25" i="62"/>
  <c r="AF27" i="62"/>
  <c r="DI51" i="62"/>
  <c r="DL45" i="62"/>
  <c r="DL57" i="62"/>
  <c r="DL48" i="62"/>
  <c r="DI24" i="62"/>
  <c r="AI28" i="62"/>
  <c r="AI30" i="62"/>
  <c r="DB58" i="62" l="1"/>
  <c r="DC59" i="62" s="1"/>
  <c r="DC58" i="62" s="1"/>
  <c r="DD59" i="62" s="1"/>
  <c r="DD58" i="62" s="1"/>
  <c r="DE59" i="62" s="1"/>
  <c r="CZ52" i="62"/>
  <c r="DA53" i="62" s="1"/>
  <c r="CZ54" i="62"/>
  <c r="DG49" i="62"/>
  <c r="DH50" i="62" s="1"/>
  <c r="DA40" i="62"/>
  <c r="DB41" i="62" s="1"/>
  <c r="DA42" i="62"/>
  <c r="DC36" i="62"/>
  <c r="DC34" i="62"/>
  <c r="DD35" i="62" s="1"/>
  <c r="DD60" i="62"/>
  <c r="DE60" i="62" s="1"/>
  <c r="DI15" i="62"/>
  <c r="DL13" i="62"/>
  <c r="AJ29" i="62"/>
  <c r="AI5" i="62"/>
  <c r="DJ7" i="62"/>
  <c r="DH9" i="62"/>
  <c r="DM44" i="62"/>
  <c r="DM43" i="62" s="1"/>
  <c r="DL10" i="62"/>
  <c r="DJ39" i="62"/>
  <c r="AK31" i="62"/>
  <c r="AK33" i="62"/>
  <c r="DM47" i="62"/>
  <c r="DM46" i="62" s="1"/>
  <c r="DL11" i="62"/>
  <c r="DM56" i="62"/>
  <c r="DM55" i="62" s="1"/>
  <c r="DL14" i="62"/>
  <c r="DI12" i="62"/>
  <c r="AG26" i="62"/>
  <c r="AG25" i="62" s="1"/>
  <c r="AF4" i="62"/>
  <c r="AG23" i="62"/>
  <c r="AG22" i="62" s="1"/>
  <c r="AF3" i="62"/>
  <c r="DJ38" i="62"/>
  <c r="DJ37" i="62" s="1"/>
  <c r="DI8" i="62"/>
  <c r="AK32" i="62"/>
  <c r="AJ6" i="62"/>
  <c r="AJ28" i="62"/>
  <c r="AJ30" i="62"/>
  <c r="DJ24" i="62"/>
  <c r="DM48" i="62"/>
  <c r="DM57" i="62"/>
  <c r="DM45" i="62"/>
  <c r="DJ51" i="62"/>
  <c r="AG27" i="62"/>
  <c r="DE58" i="62" l="1"/>
  <c r="DF59" i="62" s="1"/>
  <c r="DF58" i="62" s="1"/>
  <c r="DG59" i="62" s="1"/>
  <c r="DG58" i="62" s="1"/>
  <c r="DH59" i="62" s="1"/>
  <c r="DA54" i="62"/>
  <c r="DA52" i="62"/>
  <c r="DB53" i="62" s="1"/>
  <c r="DH49" i="62"/>
  <c r="DI50" i="62" s="1"/>
  <c r="DF60" i="62"/>
  <c r="DG60" i="62" s="1"/>
  <c r="DD34" i="62"/>
  <c r="DE35" i="62" s="1"/>
  <c r="DD36" i="62"/>
  <c r="DB42" i="62"/>
  <c r="DB40" i="62"/>
  <c r="DC41" i="62" s="1"/>
  <c r="DK38" i="62"/>
  <c r="DK37" i="62" s="1"/>
  <c r="DJ8" i="62"/>
  <c r="AH26" i="62"/>
  <c r="AH25" i="62" s="1"/>
  <c r="AG4" i="62"/>
  <c r="DJ12" i="62"/>
  <c r="DN47" i="62"/>
  <c r="DN46" i="62" s="1"/>
  <c r="DM11" i="62"/>
  <c r="AL33" i="62"/>
  <c r="AL31" i="62"/>
  <c r="DK39" i="62"/>
  <c r="DN44" i="62"/>
  <c r="DN43" i="62" s="1"/>
  <c r="DM10" i="62"/>
  <c r="DN56" i="62"/>
  <c r="DN55" i="62" s="1"/>
  <c r="DM14" i="62"/>
  <c r="DI9" i="62"/>
  <c r="DK7" i="62"/>
  <c r="AK29" i="62"/>
  <c r="AJ5" i="62"/>
  <c r="DM13" i="62"/>
  <c r="DJ15" i="62"/>
  <c r="AH23" i="62"/>
  <c r="AH22" i="62" s="1"/>
  <c r="AG3" i="62"/>
  <c r="AL32" i="62"/>
  <c r="AK6" i="62"/>
  <c r="AH27" i="62"/>
  <c r="DK51" i="62"/>
  <c r="DN45" i="62"/>
  <c r="DN57" i="62"/>
  <c r="DN48" i="62"/>
  <c r="DK24" i="62"/>
  <c r="AK28" i="62"/>
  <c r="AK30" i="62"/>
  <c r="DB54" i="62" l="1"/>
  <c r="DB52" i="62"/>
  <c r="DC53" i="62" s="1"/>
  <c r="DI49" i="62"/>
  <c r="DJ50" i="62" s="1"/>
  <c r="DC40" i="62"/>
  <c r="DD41" i="62" s="1"/>
  <c r="DC42" i="62"/>
  <c r="DE34" i="62"/>
  <c r="DF35" i="62" s="1"/>
  <c r="DE36" i="62"/>
  <c r="DH58" i="62"/>
  <c r="DI59" i="62" s="1"/>
  <c r="DH60" i="62"/>
  <c r="DI60" i="62" s="1"/>
  <c r="DK15" i="62"/>
  <c r="DO47" i="62"/>
  <c r="DO46" i="62" s="1"/>
  <c r="DN11" i="62"/>
  <c r="DO44" i="62"/>
  <c r="DO43" i="62" s="1"/>
  <c r="DN10" i="62"/>
  <c r="DL39" i="62"/>
  <c r="AM32" i="62"/>
  <c r="AL6" i="62"/>
  <c r="DN13" i="62"/>
  <c r="AL29" i="62"/>
  <c r="AK5" i="62"/>
  <c r="DL7" i="62"/>
  <c r="DJ9" i="62"/>
  <c r="DO56" i="62"/>
  <c r="DO55" i="62" s="1"/>
  <c r="DN14" i="62"/>
  <c r="DK12" i="62"/>
  <c r="AI26" i="62"/>
  <c r="AI25" i="62" s="1"/>
  <c r="AH4" i="62"/>
  <c r="AI23" i="62"/>
  <c r="AI22" i="62" s="1"/>
  <c r="AH3" i="62"/>
  <c r="DL38" i="62"/>
  <c r="DL37" i="62" s="1"/>
  <c r="DK8" i="62"/>
  <c r="AM31" i="62"/>
  <c r="AM33" i="62"/>
  <c r="AL28" i="62"/>
  <c r="AL30" i="62"/>
  <c r="DL24" i="62"/>
  <c r="DO48" i="62"/>
  <c r="DO57" i="62"/>
  <c r="DO45" i="62"/>
  <c r="DL51" i="62"/>
  <c r="AI27" i="62"/>
  <c r="DI58" i="62" l="1"/>
  <c r="DJ59" i="62" s="1"/>
  <c r="DJ58" i="62" s="1"/>
  <c r="DK59" i="62" s="1"/>
  <c r="DK58" i="62" s="1"/>
  <c r="DL59" i="62" s="1"/>
  <c r="DC54" i="62"/>
  <c r="DC52" i="62"/>
  <c r="DD53" i="62" s="1"/>
  <c r="DJ49" i="62"/>
  <c r="DK50" i="62" s="1"/>
  <c r="DJ60" i="62"/>
  <c r="DK60" i="62" s="1"/>
  <c r="DF34" i="62"/>
  <c r="DG35" i="62" s="1"/>
  <c r="DF36" i="62"/>
  <c r="DD40" i="62"/>
  <c r="DE41" i="62" s="1"/>
  <c r="DD42" i="62"/>
  <c r="DM38" i="62"/>
  <c r="DM37" i="62" s="1"/>
  <c r="DL8" i="62"/>
  <c r="DL12" i="62"/>
  <c r="DP56" i="62"/>
  <c r="DP55" i="62" s="1"/>
  <c r="DO14" i="62"/>
  <c r="DK9" i="62"/>
  <c r="DM7" i="62"/>
  <c r="AM29" i="62"/>
  <c r="AL5" i="62"/>
  <c r="AN31" i="62"/>
  <c r="AN33" i="62"/>
  <c r="DM39" i="62"/>
  <c r="AJ26" i="62"/>
  <c r="AJ25" i="62" s="1"/>
  <c r="AI4" i="62"/>
  <c r="DP44" i="62"/>
  <c r="DP43" i="62" s="1"/>
  <c r="DO10" i="62"/>
  <c r="DP47" i="62"/>
  <c r="DP46" i="62" s="1"/>
  <c r="DO11" i="62"/>
  <c r="DO13" i="62"/>
  <c r="DL15" i="62"/>
  <c r="AN32" i="62"/>
  <c r="AM6" i="62"/>
  <c r="AJ23" i="62"/>
  <c r="AJ22" i="62" s="1"/>
  <c r="AI3" i="62"/>
  <c r="AJ27" i="62"/>
  <c r="DM51" i="62"/>
  <c r="DP45" i="62"/>
  <c r="DP57" i="62"/>
  <c r="DP48" i="62"/>
  <c r="DM24" i="62"/>
  <c r="AM28" i="62"/>
  <c r="AM30" i="62"/>
  <c r="DD52" i="62" l="1"/>
  <c r="DE53" i="62" s="1"/>
  <c r="DD54" i="62"/>
  <c r="DK49" i="62"/>
  <c r="DL50" i="62" s="1"/>
  <c r="DE42" i="62"/>
  <c r="DE40" i="62"/>
  <c r="DF41" i="62" s="1"/>
  <c r="DG34" i="62"/>
  <c r="DH35" i="62" s="1"/>
  <c r="DG36" i="62"/>
  <c r="DL58" i="62"/>
  <c r="DM59" i="62" s="1"/>
  <c r="DL60" i="62"/>
  <c r="DM60" i="62" s="1"/>
  <c r="DN60" i="62" s="1"/>
  <c r="DP13" i="62"/>
  <c r="DQ47" i="62"/>
  <c r="DQ46" i="62" s="1"/>
  <c r="DP11" i="62"/>
  <c r="DQ44" i="62"/>
  <c r="DQ43" i="62" s="1"/>
  <c r="DP10" i="62"/>
  <c r="DN39" i="62"/>
  <c r="AO33" i="62"/>
  <c r="AO31" i="62"/>
  <c r="DM15" i="62"/>
  <c r="AN29" i="62"/>
  <c r="AM5" i="62"/>
  <c r="DN7" i="62"/>
  <c r="DL9" i="62"/>
  <c r="DQ56" i="62"/>
  <c r="DQ55" i="62" s="1"/>
  <c r="DP14" i="62"/>
  <c r="DM12" i="62"/>
  <c r="AK26" i="62"/>
  <c r="AK25" i="62" s="1"/>
  <c r="AJ4" i="62"/>
  <c r="AK23" i="62"/>
  <c r="AK22" i="62" s="1"/>
  <c r="AJ3" i="62"/>
  <c r="DN38" i="62"/>
  <c r="DN37" i="62" s="1"/>
  <c r="DM8" i="62"/>
  <c r="AO32" i="62"/>
  <c r="AN6" i="62"/>
  <c r="AN28" i="62"/>
  <c r="AN30" i="62"/>
  <c r="DN24" i="62"/>
  <c r="DQ48" i="62"/>
  <c r="DQ57" i="62"/>
  <c r="DQ45" i="62"/>
  <c r="DN51" i="62"/>
  <c r="AK27" i="62"/>
  <c r="DM58" i="62" l="1"/>
  <c r="DN59" i="62" s="1"/>
  <c r="DN58" i="62" s="1"/>
  <c r="DE54" i="62"/>
  <c r="DE52" i="62"/>
  <c r="DF53" i="62" s="1"/>
  <c r="DL49" i="62"/>
  <c r="DM50" i="62" s="1"/>
  <c r="DH34" i="62"/>
  <c r="DI35" i="62" s="1"/>
  <c r="DH36" i="62"/>
  <c r="DF40" i="62"/>
  <c r="DG41" i="62" s="1"/>
  <c r="DF42" i="62"/>
  <c r="DO38" i="62"/>
  <c r="DO37" i="62" s="1"/>
  <c r="DN8" i="62"/>
  <c r="AL26" i="62"/>
  <c r="AL25" i="62" s="1"/>
  <c r="AK4" i="62"/>
  <c r="DR44" i="62"/>
  <c r="DR43" i="62" s="1"/>
  <c r="DQ10" i="62"/>
  <c r="DR47" i="62"/>
  <c r="DR46" i="62" s="1"/>
  <c r="DQ11" i="62"/>
  <c r="DQ13" i="62"/>
  <c r="DO59" i="62"/>
  <c r="DO58" i="62" s="1"/>
  <c r="DN15" i="62"/>
  <c r="AP32" i="62"/>
  <c r="AO6" i="62"/>
  <c r="DN12" i="62"/>
  <c r="DR56" i="62"/>
  <c r="DR55" i="62" s="1"/>
  <c r="DQ14" i="62"/>
  <c r="DM9" i="62"/>
  <c r="DO7" i="62"/>
  <c r="AO29" i="62"/>
  <c r="AN5" i="62"/>
  <c r="AL23" i="62"/>
  <c r="AL22" i="62" s="1"/>
  <c r="AK3" i="62"/>
  <c r="AP31" i="62"/>
  <c r="AP33" i="62"/>
  <c r="DO39" i="62"/>
  <c r="AL27" i="62"/>
  <c r="DO51" i="62"/>
  <c r="DR45" i="62"/>
  <c r="DR57" i="62"/>
  <c r="DR48" i="62"/>
  <c r="DO24" i="62"/>
  <c r="AO28" i="62"/>
  <c r="AO30" i="62"/>
  <c r="DO60" i="62"/>
  <c r="DF54" i="62" l="1"/>
  <c r="DF52" i="62"/>
  <c r="DG53" i="62" s="1"/>
  <c r="DM49" i="62"/>
  <c r="DN50" i="62" s="1"/>
  <c r="DG40" i="62"/>
  <c r="DH41" i="62" s="1"/>
  <c r="DG42" i="62"/>
  <c r="DI36" i="62"/>
  <c r="DI34" i="62"/>
  <c r="DJ35" i="62" s="1"/>
  <c r="DS47" i="62"/>
  <c r="DS46" i="62" s="1"/>
  <c r="DR11" i="62"/>
  <c r="DS56" i="62"/>
  <c r="DS55" i="62" s="1"/>
  <c r="DR14" i="62"/>
  <c r="DP38" i="62"/>
  <c r="DP37" i="62" s="1"/>
  <c r="DO8" i="62"/>
  <c r="AQ33" i="62"/>
  <c r="AQ31" i="62"/>
  <c r="DP59" i="62"/>
  <c r="DP58" i="62" s="1"/>
  <c r="DO15" i="62"/>
  <c r="DR13" i="62"/>
  <c r="AP29" i="62"/>
  <c r="AO5" i="62"/>
  <c r="DP7" i="62"/>
  <c r="DN9" i="62"/>
  <c r="DS44" i="62"/>
  <c r="DS43" i="62" s="1"/>
  <c r="DR10" i="62"/>
  <c r="DO12" i="62"/>
  <c r="AM26" i="62"/>
  <c r="AM25" i="62" s="1"/>
  <c r="AL4" i="62"/>
  <c r="DP39" i="62"/>
  <c r="AQ32" i="62"/>
  <c r="AP6" i="62"/>
  <c r="AM23" i="62"/>
  <c r="AM22" i="62" s="1"/>
  <c r="AL3" i="62"/>
  <c r="DP60" i="62"/>
  <c r="AP28" i="62"/>
  <c r="AP30" i="62"/>
  <c r="DP24" i="62"/>
  <c r="DS48" i="62"/>
  <c r="DS57" i="62"/>
  <c r="DS45" i="62"/>
  <c r="DP51" i="62"/>
  <c r="AM27" i="62"/>
  <c r="DG54" i="62" l="1"/>
  <c r="DG52" i="62"/>
  <c r="DH53" i="62" s="1"/>
  <c r="DN49" i="62"/>
  <c r="DO50" i="62" s="1"/>
  <c r="DJ36" i="62"/>
  <c r="DJ34" i="62"/>
  <c r="DK35" i="62" s="1"/>
  <c r="DH40" i="62"/>
  <c r="DI41" i="62" s="1"/>
  <c r="DH42" i="62"/>
  <c r="DQ38" i="62"/>
  <c r="DQ37" i="62" s="1"/>
  <c r="DP8" i="62"/>
  <c r="AQ29" i="62"/>
  <c r="AP5" i="62"/>
  <c r="AN23" i="62"/>
  <c r="AN22" i="62" s="1"/>
  <c r="AM3" i="62"/>
  <c r="AR32" i="62"/>
  <c r="AQ6" i="62"/>
  <c r="AN26" i="62"/>
  <c r="AN25" i="62" s="1"/>
  <c r="AM4" i="62"/>
  <c r="DP12" i="62"/>
  <c r="DO9" i="62"/>
  <c r="DQ7" i="62"/>
  <c r="DQ59" i="62"/>
  <c r="DQ58" i="62" s="1"/>
  <c r="DP15" i="62"/>
  <c r="DQ39" i="62"/>
  <c r="AR31" i="62"/>
  <c r="AR33" i="62"/>
  <c r="AN27" i="62"/>
  <c r="DQ51" i="62"/>
  <c r="DT45" i="62"/>
  <c r="DT57" i="62"/>
  <c r="DT48" i="62"/>
  <c r="DQ24" i="62"/>
  <c r="AQ28" i="62"/>
  <c r="AQ30" i="62"/>
  <c r="DQ60" i="62"/>
  <c r="DT44" i="62"/>
  <c r="DT43" i="62" s="1"/>
  <c r="DS10" i="62"/>
  <c r="DT56" i="62"/>
  <c r="DT55" i="62" s="1"/>
  <c r="DS14" i="62"/>
  <c r="DT47" i="62"/>
  <c r="DT46" i="62" s="1"/>
  <c r="DS11" i="62"/>
  <c r="DH54" i="62" l="1"/>
  <c r="DH52" i="62"/>
  <c r="DI53" i="62" s="1"/>
  <c r="DO49" i="62"/>
  <c r="DP50" i="62" s="1"/>
  <c r="DI40" i="62"/>
  <c r="DJ41" i="62" s="1"/>
  <c r="DI42" i="62"/>
  <c r="DK36" i="62"/>
  <c r="DK34" i="62"/>
  <c r="DL35" i="62" s="1"/>
  <c r="DR59" i="62"/>
  <c r="DR58" i="62" s="1"/>
  <c r="DQ15" i="62"/>
  <c r="AS33" i="62"/>
  <c r="DR39" i="62"/>
  <c r="AR29" i="62"/>
  <c r="AQ5" i="62"/>
  <c r="DR7" i="62"/>
  <c r="DP9" i="62"/>
  <c r="DQ12" i="62"/>
  <c r="AO26" i="62"/>
  <c r="AO25" i="62" s="1"/>
  <c r="AN4" i="62"/>
  <c r="AS32" i="62"/>
  <c r="AS31" i="62" s="1"/>
  <c r="AR6" i="62"/>
  <c r="DR38" i="62"/>
  <c r="DR37" i="62" s="1"/>
  <c r="DQ8" i="62"/>
  <c r="AO23" i="62"/>
  <c r="AO22" i="62" s="1"/>
  <c r="AN3" i="62"/>
  <c r="DU47" i="62"/>
  <c r="DU46" i="62" s="1"/>
  <c r="DT11" i="62"/>
  <c r="DU56" i="62"/>
  <c r="DU55" i="62" s="1"/>
  <c r="DT14" i="62"/>
  <c r="DU44" i="62"/>
  <c r="DU43" i="62" s="1"/>
  <c r="DT10" i="62"/>
  <c r="DR60" i="62"/>
  <c r="AR28" i="62"/>
  <c r="AR30" i="62"/>
  <c r="DR24" i="62"/>
  <c r="DU48" i="62"/>
  <c r="DU57" i="62"/>
  <c r="DU45" i="62"/>
  <c r="DR51" i="62"/>
  <c r="AO27" i="62"/>
  <c r="DI52" i="62" l="1"/>
  <c r="DJ53" i="62" s="1"/>
  <c r="DI54" i="62"/>
  <c r="DP49" i="62"/>
  <c r="DQ50" i="62" s="1"/>
  <c r="DL36" i="62"/>
  <c r="DL34" i="62"/>
  <c r="DM35" i="62" s="1"/>
  <c r="DJ42" i="62"/>
  <c r="DJ40" i="62"/>
  <c r="DK41" i="62" s="1"/>
  <c r="DS38" i="62"/>
  <c r="DS37" i="62" s="1"/>
  <c r="DS8" i="62" s="1"/>
  <c r="DR8" i="62"/>
  <c r="AT32" i="62"/>
  <c r="AS6" i="62"/>
  <c r="AP26" i="62"/>
  <c r="AO4" i="62"/>
  <c r="DQ9" i="62"/>
  <c r="DR12" i="62"/>
  <c r="AS29" i="62"/>
  <c r="AR5" i="62"/>
  <c r="DS59" i="62"/>
  <c r="DS58" i="62" s="1"/>
  <c r="DR15" i="62"/>
  <c r="AP23" i="62"/>
  <c r="AP22" i="62" s="1"/>
  <c r="AO3" i="62"/>
  <c r="DS39" i="62"/>
  <c r="DT39" i="62" s="1"/>
  <c r="DU39" i="62" s="1"/>
  <c r="DV39" i="62" s="1"/>
  <c r="AT31" i="62"/>
  <c r="AT33" i="62"/>
  <c r="DV44" i="62"/>
  <c r="DV43" i="62" s="1"/>
  <c r="DU10" i="62"/>
  <c r="DV56" i="62"/>
  <c r="DV55" i="62" s="1"/>
  <c r="DU14" i="62"/>
  <c r="DV47" i="62"/>
  <c r="DV46" i="62" s="1"/>
  <c r="DU11" i="62"/>
  <c r="AP25" i="62"/>
  <c r="AP27" i="62"/>
  <c r="DS51" i="62"/>
  <c r="DV45" i="62"/>
  <c r="DV57" i="62"/>
  <c r="DV48" i="62"/>
  <c r="DS24" i="62"/>
  <c r="AS28" i="62"/>
  <c r="AS30" i="62"/>
  <c r="DS60" i="62"/>
  <c r="DJ54" i="62" l="1"/>
  <c r="DJ52" i="62"/>
  <c r="DK53" i="62" s="1"/>
  <c r="DQ49" i="62"/>
  <c r="DR50" i="62" s="1"/>
  <c r="DK42" i="62"/>
  <c r="DK40" i="62"/>
  <c r="DL41" i="62" s="1"/>
  <c r="DM36" i="62"/>
  <c r="DM34" i="62"/>
  <c r="DN35" i="62" s="1"/>
  <c r="AU33" i="62"/>
  <c r="AU31" i="62"/>
  <c r="AT29" i="62"/>
  <c r="AS5" i="62"/>
  <c r="DR9" i="62"/>
  <c r="AQ26" i="62"/>
  <c r="AQ25" i="62" s="1"/>
  <c r="AP4" i="62"/>
  <c r="AU32" i="62"/>
  <c r="AT6" i="62"/>
  <c r="AQ23" i="62"/>
  <c r="AQ22" i="62" s="1"/>
  <c r="AP3" i="62"/>
  <c r="DT38" i="62"/>
  <c r="DT59" i="62"/>
  <c r="DT58" i="62" s="1"/>
  <c r="DS15" i="62"/>
  <c r="DW47" i="62"/>
  <c r="DW46" i="62" s="1"/>
  <c r="DV11" i="62"/>
  <c r="DW56" i="62"/>
  <c r="DV14" i="62"/>
  <c r="DW44" i="62"/>
  <c r="DW43" i="62" s="1"/>
  <c r="DV10" i="62"/>
  <c r="DT60" i="62"/>
  <c r="AT28" i="62"/>
  <c r="AT30" i="62"/>
  <c r="DT24" i="62"/>
  <c r="DW48" i="62"/>
  <c r="DW39" i="62"/>
  <c r="DW55" i="62"/>
  <c r="DW57" i="62"/>
  <c r="DW45" i="62"/>
  <c r="DT51" i="62"/>
  <c r="AQ27" i="62"/>
  <c r="DK52" i="62" l="1"/>
  <c r="DL53" i="62" s="1"/>
  <c r="DK54" i="62"/>
  <c r="DR49" i="62"/>
  <c r="DS50" i="62" s="1"/>
  <c r="DN36" i="62"/>
  <c r="DN34" i="62"/>
  <c r="DO35" i="62" s="1"/>
  <c r="DL42" i="62"/>
  <c r="DL40" i="62"/>
  <c r="DM41" i="62" s="1"/>
  <c r="AR26" i="62"/>
  <c r="AR25" i="62" s="1"/>
  <c r="AQ4" i="62"/>
  <c r="AU29" i="62"/>
  <c r="AT5" i="62"/>
  <c r="AV32" i="62"/>
  <c r="AU6" i="62"/>
  <c r="DT37" i="62"/>
  <c r="DT8" i="62" s="1"/>
  <c r="AR23" i="62"/>
  <c r="AR22" i="62" s="1"/>
  <c r="AQ3" i="62"/>
  <c r="AV31" i="62"/>
  <c r="AV33" i="62"/>
  <c r="AR27" i="62"/>
  <c r="DU51" i="62"/>
  <c r="DX45" i="62"/>
  <c r="DX57" i="62"/>
  <c r="DX39" i="62"/>
  <c r="DX48" i="62"/>
  <c r="DU24" i="62"/>
  <c r="AU28" i="62"/>
  <c r="AU30" i="62"/>
  <c r="DU60" i="62"/>
  <c r="DX44" i="62"/>
  <c r="DX43" i="62" s="1"/>
  <c r="DW10" i="62"/>
  <c r="DX56" i="62"/>
  <c r="DX55" i="62" s="1"/>
  <c r="DW14" i="62"/>
  <c r="DX47" i="62"/>
  <c r="DX46" i="62" s="1"/>
  <c r="DW11" i="62"/>
  <c r="DU59" i="62"/>
  <c r="DU58" i="62" s="1"/>
  <c r="DT15" i="62"/>
  <c r="DL52" i="62" l="1"/>
  <c r="DM53" i="62" s="1"/>
  <c r="DL54" i="62"/>
  <c r="DS49" i="62"/>
  <c r="DS12" i="62" s="1"/>
  <c r="DM40" i="62"/>
  <c r="DN41" i="62" s="1"/>
  <c r="DM42" i="62"/>
  <c r="DO36" i="62"/>
  <c r="DO34" i="62"/>
  <c r="DP35" i="62" s="1"/>
  <c r="AW33" i="62"/>
  <c r="AW31" i="62"/>
  <c r="DU38" i="62"/>
  <c r="AV29" i="62"/>
  <c r="AU5" i="62"/>
  <c r="AS26" i="62"/>
  <c r="AS25" i="62" s="1"/>
  <c r="AR4" i="62"/>
  <c r="AW32" i="62"/>
  <c r="AV6" i="62"/>
  <c r="AS23" i="62"/>
  <c r="AS22" i="62" s="1"/>
  <c r="AR3" i="62"/>
  <c r="DV59" i="62"/>
  <c r="DV58" i="62" s="1"/>
  <c r="DU15" i="62"/>
  <c r="DY47" i="62"/>
  <c r="DY46" i="62" s="1"/>
  <c r="DX11" i="62"/>
  <c r="DY56" i="62"/>
  <c r="DY55" i="62" s="1"/>
  <c r="DX14" i="62"/>
  <c r="DY44" i="62"/>
  <c r="DY43" i="62" s="1"/>
  <c r="DX10" i="62"/>
  <c r="DV60" i="62"/>
  <c r="AV28" i="62"/>
  <c r="AV30" i="62"/>
  <c r="DV24" i="62"/>
  <c r="DY48" i="62"/>
  <c r="DY39" i="62"/>
  <c r="DY57" i="62"/>
  <c r="DY45" i="62"/>
  <c r="DV51" i="62"/>
  <c r="AS27" i="62"/>
  <c r="DT50" i="62" l="1"/>
  <c r="DM52" i="62"/>
  <c r="DN53" i="62" s="1"/>
  <c r="DM54" i="62"/>
  <c r="DT49" i="62"/>
  <c r="DT12" i="62" s="1"/>
  <c r="DP34" i="62"/>
  <c r="DQ35" i="62" s="1"/>
  <c r="DP36" i="62"/>
  <c r="DN42" i="62"/>
  <c r="DN40" i="62"/>
  <c r="DO41" i="62" s="1"/>
  <c r="AT26" i="62"/>
  <c r="AT25" i="62" s="1"/>
  <c r="AS4" i="62"/>
  <c r="AW29" i="62"/>
  <c r="AV5" i="62"/>
  <c r="AT23" i="62"/>
  <c r="AT22" i="62" s="1"/>
  <c r="AS3" i="62"/>
  <c r="AX32" i="62"/>
  <c r="AW6" i="62"/>
  <c r="DU37" i="62"/>
  <c r="DU8" i="62" s="1"/>
  <c r="AX31" i="62"/>
  <c r="AX33" i="62"/>
  <c r="DZ44" i="62"/>
  <c r="DY10" i="62"/>
  <c r="AT27" i="62"/>
  <c r="DW51" i="62"/>
  <c r="DZ43" i="62"/>
  <c r="DZ45" i="62"/>
  <c r="EA45" i="62" s="1"/>
  <c r="DZ55" i="62"/>
  <c r="DZ57" i="62"/>
  <c r="EA57" i="62" s="1"/>
  <c r="DZ37" i="62"/>
  <c r="DZ39" i="62"/>
  <c r="EA39" i="62" s="1"/>
  <c r="DZ46" i="62"/>
  <c r="DZ48" i="62"/>
  <c r="EA48" i="62" s="1"/>
  <c r="DW24" i="62"/>
  <c r="AW28" i="62"/>
  <c r="AW30" i="62"/>
  <c r="DW60" i="62"/>
  <c r="DZ56" i="62"/>
  <c r="DY14" i="62"/>
  <c r="DZ47" i="62"/>
  <c r="DY11" i="62"/>
  <c r="DW59" i="62"/>
  <c r="DW58" i="62" s="1"/>
  <c r="DV15" i="62"/>
  <c r="DU50" i="62" l="1"/>
  <c r="DN52" i="62"/>
  <c r="DO53" i="62" s="1"/>
  <c r="DN54" i="62"/>
  <c r="DU49" i="62"/>
  <c r="DU12" i="62" s="1"/>
  <c r="DO40" i="62"/>
  <c r="DP41" i="62" s="1"/>
  <c r="DO42" i="62"/>
  <c r="DQ34" i="62"/>
  <c r="DR35" i="62" s="1"/>
  <c r="DQ36" i="62"/>
  <c r="AY33" i="62"/>
  <c r="AY31" i="62"/>
  <c r="DV38" i="62"/>
  <c r="AX29" i="62"/>
  <c r="AW5" i="62"/>
  <c r="AU26" i="62"/>
  <c r="AU25" i="62" s="1"/>
  <c r="AT4" i="62"/>
  <c r="AY32" i="62"/>
  <c r="AX6" i="62"/>
  <c r="AU23" i="62"/>
  <c r="AU22" i="62" s="1"/>
  <c r="AT3" i="62"/>
  <c r="DX59" i="62"/>
  <c r="DX58" i="62" s="1"/>
  <c r="DW15" i="62"/>
  <c r="DZ11" i="62"/>
  <c r="EA47" i="62"/>
  <c r="EA46" i="62" s="1"/>
  <c r="DZ8" i="62"/>
  <c r="DZ14" i="62"/>
  <c r="EA56" i="62"/>
  <c r="EA55" i="62" s="1"/>
  <c r="DZ10" i="62"/>
  <c r="EA44" i="62"/>
  <c r="EA43" i="62" s="1"/>
  <c r="DX60" i="62"/>
  <c r="AX28" i="62"/>
  <c r="AX30" i="62"/>
  <c r="DX24" i="62"/>
  <c r="EB48" i="62"/>
  <c r="EC48" i="62" s="1"/>
  <c r="EB39" i="62"/>
  <c r="EB57" i="62"/>
  <c r="EC57" i="62" s="1"/>
  <c r="EB45" i="62"/>
  <c r="DX51" i="62"/>
  <c r="AU27" i="62"/>
  <c r="DV50" i="62" l="1"/>
  <c r="DO54" i="62"/>
  <c r="DO52" i="62"/>
  <c r="DP53" i="62" s="1"/>
  <c r="DV49" i="62"/>
  <c r="DV12" i="62" s="1"/>
  <c r="DR34" i="62"/>
  <c r="DS35" i="62" s="1"/>
  <c r="DR36" i="62"/>
  <c r="DP40" i="62"/>
  <c r="DQ41" i="62" s="1"/>
  <c r="DP42" i="62"/>
  <c r="AV26" i="62"/>
  <c r="AV25" i="62" s="1"/>
  <c r="AU4" i="62"/>
  <c r="AY29" i="62"/>
  <c r="AX5" i="62"/>
  <c r="AV23" i="62"/>
  <c r="AV22" i="62" s="1"/>
  <c r="AU3" i="62"/>
  <c r="AZ32" i="62"/>
  <c r="AY6" i="62"/>
  <c r="DV37" i="62"/>
  <c r="DV8" i="62" s="1"/>
  <c r="AZ33" i="62"/>
  <c r="AZ31" i="62"/>
  <c r="DY51" i="62"/>
  <c r="EC45" i="62"/>
  <c r="ED45" i="62" s="1"/>
  <c r="EE45" i="62" s="1"/>
  <c r="ED48" i="62"/>
  <c r="EE48" i="62" s="1"/>
  <c r="DY24" i="62"/>
  <c r="AY30" i="62"/>
  <c r="AY28" i="62"/>
  <c r="DY60" i="62"/>
  <c r="EA10" i="62"/>
  <c r="EB44" i="62"/>
  <c r="EB43" i="62" s="1"/>
  <c r="EA14" i="62"/>
  <c r="EB56" i="62"/>
  <c r="EB55" i="62" s="1"/>
  <c r="EA11" i="62"/>
  <c r="EB47" i="62"/>
  <c r="EB46" i="62" s="1"/>
  <c r="AV27" i="62"/>
  <c r="ED57" i="62"/>
  <c r="EE57" i="62" s="1"/>
  <c r="EF57" i="62" s="1"/>
  <c r="EG57" i="62" s="1"/>
  <c r="EC39" i="62"/>
  <c r="ED39" i="62" s="1"/>
  <c r="DY59" i="62"/>
  <c r="DY58" i="62" s="1"/>
  <c r="DX15" i="62"/>
  <c r="DW50" i="62" l="1"/>
  <c r="DP54" i="62"/>
  <c r="DP52" i="62"/>
  <c r="DQ53" i="62" s="1"/>
  <c r="DW49" i="62"/>
  <c r="DW12" i="62" s="1"/>
  <c r="DQ40" i="62"/>
  <c r="DR41" i="62" s="1"/>
  <c r="DQ42" i="62"/>
  <c r="DS36" i="62"/>
  <c r="DS34" i="62"/>
  <c r="AW26" i="62"/>
  <c r="AW25" i="62" s="1"/>
  <c r="AV4" i="62"/>
  <c r="AZ29" i="62"/>
  <c r="AY5" i="62"/>
  <c r="BA32" i="62"/>
  <c r="AZ6" i="62"/>
  <c r="DW38" i="62"/>
  <c r="BA33" i="62"/>
  <c r="BA31" i="62"/>
  <c r="AW23" i="62"/>
  <c r="AW22" i="62" s="1"/>
  <c r="AV3" i="62"/>
  <c r="DZ59" i="62"/>
  <c r="DY15" i="62"/>
  <c r="EH57" i="62"/>
  <c r="EI57" i="62" s="1"/>
  <c r="EJ57" i="62" s="1"/>
  <c r="EK57" i="62" s="1"/>
  <c r="EB11" i="62"/>
  <c r="EC47" i="62"/>
  <c r="EC46" i="62" s="1"/>
  <c r="AZ28" i="62"/>
  <c r="AZ30" i="62"/>
  <c r="EE39" i="62"/>
  <c r="EF39" i="62" s="1"/>
  <c r="EG39" i="62" s="1"/>
  <c r="EH39" i="62" s="1"/>
  <c r="EI39" i="62" s="1"/>
  <c r="AW27" i="62"/>
  <c r="EB14" i="62"/>
  <c r="EC56" i="62"/>
  <c r="EC55" i="62" s="1"/>
  <c r="EB10" i="62"/>
  <c r="EC44" i="62"/>
  <c r="EC43" i="62" s="1"/>
  <c r="DZ58" i="62"/>
  <c r="DZ60" i="62"/>
  <c r="EA60" i="62" s="1"/>
  <c r="EB60" i="62" s="1"/>
  <c r="DZ22" i="62"/>
  <c r="DZ24" i="62"/>
  <c r="EA24" i="62" s="1"/>
  <c r="EF48" i="62"/>
  <c r="EF45" i="62"/>
  <c r="DZ49" i="62"/>
  <c r="DZ51" i="62"/>
  <c r="EA51" i="62" s="1"/>
  <c r="DX50" i="62" l="1"/>
  <c r="DQ52" i="62"/>
  <c r="DR53" i="62" s="1"/>
  <c r="DQ54" i="62"/>
  <c r="DX49" i="62"/>
  <c r="DX12" i="62" s="1"/>
  <c r="DT35" i="62"/>
  <c r="DS7" i="62"/>
  <c r="DT34" i="62"/>
  <c r="DT36" i="62"/>
  <c r="DR40" i="62"/>
  <c r="DS41" i="62" s="1"/>
  <c r="DR42" i="62"/>
  <c r="AX26" i="62"/>
  <c r="AX25" i="62" s="1"/>
  <c r="AX4" i="62" s="1"/>
  <c r="AW4" i="62"/>
  <c r="AX23" i="62"/>
  <c r="AW3" i="62"/>
  <c r="BB33" i="62"/>
  <c r="BB31" i="62"/>
  <c r="BA29" i="62"/>
  <c r="AZ5" i="62"/>
  <c r="BB32" i="62"/>
  <c r="BA6" i="62"/>
  <c r="DW37" i="62"/>
  <c r="DW8" i="62" s="1"/>
  <c r="EG45" i="62"/>
  <c r="EH45" i="62" s="1"/>
  <c r="EC10" i="62"/>
  <c r="ED44" i="62"/>
  <c r="ED43" i="62" s="1"/>
  <c r="EJ39" i="62"/>
  <c r="EK39" i="62" s="1"/>
  <c r="BA28" i="62"/>
  <c r="BA30" i="62"/>
  <c r="EC11" i="62"/>
  <c r="ED47" i="62"/>
  <c r="ED46" i="62" s="1"/>
  <c r="EL57" i="62"/>
  <c r="EB51" i="62"/>
  <c r="EG48" i="62"/>
  <c r="EB24" i="62"/>
  <c r="EC24" i="62" s="1"/>
  <c r="EC60" i="62"/>
  <c r="EC14" i="62"/>
  <c r="ED56" i="62"/>
  <c r="ED55" i="62" s="1"/>
  <c r="AX27" i="62"/>
  <c r="DZ12" i="62"/>
  <c r="DZ3" i="62"/>
  <c r="DZ15" i="62"/>
  <c r="EA59" i="62"/>
  <c r="EA58" i="62" s="1"/>
  <c r="DY50" i="62" l="1"/>
  <c r="DR52" i="62"/>
  <c r="DS53" i="62" s="1"/>
  <c r="DR54" i="62"/>
  <c r="DY49" i="62"/>
  <c r="DY12" i="62" s="1"/>
  <c r="DS42" i="62"/>
  <c r="DS40" i="62"/>
  <c r="DU36" i="62"/>
  <c r="DU34" i="62"/>
  <c r="DT7" i="62"/>
  <c r="DU35" i="62"/>
  <c r="AY26" i="62"/>
  <c r="AY25" i="62" s="1"/>
  <c r="AX22" i="62"/>
  <c r="AY23" i="62" s="1"/>
  <c r="BB29" i="62"/>
  <c r="BA5" i="62"/>
  <c r="DX38" i="62"/>
  <c r="BC32" i="62"/>
  <c r="BB6" i="62"/>
  <c r="BC33" i="62"/>
  <c r="BC31" i="62"/>
  <c r="AY3" i="62"/>
  <c r="ED60" i="62"/>
  <c r="EE60" i="62" s="1"/>
  <c r="EH48" i="62"/>
  <c r="ED11" i="62"/>
  <c r="EE47" i="62"/>
  <c r="EE46" i="62" s="1"/>
  <c r="EL39" i="62"/>
  <c r="ED10" i="62"/>
  <c r="EE44" i="62"/>
  <c r="EE43" i="62" s="1"/>
  <c r="EI45" i="62"/>
  <c r="EA15" i="62"/>
  <c r="EB59" i="62"/>
  <c r="EB58" i="62" s="1"/>
  <c r="AY27" i="62"/>
  <c r="ED14" i="62"/>
  <c r="EE56" i="62"/>
  <c r="EE55" i="62" s="1"/>
  <c r="ED24" i="62"/>
  <c r="EE24" i="62" s="1"/>
  <c r="EC51" i="62"/>
  <c r="EM57" i="62"/>
  <c r="BB28" i="62"/>
  <c r="BB30" i="62"/>
  <c r="DZ50" i="62" l="1"/>
  <c r="EA50" i="62" s="1"/>
  <c r="EA49" i="62" s="1"/>
  <c r="EA12" i="62" s="1"/>
  <c r="DS52" i="62"/>
  <c r="DS13" i="62" s="1"/>
  <c r="DS54" i="62"/>
  <c r="DU7" i="62"/>
  <c r="DV35" i="62"/>
  <c r="DV34" i="62"/>
  <c r="DV36" i="62"/>
  <c r="DT41" i="62"/>
  <c r="DS9" i="62"/>
  <c r="DT40" i="62"/>
  <c r="DT42" i="62"/>
  <c r="AY22" i="62"/>
  <c r="AZ23" i="62" s="1"/>
  <c r="AZ26" i="62"/>
  <c r="AZ25" i="62" s="1"/>
  <c r="AY4" i="62"/>
  <c r="AZ3" i="62"/>
  <c r="BD33" i="62"/>
  <c r="BD31" i="62"/>
  <c r="BC29" i="62"/>
  <c r="BB5" i="62"/>
  <c r="BD32" i="62"/>
  <c r="BC6" i="62"/>
  <c r="DX37" i="62"/>
  <c r="DX8" i="62" s="1"/>
  <c r="EN57" i="62"/>
  <c r="EO57" i="62" s="1"/>
  <c r="EE14" i="62"/>
  <c r="EF56" i="62"/>
  <c r="EF55" i="62" s="1"/>
  <c r="EJ45" i="62"/>
  <c r="EE11" i="62"/>
  <c r="EF47" i="62"/>
  <c r="EF46" i="62" s="1"/>
  <c r="EI48" i="62"/>
  <c r="EJ48" i="62" s="1"/>
  <c r="EF60" i="62"/>
  <c r="BC28" i="62"/>
  <c r="BC30" i="62"/>
  <c r="ED51" i="62"/>
  <c r="EE51" i="62" s="1"/>
  <c r="EF24" i="62"/>
  <c r="EG24" i="62" s="1"/>
  <c r="EH24" i="62" s="1"/>
  <c r="AZ27" i="62"/>
  <c r="EB15" i="62"/>
  <c r="EC59" i="62"/>
  <c r="EC58" i="62" s="1"/>
  <c r="EE10" i="62"/>
  <c r="EF44" i="62"/>
  <c r="EF43" i="62" s="1"/>
  <c r="EM39" i="62"/>
  <c r="DT53" i="62" l="1"/>
  <c r="EB50" i="62"/>
  <c r="EB49" i="62" s="1"/>
  <c r="DT54" i="62"/>
  <c r="DT52" i="62"/>
  <c r="DT13" i="62" s="1"/>
  <c r="DU42" i="62"/>
  <c r="DU40" i="62"/>
  <c r="DU41" i="62"/>
  <c r="DT9" i="62"/>
  <c r="DW34" i="62"/>
  <c r="DW7" i="62" s="1"/>
  <c r="DW36" i="62"/>
  <c r="DW35" i="62"/>
  <c r="DX35" i="62" s="1"/>
  <c r="DV7" i="62"/>
  <c r="AZ22" i="62"/>
  <c r="BA23" i="62" s="1"/>
  <c r="DY38" i="62"/>
  <c r="BE32" i="62"/>
  <c r="BD6" i="62"/>
  <c r="BA26" i="62"/>
  <c r="BA25" i="62" s="1"/>
  <c r="AZ4" i="62"/>
  <c r="BD29" i="62"/>
  <c r="BC5" i="62"/>
  <c r="BE33" i="62"/>
  <c r="BE31" i="62"/>
  <c r="BA3" i="62"/>
  <c r="EN39" i="62"/>
  <c r="EI24" i="62"/>
  <c r="EJ24" i="62" s="1"/>
  <c r="BD28" i="62"/>
  <c r="BD30" i="62"/>
  <c r="EG60" i="62"/>
  <c r="EH60" i="62" s="1"/>
  <c r="EF11" i="62"/>
  <c r="EG47" i="62"/>
  <c r="EG46" i="62" s="1"/>
  <c r="EK45" i="62"/>
  <c r="EL45" i="62" s="1"/>
  <c r="EF14" i="62"/>
  <c r="EG56" i="62"/>
  <c r="EG55" i="62" s="1"/>
  <c r="EP57" i="62"/>
  <c r="EF10" i="62"/>
  <c r="EG44" i="62"/>
  <c r="EG43" i="62" s="1"/>
  <c r="EC15" i="62"/>
  <c r="ED59" i="62"/>
  <c r="ED58" i="62" s="1"/>
  <c r="BA27" i="62"/>
  <c r="EF51" i="62"/>
  <c r="EK48" i="62"/>
  <c r="DU53" i="62" l="1"/>
  <c r="EC50" i="62"/>
  <c r="EC49" i="62" s="1"/>
  <c r="EB12" i="62"/>
  <c r="DU52" i="62"/>
  <c r="DU13" i="62" s="1"/>
  <c r="DU54" i="62"/>
  <c r="DX36" i="62"/>
  <c r="DX34" i="62"/>
  <c r="DU9" i="62"/>
  <c r="DV41" i="62"/>
  <c r="DV42" i="62"/>
  <c r="DV40" i="62"/>
  <c r="BA22" i="62"/>
  <c r="BB23" i="62" s="1"/>
  <c r="BB22" i="62" s="1"/>
  <c r="BC23" i="62" s="1"/>
  <c r="BC22" i="62" s="1"/>
  <c r="BE29" i="62"/>
  <c r="BD5" i="62"/>
  <c r="BB3" i="62"/>
  <c r="BF31" i="62"/>
  <c r="BF33" i="62"/>
  <c r="BB26" i="62"/>
  <c r="BB25" i="62" s="1"/>
  <c r="BA4" i="62"/>
  <c r="BF32" i="62"/>
  <c r="BE6" i="62"/>
  <c r="DY37" i="62"/>
  <c r="DY8" i="62" s="1"/>
  <c r="BB27" i="62"/>
  <c r="EG10" i="62"/>
  <c r="EH44" i="62"/>
  <c r="EH43" i="62" s="1"/>
  <c r="EG14" i="62"/>
  <c r="EH56" i="62"/>
  <c r="EH55" i="62" s="1"/>
  <c r="EM45" i="62"/>
  <c r="EN45" i="62" s="1"/>
  <c r="EG11" i="62"/>
  <c r="EH47" i="62"/>
  <c r="EH46" i="62" s="1"/>
  <c r="EI60" i="62"/>
  <c r="BE28" i="62"/>
  <c r="BE30" i="62"/>
  <c r="EK24" i="62"/>
  <c r="EL24" i="62" s="1"/>
  <c r="EO39" i="62"/>
  <c r="EP39" i="62" s="1"/>
  <c r="EL48" i="62"/>
  <c r="EG51" i="62"/>
  <c r="ED15" i="62"/>
  <c r="EE59" i="62"/>
  <c r="EE58" i="62" s="1"/>
  <c r="EQ57" i="62"/>
  <c r="DV53" i="62" l="1"/>
  <c r="EC12" i="62"/>
  <c r="ED50" i="62"/>
  <c r="ED49" i="62" s="1"/>
  <c r="DV54" i="62"/>
  <c r="DV52" i="62"/>
  <c r="DV13" i="62" s="1"/>
  <c r="DW41" i="62"/>
  <c r="DV9" i="62"/>
  <c r="DW40" i="62"/>
  <c r="DW42" i="62"/>
  <c r="DX7" i="62"/>
  <c r="DY35" i="62"/>
  <c r="DY34" i="62"/>
  <c r="DY36" i="62"/>
  <c r="DZ38" i="62"/>
  <c r="EA38" i="62" s="1"/>
  <c r="BG33" i="62"/>
  <c r="BG31" i="62"/>
  <c r="BF29" i="62"/>
  <c r="BE5" i="62"/>
  <c r="BC26" i="62"/>
  <c r="BC25" i="62" s="1"/>
  <c r="BB4" i="62"/>
  <c r="BG32" i="62"/>
  <c r="BF6" i="62"/>
  <c r="BD23" i="62"/>
  <c r="BD22" i="62" s="1"/>
  <c r="BC3" i="62"/>
  <c r="EE15" i="62"/>
  <c r="EF59" i="62"/>
  <c r="EF58" i="62" s="1"/>
  <c r="BF28" i="62"/>
  <c r="BF30" i="62"/>
  <c r="EH11" i="62"/>
  <c r="EI47" i="62"/>
  <c r="EI46" i="62" s="1"/>
  <c r="EO45" i="62"/>
  <c r="EH14" i="62"/>
  <c r="EI56" i="62"/>
  <c r="EI55" i="62" s="1"/>
  <c r="EH10" i="62"/>
  <c r="EI44" i="62"/>
  <c r="EI43" i="62" s="1"/>
  <c r="BC27" i="62"/>
  <c r="ER57" i="62"/>
  <c r="ES57" i="62" s="1"/>
  <c r="EH51" i="62"/>
  <c r="EI51" i="62" s="1"/>
  <c r="EM48" i="62"/>
  <c r="EQ39" i="62"/>
  <c r="EM24" i="62"/>
  <c r="EJ60" i="62"/>
  <c r="DW53" i="62" l="1"/>
  <c r="EE50" i="62"/>
  <c r="EE49" i="62" s="1"/>
  <c r="ED12" i="62"/>
  <c r="DW54" i="62"/>
  <c r="DW52" i="62"/>
  <c r="DW13" i="62" s="1"/>
  <c r="DZ34" i="62"/>
  <c r="DZ36" i="62"/>
  <c r="DY7" i="62"/>
  <c r="DZ35" i="62"/>
  <c r="DX40" i="62"/>
  <c r="DX42" i="62"/>
  <c r="DX41" i="62"/>
  <c r="DW9" i="62"/>
  <c r="BG29" i="62"/>
  <c r="BF5" i="62"/>
  <c r="BE23" i="62"/>
  <c r="BE22" i="62" s="1"/>
  <c r="BD3" i="62"/>
  <c r="BH31" i="62"/>
  <c r="BH33" i="62"/>
  <c r="BD26" i="62"/>
  <c r="BD25" i="62" s="1"/>
  <c r="BC4" i="62"/>
  <c r="BH32" i="62"/>
  <c r="BG6" i="62"/>
  <c r="EA37" i="62"/>
  <c r="EA8" i="62" s="1"/>
  <c r="EK60" i="62"/>
  <c r="EL60" i="62" s="1"/>
  <c r="EN24" i="62"/>
  <c r="EJ51" i="62"/>
  <c r="EI10" i="62"/>
  <c r="EJ44" i="62"/>
  <c r="EJ43" i="62" s="1"/>
  <c r="EI11" i="62"/>
  <c r="EJ47" i="62"/>
  <c r="EJ46" i="62" s="1"/>
  <c r="BG28" i="62"/>
  <c r="BG30" i="62"/>
  <c r="EF15" i="62"/>
  <c r="EG59" i="62"/>
  <c r="EG58" i="62" s="1"/>
  <c r="ER39" i="62"/>
  <c r="ES39" i="62" s="1"/>
  <c r="EN48" i="62"/>
  <c r="ET57" i="62"/>
  <c r="EU57" i="62" s="1"/>
  <c r="BD27" i="62"/>
  <c r="EI14" i="62"/>
  <c r="EJ56" i="62"/>
  <c r="EJ55" i="62" s="1"/>
  <c r="EP45" i="62"/>
  <c r="EQ45" i="62" s="1"/>
  <c r="DX53" i="62" l="1"/>
  <c r="EE12" i="62"/>
  <c r="EF50" i="62"/>
  <c r="EF49" i="62" s="1"/>
  <c r="DX52" i="62"/>
  <c r="DX13" i="62" s="1"/>
  <c r="DX54" i="62"/>
  <c r="DY40" i="62"/>
  <c r="DY42" i="62"/>
  <c r="DY41" i="62"/>
  <c r="DX9" i="62"/>
  <c r="EA36" i="62"/>
  <c r="EA34" i="62"/>
  <c r="DZ7" i="62"/>
  <c r="EA35" i="62"/>
  <c r="BH29" i="62"/>
  <c r="BG5" i="62"/>
  <c r="EB38" i="62"/>
  <c r="BI33" i="62"/>
  <c r="BI31" i="62"/>
  <c r="BE26" i="62"/>
  <c r="BE25" i="62" s="1"/>
  <c r="BD4" i="62"/>
  <c r="BI32" i="62"/>
  <c r="BH6" i="62"/>
  <c r="BF23" i="62"/>
  <c r="BF22" i="62" s="1"/>
  <c r="BE3" i="62"/>
  <c r="ER45" i="62"/>
  <c r="BE27" i="62"/>
  <c r="EV57" i="62"/>
  <c r="ET39" i="62"/>
  <c r="EU39" i="62" s="1"/>
  <c r="BH28" i="62"/>
  <c r="BH30" i="62"/>
  <c r="EJ10" i="62"/>
  <c r="EK44" i="62"/>
  <c r="EK43" i="62" s="1"/>
  <c r="EK51" i="62"/>
  <c r="EL51" i="62" s="1"/>
  <c r="EM51" i="62" s="1"/>
  <c r="EO24" i="62"/>
  <c r="EM60" i="62"/>
  <c r="EN60" i="62" s="1"/>
  <c r="EJ14" i="62"/>
  <c r="EK56" i="62"/>
  <c r="EK55" i="62" s="1"/>
  <c r="EO48" i="62"/>
  <c r="EP48" i="62" s="1"/>
  <c r="EG15" i="62"/>
  <c r="EH59" i="62"/>
  <c r="EH58" i="62" s="1"/>
  <c r="EJ11" i="62"/>
  <c r="EK47" i="62"/>
  <c r="EK46" i="62" s="1"/>
  <c r="DY53" i="62" l="1"/>
  <c r="EF12" i="62"/>
  <c r="EG50" i="62"/>
  <c r="EG49" i="62" s="1"/>
  <c r="DY52" i="62"/>
  <c r="DY13" i="62" s="1"/>
  <c r="DY54" i="62"/>
  <c r="EA7" i="62"/>
  <c r="EB35" i="62"/>
  <c r="EB34" i="62"/>
  <c r="EB7" i="62" s="1"/>
  <c r="EB36" i="62"/>
  <c r="DZ40" i="62"/>
  <c r="DZ42" i="62"/>
  <c r="DZ41" i="62"/>
  <c r="DY9" i="62"/>
  <c r="BG23" i="62"/>
  <c r="BG22" i="62" s="1"/>
  <c r="BF3" i="62"/>
  <c r="BJ33" i="62"/>
  <c r="BJ31" i="62"/>
  <c r="BI29" i="62"/>
  <c r="BH5" i="62"/>
  <c r="BF26" i="62"/>
  <c r="BF25" i="62" s="1"/>
  <c r="BE4" i="62"/>
  <c r="BJ32" i="62"/>
  <c r="BI6" i="62"/>
  <c r="EB37" i="62"/>
  <c r="EB8" i="62" s="1"/>
  <c r="EK11" i="62"/>
  <c r="EL47" i="62"/>
  <c r="EL46" i="62" s="1"/>
  <c r="EH15" i="62"/>
  <c r="EI59" i="62"/>
  <c r="EI58" i="62" s="1"/>
  <c r="EQ48" i="62"/>
  <c r="ER48" i="62" s="1"/>
  <c r="EK14" i="62"/>
  <c r="EL56" i="62"/>
  <c r="EL55" i="62" s="1"/>
  <c r="EN51" i="62"/>
  <c r="BI28" i="62"/>
  <c r="BI30" i="62"/>
  <c r="EV39" i="62"/>
  <c r="EW57" i="62"/>
  <c r="EX57" i="62" s="1"/>
  <c r="BF27" i="62"/>
  <c r="ES45" i="62"/>
  <c r="EO60" i="62"/>
  <c r="EP60" i="62" s="1"/>
  <c r="EP24" i="62"/>
  <c r="EQ24" i="62" s="1"/>
  <c r="EK10" i="62"/>
  <c r="EL44" i="62"/>
  <c r="EL43" i="62" s="1"/>
  <c r="DZ53" i="62" l="1"/>
  <c r="EG12" i="62"/>
  <c r="EH50" i="62"/>
  <c r="EH49" i="62" s="1"/>
  <c r="DZ52" i="62"/>
  <c r="DZ13" i="62" s="1"/>
  <c r="DZ54" i="62"/>
  <c r="EC35" i="62"/>
  <c r="EA42" i="62"/>
  <c r="EA40" i="62"/>
  <c r="DZ9" i="62"/>
  <c r="EA41" i="62"/>
  <c r="EC36" i="62"/>
  <c r="EC34" i="62"/>
  <c r="EC38" i="62"/>
  <c r="BK32" i="62"/>
  <c r="BJ6" i="62"/>
  <c r="BG26" i="62"/>
  <c r="BG25" i="62" s="1"/>
  <c r="BF4" i="62"/>
  <c r="BJ29" i="62"/>
  <c r="BI5" i="62"/>
  <c r="BK31" i="62"/>
  <c r="BK33" i="62"/>
  <c r="BH23" i="62"/>
  <c r="BH22" i="62" s="1"/>
  <c r="BG3" i="62"/>
  <c r="EL10" i="62"/>
  <c r="EM44" i="62"/>
  <c r="EM43" i="62" s="1"/>
  <c r="ER24" i="62"/>
  <c r="ES24" i="62" s="1"/>
  <c r="EY57" i="62"/>
  <c r="EW39" i="62"/>
  <c r="BJ28" i="62"/>
  <c r="BJ30" i="62"/>
  <c r="EO51" i="62"/>
  <c r="EL14" i="62"/>
  <c r="EM56" i="62"/>
  <c r="EM55" i="62" s="1"/>
  <c r="ES48" i="62"/>
  <c r="ET48" i="62" s="1"/>
  <c r="EI15" i="62"/>
  <c r="EJ59" i="62"/>
  <c r="EJ58" i="62" s="1"/>
  <c r="EL11" i="62"/>
  <c r="EM47" i="62"/>
  <c r="EM46" i="62" s="1"/>
  <c r="EQ60" i="62"/>
  <c r="ET45" i="62"/>
  <c r="BG27" i="62"/>
  <c r="EA53" i="62" l="1"/>
  <c r="EH12" i="62"/>
  <c r="EI50" i="62"/>
  <c r="EI49" i="62" s="1"/>
  <c r="EA54" i="62"/>
  <c r="EA52" i="62"/>
  <c r="EA13" i="62" s="1"/>
  <c r="EC7" i="62"/>
  <c r="ED35" i="62"/>
  <c r="ED36" i="62"/>
  <c r="ED34" i="62"/>
  <c r="ED7" i="62" s="1"/>
  <c r="EA9" i="62"/>
  <c r="EB41" i="62"/>
  <c r="EB40" i="62"/>
  <c r="EB42" i="62"/>
  <c r="BI23" i="62"/>
  <c r="BI22" i="62" s="1"/>
  <c r="BH3" i="62"/>
  <c r="BL32" i="62"/>
  <c r="BK6" i="62"/>
  <c r="BH26" i="62"/>
  <c r="BH25" i="62" s="1"/>
  <c r="BG4" i="62"/>
  <c r="BK29" i="62"/>
  <c r="BJ5" i="62"/>
  <c r="BL33" i="62"/>
  <c r="BL31" i="62"/>
  <c r="EC37" i="62"/>
  <c r="EC8" i="62" s="1"/>
  <c r="EJ15" i="62"/>
  <c r="EK59" i="62"/>
  <c r="EK58" i="62" s="1"/>
  <c r="EM14" i="62"/>
  <c r="EN56" i="62"/>
  <c r="EN55" i="62" s="1"/>
  <c r="EP51" i="62"/>
  <c r="EQ51" i="62" s="1"/>
  <c r="BK28" i="62"/>
  <c r="BK30" i="62"/>
  <c r="EX39" i="62"/>
  <c r="EY39" i="62" s="1"/>
  <c r="EZ57" i="62"/>
  <c r="FA57" i="62" s="1"/>
  <c r="ET24" i="62"/>
  <c r="EM10" i="62"/>
  <c r="EN44" i="62"/>
  <c r="EN43" i="62" s="1"/>
  <c r="BH27" i="62"/>
  <c r="EU45" i="62"/>
  <c r="ER60" i="62"/>
  <c r="ES60" i="62" s="1"/>
  <c r="EM11" i="62"/>
  <c r="EN47" i="62"/>
  <c r="EN46" i="62" s="1"/>
  <c r="EU48" i="62"/>
  <c r="EB53" i="62" l="1"/>
  <c r="EJ50" i="62"/>
  <c r="EJ49" i="62" s="1"/>
  <c r="EI12" i="62"/>
  <c r="EB52" i="62"/>
  <c r="EB13" i="62" s="1"/>
  <c r="EB54" i="62"/>
  <c r="EE35" i="62"/>
  <c r="EC40" i="62"/>
  <c r="EC42" i="62"/>
  <c r="EB9" i="62"/>
  <c r="EC41" i="62"/>
  <c r="EE36" i="62"/>
  <c r="EE34" i="62"/>
  <c r="BL29" i="62"/>
  <c r="BK5" i="62"/>
  <c r="ED38" i="62"/>
  <c r="BM32" i="62"/>
  <c r="BL6" i="62"/>
  <c r="BI26" i="62"/>
  <c r="BI25" i="62" s="1"/>
  <c r="BH4" i="62"/>
  <c r="BM33" i="62"/>
  <c r="BM31" i="62"/>
  <c r="BJ23" i="62"/>
  <c r="BJ22" i="62" s="1"/>
  <c r="BI3" i="62"/>
  <c r="EN11" i="62"/>
  <c r="EO47" i="62"/>
  <c r="EO46" i="62" s="1"/>
  <c r="EV45" i="62"/>
  <c r="EW45" i="62" s="1"/>
  <c r="BI27" i="62"/>
  <c r="EU24" i="62"/>
  <c r="EZ39" i="62"/>
  <c r="ER51" i="62"/>
  <c r="ES51" i="62" s="1"/>
  <c r="EN14" i="62"/>
  <c r="EO56" i="62"/>
  <c r="EO55" i="62" s="1"/>
  <c r="EK15" i="62"/>
  <c r="EL59" i="62"/>
  <c r="EL58" i="62" s="1"/>
  <c r="EV48" i="62"/>
  <c r="ET60" i="62"/>
  <c r="EN10" i="62"/>
  <c r="EO44" i="62"/>
  <c r="EO43" i="62" s="1"/>
  <c r="FB57" i="62"/>
  <c r="BL28" i="62"/>
  <c r="BL30" i="62"/>
  <c r="EC53" i="62" l="1"/>
  <c r="EJ12" i="62"/>
  <c r="EK50" i="62"/>
  <c r="EK49" i="62" s="1"/>
  <c r="EC54" i="62"/>
  <c r="EC52" i="62"/>
  <c r="EC13" i="62" s="1"/>
  <c r="EE7" i="62"/>
  <c r="EF35" i="62"/>
  <c r="EF36" i="62"/>
  <c r="EF34" i="62"/>
  <c r="ED40" i="62"/>
  <c r="ED42" i="62"/>
  <c r="EC9" i="62"/>
  <c r="ED41" i="62"/>
  <c r="BM29" i="62"/>
  <c r="BL5" i="62"/>
  <c r="BJ26" i="62"/>
  <c r="BJ25" i="62" s="1"/>
  <c r="BI4" i="62"/>
  <c r="BK23" i="62"/>
  <c r="BK22" i="62" s="1"/>
  <c r="BJ3" i="62"/>
  <c r="BN31" i="62"/>
  <c r="BN33" i="62"/>
  <c r="BN32" i="62"/>
  <c r="BM6" i="62"/>
  <c r="ED37" i="62"/>
  <c r="ED8" i="62" s="1"/>
  <c r="BM28" i="62"/>
  <c r="BM30" i="62"/>
  <c r="FC57" i="62"/>
  <c r="EU60" i="62"/>
  <c r="EV60" i="62" s="1"/>
  <c r="EO14" i="62"/>
  <c r="EP56" i="62"/>
  <c r="EP55" i="62" s="1"/>
  <c r="FA39" i="62"/>
  <c r="FB39" i="62" s="1"/>
  <c r="EV24" i="62"/>
  <c r="BJ27" i="62"/>
  <c r="EX45" i="62"/>
  <c r="EO11" i="62"/>
  <c r="EP47" i="62"/>
  <c r="EP46" i="62" s="1"/>
  <c r="EO10" i="62"/>
  <c r="EP44" i="62"/>
  <c r="EP43" i="62" s="1"/>
  <c r="EW48" i="62"/>
  <c r="EL15" i="62"/>
  <c r="EM59" i="62"/>
  <c r="EM58" i="62" s="1"/>
  <c r="ET51" i="62"/>
  <c r="EK12" i="62" l="1"/>
  <c r="EL50" i="62"/>
  <c r="EL49" i="62" s="1"/>
  <c r="ED53" i="62"/>
  <c r="ED52" i="62"/>
  <c r="ED13" i="62" s="1"/>
  <c r="ED54" i="62"/>
  <c r="EE40" i="62"/>
  <c r="EE42" i="62"/>
  <c r="ED9" i="62"/>
  <c r="EE41" i="62"/>
  <c r="EF7" i="62"/>
  <c r="EG35" i="62"/>
  <c r="EG34" i="62"/>
  <c r="EG36" i="62"/>
  <c r="BK26" i="62"/>
  <c r="BK25" i="62" s="1"/>
  <c r="BJ4" i="62"/>
  <c r="BN29" i="62"/>
  <c r="BM5" i="62"/>
  <c r="BO32" i="62"/>
  <c r="BN6" i="62"/>
  <c r="BL23" i="62"/>
  <c r="BL22" i="62" s="1"/>
  <c r="BK3" i="62"/>
  <c r="EE38" i="62"/>
  <c r="BO31" i="62"/>
  <c r="BO33" i="62"/>
  <c r="EU51" i="62"/>
  <c r="EX48" i="62"/>
  <c r="EY45" i="62"/>
  <c r="EZ45" i="62" s="1"/>
  <c r="FA45" i="62" s="1"/>
  <c r="EP14" i="62"/>
  <c r="EQ56" i="62"/>
  <c r="EQ55" i="62" s="1"/>
  <c r="EW60" i="62"/>
  <c r="FD57" i="62"/>
  <c r="FE57" i="62" s="1"/>
  <c r="BN28" i="62"/>
  <c r="BN30" i="62"/>
  <c r="EM15" i="62"/>
  <c r="EN59" i="62"/>
  <c r="EN58" i="62" s="1"/>
  <c r="EP10" i="62"/>
  <c r="EQ44" i="62"/>
  <c r="EQ43" i="62" s="1"/>
  <c r="EP11" i="62"/>
  <c r="EQ47" i="62"/>
  <c r="EQ46" i="62" s="1"/>
  <c r="BK27" i="62"/>
  <c r="EW24" i="62"/>
  <c r="EX24" i="62" s="1"/>
  <c r="FC39" i="62"/>
  <c r="FD39" i="62" s="1"/>
  <c r="EE53" i="62" l="1"/>
  <c r="EM50" i="62"/>
  <c r="EM49" i="62" s="1"/>
  <c r="EL12" i="62"/>
  <c r="EE52" i="62"/>
  <c r="EE13" i="62" s="1"/>
  <c r="EE54" i="62"/>
  <c r="EH34" i="62"/>
  <c r="EH7" i="62" s="1"/>
  <c r="EH36" i="62"/>
  <c r="EH35" i="62"/>
  <c r="EI35" i="62" s="1"/>
  <c r="EG7" i="62"/>
  <c r="EF42" i="62"/>
  <c r="EF40" i="62"/>
  <c r="EE9" i="62"/>
  <c r="EF41" i="62"/>
  <c r="BL26" i="62"/>
  <c r="BL25" i="62" s="1"/>
  <c r="BK4" i="62"/>
  <c r="BP33" i="62"/>
  <c r="BP31" i="62"/>
  <c r="EE37" i="62"/>
  <c r="EE8" i="62" s="1"/>
  <c r="BM23" i="62"/>
  <c r="BM22" i="62" s="1"/>
  <c r="BL3" i="62"/>
  <c r="BO29" i="62"/>
  <c r="BN5" i="62"/>
  <c r="BP32" i="62"/>
  <c r="BO6" i="62"/>
  <c r="EY24" i="62"/>
  <c r="BL27" i="62"/>
  <c r="EQ10" i="62"/>
  <c r="ER44" i="62"/>
  <c r="ER43" i="62" s="1"/>
  <c r="FF57" i="62"/>
  <c r="EX60" i="62"/>
  <c r="EY60" i="62" s="1"/>
  <c r="EQ14" i="62"/>
  <c r="ER56" i="62"/>
  <c r="ER55" i="62" s="1"/>
  <c r="FB45" i="62"/>
  <c r="EY48" i="62"/>
  <c r="EV51" i="62"/>
  <c r="FE39" i="62"/>
  <c r="FF39" i="62" s="1"/>
  <c r="EQ11" i="62"/>
  <c r="ER47" i="62"/>
  <c r="ER46" i="62" s="1"/>
  <c r="EN15" i="62"/>
  <c r="EO59" i="62"/>
  <c r="EO58" i="62" s="1"/>
  <c r="BO28" i="62"/>
  <c r="BO30" i="62"/>
  <c r="EF53" i="62" l="1"/>
  <c r="EM12" i="62"/>
  <c r="EN50" i="62"/>
  <c r="EN49" i="62" s="1"/>
  <c r="EF52" i="62"/>
  <c r="EF13" i="62" s="1"/>
  <c r="EF54" i="62"/>
  <c r="EF9" i="62"/>
  <c r="EG41" i="62"/>
  <c r="EG40" i="62"/>
  <c r="EG42" i="62"/>
  <c r="EI34" i="62"/>
  <c r="EI36" i="62"/>
  <c r="BM26" i="62"/>
  <c r="BM25" i="62" s="1"/>
  <c r="BL4" i="62"/>
  <c r="BP29" i="62"/>
  <c r="BO5" i="62"/>
  <c r="BN23" i="62"/>
  <c r="BN22" i="62" s="1"/>
  <c r="BM3" i="62"/>
  <c r="BQ33" i="62"/>
  <c r="BQ31" i="62"/>
  <c r="EF38" i="62"/>
  <c r="BQ32" i="62"/>
  <c r="BP6" i="62"/>
  <c r="BP28" i="62"/>
  <c r="BP30" i="62"/>
  <c r="EO15" i="62"/>
  <c r="EP59" i="62"/>
  <c r="EP58" i="62" s="1"/>
  <c r="ER11" i="62"/>
  <c r="ES47" i="62"/>
  <c r="ES46" i="62" s="1"/>
  <c r="EZ48" i="62"/>
  <c r="FA48" i="62" s="1"/>
  <c r="FC45" i="62"/>
  <c r="ER14" i="62"/>
  <c r="ES56" i="62"/>
  <c r="ES55" i="62" s="1"/>
  <c r="EZ60" i="62"/>
  <c r="FG57" i="62"/>
  <c r="FH57" i="62" s="1"/>
  <c r="ER10" i="62"/>
  <c r="ES44" i="62"/>
  <c r="ES43" i="62" s="1"/>
  <c r="BM27" i="62"/>
  <c r="EZ24" i="62"/>
  <c r="FG39" i="62"/>
  <c r="EW51" i="62"/>
  <c r="EG53" i="62" l="1"/>
  <c r="EN12" i="62"/>
  <c r="EO50" i="62"/>
  <c r="EO49" i="62" s="1"/>
  <c r="EG54" i="62"/>
  <c r="EG52" i="62"/>
  <c r="EG13" i="62" s="1"/>
  <c r="EJ36" i="62"/>
  <c r="EJ34" i="62"/>
  <c r="EJ7" i="62" s="1"/>
  <c r="EI7" i="62"/>
  <c r="EJ35" i="62"/>
  <c r="EK35" i="62" s="1"/>
  <c r="EH40" i="62"/>
  <c r="EH42" i="62"/>
  <c r="EH41" i="62"/>
  <c r="EG9" i="62"/>
  <c r="BN26" i="62"/>
  <c r="BN25" i="62" s="1"/>
  <c r="BM4" i="62"/>
  <c r="BR33" i="62"/>
  <c r="BR31" i="62"/>
  <c r="BQ29" i="62"/>
  <c r="BP5" i="62"/>
  <c r="BR32" i="62"/>
  <c r="BQ6" i="62"/>
  <c r="EF37" i="62"/>
  <c r="EF8" i="62" s="1"/>
  <c r="BO23" i="62"/>
  <c r="BO22" i="62" s="1"/>
  <c r="BN3" i="62"/>
  <c r="EX51" i="62"/>
  <c r="FH39" i="62"/>
  <c r="FA24" i="62"/>
  <c r="ES10" i="62"/>
  <c r="ET44" i="62"/>
  <c r="ET43" i="62" s="1"/>
  <c r="ES14" i="62"/>
  <c r="ET56" i="62"/>
  <c r="ET55" i="62" s="1"/>
  <c r="FB48" i="62"/>
  <c r="FC48" i="62" s="1"/>
  <c r="ES11" i="62"/>
  <c r="ET47" i="62"/>
  <c r="ET46" i="62" s="1"/>
  <c r="EP15" i="62"/>
  <c r="EQ59" i="62"/>
  <c r="EQ58" i="62" s="1"/>
  <c r="BQ28" i="62"/>
  <c r="BQ30" i="62"/>
  <c r="BN27" i="62"/>
  <c r="FI57" i="62"/>
  <c r="FJ57" i="62" s="1"/>
  <c r="FA60" i="62"/>
  <c r="FD45" i="62"/>
  <c r="EH53" i="62" l="1"/>
  <c r="EO12" i="62"/>
  <c r="EP50" i="62"/>
  <c r="EP49" i="62" s="1"/>
  <c r="EH52" i="62"/>
  <c r="EH13" i="62" s="1"/>
  <c r="EH54" i="62"/>
  <c r="EI40" i="62"/>
  <c r="EI42" i="62"/>
  <c r="EI41" i="62"/>
  <c r="EH9" i="62"/>
  <c r="EK34" i="62"/>
  <c r="EK36" i="62"/>
  <c r="EG38" i="62"/>
  <c r="BS32" i="62"/>
  <c r="BR6" i="62"/>
  <c r="BO26" i="62"/>
  <c r="BO25" i="62" s="1"/>
  <c r="BN4" i="62"/>
  <c r="BR29" i="62"/>
  <c r="BQ5" i="62"/>
  <c r="BP23" i="62"/>
  <c r="BO3" i="62"/>
  <c r="BS31" i="62"/>
  <c r="BS33" i="62"/>
  <c r="FE45" i="62"/>
  <c r="FF45" i="62" s="1"/>
  <c r="BR28" i="62"/>
  <c r="BR30" i="62"/>
  <c r="ET11" i="62"/>
  <c r="EU47" i="62"/>
  <c r="EU46" i="62" s="1"/>
  <c r="FD48" i="62"/>
  <c r="ET14" i="62"/>
  <c r="EU56" i="62"/>
  <c r="EU55" i="62" s="1"/>
  <c r="ET10" i="62"/>
  <c r="EU44" i="62"/>
  <c r="EU43" i="62" s="1"/>
  <c r="FB24" i="62"/>
  <c r="FI39" i="62"/>
  <c r="FJ39" i="62" s="1"/>
  <c r="EY51" i="62"/>
  <c r="FB60" i="62"/>
  <c r="FC60" i="62" s="1"/>
  <c r="BO27" i="62"/>
  <c r="EQ15" i="62"/>
  <c r="ER59" i="62"/>
  <c r="ER58" i="62" s="1"/>
  <c r="FK57" i="62"/>
  <c r="EP12" i="62" l="1"/>
  <c r="EQ50" i="62"/>
  <c r="EQ49" i="62" s="1"/>
  <c r="EI53" i="62"/>
  <c r="EI52" i="62"/>
  <c r="EI13" i="62" s="1"/>
  <c r="EI54" i="62"/>
  <c r="EL34" i="62"/>
  <c r="EL7" i="62" s="1"/>
  <c r="EL36" i="62"/>
  <c r="EL35" i="62"/>
  <c r="EM35" i="62" s="1"/>
  <c r="EK7" i="62"/>
  <c r="EJ40" i="62"/>
  <c r="EJ42" i="62"/>
  <c r="EI9" i="62"/>
  <c r="EJ41" i="62"/>
  <c r="BP26" i="62"/>
  <c r="BO4" i="62"/>
  <c r="BS29" i="62"/>
  <c r="BR5" i="62"/>
  <c r="BT32" i="62"/>
  <c r="BS6" i="62"/>
  <c r="BP22" i="62"/>
  <c r="BP3" i="62" s="1"/>
  <c r="BT31" i="62"/>
  <c r="BT33" i="62"/>
  <c r="EG37" i="62"/>
  <c r="EG8" i="62" s="1"/>
  <c r="ER15" i="62"/>
  <c r="ES59" i="62"/>
  <c r="ES58" i="62" s="1"/>
  <c r="FD60" i="62"/>
  <c r="EZ51" i="62"/>
  <c r="FA51" i="62" s="1"/>
  <c r="EU10" i="62"/>
  <c r="EV44" i="62"/>
  <c r="EV43" i="62" s="1"/>
  <c r="EU11" i="62"/>
  <c r="EV47" i="62"/>
  <c r="EV46" i="62" s="1"/>
  <c r="BS28" i="62"/>
  <c r="BS30" i="62"/>
  <c r="FG45" i="62"/>
  <c r="FH45" i="62" s="1"/>
  <c r="BP25" i="62"/>
  <c r="BP27" i="62"/>
  <c r="FK39" i="62"/>
  <c r="FC24" i="62"/>
  <c r="FD24" i="62" s="1"/>
  <c r="FE24" i="62" s="1"/>
  <c r="EU14" i="62"/>
  <c r="EV56" i="62"/>
  <c r="EV55" i="62" s="1"/>
  <c r="FE48" i="62"/>
  <c r="FF48" i="62" s="1"/>
  <c r="FG48" i="62" s="1"/>
  <c r="FL57" i="62"/>
  <c r="EJ53" i="62" l="1"/>
  <c r="ER50" i="62"/>
  <c r="ER49" i="62" s="1"/>
  <c r="EQ12" i="62"/>
  <c r="EJ52" i="62"/>
  <c r="EJ13" i="62" s="1"/>
  <c r="EJ54" i="62"/>
  <c r="EK40" i="62"/>
  <c r="EK42" i="62"/>
  <c r="BQ23" i="62"/>
  <c r="BQ22" i="62" s="1"/>
  <c r="BR23" i="62" s="1"/>
  <c r="BR22" i="62" s="1"/>
  <c r="EK41" i="62"/>
  <c r="EJ9" i="62"/>
  <c r="EM34" i="62"/>
  <c r="EM36" i="62"/>
  <c r="BT29" i="62"/>
  <c r="BS5" i="62"/>
  <c r="EH38" i="62"/>
  <c r="BU33" i="62"/>
  <c r="BU31" i="62"/>
  <c r="BQ26" i="62"/>
  <c r="BQ25" i="62" s="1"/>
  <c r="BP4" i="62"/>
  <c r="BU32" i="62"/>
  <c r="BT6" i="62"/>
  <c r="BQ3" i="62"/>
  <c r="FH48" i="62"/>
  <c r="EV14" i="62"/>
  <c r="EW56" i="62"/>
  <c r="EW55" i="62" s="1"/>
  <c r="FI45" i="62"/>
  <c r="FJ45" i="62" s="1"/>
  <c r="FK45" i="62" s="1"/>
  <c r="EV11" i="62"/>
  <c r="EW47" i="62"/>
  <c r="EW46" i="62" s="1"/>
  <c r="EV10" i="62"/>
  <c r="EW44" i="62"/>
  <c r="EW43" i="62" s="1"/>
  <c r="FB51" i="62"/>
  <c r="FE60" i="62"/>
  <c r="FF60" i="62" s="1"/>
  <c r="ES15" i="62"/>
  <c r="ET59" i="62"/>
  <c r="ET58" i="62" s="1"/>
  <c r="FF24" i="62"/>
  <c r="BQ27" i="62"/>
  <c r="BT28" i="62"/>
  <c r="BT30" i="62"/>
  <c r="FM57" i="62"/>
  <c r="FL39" i="62"/>
  <c r="EK53" i="62" l="1"/>
  <c r="ER12" i="62"/>
  <c r="ES50" i="62"/>
  <c r="ES49" i="62" s="1"/>
  <c r="EK54" i="62"/>
  <c r="EK52" i="62"/>
  <c r="EK13" i="62" s="1"/>
  <c r="EN34" i="62"/>
  <c r="EN7" i="62" s="1"/>
  <c r="EN36" i="62"/>
  <c r="EN35" i="62"/>
  <c r="EM7" i="62"/>
  <c r="EL40" i="62"/>
  <c r="EL42" i="62"/>
  <c r="EK9" i="62"/>
  <c r="EL41" i="62"/>
  <c r="BU29" i="62"/>
  <c r="BT5" i="62"/>
  <c r="BR26" i="62"/>
  <c r="BR25" i="62" s="1"/>
  <c r="BQ4" i="62"/>
  <c r="BS23" i="62"/>
  <c r="BS22" i="62" s="1"/>
  <c r="BR3" i="62"/>
  <c r="BV31" i="62"/>
  <c r="BV33" i="62"/>
  <c r="BV32" i="62"/>
  <c r="BU6" i="62"/>
  <c r="EH37" i="62"/>
  <c r="EH8" i="62" s="1"/>
  <c r="BU28" i="62"/>
  <c r="BU30" i="62"/>
  <c r="FG24" i="62"/>
  <c r="FH24" i="62" s="1"/>
  <c r="ET15" i="62"/>
  <c r="EU59" i="62"/>
  <c r="EU58" i="62" s="1"/>
  <c r="EW10" i="62"/>
  <c r="EX44" i="62"/>
  <c r="EX43" i="62" s="1"/>
  <c r="EW11" i="62"/>
  <c r="EX47" i="62"/>
  <c r="EX46" i="62" s="1"/>
  <c r="EW14" i="62"/>
  <c r="EX56" i="62"/>
  <c r="EX55" i="62" s="1"/>
  <c r="FM39" i="62"/>
  <c r="FN57" i="62"/>
  <c r="FO57" i="62" s="1"/>
  <c r="BR27" i="62"/>
  <c r="FG60" i="62"/>
  <c r="FH60" i="62" s="1"/>
  <c r="FC51" i="62"/>
  <c r="FD51" i="62" s="1"/>
  <c r="FE51" i="62" s="1"/>
  <c r="FL45" i="62"/>
  <c r="FM45" i="62" s="1"/>
  <c r="FI48" i="62"/>
  <c r="EO35" i="62" l="1"/>
  <c r="EL53" i="62"/>
  <c r="ES12" i="62"/>
  <c r="ET50" i="62"/>
  <c r="ET49" i="62" s="1"/>
  <c r="EL52" i="62"/>
  <c r="EL13" i="62" s="1"/>
  <c r="EL54" i="62"/>
  <c r="EM40" i="62"/>
  <c r="EM42" i="62"/>
  <c r="EM41" i="62"/>
  <c r="EL9" i="62"/>
  <c r="EO36" i="62"/>
  <c r="EO34" i="62"/>
  <c r="BS26" i="62"/>
  <c r="BS25" i="62" s="1"/>
  <c r="BR4" i="62"/>
  <c r="EI38" i="62"/>
  <c r="BW31" i="62"/>
  <c r="BW33" i="62"/>
  <c r="BV29" i="62"/>
  <c r="BU5" i="62"/>
  <c r="BW32" i="62"/>
  <c r="BV6" i="62"/>
  <c r="BT23" i="62"/>
  <c r="BT22" i="62" s="1"/>
  <c r="BS3" i="62"/>
  <c r="FJ48" i="62"/>
  <c r="FN45" i="62"/>
  <c r="EX14" i="62"/>
  <c r="EY56" i="62"/>
  <c r="EY55" i="62" s="1"/>
  <c r="EX11" i="62"/>
  <c r="EY47" i="62"/>
  <c r="EY46" i="62" s="1"/>
  <c r="EX10" i="62"/>
  <c r="EY44" i="62"/>
  <c r="EY43" i="62" s="1"/>
  <c r="EU15" i="62"/>
  <c r="EV59" i="62"/>
  <c r="EV58" i="62" s="1"/>
  <c r="BV28" i="62"/>
  <c r="BV30" i="62"/>
  <c r="FF51" i="62"/>
  <c r="FG51" i="62" s="1"/>
  <c r="FH51" i="62" s="1"/>
  <c r="BS27" i="62"/>
  <c r="FP57" i="62"/>
  <c r="FI60" i="62"/>
  <c r="FJ60" i="62" s="1"/>
  <c r="FK60" i="62" s="1"/>
  <c r="FN39" i="62"/>
  <c r="FI24" i="62"/>
  <c r="EM53" i="62" l="1"/>
  <c r="ET12" i="62"/>
  <c r="EU50" i="62"/>
  <c r="EU49" i="62" s="1"/>
  <c r="EM52" i="62"/>
  <c r="EM13" i="62" s="1"/>
  <c r="EM54" i="62"/>
  <c r="EP35" i="62"/>
  <c r="EO7" i="62"/>
  <c r="EP34" i="62"/>
  <c r="EP36" i="62"/>
  <c r="EN42" i="62"/>
  <c r="EN40" i="62"/>
  <c r="EN41" i="62"/>
  <c r="EM9" i="62"/>
  <c r="BT26" i="62"/>
  <c r="BT25" i="62" s="1"/>
  <c r="BS4" i="62"/>
  <c r="BW29" i="62"/>
  <c r="BV5" i="62"/>
  <c r="BU23" i="62"/>
  <c r="BU22" i="62" s="1"/>
  <c r="BT3" i="62"/>
  <c r="BX32" i="62"/>
  <c r="BW6" i="62"/>
  <c r="BX33" i="62"/>
  <c r="BX31" i="62"/>
  <c r="EI37" i="62"/>
  <c r="EI8" i="62" s="1"/>
  <c r="FI51" i="62"/>
  <c r="FJ51" i="62" s="1"/>
  <c r="FK51" i="62" s="1"/>
  <c r="EY10" i="62"/>
  <c r="EZ44" i="62"/>
  <c r="EZ43" i="62" s="1"/>
  <c r="EY11" i="62"/>
  <c r="EZ47" i="62"/>
  <c r="EZ46" i="62" s="1"/>
  <c r="EY14" i="62"/>
  <c r="EZ56" i="62"/>
  <c r="EZ55" i="62" s="1"/>
  <c r="FO45" i="62"/>
  <c r="FP45" i="62" s="1"/>
  <c r="FL60" i="62"/>
  <c r="FM60" i="62" s="1"/>
  <c r="FN60" i="62" s="1"/>
  <c r="FO60" i="62" s="1"/>
  <c r="FP60" i="62" s="1"/>
  <c r="FQ60" i="62" s="1"/>
  <c r="FQ57" i="62"/>
  <c r="FR57" i="62" s="1"/>
  <c r="BT27" i="62"/>
  <c r="BW28" i="62"/>
  <c r="BW30" i="62"/>
  <c r="EV15" i="62"/>
  <c r="EW59" i="62"/>
  <c r="EW58" i="62" s="1"/>
  <c r="FJ24" i="62"/>
  <c r="FK24" i="62" s="1"/>
  <c r="FL24" i="62" s="1"/>
  <c r="FO39" i="62"/>
  <c r="FK48" i="62"/>
  <c r="EN53" i="62" l="1"/>
  <c r="EU12" i="62"/>
  <c r="EV50" i="62"/>
  <c r="EV49" i="62" s="1"/>
  <c r="EN52" i="62"/>
  <c r="EN13" i="62" s="1"/>
  <c r="EN54" i="62"/>
  <c r="EN9" i="62"/>
  <c r="EO41" i="62"/>
  <c r="EO42" i="62"/>
  <c r="EO40" i="62"/>
  <c r="EQ34" i="62"/>
  <c r="EQ7" i="62" s="1"/>
  <c r="EQ36" i="62"/>
  <c r="EP7" i="62"/>
  <c r="EQ35" i="62"/>
  <c r="EJ38" i="62"/>
  <c r="BY32" i="62"/>
  <c r="BX6" i="62"/>
  <c r="BX29" i="62"/>
  <c r="BX28" i="62" s="1"/>
  <c r="BW5" i="62"/>
  <c r="BU26" i="62"/>
  <c r="BU25" i="62" s="1"/>
  <c r="BT4" i="62"/>
  <c r="BY33" i="62"/>
  <c r="BY31" i="62"/>
  <c r="BV23" i="62"/>
  <c r="BV22" i="62" s="1"/>
  <c r="BU3" i="62"/>
  <c r="FL51" i="62"/>
  <c r="FM51" i="62" s="1"/>
  <c r="FL48" i="62"/>
  <c r="FM48" i="62" s="1"/>
  <c r="FN48" i="62" s="1"/>
  <c r="FP39" i="62"/>
  <c r="FQ39" i="62" s="1"/>
  <c r="FM24" i="62"/>
  <c r="EW15" i="62"/>
  <c r="EX59" i="62"/>
  <c r="EX58" i="62" s="1"/>
  <c r="BX30" i="62"/>
  <c r="BU27" i="62"/>
  <c r="FS57" i="62"/>
  <c r="FT57" i="62" s="1"/>
  <c r="EZ14" i="62"/>
  <c r="FA56" i="62"/>
  <c r="FA55" i="62" s="1"/>
  <c r="EZ11" i="62"/>
  <c r="FA47" i="62"/>
  <c r="FA46" i="62" s="1"/>
  <c r="EZ10" i="62"/>
  <c r="FA44" i="62"/>
  <c r="FA43" i="62" s="1"/>
  <c r="FR60" i="62"/>
  <c r="FQ45" i="62"/>
  <c r="ER35" i="62" l="1"/>
  <c r="EO53" i="62"/>
  <c r="EV12" i="62"/>
  <c r="EW50" i="62"/>
  <c r="EW49" i="62" s="1"/>
  <c r="EO52" i="62"/>
  <c r="EO13" i="62" s="1"/>
  <c r="EO54" i="62"/>
  <c r="ER36" i="62"/>
  <c r="ER34" i="62"/>
  <c r="EO9" i="62"/>
  <c r="EP41" i="62"/>
  <c r="EP40" i="62"/>
  <c r="EP42" i="62"/>
  <c r="BV26" i="62"/>
  <c r="BV25" i="62" s="1"/>
  <c r="BU4" i="62"/>
  <c r="BY29" i="62"/>
  <c r="BY28" i="62" s="1"/>
  <c r="BX5" i="62"/>
  <c r="BW23" i="62"/>
  <c r="BW22" i="62" s="1"/>
  <c r="BV3" i="62"/>
  <c r="BZ31" i="62"/>
  <c r="BZ33" i="62"/>
  <c r="BZ32" i="62"/>
  <c r="BY6" i="62"/>
  <c r="EJ37" i="62"/>
  <c r="EJ8" i="62" s="1"/>
  <c r="FS60" i="62"/>
  <c r="FA10" i="62"/>
  <c r="FB44" i="62"/>
  <c r="FB43" i="62" s="1"/>
  <c r="FA11" i="62"/>
  <c r="FB47" i="62"/>
  <c r="FB46" i="62" s="1"/>
  <c r="FA14" i="62"/>
  <c r="FB56" i="62"/>
  <c r="FB55" i="62" s="1"/>
  <c r="BV27" i="62"/>
  <c r="BY30" i="62"/>
  <c r="EX15" i="62"/>
  <c r="EY59" i="62"/>
  <c r="EY58" i="62" s="1"/>
  <c r="FR39" i="62"/>
  <c r="FO48" i="62"/>
  <c r="FP48" i="62" s="1"/>
  <c r="FR45" i="62"/>
  <c r="FS45" i="62" s="1"/>
  <c r="FU57" i="62"/>
  <c r="FN24" i="62"/>
  <c r="FN51" i="62"/>
  <c r="EP53" i="62" l="1"/>
  <c r="EW12" i="62"/>
  <c r="EX50" i="62"/>
  <c r="EX49" i="62" s="1"/>
  <c r="EP54" i="62"/>
  <c r="EP52" i="62"/>
  <c r="EP13" i="62" s="1"/>
  <c r="EQ40" i="62"/>
  <c r="EQ42" i="62"/>
  <c r="EP9" i="62"/>
  <c r="EQ41" i="62"/>
  <c r="ES35" i="62"/>
  <c r="ER7" i="62"/>
  <c r="ES36" i="62"/>
  <c r="ES34" i="62"/>
  <c r="BZ29" i="62"/>
  <c r="BZ28" i="62" s="1"/>
  <c r="BY5" i="62"/>
  <c r="BW26" i="62"/>
  <c r="BW25" i="62" s="1"/>
  <c r="BV4" i="62"/>
  <c r="EK38" i="62"/>
  <c r="CA31" i="62"/>
  <c r="CA33" i="62"/>
  <c r="CA32" i="62"/>
  <c r="BZ6" i="62"/>
  <c r="BX23" i="62"/>
  <c r="BX22" i="62" s="1"/>
  <c r="BW3" i="62"/>
  <c r="FO51" i="62"/>
  <c r="EY15" i="62"/>
  <c r="EZ59" i="62"/>
  <c r="EZ58" i="62" s="1"/>
  <c r="BZ30" i="62"/>
  <c r="BW27" i="62"/>
  <c r="FB14" i="62"/>
  <c r="FC56" i="62"/>
  <c r="FC55" i="62" s="1"/>
  <c r="FB11" i="62"/>
  <c r="FC47" i="62"/>
  <c r="FC46" i="62" s="1"/>
  <c r="FB10" i="62"/>
  <c r="FC44" i="62"/>
  <c r="FC43" i="62" s="1"/>
  <c r="FT60" i="62"/>
  <c r="FU60" i="62" s="1"/>
  <c r="FO24" i="62"/>
  <c r="FP24" i="62" s="1"/>
  <c r="FQ24" i="62" s="1"/>
  <c r="FV57" i="62"/>
  <c r="FT45" i="62"/>
  <c r="FQ48" i="62"/>
  <c r="FR48" i="62" s="1"/>
  <c r="FS39" i="62"/>
  <c r="FT39" i="62" s="1"/>
  <c r="EQ53" i="62" l="1"/>
  <c r="EX12" i="62"/>
  <c r="EY50" i="62"/>
  <c r="EY49" i="62" s="1"/>
  <c r="EQ52" i="62"/>
  <c r="EQ13" i="62" s="1"/>
  <c r="EQ54" i="62"/>
  <c r="ES7" i="62"/>
  <c r="ET35" i="62"/>
  <c r="ET36" i="62"/>
  <c r="ET34" i="62"/>
  <c r="ER42" i="62"/>
  <c r="ER40" i="62"/>
  <c r="EQ9" i="62"/>
  <c r="ER41" i="62"/>
  <c r="BY23" i="62"/>
  <c r="BY22" i="62" s="1"/>
  <c r="BX3" i="62"/>
  <c r="CB32" i="62"/>
  <c r="CA6" i="62"/>
  <c r="BX26" i="62"/>
  <c r="BX25" i="62" s="1"/>
  <c r="BW4" i="62"/>
  <c r="CA29" i="62"/>
  <c r="CA28" i="62" s="1"/>
  <c r="BZ5" i="62"/>
  <c r="CB33" i="62"/>
  <c r="CB31" i="62"/>
  <c r="EK37" i="62"/>
  <c r="EK8" i="62" s="1"/>
  <c r="FS48" i="62"/>
  <c r="FT48" i="62" s="1"/>
  <c r="FU45" i="62"/>
  <c r="FV45" i="62" s="1"/>
  <c r="FW57" i="62"/>
  <c r="FX57" i="62" s="1"/>
  <c r="FC10" i="62"/>
  <c r="FD44" i="62"/>
  <c r="FC11" i="62"/>
  <c r="FD47" i="62"/>
  <c r="FC14" i="62"/>
  <c r="FD56" i="62"/>
  <c r="BX27" i="62"/>
  <c r="CA30" i="62"/>
  <c r="EZ15" i="62"/>
  <c r="FA59" i="62"/>
  <c r="FA58" i="62" s="1"/>
  <c r="FP51" i="62"/>
  <c r="FQ51" i="62" s="1"/>
  <c r="FU39" i="62"/>
  <c r="FR24" i="62"/>
  <c r="FS24" i="62" s="1"/>
  <c r="FV60" i="62"/>
  <c r="FW60" i="62" s="1"/>
  <c r="ER53" i="62" l="1"/>
  <c r="EY12" i="62"/>
  <c r="EZ50" i="62"/>
  <c r="EZ49" i="62" s="1"/>
  <c r="ER54" i="62"/>
  <c r="ER52" i="62"/>
  <c r="ER13" i="62" s="1"/>
  <c r="ER9" i="62"/>
  <c r="ES41" i="62"/>
  <c r="ES42" i="62"/>
  <c r="ES40" i="62"/>
  <c r="ET7" i="62"/>
  <c r="EU35" i="62"/>
  <c r="EU34" i="62"/>
  <c r="EU7" i="62" s="1"/>
  <c r="EU36" i="62"/>
  <c r="FD55" i="62"/>
  <c r="FD14" i="62" s="1"/>
  <c r="FD46" i="62"/>
  <c r="FD11" i="62" s="1"/>
  <c r="CB29" i="62"/>
  <c r="CB28" i="62" s="1"/>
  <c r="CA5" i="62"/>
  <c r="BY26" i="62"/>
  <c r="BX4" i="62"/>
  <c r="EL38" i="62"/>
  <c r="CC32" i="62"/>
  <c r="CB6" i="62"/>
  <c r="FD43" i="62"/>
  <c r="FD10" i="62" s="1"/>
  <c r="CC31" i="62"/>
  <c r="CC33" i="62"/>
  <c r="BZ23" i="62"/>
  <c r="BZ22" i="62" s="1"/>
  <c r="BY3" i="62"/>
  <c r="FA15" i="62"/>
  <c r="FB59" i="62"/>
  <c r="FB58" i="62" s="1"/>
  <c r="BY25" i="62"/>
  <c r="BY27" i="62"/>
  <c r="FW45" i="62"/>
  <c r="FX45" i="62" s="1"/>
  <c r="FU48" i="62"/>
  <c r="FV48" i="62" s="1"/>
  <c r="CB30" i="62"/>
  <c r="FX60" i="62"/>
  <c r="FT24" i="62"/>
  <c r="FV39" i="62"/>
  <c r="FW39" i="62" s="1"/>
  <c r="FR51" i="62"/>
  <c r="FS51" i="62" s="1"/>
  <c r="FY57" i="62"/>
  <c r="FZ57" i="62" s="1"/>
  <c r="ES53" i="62" l="1"/>
  <c r="EZ12" i="62"/>
  <c r="FA50" i="62"/>
  <c r="FA49" i="62" s="1"/>
  <c r="ES52" i="62"/>
  <c r="ES13" i="62" s="1"/>
  <c r="ES54" i="62"/>
  <c r="EV35" i="62"/>
  <c r="EV36" i="62"/>
  <c r="EV34" i="62"/>
  <c r="FE47" i="62"/>
  <c r="ET41" i="62"/>
  <c r="ES9" i="62"/>
  <c r="ET40" i="62"/>
  <c r="ET42" i="62"/>
  <c r="FE56" i="62"/>
  <c r="CC29" i="62"/>
  <c r="CC28" i="62" s="1"/>
  <c r="CB5" i="62"/>
  <c r="BZ26" i="62"/>
  <c r="BZ25" i="62" s="1"/>
  <c r="BY4" i="62"/>
  <c r="CA23" i="62"/>
  <c r="CA22" i="62" s="1"/>
  <c r="BZ3" i="62"/>
  <c r="CD32" i="62"/>
  <c r="CC6" i="62"/>
  <c r="FE44" i="62"/>
  <c r="CD33" i="62"/>
  <c r="CD31" i="62"/>
  <c r="EL37" i="62"/>
  <c r="EL8" i="62" s="1"/>
  <c r="FE46" i="62"/>
  <c r="FE11" i="62" s="1"/>
  <c r="FY60" i="62"/>
  <c r="FZ60" i="62" s="1"/>
  <c r="GA60" i="62" s="1"/>
  <c r="FW48" i="62"/>
  <c r="FX48" i="62" s="1"/>
  <c r="FY48" i="62" s="1"/>
  <c r="FY45" i="62"/>
  <c r="BZ27" i="62"/>
  <c r="FB15" i="62"/>
  <c r="FC59" i="62"/>
  <c r="FC58" i="62" s="1"/>
  <c r="GA57" i="62"/>
  <c r="FX39" i="62"/>
  <c r="CC30" i="62"/>
  <c r="FT51" i="62"/>
  <c r="FU51" i="62" s="1"/>
  <c r="FU24" i="62"/>
  <c r="ET53" i="62" l="1"/>
  <c r="FA12" i="62"/>
  <c r="FB50" i="62"/>
  <c r="FB49" i="62" s="1"/>
  <c r="ET52" i="62"/>
  <c r="ET13" i="62" s="1"/>
  <c r="ET54" i="62"/>
  <c r="EU42" i="62"/>
  <c r="EU40" i="62"/>
  <c r="ET9" i="62"/>
  <c r="EU41" i="62"/>
  <c r="EW35" i="62"/>
  <c r="EV7" i="62"/>
  <c r="EM38" i="62"/>
  <c r="EM37" i="62" s="1"/>
  <c r="EM8" i="62" s="1"/>
  <c r="EW34" i="62"/>
  <c r="EW36" i="62"/>
  <c r="FE55" i="62"/>
  <c r="FE14" i="62" s="1"/>
  <c r="FF47" i="62"/>
  <c r="CE33" i="62"/>
  <c r="CE31" i="62"/>
  <c r="CD29" i="62"/>
  <c r="CD28" i="62" s="1"/>
  <c r="CC5" i="62"/>
  <c r="CA26" i="62"/>
  <c r="CA25" i="62" s="1"/>
  <c r="BZ4" i="62"/>
  <c r="CE32" i="62"/>
  <c r="CD6" i="62"/>
  <c r="FE43" i="62"/>
  <c r="FE10" i="62" s="1"/>
  <c r="CB23" i="62"/>
  <c r="CB22" i="62" s="1"/>
  <c r="CA3" i="62"/>
  <c r="GB57" i="62"/>
  <c r="GC57" i="62" s="1"/>
  <c r="FC15" i="62"/>
  <c r="FD59" i="62"/>
  <c r="CA27" i="62"/>
  <c r="FZ48" i="62"/>
  <c r="GA48" i="62" s="1"/>
  <c r="GB60" i="62"/>
  <c r="GC60" i="62" s="1"/>
  <c r="FV51" i="62"/>
  <c r="FW51" i="62" s="1"/>
  <c r="FX51" i="62" s="1"/>
  <c r="CD30" i="62"/>
  <c r="FV24" i="62"/>
  <c r="FW24" i="62" s="1"/>
  <c r="FY39" i="62"/>
  <c r="FZ45" i="62"/>
  <c r="GA45" i="62" s="1"/>
  <c r="EU53" i="62" l="1"/>
  <c r="FB12" i="62"/>
  <c r="FC50" i="62"/>
  <c r="FC49" i="62" s="1"/>
  <c r="EU54" i="62"/>
  <c r="EU52" i="62"/>
  <c r="EU13" i="62" s="1"/>
  <c r="EX34" i="62"/>
  <c r="EX7" i="62" s="1"/>
  <c r="EX36" i="62"/>
  <c r="EW7" i="62"/>
  <c r="EX35" i="62"/>
  <c r="EY35" i="62" s="1"/>
  <c r="EU9" i="62"/>
  <c r="EV41" i="62"/>
  <c r="EV40" i="62"/>
  <c r="EV42" i="62"/>
  <c r="FF56" i="62"/>
  <c r="FF55" i="62" s="1"/>
  <c r="FF44" i="62"/>
  <c r="FF43" i="62" s="1"/>
  <c r="FF10" i="62" s="1"/>
  <c r="CE29" i="62"/>
  <c r="CE28" i="62" s="1"/>
  <c r="CD5" i="62"/>
  <c r="FD58" i="62"/>
  <c r="FD15" i="62" s="1"/>
  <c r="CC23" i="62"/>
  <c r="CC22" i="62" s="1"/>
  <c r="CB3" i="62"/>
  <c r="CF31" i="62"/>
  <c r="CF33" i="62"/>
  <c r="CB26" i="62"/>
  <c r="CB25" i="62" s="1"/>
  <c r="CA4" i="62"/>
  <c r="EN38" i="62"/>
  <c r="CF32" i="62"/>
  <c r="CE6" i="62"/>
  <c r="FF46" i="62"/>
  <c r="FF11" i="62" s="1"/>
  <c r="CE30" i="62"/>
  <c r="GB48" i="62"/>
  <c r="GC48" i="62" s="1"/>
  <c r="GD48" i="62" s="1"/>
  <c r="CB27" i="62"/>
  <c r="FD12" i="62"/>
  <c r="GB45" i="62"/>
  <c r="FZ39" i="62"/>
  <c r="FX24" i="62"/>
  <c r="FY24" i="62" s="1"/>
  <c r="FY51" i="62"/>
  <c r="FZ51" i="62" s="1"/>
  <c r="GD60" i="62"/>
  <c r="GD57" i="62"/>
  <c r="GE57" i="62" s="1"/>
  <c r="GF57" i="62" s="1"/>
  <c r="EV53" i="62" l="1"/>
  <c r="FC12" i="62"/>
  <c r="FD50" i="62"/>
  <c r="FD49" i="62" s="1"/>
  <c r="FE50" i="62" s="1"/>
  <c r="FE49" i="62" s="1"/>
  <c r="EV52" i="62"/>
  <c r="EV13" i="62" s="1"/>
  <c r="EV54" i="62"/>
  <c r="EW40" i="62"/>
  <c r="EW42" i="62"/>
  <c r="EW41" i="62"/>
  <c r="EV9" i="62"/>
  <c r="FE59" i="62"/>
  <c r="EY34" i="62"/>
  <c r="EY36" i="62"/>
  <c r="FF14" i="62"/>
  <c r="FG56" i="62"/>
  <c r="FG55" i="62" s="1"/>
  <c r="FG14" i="62" s="1"/>
  <c r="FG47" i="62"/>
  <c r="FG46" i="62" s="1"/>
  <c r="CF29" i="62"/>
  <c r="CE5" i="62"/>
  <c r="CG33" i="62"/>
  <c r="CG31" i="62"/>
  <c r="FG44" i="62"/>
  <c r="CC26" i="62"/>
  <c r="CC25" i="62" s="1"/>
  <c r="CB4" i="62"/>
  <c r="EN37" i="62"/>
  <c r="EN8" i="62" s="1"/>
  <c r="CG32" i="62"/>
  <c r="CF6" i="62"/>
  <c r="CD23" i="62"/>
  <c r="CD22" i="62" s="1"/>
  <c r="CC3" i="62"/>
  <c r="FE58" i="62"/>
  <c r="FE15" i="62" s="1"/>
  <c r="GG57" i="62"/>
  <c r="GH57" i="62" s="1"/>
  <c r="GI57" i="62" s="1"/>
  <c r="GA51" i="62"/>
  <c r="GB51" i="62" s="1"/>
  <c r="FZ24" i="62"/>
  <c r="GA24" i="62" s="1"/>
  <c r="GC45" i="62"/>
  <c r="FF50" i="62"/>
  <c r="FF49" i="62" s="1"/>
  <c r="FE12" i="62"/>
  <c r="CC27" i="62"/>
  <c r="CF28" i="62"/>
  <c r="CF30" i="62"/>
  <c r="GE60" i="62"/>
  <c r="GF60" i="62" s="1"/>
  <c r="GA39" i="62"/>
  <c r="GE48" i="62"/>
  <c r="EW53" i="62" l="1"/>
  <c r="EW52" i="62"/>
  <c r="EW13" i="62" s="1"/>
  <c r="EW54" i="62"/>
  <c r="FG11" i="62"/>
  <c r="FH47" i="62"/>
  <c r="FH46" i="62" s="1"/>
  <c r="FH11" i="62" s="1"/>
  <c r="EZ36" i="62"/>
  <c r="EZ34" i="62"/>
  <c r="EZ35" i="62"/>
  <c r="EY7" i="62"/>
  <c r="EO38" i="62"/>
  <c r="EO37" i="62" s="1"/>
  <c r="EO8" i="62" s="1"/>
  <c r="EX40" i="62"/>
  <c r="EX42" i="62"/>
  <c r="EW9" i="62"/>
  <c r="EX41" i="62"/>
  <c r="FF59" i="62"/>
  <c r="FF58" i="62" s="1"/>
  <c r="FF15" i="62" s="1"/>
  <c r="FH56" i="62"/>
  <c r="CG29" i="62"/>
  <c r="CG28" i="62" s="1"/>
  <c r="CF5" i="62"/>
  <c r="CD26" i="62"/>
  <c r="CD25" i="62" s="1"/>
  <c r="CC4" i="62"/>
  <c r="CE23" i="62"/>
  <c r="CE22" i="62" s="1"/>
  <c r="CD3" i="62"/>
  <c r="CH32" i="62"/>
  <c r="CG6" i="62"/>
  <c r="FG43" i="62"/>
  <c r="FG10" i="62" s="1"/>
  <c r="CH31" i="62"/>
  <c r="CH33" i="62"/>
  <c r="GF48" i="62"/>
  <c r="GG48" i="62" s="1"/>
  <c r="GG60" i="62"/>
  <c r="GH60" i="62" s="1"/>
  <c r="CG30" i="62"/>
  <c r="CD27" i="62"/>
  <c r="GD45" i="62"/>
  <c r="GE45" i="62" s="1"/>
  <c r="GB24" i="62"/>
  <c r="GC51" i="62"/>
  <c r="GJ57" i="62"/>
  <c r="GB39" i="62"/>
  <c r="FG50" i="62"/>
  <c r="FG49" i="62" s="1"/>
  <c r="FF12" i="62"/>
  <c r="EX53" i="62" l="1"/>
  <c r="EX52" i="62"/>
  <c r="EX13" i="62" s="1"/>
  <c r="EX54" i="62"/>
  <c r="EX9" i="62"/>
  <c r="EY41" i="62"/>
  <c r="EZ7" i="62"/>
  <c r="FA35" i="62"/>
  <c r="FA34" i="62"/>
  <c r="FA36" i="62"/>
  <c r="EY40" i="62"/>
  <c r="EY42" i="62"/>
  <c r="FH55" i="62"/>
  <c r="FH14" i="62" s="1"/>
  <c r="CI33" i="62"/>
  <c r="CI31" i="62"/>
  <c r="FH44" i="62"/>
  <c r="FI47" i="62"/>
  <c r="EP38" i="62"/>
  <c r="FG59" i="62"/>
  <c r="CE26" i="62"/>
  <c r="CE25" i="62" s="1"/>
  <c r="CD4" i="62"/>
  <c r="CH29" i="62"/>
  <c r="CH28" i="62" s="1"/>
  <c r="CG5" i="62"/>
  <c r="CI32" i="62"/>
  <c r="CH6" i="62"/>
  <c r="CF23" i="62"/>
  <c r="CF22" i="62" s="1"/>
  <c r="CE3" i="62"/>
  <c r="FH50" i="62"/>
  <c r="FH49" i="62" s="1"/>
  <c r="FG12" i="62"/>
  <c r="GF45" i="62"/>
  <c r="GG45" i="62" s="1"/>
  <c r="CE27" i="62"/>
  <c r="CH30" i="62"/>
  <c r="GI60" i="62"/>
  <c r="GC39" i="62"/>
  <c r="GD39" i="62" s="1"/>
  <c r="GD51" i="62"/>
  <c r="GC24" i="62"/>
  <c r="GH48" i="62"/>
  <c r="GI48" i="62" s="1"/>
  <c r="EY53" i="62" l="1"/>
  <c r="EY52" i="62"/>
  <c r="EY13" i="62" s="1"/>
  <c r="EY54" i="62"/>
  <c r="EZ40" i="62"/>
  <c r="EZ42" i="62"/>
  <c r="EZ41" i="62"/>
  <c r="EY9" i="62"/>
  <c r="FB36" i="62"/>
  <c r="FB34" i="62"/>
  <c r="FB7" i="62" s="1"/>
  <c r="FA7" i="62"/>
  <c r="FB35" i="62"/>
  <c r="FC35" i="62" s="1"/>
  <c r="FI56" i="62"/>
  <c r="CF26" i="62"/>
  <c r="CF25" i="62" s="1"/>
  <c r="CE4" i="62"/>
  <c r="CI29" i="62"/>
  <c r="CI28" i="62" s="1"/>
  <c r="CH5" i="62"/>
  <c r="FG58" i="62"/>
  <c r="FG15" i="62" s="1"/>
  <c r="FI46" i="62"/>
  <c r="FI11" i="62" s="1"/>
  <c r="CJ32" i="62"/>
  <c r="CI6" i="62"/>
  <c r="CG23" i="62"/>
  <c r="CG22" i="62" s="1"/>
  <c r="CF3" i="62"/>
  <c r="EP37" i="62"/>
  <c r="EP8" i="62" s="1"/>
  <c r="FH43" i="62"/>
  <c r="FH10" i="62" s="1"/>
  <c r="CJ31" i="62"/>
  <c r="CJ33" i="62"/>
  <c r="GD24" i="62"/>
  <c r="GE24" i="62" s="1"/>
  <c r="GJ48" i="62"/>
  <c r="GE51" i="62"/>
  <c r="GF51" i="62" s="1"/>
  <c r="GE39" i="62"/>
  <c r="GF39" i="62" s="1"/>
  <c r="GJ60" i="62"/>
  <c r="CI30" i="62"/>
  <c r="CF27" i="62"/>
  <c r="GH45" i="62"/>
  <c r="GI45" i="62" s="1"/>
  <c r="FI50" i="62"/>
  <c r="FI49" i="62" s="1"/>
  <c r="FH12" i="62"/>
  <c r="EZ53" i="62" l="1"/>
  <c r="EZ52" i="62"/>
  <c r="EZ13" i="62" s="1"/>
  <c r="EZ54" i="62"/>
  <c r="FC34" i="62"/>
  <c r="FC36" i="62"/>
  <c r="FA40" i="62"/>
  <c r="FA42" i="62"/>
  <c r="EZ9" i="62"/>
  <c r="FA41" i="62"/>
  <c r="FI55" i="62"/>
  <c r="FI14" i="62" s="1"/>
  <c r="CG26" i="62"/>
  <c r="CG25" i="62" s="1"/>
  <c r="CF4" i="62"/>
  <c r="CJ29" i="62"/>
  <c r="CJ28" i="62" s="1"/>
  <c r="CI5" i="62"/>
  <c r="CK33" i="62"/>
  <c r="CK31" i="62"/>
  <c r="FI44" i="62"/>
  <c r="EQ38" i="62"/>
  <c r="FJ47" i="62"/>
  <c r="FH59" i="62"/>
  <c r="CK32" i="62"/>
  <c r="CJ6" i="62"/>
  <c r="CH23" i="62"/>
  <c r="CH22" i="62" s="1"/>
  <c r="CG3" i="62"/>
  <c r="CG27" i="62"/>
  <c r="CJ30" i="62"/>
  <c r="GG39" i="62"/>
  <c r="GH39" i="62" s="1"/>
  <c r="GI39" i="62" s="1"/>
  <c r="GG51" i="62"/>
  <c r="GH51" i="62" s="1"/>
  <c r="FJ50" i="62"/>
  <c r="FJ49" i="62" s="1"/>
  <c r="FI12" i="62"/>
  <c r="GJ45" i="62"/>
  <c r="GF24" i="62"/>
  <c r="FA53" i="62" l="1"/>
  <c r="FA52" i="62"/>
  <c r="FA13" i="62" s="1"/>
  <c r="FA54" i="62"/>
  <c r="FB40" i="62"/>
  <c r="FB42" i="62"/>
  <c r="FB41" i="62"/>
  <c r="FA9" i="62"/>
  <c r="FJ56" i="62"/>
  <c r="FJ55" i="62" s="1"/>
  <c r="FD34" i="62"/>
  <c r="FD7" i="62" s="1"/>
  <c r="FD36" i="62"/>
  <c r="FC7" i="62"/>
  <c r="FD35" i="62"/>
  <c r="CH26" i="62"/>
  <c r="CH25" i="62" s="1"/>
  <c r="CG4" i="62"/>
  <c r="FH58" i="62"/>
  <c r="FH15" i="62" s="1"/>
  <c r="EQ37" i="62"/>
  <c r="EQ8" i="62" s="1"/>
  <c r="CL32" i="62"/>
  <c r="CK6" i="62"/>
  <c r="CK29" i="62"/>
  <c r="CK28" i="62" s="1"/>
  <c r="CJ5" i="62"/>
  <c r="CI23" i="62"/>
  <c r="CI22" i="62" s="1"/>
  <c r="CH3" i="62"/>
  <c r="FJ46" i="62"/>
  <c r="FJ11" i="62" s="1"/>
  <c r="FI43" i="62"/>
  <c r="FI10" i="62" s="1"/>
  <c r="CL31" i="62"/>
  <c r="CL33" i="62"/>
  <c r="GG24" i="62"/>
  <c r="GH24" i="62" s="1"/>
  <c r="GI24" i="62" s="1"/>
  <c r="GI51" i="62"/>
  <c r="CK30" i="62"/>
  <c r="CH27" i="62"/>
  <c r="FK50" i="62"/>
  <c r="FK49" i="62" s="1"/>
  <c r="FJ12" i="62"/>
  <c r="GJ39" i="62"/>
  <c r="FB53" i="62" l="1"/>
  <c r="FB52" i="62"/>
  <c r="FB13" i="62" s="1"/>
  <c r="FB54" i="62"/>
  <c r="FE35" i="62"/>
  <c r="FJ14" i="62"/>
  <c r="FK56" i="62"/>
  <c r="FK55" i="62" s="1"/>
  <c r="FK14" i="62" s="1"/>
  <c r="FD13" i="62"/>
  <c r="FE36" i="62"/>
  <c r="FE34" i="62"/>
  <c r="FC40" i="62"/>
  <c r="FC42" i="62"/>
  <c r="FB9" i="62"/>
  <c r="FC41" i="62"/>
  <c r="CM33" i="62"/>
  <c r="CM31" i="62"/>
  <c r="FJ44" i="62"/>
  <c r="FK47" i="62"/>
  <c r="ER38" i="62"/>
  <c r="FI59" i="62"/>
  <c r="CI26" i="62"/>
  <c r="CI25" i="62" s="1"/>
  <c r="CH4" i="62"/>
  <c r="CL29" i="62"/>
  <c r="CL28" i="62" s="1"/>
  <c r="CK5" i="62"/>
  <c r="CM32" i="62"/>
  <c r="CL6" i="62"/>
  <c r="CJ23" i="62"/>
  <c r="CJ22" i="62" s="1"/>
  <c r="CI3" i="62"/>
  <c r="CI27" i="62"/>
  <c r="CL30" i="62"/>
  <c r="GJ24" i="62"/>
  <c r="FL50" i="62"/>
  <c r="FL49" i="62" s="1"/>
  <c r="FK12" i="62"/>
  <c r="GJ51" i="62"/>
  <c r="FC53" i="62" l="1"/>
  <c r="FC52" i="62"/>
  <c r="FC13" i="62" s="1"/>
  <c r="FC54" i="62"/>
  <c r="FC9" i="62"/>
  <c r="FD41" i="62"/>
  <c r="FE7" i="62"/>
  <c r="FF35" i="62"/>
  <c r="FG35" i="62" s="1"/>
  <c r="FF34" i="62"/>
  <c r="FF7" i="62" s="1"/>
  <c r="FF36" i="62"/>
  <c r="FD42" i="62"/>
  <c r="FD40" i="62"/>
  <c r="FE13" i="62"/>
  <c r="FL56" i="62"/>
  <c r="FL55" i="62" s="1"/>
  <c r="FI58" i="62"/>
  <c r="FI15" i="62" s="1"/>
  <c r="FK46" i="62"/>
  <c r="FK11" i="62" s="1"/>
  <c r="CN32" i="62"/>
  <c r="CM6" i="62"/>
  <c r="CM29" i="62"/>
  <c r="CM28" i="62" s="1"/>
  <c r="CL5" i="62"/>
  <c r="CJ26" i="62"/>
  <c r="CJ25" i="62" s="1"/>
  <c r="CI4" i="62"/>
  <c r="CK23" i="62"/>
  <c r="CK22" i="62" s="1"/>
  <c r="CJ3" i="62"/>
  <c r="ER37" i="62"/>
  <c r="ER8" i="62" s="1"/>
  <c r="FJ43" i="62"/>
  <c r="FJ10" i="62" s="1"/>
  <c r="CN31" i="62"/>
  <c r="CN33" i="62"/>
  <c r="CM30" i="62"/>
  <c r="CJ27" i="62"/>
  <c r="FM50" i="62"/>
  <c r="FM49" i="62" s="1"/>
  <c r="FL12" i="62"/>
  <c r="FD53" i="62" l="1"/>
  <c r="FD52" i="62"/>
  <c r="FE53" i="62" s="1"/>
  <c r="FD54" i="62"/>
  <c r="FD9" i="62"/>
  <c r="FE41" i="62"/>
  <c r="FL47" i="62"/>
  <c r="FL46" i="62" s="1"/>
  <c r="FE40" i="62"/>
  <c r="FE42" i="62"/>
  <c r="FG36" i="62"/>
  <c r="FG34" i="62"/>
  <c r="FJ59" i="62"/>
  <c r="FJ58" i="62" s="1"/>
  <c r="FL14" i="62"/>
  <c r="FM56" i="62"/>
  <c r="FM55" i="62" s="1"/>
  <c r="CO31" i="62"/>
  <c r="CO33" i="62"/>
  <c r="FK44" i="62"/>
  <c r="ES38" i="62"/>
  <c r="CK26" i="62"/>
  <c r="CK25" i="62" s="1"/>
  <c r="CJ4" i="62"/>
  <c r="CN29" i="62"/>
  <c r="CN28" i="62" s="1"/>
  <c r="CM5" i="62"/>
  <c r="CO32" i="62"/>
  <c r="CN6" i="62"/>
  <c r="CL23" i="62"/>
  <c r="CL22" i="62" s="1"/>
  <c r="CK3" i="62"/>
  <c r="CK27" i="62"/>
  <c r="CN30" i="62"/>
  <c r="FN50" i="62"/>
  <c r="FN49" i="62" s="1"/>
  <c r="FM12" i="62"/>
  <c r="FE52" i="62" l="1"/>
  <c r="FF53" i="62" s="1"/>
  <c r="FE54" i="62"/>
  <c r="FJ15" i="62"/>
  <c r="FK59" i="62"/>
  <c r="FK58" i="62" s="1"/>
  <c r="FK15" i="62" s="1"/>
  <c r="FL11" i="62"/>
  <c r="FM47" i="62"/>
  <c r="FM46" i="62" s="1"/>
  <c r="FM11" i="62" s="1"/>
  <c r="FG7" i="62"/>
  <c r="FH35" i="62"/>
  <c r="FH36" i="62"/>
  <c r="FH34" i="62"/>
  <c r="FF40" i="62"/>
  <c r="FF42" i="62"/>
  <c r="FF41" i="62"/>
  <c r="FE9" i="62"/>
  <c r="FM14" i="62"/>
  <c r="FN56" i="62"/>
  <c r="FN55" i="62" s="1"/>
  <c r="ES37" i="62"/>
  <c r="ES8" i="62" s="1"/>
  <c r="CP31" i="62"/>
  <c r="CP33" i="62"/>
  <c r="CO29" i="62"/>
  <c r="CO28" i="62" s="1"/>
  <c r="CN5" i="62"/>
  <c r="CL26" i="62"/>
  <c r="CL25" i="62" s="1"/>
  <c r="CK4" i="62"/>
  <c r="CM23" i="62"/>
  <c r="CM22" i="62" s="1"/>
  <c r="CL3" i="62"/>
  <c r="FK43" i="62"/>
  <c r="FK10" i="62" s="1"/>
  <c r="CP32" i="62"/>
  <c r="CO6" i="62"/>
  <c r="FN12" i="62"/>
  <c r="FO50" i="62"/>
  <c r="FO49" i="62" s="1"/>
  <c r="CO30" i="62"/>
  <c r="CL27" i="62"/>
  <c r="FF54" i="62" l="1"/>
  <c r="FF52" i="62"/>
  <c r="FF13" i="62" s="1"/>
  <c r="FG40" i="62"/>
  <c r="FG42" i="62"/>
  <c r="FF9" i="62"/>
  <c r="FG41" i="62"/>
  <c r="FH7" i="62"/>
  <c r="FI35" i="62"/>
  <c r="FI34" i="62"/>
  <c r="FI7" i="62" s="1"/>
  <c r="FI36" i="62"/>
  <c r="ET38" i="62"/>
  <c r="ET37" i="62" s="1"/>
  <c r="ET8" i="62" s="1"/>
  <c r="FN47" i="62"/>
  <c r="FN46" i="62" s="1"/>
  <c r="FN11" i="62" s="1"/>
  <c r="FL59" i="62"/>
  <c r="FL58" i="62" s="1"/>
  <c r="FL15" i="62" s="1"/>
  <c r="FN14" i="62"/>
  <c r="FO56" i="62"/>
  <c r="FO55" i="62" s="1"/>
  <c r="FL44" i="62"/>
  <c r="CQ31" i="62"/>
  <c r="CQ33" i="62"/>
  <c r="CM26" i="62"/>
  <c r="CM25" i="62" s="1"/>
  <c r="CL4" i="62"/>
  <c r="CP29" i="62"/>
  <c r="CP28" i="62" s="1"/>
  <c r="CO5" i="62"/>
  <c r="CN23" i="62"/>
  <c r="CN22" i="62" s="1"/>
  <c r="CM3" i="62"/>
  <c r="CQ32" i="62"/>
  <c r="CP6" i="62"/>
  <c r="CM27" i="62"/>
  <c r="CP30" i="62"/>
  <c r="FO12" i="62"/>
  <c r="FP50" i="62"/>
  <c r="FP49" i="62" s="1"/>
  <c r="FG53" i="62" l="1"/>
  <c r="FG54" i="62"/>
  <c r="FG52" i="62"/>
  <c r="FG13" i="62" s="1"/>
  <c r="FJ35" i="62"/>
  <c r="FJ34" i="62"/>
  <c r="FJ36" i="62"/>
  <c r="FM59" i="62"/>
  <c r="FM58" i="62" s="1"/>
  <c r="FM15" i="62" s="1"/>
  <c r="FH40" i="62"/>
  <c r="FH42" i="62"/>
  <c r="EU38" i="62"/>
  <c r="EU37" i="62" s="1"/>
  <c r="EU8" i="62" s="1"/>
  <c r="FG9" i="62"/>
  <c r="FH41" i="62"/>
  <c r="FO47" i="62"/>
  <c r="FO46" i="62" s="1"/>
  <c r="FO11" i="62" s="1"/>
  <c r="FO14" i="62"/>
  <c r="FP56" i="62"/>
  <c r="FP55" i="62" s="1"/>
  <c r="CQ29" i="62"/>
  <c r="CQ28" i="62" s="1"/>
  <c r="CP5" i="62"/>
  <c r="CN26" i="62"/>
  <c r="CN25" i="62" s="1"/>
  <c r="CM4" i="62"/>
  <c r="CO23" i="62"/>
  <c r="CO22" i="62" s="1"/>
  <c r="CN3" i="62"/>
  <c r="CR32" i="62"/>
  <c r="CQ6" i="62"/>
  <c r="CR31" i="62"/>
  <c r="CR33" i="62"/>
  <c r="FL43" i="62"/>
  <c r="FL10" i="62" s="1"/>
  <c r="FP12" i="62"/>
  <c r="FQ50" i="62"/>
  <c r="FQ49" i="62" s="1"/>
  <c r="CQ30" i="62"/>
  <c r="CN27" i="62"/>
  <c r="FH53" i="62" l="1"/>
  <c r="FH52" i="62"/>
  <c r="FH13" i="62" s="1"/>
  <c r="FH54" i="62"/>
  <c r="FI40" i="62"/>
  <c r="FI42" i="62"/>
  <c r="FH9" i="62"/>
  <c r="FI41" i="62"/>
  <c r="FK36" i="62"/>
  <c r="FK34" i="62"/>
  <c r="FK7" i="62" s="1"/>
  <c r="FK35" i="62"/>
  <c r="FJ7" i="62"/>
  <c r="FP14" i="62"/>
  <c r="FQ56" i="62"/>
  <c r="FQ55" i="62" s="1"/>
  <c r="FM44" i="62"/>
  <c r="CS33" i="62"/>
  <c r="CS31" i="62"/>
  <c r="EV38" i="62"/>
  <c r="FP47" i="62"/>
  <c r="FN59" i="62"/>
  <c r="CO26" i="62"/>
  <c r="CO25" i="62" s="1"/>
  <c r="CN4" i="62"/>
  <c r="CR29" i="62"/>
  <c r="CR28" i="62" s="1"/>
  <c r="CQ5" i="62"/>
  <c r="CS32" i="62"/>
  <c r="CR6" i="62"/>
  <c r="CP23" i="62"/>
  <c r="CP22" i="62" s="1"/>
  <c r="CO3" i="62"/>
  <c r="CO27" i="62"/>
  <c r="CR30" i="62"/>
  <c r="FQ12" i="62"/>
  <c r="FR50" i="62"/>
  <c r="FR49" i="62" s="1"/>
  <c r="FL35" i="62" l="1"/>
  <c r="FI53" i="62"/>
  <c r="FI52" i="62"/>
  <c r="FI13" i="62" s="1"/>
  <c r="FI54" i="62"/>
  <c r="FQ14" i="62"/>
  <c r="FR56" i="62"/>
  <c r="FR55" i="62" s="1"/>
  <c r="FL34" i="62"/>
  <c r="FL36" i="62"/>
  <c r="FJ42" i="62"/>
  <c r="FJ40" i="62"/>
  <c r="FI9" i="62"/>
  <c r="FJ41" i="62"/>
  <c r="FN58" i="62"/>
  <c r="FN15" i="62" s="1"/>
  <c r="EV37" i="62"/>
  <c r="EV8" i="62" s="1"/>
  <c r="CT31" i="62"/>
  <c r="CT33" i="62"/>
  <c r="CS29" i="62"/>
  <c r="CS28" i="62" s="1"/>
  <c r="CR5" i="62"/>
  <c r="CP26" i="62"/>
  <c r="CP25" i="62" s="1"/>
  <c r="CO4" i="62"/>
  <c r="CQ23" i="62"/>
  <c r="CQ22" i="62" s="1"/>
  <c r="CP3" i="62"/>
  <c r="FP46" i="62"/>
  <c r="FP11" i="62" s="1"/>
  <c r="CT32" i="62"/>
  <c r="CS6" i="62"/>
  <c r="FM43" i="62"/>
  <c r="FM10" i="62" s="1"/>
  <c r="FS50" i="62"/>
  <c r="FS49" i="62" s="1"/>
  <c r="FR12" i="62"/>
  <c r="CS30" i="62"/>
  <c r="CP27" i="62"/>
  <c r="FJ53" i="62" l="1"/>
  <c r="FO59" i="62"/>
  <c r="FO58" i="62" s="1"/>
  <c r="FO15" i="62" s="1"/>
  <c r="FJ52" i="62"/>
  <c r="FJ13" i="62" s="1"/>
  <c r="FJ54" i="62"/>
  <c r="FR14" i="62"/>
  <c r="FS56" i="62"/>
  <c r="FS55" i="62" s="1"/>
  <c r="FS14" i="62" s="1"/>
  <c r="EW38" i="62"/>
  <c r="EW37" i="62" s="1"/>
  <c r="EW8" i="62" s="1"/>
  <c r="FK41" i="62"/>
  <c r="FJ9" i="62"/>
  <c r="FK42" i="62"/>
  <c r="FK40" i="62"/>
  <c r="FM34" i="62"/>
  <c r="FM7" i="62" s="1"/>
  <c r="FM36" i="62"/>
  <c r="FL7" i="62"/>
  <c r="FM35" i="62"/>
  <c r="FN44" i="62"/>
  <c r="FQ47" i="62"/>
  <c r="CU31" i="62"/>
  <c r="CU33" i="62"/>
  <c r="CQ26" i="62"/>
  <c r="CQ25" i="62" s="1"/>
  <c r="CP4" i="62"/>
  <c r="CT29" i="62"/>
  <c r="CT28" i="62" s="1"/>
  <c r="CS5" i="62"/>
  <c r="CR23" i="62"/>
  <c r="CR22" i="62" s="1"/>
  <c r="CQ3" i="62"/>
  <c r="CU32" i="62"/>
  <c r="CT6" i="62"/>
  <c r="CQ27" i="62"/>
  <c r="CT30" i="62"/>
  <c r="FT50" i="62"/>
  <c r="FT49" i="62" s="1"/>
  <c r="FS12" i="62"/>
  <c r="FK53" i="62" l="1"/>
  <c r="FK52" i="62"/>
  <c r="FK13" i="62" s="1"/>
  <c r="FK54" i="62"/>
  <c r="FN35" i="62"/>
  <c r="FN36" i="62"/>
  <c r="FN34" i="62"/>
  <c r="FL41" i="62"/>
  <c r="FK9" i="62"/>
  <c r="FL42" i="62"/>
  <c r="FL40" i="62"/>
  <c r="FP59" i="62"/>
  <c r="FP58" i="62" s="1"/>
  <c r="EX38" i="62"/>
  <c r="EX37" i="62" s="1"/>
  <c r="FT56" i="62"/>
  <c r="FT55" i="62" s="1"/>
  <c r="FT14" i="62" s="1"/>
  <c r="CV31" i="62"/>
  <c r="CV33" i="62"/>
  <c r="FQ46" i="62"/>
  <c r="FQ11" i="62" s="1"/>
  <c r="CU29" i="62"/>
  <c r="CU28" i="62" s="1"/>
  <c r="CT5" i="62"/>
  <c r="CR26" i="62"/>
  <c r="CR25" i="62" s="1"/>
  <c r="CQ4" i="62"/>
  <c r="CS23" i="62"/>
  <c r="CS22" i="62" s="1"/>
  <c r="CR3" i="62"/>
  <c r="CV32" i="62"/>
  <c r="CU6" i="62"/>
  <c r="FN43" i="62"/>
  <c r="FN10" i="62" s="1"/>
  <c r="CU30" i="62"/>
  <c r="CR27" i="62"/>
  <c r="FT12" i="62"/>
  <c r="FU50" i="62"/>
  <c r="FU49" i="62" s="1"/>
  <c r="FL53" i="62" l="1"/>
  <c r="FL52" i="62"/>
  <c r="FL13" i="62" s="1"/>
  <c r="FL54" i="62"/>
  <c r="EX8" i="62"/>
  <c r="EY38" i="62"/>
  <c r="FP15" i="62"/>
  <c r="FQ59" i="62"/>
  <c r="FQ58" i="62" s="1"/>
  <c r="FQ15" i="62" s="1"/>
  <c r="FM41" i="62"/>
  <c r="FL9" i="62"/>
  <c r="FM40" i="62"/>
  <c r="FM42" i="62"/>
  <c r="FN7" i="62"/>
  <c r="FO35" i="62"/>
  <c r="FO36" i="62"/>
  <c r="FO34" i="62"/>
  <c r="FR47" i="62"/>
  <c r="FR46" i="62" s="1"/>
  <c r="FU56" i="62"/>
  <c r="FO44" i="62"/>
  <c r="CW31" i="62"/>
  <c r="CW33" i="62"/>
  <c r="EY37" i="62"/>
  <c r="EY8" i="62" s="1"/>
  <c r="CS26" i="62"/>
  <c r="CS25" i="62" s="1"/>
  <c r="CR4" i="62"/>
  <c r="CV29" i="62"/>
  <c r="CV28" i="62" s="1"/>
  <c r="CU5" i="62"/>
  <c r="CT23" i="62"/>
  <c r="CT22" i="62" s="1"/>
  <c r="CS3" i="62"/>
  <c r="CW32" i="62"/>
  <c r="CV6" i="62"/>
  <c r="FU12" i="62"/>
  <c r="FV50" i="62"/>
  <c r="FV49" i="62" s="1"/>
  <c r="CS27" i="62"/>
  <c r="CV30" i="62"/>
  <c r="FM53" i="62" l="1"/>
  <c r="FM52" i="62"/>
  <c r="FM13" i="62" s="1"/>
  <c r="FM54" i="62"/>
  <c r="FR11" i="62"/>
  <c r="FS47" i="62"/>
  <c r="FS46" i="62" s="1"/>
  <c r="FS11" i="62" s="1"/>
  <c r="FN40" i="62"/>
  <c r="FN42" i="62"/>
  <c r="FN41" i="62"/>
  <c r="FM9" i="62"/>
  <c r="FR59" i="62"/>
  <c r="FR58" i="62" s="1"/>
  <c r="FR15" i="62" s="1"/>
  <c r="EZ38" i="62"/>
  <c r="EZ37" i="62" s="1"/>
  <c r="EZ8" i="62" s="1"/>
  <c r="FO7" i="62"/>
  <c r="FP35" i="62"/>
  <c r="FP34" i="62"/>
  <c r="FP36" i="62"/>
  <c r="FU55" i="62"/>
  <c r="FU14" i="62" s="1"/>
  <c r="CW29" i="62"/>
  <c r="CW28" i="62" s="1"/>
  <c r="CV5" i="62"/>
  <c r="CT26" i="62"/>
  <c r="CT25" i="62" s="1"/>
  <c r="CS4" i="62"/>
  <c r="CU23" i="62"/>
  <c r="CT3" i="62"/>
  <c r="CX32" i="62"/>
  <c r="CW6" i="62"/>
  <c r="CX31" i="62"/>
  <c r="CX33" i="62"/>
  <c r="FO43" i="62"/>
  <c r="FO10" i="62" s="1"/>
  <c r="CW30" i="62"/>
  <c r="CT27" i="62"/>
  <c r="FW50" i="62"/>
  <c r="FW49" i="62" s="1"/>
  <c r="FV12" i="62"/>
  <c r="FN53" i="62" l="1"/>
  <c r="FN54" i="62"/>
  <c r="FN52" i="62"/>
  <c r="FN13" i="62" s="1"/>
  <c r="FV56" i="62"/>
  <c r="FV55" i="62" s="1"/>
  <c r="FV14" i="62" s="1"/>
  <c r="FQ34" i="62"/>
  <c r="FQ36" i="62"/>
  <c r="FO40" i="62"/>
  <c r="FO42" i="62"/>
  <c r="FP7" i="62"/>
  <c r="FQ35" i="62"/>
  <c r="FN9" i="62"/>
  <c r="FO41" i="62"/>
  <c r="CU22" i="62"/>
  <c r="CV23" i="62" s="1"/>
  <c r="FP44" i="62"/>
  <c r="FT47" i="62"/>
  <c r="CY33" i="62"/>
  <c r="CY31" i="62"/>
  <c r="FA38" i="62"/>
  <c r="FS59" i="62"/>
  <c r="CU26" i="62"/>
  <c r="CU25" i="62" s="1"/>
  <c r="CT4" i="62"/>
  <c r="CX29" i="62"/>
  <c r="CX28" i="62" s="1"/>
  <c r="CW5" i="62"/>
  <c r="CY32" i="62"/>
  <c r="CX6" i="62"/>
  <c r="CV3" i="62"/>
  <c r="CU27" i="62"/>
  <c r="CX30" i="62"/>
  <c r="FX50" i="62"/>
  <c r="FX49" i="62" s="1"/>
  <c r="FW12" i="62"/>
  <c r="FO53" i="62" l="1"/>
  <c r="FO54" i="62"/>
  <c r="FO52" i="62"/>
  <c r="FO13" i="62" s="1"/>
  <c r="FP42" i="62"/>
  <c r="FP40" i="62"/>
  <c r="FO9" i="62"/>
  <c r="FP41" i="62"/>
  <c r="FR34" i="62"/>
  <c r="FR7" i="62" s="1"/>
  <c r="FR36" i="62"/>
  <c r="FR35" i="62"/>
  <c r="FQ7" i="62"/>
  <c r="FW56" i="62"/>
  <c r="FW55" i="62" s="1"/>
  <c r="FW14" i="62" s="1"/>
  <c r="CV22" i="62"/>
  <c r="CW23" i="62" s="1"/>
  <c r="CY29" i="62"/>
  <c r="CY28" i="62" s="1"/>
  <c r="CX5" i="62"/>
  <c r="FS58" i="62"/>
  <c r="FS15" i="62" s="1"/>
  <c r="CZ32" i="62"/>
  <c r="CY6" i="62"/>
  <c r="FT46" i="62"/>
  <c r="FT11" i="62" s="1"/>
  <c r="CV26" i="62"/>
  <c r="CV25" i="62" s="1"/>
  <c r="CU4" i="62"/>
  <c r="CW3" i="62"/>
  <c r="FA37" i="62"/>
  <c r="FA8" i="62" s="1"/>
  <c r="CZ31" i="62"/>
  <c r="CZ33" i="62"/>
  <c r="FP43" i="62"/>
  <c r="FP10" i="62" s="1"/>
  <c r="CY30" i="62"/>
  <c r="CV27" i="62"/>
  <c r="FX12" i="62"/>
  <c r="FY50" i="62"/>
  <c r="FY49" i="62" s="1"/>
  <c r="FS35" i="62" l="1"/>
  <c r="FP53" i="62"/>
  <c r="FP52" i="62"/>
  <c r="FP13" i="62" s="1"/>
  <c r="FP54" i="62"/>
  <c r="FR13" i="62"/>
  <c r="FS36" i="62"/>
  <c r="FS34" i="62"/>
  <c r="FQ41" i="62"/>
  <c r="FP9" i="62"/>
  <c r="FQ40" i="62"/>
  <c r="FQ42" i="62"/>
  <c r="CW22" i="62"/>
  <c r="CX23" i="62" s="1"/>
  <c r="FX56" i="62"/>
  <c r="FQ44" i="62"/>
  <c r="DA31" i="62"/>
  <c r="DA33" i="62"/>
  <c r="FB38" i="62"/>
  <c r="FU47" i="62"/>
  <c r="FT59" i="62"/>
  <c r="CW26" i="62"/>
  <c r="CW25" i="62" s="1"/>
  <c r="CV4" i="62"/>
  <c r="CZ29" i="62"/>
  <c r="CZ28" i="62" s="1"/>
  <c r="CY5" i="62"/>
  <c r="DA32" i="62"/>
  <c r="CZ6" i="62"/>
  <c r="CX3" i="62"/>
  <c r="FY12" i="62"/>
  <c r="FZ50" i="62"/>
  <c r="FZ49" i="62" s="1"/>
  <c r="CW27" i="62"/>
  <c r="CZ30" i="62"/>
  <c r="FQ53" i="62" l="1"/>
  <c r="FQ52" i="62"/>
  <c r="FQ13" i="62" s="1"/>
  <c r="FQ54" i="62"/>
  <c r="FR42" i="62"/>
  <c r="FR40" i="62"/>
  <c r="FQ9" i="62"/>
  <c r="FR41" i="62"/>
  <c r="FT35" i="62"/>
  <c r="FS7" i="62"/>
  <c r="FT34" i="62"/>
  <c r="FT36" i="62"/>
  <c r="FS13" i="62"/>
  <c r="CX22" i="62"/>
  <c r="CY23" i="62" s="1"/>
  <c r="CY22" i="62" s="1"/>
  <c r="FX55" i="62"/>
  <c r="FX14" i="62" s="1"/>
  <c r="FT58" i="62"/>
  <c r="FT15" i="62" s="1"/>
  <c r="FB37" i="62"/>
  <c r="FB8" i="62" s="1"/>
  <c r="DB32" i="62"/>
  <c r="DA6" i="62"/>
  <c r="DA29" i="62"/>
  <c r="DA28" i="62" s="1"/>
  <c r="CZ5" i="62"/>
  <c r="CX26" i="62"/>
  <c r="CX25" i="62" s="1"/>
  <c r="CW4" i="62"/>
  <c r="CY3" i="62"/>
  <c r="FU46" i="62"/>
  <c r="FU11" i="62" s="1"/>
  <c r="DB31" i="62"/>
  <c r="DB33" i="62"/>
  <c r="FQ43" i="62"/>
  <c r="FQ10" i="62" s="1"/>
  <c r="DA30" i="62"/>
  <c r="CX27" i="62"/>
  <c r="GA50" i="62"/>
  <c r="GA49" i="62" s="1"/>
  <c r="FZ12" i="62"/>
  <c r="FR53" i="62" l="1"/>
  <c r="FC38" i="62"/>
  <c r="FU59" i="62"/>
  <c r="FY56" i="62"/>
  <c r="FR54" i="62"/>
  <c r="FR52" i="62"/>
  <c r="FS53" i="62" s="1"/>
  <c r="FT13" i="62"/>
  <c r="FU36" i="62"/>
  <c r="FU34" i="62"/>
  <c r="FU7" i="62" s="1"/>
  <c r="FT7" i="62"/>
  <c r="FU35" i="62"/>
  <c r="FV35" i="62" s="1"/>
  <c r="FR9" i="62"/>
  <c r="FS41" i="62"/>
  <c r="FS42" i="62"/>
  <c r="FS40" i="62"/>
  <c r="FY55" i="62"/>
  <c r="FY14" i="62" s="1"/>
  <c r="CZ23" i="62"/>
  <c r="CZ22" i="62" s="1"/>
  <c r="FR44" i="62"/>
  <c r="DC31" i="62"/>
  <c r="DC33" i="62"/>
  <c r="FV47" i="62"/>
  <c r="FC37" i="62"/>
  <c r="FC8" i="62" s="1"/>
  <c r="FU58" i="62"/>
  <c r="FU15" i="62" s="1"/>
  <c r="CY26" i="62"/>
  <c r="CY25" i="62" s="1"/>
  <c r="CX4" i="62"/>
  <c r="DB29" i="62"/>
  <c r="DB28" i="62" s="1"/>
  <c r="DA5" i="62"/>
  <c r="DC32" i="62"/>
  <c r="DB6" i="62"/>
  <c r="CZ3" i="62"/>
  <c r="CY27" i="62"/>
  <c r="DB30" i="62"/>
  <c r="GA12" i="62"/>
  <c r="GB50" i="62"/>
  <c r="GB49" i="62" s="1"/>
  <c r="FS52" i="62" l="1"/>
  <c r="FT53" i="62" s="1"/>
  <c r="FS54" i="62"/>
  <c r="FS9" i="62"/>
  <c r="FT41" i="62"/>
  <c r="FT42" i="62"/>
  <c r="FT40" i="62"/>
  <c r="FV34" i="62"/>
  <c r="FV36" i="62"/>
  <c r="FU13" i="62"/>
  <c r="DA23" i="62"/>
  <c r="DA22" i="62" s="1"/>
  <c r="FZ56" i="62"/>
  <c r="CZ26" i="62"/>
  <c r="CZ25" i="62" s="1"/>
  <c r="CY4" i="62"/>
  <c r="FV59" i="62"/>
  <c r="FD38" i="62"/>
  <c r="FV46" i="62"/>
  <c r="FV11" i="62" s="1"/>
  <c r="DD32" i="62"/>
  <c r="DC6" i="62"/>
  <c r="DC29" i="62"/>
  <c r="DC28" i="62" s="1"/>
  <c r="DB5" i="62"/>
  <c r="DA3" i="62"/>
  <c r="DD31" i="62"/>
  <c r="DD33" i="62"/>
  <c r="FR43" i="62"/>
  <c r="FR10" i="62" s="1"/>
  <c r="GC50" i="62"/>
  <c r="GC49" i="62" s="1"/>
  <c r="GB12" i="62"/>
  <c r="DC30" i="62"/>
  <c r="CZ27" i="62"/>
  <c r="FT54" i="62" l="1"/>
  <c r="FT52" i="62"/>
  <c r="FU53" i="62" s="1"/>
  <c r="FV13" i="62"/>
  <c r="FW34" i="62"/>
  <c r="FW7" i="62" s="1"/>
  <c r="FW36" i="62"/>
  <c r="FV7" i="62"/>
  <c r="FW35" i="62"/>
  <c r="FX35" i="62" s="1"/>
  <c r="FT9" i="62"/>
  <c r="FU41" i="62"/>
  <c r="FU42" i="62"/>
  <c r="FU40" i="62"/>
  <c r="DB23" i="62"/>
  <c r="DB22" i="62" s="1"/>
  <c r="DC23" i="62" s="1"/>
  <c r="DC22" i="62" s="1"/>
  <c r="FZ55" i="62"/>
  <c r="FZ14" i="62" s="1"/>
  <c r="DA26" i="62"/>
  <c r="DA25" i="62" s="1"/>
  <c r="CZ4" i="62"/>
  <c r="FS44" i="62"/>
  <c r="DE33" i="62"/>
  <c r="DE31" i="62"/>
  <c r="FW47" i="62"/>
  <c r="FD37" i="62"/>
  <c r="FD8" i="62" s="1"/>
  <c r="DD29" i="62"/>
  <c r="DD28" i="62" s="1"/>
  <c r="DC5" i="62"/>
  <c r="DE32" i="62"/>
  <c r="DD6" i="62"/>
  <c r="DB3" i="62"/>
  <c r="FV58" i="62"/>
  <c r="FV15" i="62" s="1"/>
  <c r="DA27" i="62"/>
  <c r="DD30" i="62"/>
  <c r="GD50" i="62"/>
  <c r="GD49" i="62" s="1"/>
  <c r="GC12" i="62"/>
  <c r="FU54" i="62" l="1"/>
  <c r="FU52" i="62"/>
  <c r="FV53" i="62" s="1"/>
  <c r="FV41" i="62"/>
  <c r="FU9" i="62"/>
  <c r="FV42" i="62"/>
  <c r="FV40" i="62"/>
  <c r="FX36" i="62"/>
  <c r="FX34" i="62"/>
  <c r="FW13" i="62"/>
  <c r="GA56" i="62"/>
  <c r="GA55" i="62" s="1"/>
  <c r="FE38" i="62"/>
  <c r="FW59" i="62"/>
  <c r="FE37" i="62"/>
  <c r="FE8" i="62" s="1"/>
  <c r="FW46" i="62"/>
  <c r="FW11" i="62" s="1"/>
  <c r="DF31" i="62"/>
  <c r="DF33" i="62"/>
  <c r="DE29" i="62"/>
  <c r="DE28" i="62" s="1"/>
  <c r="DD5" i="62"/>
  <c r="DB26" i="62"/>
  <c r="DB25" i="62" s="1"/>
  <c r="DA4" i="62"/>
  <c r="DD23" i="62"/>
  <c r="DD22" i="62" s="1"/>
  <c r="DC3" i="62"/>
  <c r="DF32" i="62"/>
  <c r="DE6" i="62"/>
  <c r="FS43" i="62"/>
  <c r="FS10" i="62" s="1"/>
  <c r="GD12" i="62"/>
  <c r="GE50" i="62"/>
  <c r="GE49" i="62" s="1"/>
  <c r="DE30" i="62"/>
  <c r="DB27" i="62"/>
  <c r="FV52" i="62" l="1"/>
  <c r="FW53" i="62" s="1"/>
  <c r="FV54" i="62"/>
  <c r="FX13" i="62"/>
  <c r="FY35" i="62"/>
  <c r="FX7" i="62"/>
  <c r="FY36" i="62"/>
  <c r="FY34" i="62"/>
  <c r="FY7" i="62" s="1"/>
  <c r="FW41" i="62"/>
  <c r="FV9" i="62"/>
  <c r="FW42" i="62"/>
  <c r="FW40" i="62"/>
  <c r="GA14" i="62"/>
  <c r="GB56" i="62"/>
  <c r="GB55" i="62" s="1"/>
  <c r="GB14" i="62" s="1"/>
  <c r="FX47" i="62"/>
  <c r="FX46" i="62" s="1"/>
  <c r="FX11" i="62" s="1"/>
  <c r="DE23" i="62"/>
  <c r="DE22" i="62" s="1"/>
  <c r="DD3" i="62"/>
  <c r="DG32" i="62"/>
  <c r="DF6" i="62"/>
  <c r="FF38" i="62"/>
  <c r="DC26" i="62"/>
  <c r="DC25" i="62" s="1"/>
  <c r="DB4" i="62"/>
  <c r="DF29" i="62"/>
  <c r="DF28" i="62" s="1"/>
  <c r="DE5" i="62"/>
  <c r="FT44" i="62"/>
  <c r="DG31" i="62"/>
  <c r="DG33" i="62"/>
  <c r="FW58" i="62"/>
  <c r="FW15" i="62" s="1"/>
  <c r="DC27" i="62"/>
  <c r="DF30" i="62"/>
  <c r="GF50" i="62"/>
  <c r="GF49" i="62" s="1"/>
  <c r="GE12" i="62"/>
  <c r="FW54" i="62" l="1"/>
  <c r="FW52" i="62"/>
  <c r="FX53" i="62" s="1"/>
  <c r="FZ35" i="62"/>
  <c r="FX59" i="62"/>
  <c r="FX58" i="62" s="1"/>
  <c r="FW9" i="62"/>
  <c r="FX41" i="62"/>
  <c r="FX40" i="62"/>
  <c r="FX42" i="62"/>
  <c r="FY47" i="62"/>
  <c r="FY46" i="62" s="1"/>
  <c r="FY11" i="62" s="1"/>
  <c r="FZ34" i="62"/>
  <c r="FZ36" i="62"/>
  <c r="FY13" i="62"/>
  <c r="GC56" i="62"/>
  <c r="DH33" i="62"/>
  <c r="DH31" i="62"/>
  <c r="FT43" i="62"/>
  <c r="FT10" i="62" s="1"/>
  <c r="DG29" i="62"/>
  <c r="DG28" i="62" s="1"/>
  <c r="DF5" i="62"/>
  <c r="DD26" i="62"/>
  <c r="DD25" i="62" s="1"/>
  <c r="DC4" i="62"/>
  <c r="DH32" i="62"/>
  <c r="DG6" i="62"/>
  <c r="FF37" i="62"/>
  <c r="FF8" i="62" s="1"/>
  <c r="DF23" i="62"/>
  <c r="DF22" i="62" s="1"/>
  <c r="DE3" i="62"/>
  <c r="GG50" i="62"/>
  <c r="GG49" i="62" s="1"/>
  <c r="GF12" i="62"/>
  <c r="DG30" i="62"/>
  <c r="DD27" i="62"/>
  <c r="FX52" i="62" l="1"/>
  <c r="FY53" i="62" s="1"/>
  <c r="FX54" i="62"/>
  <c r="FX15" i="62"/>
  <c r="FY59" i="62"/>
  <c r="FY58" i="62" s="1"/>
  <c r="FY15" i="62" s="1"/>
  <c r="FZ13" i="62"/>
  <c r="GA34" i="62"/>
  <c r="GA36" i="62"/>
  <c r="FZ47" i="62"/>
  <c r="FZ46" i="62" s="1"/>
  <c r="FZ11" i="62" s="1"/>
  <c r="FZ7" i="62"/>
  <c r="GA35" i="62"/>
  <c r="FY40" i="62"/>
  <c r="FY42" i="62"/>
  <c r="FY41" i="62"/>
  <c r="FX9" i="62"/>
  <c r="GC55" i="62"/>
  <c r="GC14" i="62" s="1"/>
  <c r="DH29" i="62"/>
  <c r="DH28" i="62" s="1"/>
  <c r="DG5" i="62"/>
  <c r="FG38" i="62"/>
  <c r="FU44" i="62"/>
  <c r="DI32" i="62"/>
  <c r="DH6" i="62"/>
  <c r="DE26" i="62"/>
  <c r="DE25" i="62" s="1"/>
  <c r="DD4" i="62"/>
  <c r="DG23" i="62"/>
  <c r="DG22" i="62" s="1"/>
  <c r="DF3" i="62"/>
  <c r="DI31" i="62"/>
  <c r="DI33" i="62"/>
  <c r="DE27" i="62"/>
  <c r="DH30" i="62"/>
  <c r="GH50" i="62"/>
  <c r="GH49" i="62" s="1"/>
  <c r="GG12" i="62"/>
  <c r="FY52" i="62" l="1"/>
  <c r="FZ53" i="62" s="1"/>
  <c r="FY54" i="62"/>
  <c r="FZ41" i="62"/>
  <c r="FY9" i="62"/>
  <c r="GB34" i="62"/>
  <c r="GB36" i="62"/>
  <c r="GA7" i="62"/>
  <c r="GB35" i="62"/>
  <c r="GA13" i="62"/>
  <c r="FZ40" i="62"/>
  <c r="FZ42" i="62"/>
  <c r="GD56" i="62"/>
  <c r="GD55" i="62" s="1"/>
  <c r="DJ33" i="62"/>
  <c r="DJ31" i="62"/>
  <c r="FZ59" i="62"/>
  <c r="GA47" i="62"/>
  <c r="FU43" i="62"/>
  <c r="FU10" i="62" s="1"/>
  <c r="DI29" i="62"/>
  <c r="DI28" i="62" s="1"/>
  <c r="DH5" i="62"/>
  <c r="DF26" i="62"/>
  <c r="DF25" i="62" s="1"/>
  <c r="DE4" i="62"/>
  <c r="DJ32" i="62"/>
  <c r="DI6" i="62"/>
  <c r="DH23" i="62"/>
  <c r="DH22" i="62" s="1"/>
  <c r="DG3" i="62"/>
  <c r="FG37" i="62"/>
  <c r="FG8" i="62" s="1"/>
  <c r="DI30" i="62"/>
  <c r="DF27" i="62"/>
  <c r="GI50" i="62"/>
  <c r="GI49" i="62" s="1"/>
  <c r="GH12" i="62"/>
  <c r="FZ52" i="62" l="1"/>
  <c r="GA53" i="62" s="1"/>
  <c r="FZ54" i="62"/>
  <c r="GA40" i="62"/>
  <c r="GA42" i="62"/>
  <c r="GA41" i="62"/>
  <c r="FZ9" i="62"/>
  <c r="GB13" i="62"/>
  <c r="GC34" i="62"/>
  <c r="GC7" i="62" s="1"/>
  <c r="GC36" i="62"/>
  <c r="GB7" i="62"/>
  <c r="GC35" i="62"/>
  <c r="GD14" i="62"/>
  <c r="GE56" i="62"/>
  <c r="GE55" i="62" s="1"/>
  <c r="FH38" i="62"/>
  <c r="FV44" i="62"/>
  <c r="GA46" i="62"/>
  <c r="GA11" i="62" s="1"/>
  <c r="DK32" i="62"/>
  <c r="DJ6" i="62"/>
  <c r="DG26" i="62"/>
  <c r="DG25" i="62" s="1"/>
  <c r="DF4" i="62"/>
  <c r="DJ29" i="62"/>
  <c r="DJ28" i="62" s="1"/>
  <c r="DI5" i="62"/>
  <c r="DI23" i="62"/>
  <c r="DI22" i="62" s="1"/>
  <c r="DH3" i="62"/>
  <c r="FZ58" i="62"/>
  <c r="FZ15" i="62" s="1"/>
  <c r="DK31" i="62"/>
  <c r="DK33" i="62"/>
  <c r="DG27" i="62"/>
  <c r="DJ30" i="62"/>
  <c r="GJ50" i="62"/>
  <c r="GJ49" i="62" s="1"/>
  <c r="GI12" i="62"/>
  <c r="GJ12" i="62" l="1"/>
  <c r="GA52" i="62"/>
  <c r="GB53" i="62" s="1"/>
  <c r="GA54" i="62"/>
  <c r="GD35" i="62"/>
  <c r="GD36" i="62"/>
  <c r="GD34" i="62"/>
  <c r="GC13" i="62"/>
  <c r="GB40" i="62"/>
  <c r="GB42" i="62"/>
  <c r="GA9" i="62"/>
  <c r="GB41" i="62"/>
  <c r="GE14" i="62"/>
  <c r="GF56" i="62"/>
  <c r="GF55" i="62" s="1"/>
  <c r="GF14" i="62" s="1"/>
  <c r="E12" i="62"/>
  <c r="BC136" i="58" s="1"/>
  <c r="BD136" i="58" s="1"/>
  <c r="DL31" i="62"/>
  <c r="DL33" i="62"/>
  <c r="GA59" i="62"/>
  <c r="GB47" i="62"/>
  <c r="FV43" i="62"/>
  <c r="FV10" i="62" s="1"/>
  <c r="DK29" i="62"/>
  <c r="DK28" i="62" s="1"/>
  <c r="DJ5" i="62"/>
  <c r="DH26" i="62"/>
  <c r="DH25" i="62" s="1"/>
  <c r="DG4" i="62"/>
  <c r="DL32" i="62"/>
  <c r="DK6" i="62"/>
  <c r="DJ23" i="62"/>
  <c r="DJ22" i="62" s="1"/>
  <c r="DI3" i="62"/>
  <c r="FH37" i="62"/>
  <c r="FH8" i="62" s="1"/>
  <c r="DK30" i="62"/>
  <c r="DH27" i="62"/>
  <c r="GB54" i="62" l="1"/>
  <c r="GB52" i="62"/>
  <c r="GC53" i="62" s="1"/>
  <c r="FW44" i="62"/>
  <c r="GC40" i="62"/>
  <c r="GC42" i="62"/>
  <c r="GC41" i="62"/>
  <c r="GB9" i="62"/>
  <c r="GD13" i="62"/>
  <c r="GD7" i="62"/>
  <c r="GE35" i="62"/>
  <c r="GF35" i="62" s="1"/>
  <c r="GE36" i="62"/>
  <c r="GE34" i="62"/>
  <c r="GE7" i="62" s="1"/>
  <c r="GG56" i="62"/>
  <c r="DK23" i="62"/>
  <c r="DK22" i="62" s="1"/>
  <c r="DJ3" i="62"/>
  <c r="GA58" i="62"/>
  <c r="GA15" i="62" s="1"/>
  <c r="DM32" i="62"/>
  <c r="DL6" i="62"/>
  <c r="DI26" i="62"/>
  <c r="DI25" i="62" s="1"/>
  <c r="DH4" i="62"/>
  <c r="DL29" i="62"/>
  <c r="DL28" i="62" s="1"/>
  <c r="DK5" i="62"/>
  <c r="FI38" i="62"/>
  <c r="FW43" i="62"/>
  <c r="FW10" i="62" s="1"/>
  <c r="GB46" i="62"/>
  <c r="GB11" i="62" s="1"/>
  <c r="DM31" i="62"/>
  <c r="DM33" i="62"/>
  <c r="DI27" i="62"/>
  <c r="DL30" i="62"/>
  <c r="GC52" i="62" l="1"/>
  <c r="GD53" i="62" s="1"/>
  <c r="GC54" i="62"/>
  <c r="GF36" i="62"/>
  <c r="GF34" i="62"/>
  <c r="GC47" i="62"/>
  <c r="GC46" i="62" s="1"/>
  <c r="GC11" i="62" s="1"/>
  <c r="GD40" i="62"/>
  <c r="GD42" i="62"/>
  <c r="GD41" i="62"/>
  <c r="GC9" i="62"/>
  <c r="FX44" i="62"/>
  <c r="FX43" i="62" s="1"/>
  <c r="FX10" i="62" s="1"/>
  <c r="GG55" i="62"/>
  <c r="GG14" i="62" s="1"/>
  <c r="DN31" i="62"/>
  <c r="DN33" i="62"/>
  <c r="FI37" i="62"/>
  <c r="FI8" i="62" s="1"/>
  <c r="GB59" i="62"/>
  <c r="DM29" i="62"/>
  <c r="DM28" i="62" s="1"/>
  <c r="DL5" i="62"/>
  <c r="DJ26" i="62"/>
  <c r="DJ25" i="62" s="1"/>
  <c r="DI4" i="62"/>
  <c r="DN32" i="62"/>
  <c r="DM6" i="62"/>
  <c r="DL23" i="62"/>
  <c r="DL22" i="62" s="1"/>
  <c r="DK3" i="62"/>
  <c r="DM30" i="62"/>
  <c r="DJ27" i="62"/>
  <c r="GD54" i="62" l="1"/>
  <c r="GD52" i="62"/>
  <c r="GE53" i="62" s="1"/>
  <c r="GE40" i="62"/>
  <c r="GE42" i="62"/>
  <c r="GE41" i="62"/>
  <c r="GD9" i="62"/>
  <c r="GG35" i="62"/>
  <c r="GH35" i="62" s="1"/>
  <c r="GF7" i="62"/>
  <c r="GG34" i="62"/>
  <c r="GG7" i="62" s="1"/>
  <c r="GG36" i="62"/>
  <c r="FJ38" i="62"/>
  <c r="FJ37" i="62" s="1"/>
  <c r="FJ8" i="62" s="1"/>
  <c r="FY44" i="62"/>
  <c r="FY43" i="62" s="1"/>
  <c r="FY10" i="62" s="1"/>
  <c r="GD47" i="62"/>
  <c r="GD46" i="62" s="1"/>
  <c r="GD11" i="62" s="1"/>
  <c r="GH56" i="62"/>
  <c r="DM23" i="62"/>
  <c r="DM22" i="62" s="1"/>
  <c r="DL3" i="62"/>
  <c r="DO31" i="62"/>
  <c r="DO33" i="62"/>
  <c r="DK26" i="62"/>
  <c r="DK25" i="62" s="1"/>
  <c r="DJ4" i="62"/>
  <c r="DN29" i="62"/>
  <c r="DN28" i="62" s="1"/>
  <c r="DM5" i="62"/>
  <c r="GB58" i="62"/>
  <c r="GB15" i="62" s="1"/>
  <c r="DO32" i="62"/>
  <c r="DN6" i="62"/>
  <c r="DK27" i="62"/>
  <c r="DN30" i="62"/>
  <c r="GE52" i="62" l="1"/>
  <c r="GE13" i="62" s="1"/>
  <c r="GE54" i="62"/>
  <c r="GF40" i="62"/>
  <c r="GF42" i="62"/>
  <c r="GF41" i="62"/>
  <c r="GE9" i="62"/>
  <c r="GH36" i="62"/>
  <c r="GH34" i="62"/>
  <c r="GH55" i="62"/>
  <c r="GH14" i="62" s="1"/>
  <c r="DP32" i="62"/>
  <c r="DO6" i="62"/>
  <c r="DN23" i="62"/>
  <c r="DN22" i="62" s="1"/>
  <c r="DM3" i="62"/>
  <c r="DO29" i="62"/>
  <c r="DO28" i="62" s="1"/>
  <c r="DN5" i="62"/>
  <c r="DL26" i="62"/>
  <c r="DL25" i="62" s="1"/>
  <c r="DK4" i="62"/>
  <c r="GC59" i="62"/>
  <c r="DP33" i="62"/>
  <c r="DP31" i="62"/>
  <c r="GE47" i="62"/>
  <c r="FZ44" i="62"/>
  <c r="FK38" i="62"/>
  <c r="DO30" i="62"/>
  <c r="DL27" i="62"/>
  <c r="GF53" i="62" l="1"/>
  <c r="GF52" i="62"/>
  <c r="GF13" i="62" s="1"/>
  <c r="GF54" i="62"/>
  <c r="GH7" i="62"/>
  <c r="GI35" i="62"/>
  <c r="GJ35" i="62" s="1"/>
  <c r="GI34" i="62"/>
  <c r="GI7" i="62" s="1"/>
  <c r="GI36" i="62"/>
  <c r="GG40" i="62"/>
  <c r="GG42" i="62"/>
  <c r="GG41" i="62"/>
  <c r="GF9" i="62"/>
  <c r="GI56" i="62"/>
  <c r="GI55" i="62" s="1"/>
  <c r="GI14" i="62" s="1"/>
  <c r="DM26" i="62"/>
  <c r="DM25" i="62" s="1"/>
  <c r="DL4" i="62"/>
  <c r="DP29" i="62"/>
  <c r="DP28" i="62" s="1"/>
  <c r="DO5" i="62"/>
  <c r="GC58" i="62"/>
  <c r="GC15" i="62" s="1"/>
  <c r="DO23" i="62"/>
  <c r="DO22" i="62" s="1"/>
  <c r="DN3" i="62"/>
  <c r="FZ43" i="62"/>
  <c r="FZ10" i="62" s="1"/>
  <c r="DQ32" i="62"/>
  <c r="DP6" i="62"/>
  <c r="FK37" i="62"/>
  <c r="FK8" i="62" s="1"/>
  <c r="GE46" i="62"/>
  <c r="GE11" i="62" s="1"/>
  <c r="DQ33" i="62"/>
  <c r="DQ31" i="62"/>
  <c r="DM27" i="62"/>
  <c r="DP30" i="62"/>
  <c r="GG53" i="62" l="1"/>
  <c r="GG52" i="62"/>
  <c r="GG13" i="62" s="1"/>
  <c r="GG54" i="62"/>
  <c r="GH40" i="62"/>
  <c r="GH42" i="62"/>
  <c r="GH41" i="62"/>
  <c r="GG9" i="62"/>
  <c r="GJ36" i="62"/>
  <c r="GJ34" i="62"/>
  <c r="GJ56" i="62"/>
  <c r="GJ55" i="62" s="1"/>
  <c r="DQ29" i="62"/>
  <c r="DQ28" i="62" s="1"/>
  <c r="DP5" i="62"/>
  <c r="DN26" i="62"/>
  <c r="DN25" i="62" s="1"/>
  <c r="DM4" i="62"/>
  <c r="DR32" i="62"/>
  <c r="DQ6" i="62"/>
  <c r="GF47" i="62"/>
  <c r="FL38" i="62"/>
  <c r="GA44" i="62"/>
  <c r="GD59" i="62"/>
  <c r="DR33" i="62"/>
  <c r="DR31" i="62"/>
  <c r="DP23" i="62"/>
  <c r="DP22" i="62" s="1"/>
  <c r="DO3" i="62"/>
  <c r="DQ30" i="62"/>
  <c r="DN27" i="62"/>
  <c r="GH53" i="62" l="1"/>
  <c r="GJ14" i="62"/>
  <c r="E14" i="62" s="1"/>
  <c r="BC138" i="58" s="1"/>
  <c r="BD138" i="58" s="1"/>
  <c r="GJ7" i="62"/>
  <c r="E7" i="62" s="1"/>
  <c r="BC128" i="58" s="1"/>
  <c r="BD128" i="58" s="1"/>
  <c r="GH52" i="62"/>
  <c r="GH13" i="62" s="1"/>
  <c r="GH54" i="62"/>
  <c r="GI40" i="62"/>
  <c r="GI42" i="62"/>
  <c r="GI41" i="62"/>
  <c r="GH9" i="62"/>
  <c r="DO26" i="62"/>
  <c r="DO25" i="62" s="1"/>
  <c r="DN4" i="62"/>
  <c r="DR29" i="62"/>
  <c r="DR28" i="62" s="1"/>
  <c r="DQ5" i="62"/>
  <c r="DS33" i="62"/>
  <c r="DS31" i="62"/>
  <c r="DS6" i="62" s="1"/>
  <c r="DS32" i="62"/>
  <c r="DR6" i="62"/>
  <c r="GD58" i="62"/>
  <c r="GD15" i="62" s="1"/>
  <c r="FL37" i="62"/>
  <c r="FL8" i="62" s="1"/>
  <c r="DQ23" i="62"/>
  <c r="DQ22" i="62" s="1"/>
  <c r="DP3" i="62"/>
  <c r="GA43" i="62"/>
  <c r="GA10" i="62" s="1"/>
  <c r="GF46" i="62"/>
  <c r="GF11" i="62" s="1"/>
  <c r="DO27" i="62"/>
  <c r="DR30" i="62"/>
  <c r="GI53" i="62" l="1"/>
  <c r="GI54" i="62"/>
  <c r="GI52" i="62"/>
  <c r="GI13" i="62" s="1"/>
  <c r="GJ40" i="62"/>
  <c r="GJ42" i="62"/>
  <c r="GI9" i="62"/>
  <c r="GJ41" i="62"/>
  <c r="DT32" i="62"/>
  <c r="DR23" i="62"/>
  <c r="DR22" i="62" s="1"/>
  <c r="DQ3" i="62"/>
  <c r="GG47" i="62"/>
  <c r="GB44" i="62"/>
  <c r="FM38" i="62"/>
  <c r="GE59" i="62"/>
  <c r="DS29" i="62"/>
  <c r="DS28" i="62" s="1"/>
  <c r="DR5" i="62"/>
  <c r="DP26" i="62"/>
  <c r="DP25" i="62" s="1"/>
  <c r="DO4" i="62"/>
  <c r="DT31" i="62"/>
  <c r="DT33" i="62"/>
  <c r="DS30" i="62"/>
  <c r="DP27" i="62"/>
  <c r="GJ53" i="62" l="1"/>
  <c r="GJ9" i="62"/>
  <c r="E9" i="62" s="1"/>
  <c r="BC130" i="58" s="1"/>
  <c r="BD130" i="58" s="1"/>
  <c r="GJ52" i="62"/>
  <c r="GJ54" i="62"/>
  <c r="DU31" i="62"/>
  <c r="DU6" i="62" s="1"/>
  <c r="DU33" i="62"/>
  <c r="GE58" i="62"/>
  <c r="GE15" i="62" s="1"/>
  <c r="GB43" i="62"/>
  <c r="GB10" i="62" s="1"/>
  <c r="DQ26" i="62"/>
  <c r="DQ25" i="62" s="1"/>
  <c r="DP4" i="62"/>
  <c r="DU32" i="62"/>
  <c r="DV32" i="62" s="1"/>
  <c r="DT6" i="62"/>
  <c r="FM37" i="62"/>
  <c r="FM8" i="62" s="1"/>
  <c r="GG46" i="62"/>
  <c r="GG11" i="62" s="1"/>
  <c r="DS23" i="62"/>
  <c r="DR3" i="62"/>
  <c r="DT29" i="62"/>
  <c r="DT28" i="62" s="1"/>
  <c r="DS5" i="62"/>
  <c r="DQ27" i="62"/>
  <c r="DT30" i="62"/>
  <c r="GJ13" i="62" l="1"/>
  <c r="E13" i="62" s="1"/>
  <c r="BC137" i="58" s="1"/>
  <c r="BD137" i="58" s="1"/>
  <c r="GC44" i="62"/>
  <c r="GC43" i="62" s="1"/>
  <c r="GC10" i="62" s="1"/>
  <c r="GF59" i="62"/>
  <c r="GF58" i="62" s="1"/>
  <c r="GF15" i="62" s="1"/>
  <c r="DR26" i="62"/>
  <c r="DR25" i="62" s="1"/>
  <c r="DQ4" i="62"/>
  <c r="GH47" i="62"/>
  <c r="FN38" i="62"/>
  <c r="DV31" i="62"/>
  <c r="DV33" i="62"/>
  <c r="DS22" i="62"/>
  <c r="DS3" i="62" s="1"/>
  <c r="DU30" i="62"/>
  <c r="DU29" i="62"/>
  <c r="DU28" i="62" s="1"/>
  <c r="DT5" i="62"/>
  <c r="DR27" i="62"/>
  <c r="DT23" i="62" l="1"/>
  <c r="DT22" i="62" s="1"/>
  <c r="DT3" i="62" s="1"/>
  <c r="DS26" i="62"/>
  <c r="DS25" i="62" s="1"/>
  <c r="DR4" i="62"/>
  <c r="DW33" i="62"/>
  <c r="DW31" i="62"/>
  <c r="DW6" i="62" s="1"/>
  <c r="GG59" i="62"/>
  <c r="GD44" i="62"/>
  <c r="FN37" i="62"/>
  <c r="FN8" i="62" s="1"/>
  <c r="DV6" i="62"/>
  <c r="DW32" i="62"/>
  <c r="GH46" i="62"/>
  <c r="GH11" i="62" s="1"/>
  <c r="DV29" i="62"/>
  <c r="DV28" i="62" s="1"/>
  <c r="DU5" i="62"/>
  <c r="DS27" i="62"/>
  <c r="DV30" i="62"/>
  <c r="GI47" i="62" l="1"/>
  <c r="GI46" i="62" s="1"/>
  <c r="GI11" i="62" s="1"/>
  <c r="DX32" i="62"/>
  <c r="FO38" i="62"/>
  <c r="GD43" i="62"/>
  <c r="GD10" i="62" s="1"/>
  <c r="DU23" i="62"/>
  <c r="GG58" i="62"/>
  <c r="GG15" i="62" s="1"/>
  <c r="DX33" i="62"/>
  <c r="DX31" i="62"/>
  <c r="DW30" i="62"/>
  <c r="DT27" i="62"/>
  <c r="DW29" i="62"/>
  <c r="DW28" i="62" s="1"/>
  <c r="DV5" i="62"/>
  <c r="DT26" i="62"/>
  <c r="DT25" i="62" s="1"/>
  <c r="DS4" i="62"/>
  <c r="GJ47" i="62" l="1"/>
  <c r="GJ46" i="62" s="1"/>
  <c r="GH59" i="62"/>
  <c r="GH58" i="62" s="1"/>
  <c r="GH15" i="62" s="1"/>
  <c r="DY32" i="62"/>
  <c r="DX6" i="62"/>
  <c r="DU22" i="62"/>
  <c r="DU3" i="62" s="1"/>
  <c r="DY31" i="62"/>
  <c r="DY6" i="62" s="1"/>
  <c r="DY33" i="62"/>
  <c r="GE44" i="62"/>
  <c r="FO37" i="62"/>
  <c r="FO8" i="62" s="1"/>
  <c r="DU26" i="62"/>
  <c r="DU25" i="62" s="1"/>
  <c r="DT4" i="62"/>
  <c r="DX29" i="62"/>
  <c r="DX28" i="62" s="1"/>
  <c r="DW5" i="62"/>
  <c r="DX30" i="62"/>
  <c r="DU27" i="62"/>
  <c r="GJ11" i="62" l="1"/>
  <c r="E11" i="62" s="1"/>
  <c r="BC135" i="58" s="1"/>
  <c r="BD135" i="58" s="1"/>
  <c r="FP38" i="62"/>
  <c r="FP37" i="62" s="1"/>
  <c r="FP8" i="62" s="1"/>
  <c r="DZ33" i="62"/>
  <c r="DZ31" i="62"/>
  <c r="DZ6" i="62" s="1"/>
  <c r="DV23" i="62"/>
  <c r="GI59" i="62"/>
  <c r="GE43" i="62"/>
  <c r="GE10" i="62" s="1"/>
  <c r="DZ32" i="62"/>
  <c r="DV27" i="62"/>
  <c r="DY29" i="62"/>
  <c r="DY28" i="62" s="1"/>
  <c r="DX5" i="62"/>
  <c r="DV26" i="62"/>
  <c r="DV25" i="62" s="1"/>
  <c r="DU4" i="62"/>
  <c r="DY30" i="62"/>
  <c r="EA32" i="62" l="1"/>
  <c r="GF44" i="62"/>
  <c r="FQ38" i="62"/>
  <c r="GI58" i="62"/>
  <c r="GI15" i="62" s="1"/>
  <c r="DV22" i="62"/>
  <c r="DV3" i="62" s="1"/>
  <c r="EA33" i="62"/>
  <c r="EA31" i="62"/>
  <c r="EA6" i="62" s="1"/>
  <c r="DW26" i="62"/>
  <c r="DW25" i="62" s="1"/>
  <c r="DV4" i="62"/>
  <c r="DZ28" i="62"/>
  <c r="DZ30" i="62"/>
  <c r="EA30" i="62" s="1"/>
  <c r="DW27" i="62"/>
  <c r="DZ29" i="62"/>
  <c r="DY5" i="62"/>
  <c r="DW23" i="62" l="1"/>
  <c r="DW22" i="62" s="1"/>
  <c r="DW3" i="62" s="1"/>
  <c r="GJ59" i="62"/>
  <c r="GJ58" i="62" s="1"/>
  <c r="EB33" i="62"/>
  <c r="EB31" i="62"/>
  <c r="EB6" i="62" s="1"/>
  <c r="GF43" i="62"/>
  <c r="GF10" i="62" s="1"/>
  <c r="FQ37" i="62"/>
  <c r="FQ8" i="62" s="1"/>
  <c r="EB32" i="62"/>
  <c r="EC32" i="62" s="1"/>
  <c r="DX26" i="62"/>
  <c r="DX25" i="62" s="1"/>
  <c r="DW4" i="62"/>
  <c r="EB30" i="62"/>
  <c r="DX27" i="62"/>
  <c r="DZ5" i="62"/>
  <c r="EA29" i="62"/>
  <c r="EA28" i="62" s="1"/>
  <c r="GJ15" i="62" l="1"/>
  <c r="E15" i="62" s="1"/>
  <c r="BC139" i="58" s="1"/>
  <c r="BD139" i="58" s="1"/>
  <c r="FR38" i="62"/>
  <c r="DX23" i="62"/>
  <c r="GG44" i="62"/>
  <c r="EC33" i="62"/>
  <c r="EC31" i="62"/>
  <c r="EC30" i="62"/>
  <c r="EA5" i="62"/>
  <c r="EB29" i="62"/>
  <c r="EB28" i="62" s="1"/>
  <c r="DY27" i="62"/>
  <c r="DY26" i="62"/>
  <c r="DY25" i="62" s="1"/>
  <c r="DX4" i="62"/>
  <c r="ED31" i="62" l="1"/>
  <c r="ED6" i="62" s="1"/>
  <c r="ED33" i="62"/>
  <c r="DX22" i="62"/>
  <c r="DX3" i="62" s="1"/>
  <c r="EC6" i="62"/>
  <c r="ED32" i="62"/>
  <c r="EE32" i="62" s="1"/>
  <c r="GG43" i="62"/>
  <c r="GG10" i="62" s="1"/>
  <c r="FR37" i="62"/>
  <c r="FR8" i="62" s="1"/>
  <c r="DZ26" i="62"/>
  <c r="DY4" i="62"/>
  <c r="ED30" i="62"/>
  <c r="DZ25" i="62"/>
  <c r="DZ27" i="62"/>
  <c r="EA27" i="62" s="1"/>
  <c r="EB27" i="62" s="1"/>
  <c r="EB5" i="62"/>
  <c r="EC29" i="62"/>
  <c r="EC28" i="62" s="1"/>
  <c r="FS38" i="62" l="1"/>
  <c r="FS37" i="62" s="1"/>
  <c r="FS8" i="62" s="1"/>
  <c r="GH44" i="62"/>
  <c r="GH43" i="62" s="1"/>
  <c r="GH10" i="62" s="1"/>
  <c r="DY23" i="62"/>
  <c r="DY22" i="62" s="1"/>
  <c r="DY3" i="62" s="1"/>
  <c r="EE33" i="62"/>
  <c r="EE31" i="62"/>
  <c r="EC27" i="62"/>
  <c r="ED27" i="62" s="1"/>
  <c r="EE27" i="62" s="1"/>
  <c r="EF27" i="62" s="1"/>
  <c r="EE30" i="62"/>
  <c r="EF30" i="62" s="1"/>
  <c r="EC5" i="62"/>
  <c r="ED29" i="62"/>
  <c r="ED28" i="62" s="1"/>
  <c r="DZ4" i="62"/>
  <c r="EA26" i="62"/>
  <c r="EA25" i="62" s="1"/>
  <c r="DZ23" i="62" l="1"/>
  <c r="EA23" i="62" s="1"/>
  <c r="EA22" i="62" s="1"/>
  <c r="EA3" i="62" s="1"/>
  <c r="GI44" i="62"/>
  <c r="GI43" i="62" s="1"/>
  <c r="GI10" i="62" s="1"/>
  <c r="FT38" i="62"/>
  <c r="FT37" i="62" s="1"/>
  <c r="FT8" i="62" s="1"/>
  <c r="EF32" i="62"/>
  <c r="EE6" i="62"/>
  <c r="EF33" i="62"/>
  <c r="EF31" i="62"/>
  <c r="EF6" i="62" s="1"/>
  <c r="ED5" i="62"/>
  <c r="EE29" i="62"/>
  <c r="EE28" i="62" s="1"/>
  <c r="EG27" i="62"/>
  <c r="EH27" i="62" s="1"/>
  <c r="EA4" i="62"/>
  <c r="EB26" i="62"/>
  <c r="EB25" i="62" s="1"/>
  <c r="EG30" i="62"/>
  <c r="EH30" i="62" s="1"/>
  <c r="EI30" i="62" s="1"/>
  <c r="FU38" i="62" l="1"/>
  <c r="GJ44" i="62"/>
  <c r="GJ43" i="62" s="1"/>
  <c r="EB23" i="62"/>
  <c r="EG33" i="62"/>
  <c r="EG31" i="62"/>
  <c r="EG6" i="62" s="1"/>
  <c r="EG32" i="62"/>
  <c r="EH32" i="62" s="1"/>
  <c r="EB4" i="62"/>
  <c r="EC26" i="62"/>
  <c r="EC25" i="62" s="1"/>
  <c r="EE5" i="62"/>
  <c r="EF29" i="62"/>
  <c r="EF28" i="62" s="1"/>
  <c r="EJ30" i="62"/>
  <c r="EI27" i="62"/>
  <c r="EJ27" i="62" s="1"/>
  <c r="GJ10" i="62" l="1"/>
  <c r="E10" i="62" s="1"/>
  <c r="BC133" i="58" s="1"/>
  <c r="BD133" i="58" s="1"/>
  <c r="EH31" i="62"/>
  <c r="EH33" i="62"/>
  <c r="EB22" i="62"/>
  <c r="EB3" i="62" s="1"/>
  <c r="FU37" i="62"/>
  <c r="FU8" i="62" s="1"/>
  <c r="EF5" i="62"/>
  <c r="EG29" i="62"/>
  <c r="EG28" i="62" s="1"/>
  <c r="EK27" i="62"/>
  <c r="EK30" i="62"/>
  <c r="EC4" i="62"/>
  <c r="ED26" i="62"/>
  <c r="ED25" i="62" s="1"/>
  <c r="FV38" i="62" l="1"/>
  <c r="FV37" i="62" s="1"/>
  <c r="EC23" i="62"/>
  <c r="EC22" i="62" s="1"/>
  <c r="EI31" i="62"/>
  <c r="EI6" i="62" s="1"/>
  <c r="EI33" i="62"/>
  <c r="EH6" i="62"/>
  <c r="EI32" i="62"/>
  <c r="EJ32" i="62" s="1"/>
  <c r="EL30" i="62"/>
  <c r="EM30" i="62" s="1"/>
  <c r="EL27" i="62"/>
  <c r="EM27" i="62" s="1"/>
  <c r="EG5" i="62"/>
  <c r="EH29" i="62"/>
  <c r="EH28" i="62" s="1"/>
  <c r="ED4" i="62"/>
  <c r="EE26" i="62"/>
  <c r="EE25" i="62" s="1"/>
  <c r="EC3" i="62" l="1"/>
  <c r="ED23" i="62"/>
  <c r="ED22" i="62" s="1"/>
  <c r="FV8" i="62"/>
  <c r="FW38" i="62"/>
  <c r="FW37" i="62" s="1"/>
  <c r="EJ31" i="62"/>
  <c r="EJ33" i="62"/>
  <c r="EE4" i="62"/>
  <c r="EF26" i="62"/>
  <c r="EF25" i="62" s="1"/>
  <c r="EH5" i="62"/>
  <c r="EI29" i="62"/>
  <c r="EI28" i="62" s="1"/>
  <c r="EN30" i="62"/>
  <c r="EN27" i="62"/>
  <c r="EO27" i="62" s="1"/>
  <c r="FW8" i="62" l="1"/>
  <c r="FX38" i="62"/>
  <c r="FX37" i="62" s="1"/>
  <c r="ED3" i="62"/>
  <c r="EE23" i="62"/>
  <c r="EE22" i="62" s="1"/>
  <c r="EK31" i="62"/>
  <c r="EK6" i="62" s="1"/>
  <c r="EK33" i="62"/>
  <c r="EJ6" i="62"/>
  <c r="EK32" i="62"/>
  <c r="EL32" i="62" s="1"/>
  <c r="EP27" i="62"/>
  <c r="EO30" i="62"/>
  <c r="EF4" i="62"/>
  <c r="EG26" i="62"/>
  <c r="EG25" i="62" s="1"/>
  <c r="EI5" i="62"/>
  <c r="EJ29" i="62"/>
  <c r="EJ28" i="62" s="1"/>
  <c r="EE3" i="62" l="1"/>
  <c r="EF23" i="62"/>
  <c r="EF22" i="62" s="1"/>
  <c r="EF3" i="62" s="1"/>
  <c r="FX8" i="62"/>
  <c r="FY38" i="62"/>
  <c r="FY37" i="62" s="1"/>
  <c r="FY8" i="62" s="1"/>
  <c r="EL33" i="62"/>
  <c r="EL31" i="62"/>
  <c r="EG4" i="62"/>
  <c r="EH26" i="62"/>
  <c r="EH25" i="62" s="1"/>
  <c r="EP30" i="62"/>
  <c r="EQ30" i="62" s="1"/>
  <c r="ER30" i="62" s="1"/>
  <c r="EQ27" i="62"/>
  <c r="ER27" i="62" s="1"/>
  <c r="EJ5" i="62"/>
  <c r="EK29" i="62"/>
  <c r="EK28" i="62" s="1"/>
  <c r="FZ38" i="62" l="1"/>
  <c r="EG23" i="62"/>
  <c r="EL6" i="62"/>
  <c r="EM32" i="62"/>
  <c r="EM33" i="62"/>
  <c r="EM31" i="62"/>
  <c r="EM6" i="62" s="1"/>
  <c r="ES27" i="62"/>
  <c r="ET27" i="62" s="1"/>
  <c r="EH4" i="62"/>
  <c r="EI26" i="62"/>
  <c r="EI25" i="62" s="1"/>
  <c r="EK5" i="62"/>
  <c r="EL29" i="62"/>
  <c r="EL28" i="62" s="1"/>
  <c r="ES30" i="62"/>
  <c r="ET30" i="62" s="1"/>
  <c r="EN32" i="62" l="1"/>
  <c r="EO32" i="62" s="1"/>
  <c r="EG22" i="62"/>
  <c r="EG3" i="62" s="1"/>
  <c r="EN31" i="62"/>
  <c r="EN6" i="62" s="1"/>
  <c r="EN33" i="62"/>
  <c r="FZ37" i="62"/>
  <c r="FZ8" i="62" s="1"/>
  <c r="EU30" i="62"/>
  <c r="EI4" i="62"/>
  <c r="EJ26" i="62"/>
  <c r="EJ25" i="62" s="1"/>
  <c r="EL5" i="62"/>
  <c r="EM29" i="62"/>
  <c r="EM28" i="62" s="1"/>
  <c r="EU27" i="62"/>
  <c r="GA38" i="62" l="1"/>
  <c r="GA37" i="62" s="1"/>
  <c r="EH23" i="62"/>
  <c r="EH22" i="62" s="1"/>
  <c r="EO31" i="62"/>
  <c r="EO33" i="62"/>
  <c r="EM5" i="62"/>
  <c r="EN29" i="62"/>
  <c r="EN28" i="62" s="1"/>
  <c r="EV30" i="62"/>
  <c r="EV27" i="62"/>
  <c r="EW27" i="62" s="1"/>
  <c r="EJ4" i="62"/>
  <c r="EK26" i="62"/>
  <c r="EK25" i="62" s="1"/>
  <c r="EH3" i="62" l="1"/>
  <c r="EI23" i="62"/>
  <c r="EI22" i="62" s="1"/>
  <c r="GA8" i="62"/>
  <c r="GB38" i="62"/>
  <c r="GB37" i="62" s="1"/>
  <c r="EP31" i="62"/>
  <c r="EP6" i="62" s="1"/>
  <c r="EP33" i="62"/>
  <c r="EO6" i="62"/>
  <c r="EP32" i="62"/>
  <c r="EQ32" i="62" s="1"/>
  <c r="EX27" i="62"/>
  <c r="EW30" i="62"/>
  <c r="EN5" i="62"/>
  <c r="EO29" i="62"/>
  <c r="EO28" i="62" s="1"/>
  <c r="EK4" i="62"/>
  <c r="EL26" i="62"/>
  <c r="EL25" i="62" s="1"/>
  <c r="GB8" i="62" l="1"/>
  <c r="GC38" i="62"/>
  <c r="GC37" i="62" s="1"/>
  <c r="EI3" i="62"/>
  <c r="EJ23" i="62"/>
  <c r="EJ22" i="62" s="1"/>
  <c r="EQ31" i="62"/>
  <c r="EQ33" i="62"/>
  <c r="EO5" i="62"/>
  <c r="EP29" i="62"/>
  <c r="EP28" i="62" s="1"/>
  <c r="EY27" i="62"/>
  <c r="EL4" i="62"/>
  <c r="EM26" i="62"/>
  <c r="EM25" i="62" s="1"/>
  <c r="EX30" i="62"/>
  <c r="EY30" i="62" s="1"/>
  <c r="EJ3" i="62" l="1"/>
  <c r="EK23" i="62"/>
  <c r="EK22" i="62" s="1"/>
  <c r="GC8" i="62"/>
  <c r="GD38" i="62"/>
  <c r="GD37" i="62" s="1"/>
  <c r="ER31" i="62"/>
  <c r="ER6" i="62" s="1"/>
  <c r="ER33" i="62"/>
  <c r="EQ6" i="62"/>
  <c r="ER32" i="62"/>
  <c r="ES32" i="62" s="1"/>
  <c r="EM4" i="62"/>
  <c r="EN26" i="62"/>
  <c r="EN25" i="62" s="1"/>
  <c r="EZ27" i="62"/>
  <c r="FA27" i="62" s="1"/>
  <c r="EZ30" i="62"/>
  <c r="FA30" i="62" s="1"/>
  <c r="FB30" i="62" s="1"/>
  <c r="FC30" i="62" s="1"/>
  <c r="EP5" i="62"/>
  <c r="EQ29" i="62"/>
  <c r="EQ28" i="62" s="1"/>
  <c r="GD8" i="62" l="1"/>
  <c r="GE38" i="62"/>
  <c r="GE37" i="62" s="1"/>
  <c r="EK3" i="62"/>
  <c r="EL23" i="62"/>
  <c r="EL22" i="62" s="1"/>
  <c r="ES31" i="62"/>
  <c r="ES33" i="62"/>
  <c r="EQ5" i="62"/>
  <c r="ER29" i="62"/>
  <c r="ER28" i="62" s="1"/>
  <c r="EN4" i="62"/>
  <c r="EO26" i="62"/>
  <c r="EO25" i="62" s="1"/>
  <c r="FD30" i="62"/>
  <c r="FE30" i="62" s="1"/>
  <c r="FF30" i="62" s="1"/>
  <c r="FG30" i="62" s="1"/>
  <c r="FB27" i="62"/>
  <c r="FC27" i="62" s="1"/>
  <c r="EL3" i="62" l="1"/>
  <c r="EM23" i="62"/>
  <c r="EM22" i="62" s="1"/>
  <c r="GE8" i="62"/>
  <c r="GF38" i="62"/>
  <c r="GF37" i="62" s="1"/>
  <c r="GF8" i="62" s="1"/>
  <c r="ET33" i="62"/>
  <c r="ET31" i="62"/>
  <c r="ET6" i="62" s="1"/>
  <c r="ES6" i="62"/>
  <c r="ET32" i="62"/>
  <c r="FD27" i="62"/>
  <c r="EO4" i="62"/>
  <c r="EP26" i="62"/>
  <c r="EP25" i="62" s="1"/>
  <c r="ER5" i="62"/>
  <c r="ES29" i="62"/>
  <c r="ES28" i="62" s="1"/>
  <c r="FH30" i="62"/>
  <c r="FI30" i="62" s="1"/>
  <c r="EM3" i="62" l="1"/>
  <c r="EN23" i="62"/>
  <c r="EN22" i="62" s="1"/>
  <c r="EU32" i="62"/>
  <c r="GG38" i="62"/>
  <c r="EU31" i="62"/>
  <c r="EU33" i="62"/>
  <c r="ES5" i="62"/>
  <c r="ET29" i="62"/>
  <c r="ET28" i="62" s="1"/>
  <c r="FE27" i="62"/>
  <c r="FJ30" i="62"/>
  <c r="FK30" i="62" s="1"/>
  <c r="EP4" i="62"/>
  <c r="EQ26" i="62"/>
  <c r="EQ25" i="62" s="1"/>
  <c r="EN3" i="62" l="1"/>
  <c r="EO23" i="62"/>
  <c r="EO22" i="62" s="1"/>
  <c r="EO3" i="62" s="1"/>
  <c r="EU6" i="62"/>
  <c r="EV32" i="62"/>
  <c r="EV33" i="62"/>
  <c r="EV31" i="62"/>
  <c r="EV6" i="62" s="1"/>
  <c r="GG37" i="62"/>
  <c r="GG8" i="62" s="1"/>
  <c r="EQ4" i="62"/>
  <c r="ER26" i="62"/>
  <c r="ER25" i="62" s="1"/>
  <c r="ET5" i="62"/>
  <c r="EU29" i="62"/>
  <c r="EU28" i="62" s="1"/>
  <c r="FF27" i="62"/>
  <c r="FL30" i="62"/>
  <c r="FM30" i="62" s="1"/>
  <c r="GH38" i="62" l="1"/>
  <c r="GH37" i="62" s="1"/>
  <c r="GH8" i="62" s="1"/>
  <c r="EP23" i="62"/>
  <c r="EP22" i="62" s="1"/>
  <c r="EP3" i="62" s="1"/>
  <c r="EW32" i="62"/>
  <c r="EW33" i="62"/>
  <c r="EW31" i="62"/>
  <c r="EW6" i="62" s="1"/>
  <c r="FG27" i="62"/>
  <c r="EU5" i="62"/>
  <c r="EV29" i="62"/>
  <c r="EV28" i="62" s="1"/>
  <c r="ER4" i="62"/>
  <c r="ES26" i="62"/>
  <c r="ES25" i="62" s="1"/>
  <c r="FN30" i="62"/>
  <c r="EQ23" i="62" l="1"/>
  <c r="EQ22" i="62" s="1"/>
  <c r="EX31" i="62"/>
  <c r="EX6" i="62" s="1"/>
  <c r="EX33" i="62"/>
  <c r="GI38" i="62"/>
  <c r="EX32" i="62"/>
  <c r="FO30" i="62"/>
  <c r="FP30" i="62" s="1"/>
  <c r="FQ30" i="62" s="1"/>
  <c r="FR30" i="62" s="1"/>
  <c r="FS30" i="62" s="1"/>
  <c r="EV5" i="62"/>
  <c r="EW29" i="62"/>
  <c r="EW28" i="62" s="1"/>
  <c r="ES4" i="62"/>
  <c r="ET26" i="62"/>
  <c r="ET25" i="62" s="1"/>
  <c r="FH27" i="62"/>
  <c r="EY32" i="62" l="1"/>
  <c r="EQ3" i="62"/>
  <c r="ER23" i="62"/>
  <c r="ER22" i="62" s="1"/>
  <c r="ER3" i="62" s="1"/>
  <c r="EY33" i="62"/>
  <c r="EY31" i="62"/>
  <c r="GI37" i="62"/>
  <c r="GI8" i="62" s="1"/>
  <c r="FI27" i="62"/>
  <c r="FJ27" i="62" s="1"/>
  <c r="ET4" i="62"/>
  <c r="EU26" i="62"/>
  <c r="EU25" i="62" s="1"/>
  <c r="EW5" i="62"/>
  <c r="EX29" i="62"/>
  <c r="EX28" i="62" s="1"/>
  <c r="FT30" i="62"/>
  <c r="GJ38" i="62" l="1"/>
  <c r="GJ37" i="62" s="1"/>
  <c r="ES23" i="62"/>
  <c r="ES22" i="62" s="1"/>
  <c r="ES3" i="62" s="1"/>
  <c r="EZ32" i="62"/>
  <c r="EY6" i="62"/>
  <c r="EZ31" i="62"/>
  <c r="EZ6" i="62" s="1"/>
  <c r="EZ33" i="62"/>
  <c r="EX5" i="62"/>
  <c r="EY29" i="62"/>
  <c r="EY28" i="62" s="1"/>
  <c r="FK27" i="62"/>
  <c r="FL27" i="62" s="1"/>
  <c r="EU4" i="62"/>
  <c r="EV26" i="62"/>
  <c r="EV25" i="62" s="1"/>
  <c r="FU30" i="62"/>
  <c r="FV30" i="62" s="1"/>
  <c r="GJ8" i="62" l="1"/>
  <c r="E8" i="62" s="1"/>
  <c r="BC129" i="58" s="1"/>
  <c r="BD129" i="58" s="1"/>
  <c r="FA31" i="62"/>
  <c r="FA6" i="62" s="1"/>
  <c r="FA33" i="62"/>
  <c r="ET23" i="62"/>
  <c r="FA32" i="62"/>
  <c r="FB32" i="62" s="1"/>
  <c r="EY5" i="62"/>
  <c r="EZ29" i="62"/>
  <c r="EZ28" i="62" s="1"/>
  <c r="EV4" i="62"/>
  <c r="EW26" i="62"/>
  <c r="EW25" i="62" s="1"/>
  <c r="FW30" i="62"/>
  <c r="FM27" i="62"/>
  <c r="FN27" i="62" s="1"/>
  <c r="FB33" i="62" l="1"/>
  <c r="FB31" i="62"/>
  <c r="FB6" i="62" s="1"/>
  <c r="ET22" i="62"/>
  <c r="ET3" i="62" s="1"/>
  <c r="EZ5" i="62"/>
  <c r="FA29" i="62"/>
  <c r="FA28" i="62" s="1"/>
  <c r="EW4" i="62"/>
  <c r="EX26" i="62"/>
  <c r="EX25" i="62" s="1"/>
  <c r="FO27" i="62"/>
  <c r="FP27" i="62" s="1"/>
  <c r="FX30" i="62"/>
  <c r="FY30" i="62" s="1"/>
  <c r="EU23" i="62" l="1"/>
  <c r="EU22" i="62" s="1"/>
  <c r="FC31" i="62"/>
  <c r="FC6" i="62" s="1"/>
  <c r="FC33" i="62"/>
  <c r="FC32" i="62"/>
  <c r="FD32" i="62" s="1"/>
  <c r="FA5" i="62"/>
  <c r="FB29" i="62"/>
  <c r="FB28" i="62" s="1"/>
  <c r="FZ30" i="62"/>
  <c r="GA30" i="62" s="1"/>
  <c r="EX4" i="62"/>
  <c r="EY26" i="62"/>
  <c r="EY25" i="62" s="1"/>
  <c r="FQ27" i="62"/>
  <c r="FR27" i="62" s="1"/>
  <c r="EU3" i="62" l="1"/>
  <c r="EV23" i="62"/>
  <c r="EV22" i="62" s="1"/>
  <c r="FD31" i="62"/>
  <c r="FD33" i="62"/>
  <c r="EY4" i="62"/>
  <c r="EZ26" i="62"/>
  <c r="EZ25" i="62" s="1"/>
  <c r="FS27" i="62"/>
  <c r="FT27" i="62" s="1"/>
  <c r="GB30" i="62"/>
  <c r="FB5" i="62"/>
  <c r="FC29" i="62"/>
  <c r="FC28" i="62" s="1"/>
  <c r="EV3" i="62" l="1"/>
  <c r="EW23" i="62"/>
  <c r="EW22" i="62" s="1"/>
  <c r="EW3" i="62" s="1"/>
  <c r="FE33" i="62"/>
  <c r="FE31" i="62"/>
  <c r="FE6" i="62" s="1"/>
  <c r="FD6" i="62"/>
  <c r="FE32" i="62"/>
  <c r="GC30" i="62"/>
  <c r="GD30" i="62" s="1"/>
  <c r="EZ4" i="62"/>
  <c r="FA26" i="62"/>
  <c r="FA25" i="62" s="1"/>
  <c r="FC5" i="62"/>
  <c r="FD29" i="62"/>
  <c r="FU27" i="62"/>
  <c r="FV27" i="62" s="1"/>
  <c r="FF32" i="62" l="1"/>
  <c r="EX23" i="62"/>
  <c r="FD28" i="62"/>
  <c r="FD5" i="62" s="1"/>
  <c r="FF31" i="62"/>
  <c r="FF33" i="62"/>
  <c r="FA4" i="62"/>
  <c r="FB26" i="62"/>
  <c r="FB25" i="62" s="1"/>
  <c r="FW27" i="62"/>
  <c r="GE30" i="62"/>
  <c r="FF6" i="62" l="1"/>
  <c r="FG32" i="62"/>
  <c r="FE29" i="62"/>
  <c r="FG31" i="62"/>
  <c r="FG6" i="62" s="1"/>
  <c r="FG33" i="62"/>
  <c r="EX22" i="62"/>
  <c r="EX3" i="62" s="1"/>
  <c r="GF30" i="62"/>
  <c r="GG30" i="62" s="1"/>
  <c r="GH30" i="62" s="1"/>
  <c r="FX27" i="62"/>
  <c r="FY27" i="62" s="1"/>
  <c r="FZ27" i="62" s="1"/>
  <c r="FB4" i="62"/>
  <c r="FC26" i="62"/>
  <c r="FC25" i="62" s="1"/>
  <c r="EY23" i="62" l="1"/>
  <c r="EY22" i="62" s="1"/>
  <c r="EY3" i="62" s="1"/>
  <c r="FH32" i="62"/>
  <c r="FH31" i="62"/>
  <c r="FH6" i="62" s="1"/>
  <c r="FH33" i="62"/>
  <c r="FE28" i="62"/>
  <c r="FE5" i="62" s="1"/>
  <c r="GA27" i="62"/>
  <c r="GB27" i="62" s="1"/>
  <c r="GC27" i="62" s="1"/>
  <c r="FC4" i="62"/>
  <c r="FD26" i="62"/>
  <c r="GI30" i="62"/>
  <c r="FF29" i="62" l="1"/>
  <c r="FF28" i="62" s="1"/>
  <c r="FF5" i="62" s="1"/>
  <c r="EZ23" i="62"/>
  <c r="EZ22" i="62" s="1"/>
  <c r="EZ3" i="62" s="1"/>
  <c r="FI32" i="62"/>
  <c r="FD25" i="62"/>
  <c r="FD4" i="62" s="1"/>
  <c r="FI31" i="62"/>
  <c r="FI33" i="62"/>
  <c r="GJ30" i="62"/>
  <c r="GD27" i="62"/>
  <c r="FA23" i="62" l="1"/>
  <c r="FA22" i="62" s="1"/>
  <c r="FE26" i="62"/>
  <c r="FG29" i="62"/>
  <c r="FG28" i="62" s="1"/>
  <c r="FJ33" i="62"/>
  <c r="FJ31" i="62"/>
  <c r="FJ6" i="62" s="1"/>
  <c r="FI6" i="62"/>
  <c r="FJ32" i="62"/>
  <c r="FK32" i="62" s="1"/>
  <c r="FE25" i="62"/>
  <c r="FE4" i="62" s="1"/>
  <c r="GE27" i="62"/>
  <c r="FA3" i="62" l="1"/>
  <c r="FB23" i="62"/>
  <c r="FB22" i="62" s="1"/>
  <c r="FB3" i="62" s="1"/>
  <c r="FG5" i="62"/>
  <c r="FH29" i="62"/>
  <c r="FH28" i="62" s="1"/>
  <c r="FF26" i="62"/>
  <c r="FK31" i="62"/>
  <c r="FK33" i="62"/>
  <c r="GF27" i="62"/>
  <c r="GG27" i="62" s="1"/>
  <c r="GH27" i="62" s="1"/>
  <c r="FC23" i="62" l="1"/>
  <c r="FC22" i="62" s="1"/>
  <c r="FC3" i="62" s="1"/>
  <c r="FH5" i="62"/>
  <c r="FI29" i="62"/>
  <c r="FI28" i="62" s="1"/>
  <c r="FK6" i="62"/>
  <c r="FL32" i="62"/>
  <c r="FL33" i="62"/>
  <c r="FL31" i="62"/>
  <c r="FL6" i="62" s="1"/>
  <c r="FF25" i="62"/>
  <c r="FF4" i="62" s="1"/>
  <c r="GI27" i="62"/>
  <c r="FG26" i="62" l="1"/>
  <c r="FG25" i="62" s="1"/>
  <c r="FG4" i="62" s="1"/>
  <c r="FD23" i="62"/>
  <c r="FI5" i="62"/>
  <c r="FJ29" i="62"/>
  <c r="FJ28" i="62" s="1"/>
  <c r="FD22" i="62"/>
  <c r="FD3" i="62" s="1"/>
  <c r="FM32" i="62"/>
  <c r="FM31" i="62"/>
  <c r="FM6" i="62" s="1"/>
  <c r="FM33" i="62"/>
  <c r="GJ27" i="62"/>
  <c r="FH26" i="62" l="1"/>
  <c r="FH25" i="62" s="1"/>
  <c r="FE23" i="62"/>
  <c r="FJ5" i="62"/>
  <c r="FK29" i="62"/>
  <c r="FK28" i="62" s="1"/>
  <c r="FE22" i="62"/>
  <c r="FE3" i="62" s="1"/>
  <c r="FN33" i="62"/>
  <c r="FN31" i="62"/>
  <c r="FN6" i="62" s="1"/>
  <c r="FN32" i="62"/>
  <c r="FH4" i="62" l="1"/>
  <c r="FI26" i="62"/>
  <c r="FI25" i="62" s="1"/>
  <c r="FI4" i="62" s="1"/>
  <c r="FF23" i="62"/>
  <c r="FF22" i="62" s="1"/>
  <c r="FF3" i="62" s="1"/>
  <c r="FK5" i="62"/>
  <c r="FL29" i="62"/>
  <c r="FL28" i="62" s="1"/>
  <c r="FL5" i="62" s="1"/>
  <c r="FO32" i="62"/>
  <c r="FO33" i="62"/>
  <c r="FO31" i="62"/>
  <c r="FM29" i="62" l="1"/>
  <c r="FM28" i="62" s="1"/>
  <c r="FG23" i="62"/>
  <c r="FG22" i="62" s="1"/>
  <c r="FG3" i="62" s="1"/>
  <c r="FJ26" i="62"/>
  <c r="FJ25" i="62" s="1"/>
  <c r="FO6" i="62"/>
  <c r="FP32" i="62"/>
  <c r="FP33" i="62"/>
  <c r="FP31" i="62"/>
  <c r="FP6" i="62" s="1"/>
  <c r="FM5" i="62" l="1"/>
  <c r="FN29" i="62"/>
  <c r="FN28" i="62" s="1"/>
  <c r="FN5" i="62" s="1"/>
  <c r="FH23" i="62"/>
  <c r="FH22" i="62" s="1"/>
  <c r="FH3" i="62" s="1"/>
  <c r="FJ4" i="62"/>
  <c r="FK26" i="62"/>
  <c r="FK25" i="62" s="1"/>
  <c r="FK4" i="62" s="1"/>
  <c r="FQ32" i="62"/>
  <c r="FQ31" i="62"/>
  <c r="FQ33" i="62"/>
  <c r="FL26" i="62" l="1"/>
  <c r="FL25" i="62" s="1"/>
  <c r="FL4" i="62" s="1"/>
  <c r="FI23" i="62"/>
  <c r="FI22" i="62" s="1"/>
  <c r="FI3" i="62" s="1"/>
  <c r="FO29" i="62"/>
  <c r="FO28" i="62" s="1"/>
  <c r="FO5" i="62" s="1"/>
  <c r="FR33" i="62"/>
  <c r="FR31" i="62"/>
  <c r="FR6" i="62" s="1"/>
  <c r="FQ6" i="62"/>
  <c r="FR32" i="62"/>
  <c r="FS32" i="62" l="1"/>
  <c r="FJ23" i="62"/>
  <c r="FJ22" i="62" s="1"/>
  <c r="FM26" i="62"/>
  <c r="FM25" i="62" s="1"/>
  <c r="FP29" i="62"/>
  <c r="FS31" i="62"/>
  <c r="FS6" i="62" s="1"/>
  <c r="FS33" i="62"/>
  <c r="FJ3" i="62" l="1"/>
  <c r="FK23" i="62"/>
  <c r="FK22" i="62" s="1"/>
  <c r="FM4" i="62"/>
  <c r="FN26" i="62"/>
  <c r="FN25" i="62" s="1"/>
  <c r="FT33" i="62"/>
  <c r="FT31" i="62"/>
  <c r="FT6" i="62" s="1"/>
  <c r="FP28" i="62"/>
  <c r="FP5" i="62" s="1"/>
  <c r="FT32" i="62"/>
  <c r="FU32" i="62" s="1"/>
  <c r="FK3" i="62" l="1"/>
  <c r="FL23" i="62"/>
  <c r="FL22" i="62" s="1"/>
  <c r="FN4" i="62"/>
  <c r="FO26" i="62"/>
  <c r="FO25" i="62" s="1"/>
  <c r="FQ29" i="62"/>
  <c r="FU33" i="62"/>
  <c r="FU31" i="62"/>
  <c r="FU6" i="62" s="1"/>
  <c r="FO4" i="62" l="1"/>
  <c r="FP26" i="62"/>
  <c r="FP25" i="62" s="1"/>
  <c r="FL3" i="62"/>
  <c r="FM23" i="62"/>
  <c r="FM22" i="62" s="1"/>
  <c r="FM3" i="62" s="1"/>
  <c r="FQ28" i="62"/>
  <c r="FQ5" i="62" s="1"/>
  <c r="FV31" i="62"/>
  <c r="FV6" i="62" s="1"/>
  <c r="FV33" i="62"/>
  <c r="FV32" i="62"/>
  <c r="FR29" i="62" l="1"/>
  <c r="FP4" i="62"/>
  <c r="FQ26" i="62"/>
  <c r="FQ25" i="62" s="1"/>
  <c r="FQ4" i="62" s="1"/>
  <c r="FN23" i="62"/>
  <c r="FN22" i="62" s="1"/>
  <c r="FW32" i="62"/>
  <c r="FW31" i="62"/>
  <c r="FW33" i="62"/>
  <c r="FR28" i="62"/>
  <c r="FR5" i="62" s="1"/>
  <c r="FN3" i="62" l="1"/>
  <c r="FO23" i="62"/>
  <c r="FO22" i="62" s="1"/>
  <c r="FR26" i="62"/>
  <c r="FR25" i="62" s="1"/>
  <c r="FS29" i="62"/>
  <c r="FS28" i="62" s="1"/>
  <c r="FX33" i="62"/>
  <c r="FX31" i="62"/>
  <c r="FX6" i="62" s="1"/>
  <c r="FW6" i="62"/>
  <c r="FX32" i="62"/>
  <c r="FY32" i="62" s="1"/>
  <c r="FR4" i="62" l="1"/>
  <c r="FS26" i="62"/>
  <c r="FS25" i="62" s="1"/>
  <c r="FS5" i="62"/>
  <c r="FT29" i="62"/>
  <c r="FT28" i="62" s="1"/>
  <c r="FO3" i="62"/>
  <c r="FP23" i="62"/>
  <c r="FP22" i="62" s="1"/>
  <c r="FP3" i="62" s="1"/>
  <c r="FY33" i="62"/>
  <c r="FY31" i="62"/>
  <c r="FS4" i="62" l="1"/>
  <c r="FT26" i="62"/>
  <c r="FT25" i="62" s="1"/>
  <c r="FT4" i="62" s="1"/>
  <c r="FT5" i="62"/>
  <c r="FU29" i="62"/>
  <c r="FU28" i="62" s="1"/>
  <c r="FQ23" i="62"/>
  <c r="FQ22" i="62" s="1"/>
  <c r="FQ3" i="62" s="1"/>
  <c r="FY6" i="62"/>
  <c r="FZ32" i="62"/>
  <c r="FZ33" i="62"/>
  <c r="FZ31" i="62"/>
  <c r="FZ6" i="62" s="1"/>
  <c r="FU5" i="62" l="1"/>
  <c r="FV29" i="62"/>
  <c r="FV28" i="62" s="1"/>
  <c r="FR23" i="62"/>
  <c r="FR22" i="62" s="1"/>
  <c r="FU26" i="62"/>
  <c r="FU25" i="62" s="1"/>
  <c r="GA32" i="62"/>
  <c r="GA33" i="62"/>
  <c r="GA31" i="62"/>
  <c r="GA6" i="62" s="1"/>
  <c r="FU4" i="62" l="1"/>
  <c r="FV26" i="62"/>
  <c r="FV25" i="62" s="1"/>
  <c r="FV4" i="62" s="1"/>
  <c r="FR3" i="62"/>
  <c r="FS23" i="62"/>
  <c r="FS22" i="62" s="1"/>
  <c r="FV5" i="62"/>
  <c r="FW29" i="62"/>
  <c r="FW28" i="62" s="1"/>
  <c r="FW5" i="62" s="1"/>
  <c r="GB31" i="62"/>
  <c r="GB6" i="62" s="1"/>
  <c r="GB33" i="62"/>
  <c r="GB32" i="62"/>
  <c r="FS3" i="62" l="1"/>
  <c r="FT23" i="62"/>
  <c r="FT22" i="62" s="1"/>
  <c r="FT3" i="62" s="1"/>
  <c r="FX29" i="62"/>
  <c r="FX28" i="62" s="1"/>
  <c r="FX5" i="62" s="1"/>
  <c r="GC32" i="62"/>
  <c r="FW26" i="62"/>
  <c r="FW25" i="62" s="1"/>
  <c r="FW4" i="62" s="1"/>
  <c r="GC33" i="62"/>
  <c r="GC31" i="62"/>
  <c r="FY29" i="62" l="1"/>
  <c r="FY28" i="62" s="1"/>
  <c r="FY5" i="62" s="1"/>
  <c r="FX26" i="62"/>
  <c r="FX25" i="62" s="1"/>
  <c r="FX4" i="62" s="1"/>
  <c r="FU23" i="62"/>
  <c r="FU22" i="62" s="1"/>
  <c r="FU3" i="62" s="1"/>
  <c r="GC6" i="62"/>
  <c r="GD32" i="62"/>
  <c r="GD31" i="62"/>
  <c r="GD6" i="62" s="1"/>
  <c r="GD33" i="62"/>
  <c r="FY26" i="62" l="1"/>
  <c r="FY25" i="62" s="1"/>
  <c r="FY4" i="62" s="1"/>
  <c r="GE32" i="62"/>
  <c r="FV23" i="62"/>
  <c r="FV22" i="62" s="1"/>
  <c r="FV3" i="62" s="1"/>
  <c r="FZ29" i="62"/>
  <c r="FZ28" i="62" s="1"/>
  <c r="FZ5" i="62" s="1"/>
  <c r="GE31" i="62"/>
  <c r="GE33" i="62"/>
  <c r="FZ26" i="62" l="1"/>
  <c r="FZ25" i="62" s="1"/>
  <c r="FZ4" i="62" s="1"/>
  <c r="GA29" i="62"/>
  <c r="GA28" i="62" s="1"/>
  <c r="FW23" i="62"/>
  <c r="FW22" i="62" s="1"/>
  <c r="FW3" i="62" s="1"/>
  <c r="GF31" i="62"/>
  <c r="GF6" i="62" s="1"/>
  <c r="GF33" i="62"/>
  <c r="GE6" i="62"/>
  <c r="GF32" i="62"/>
  <c r="GG32" i="62" s="1"/>
  <c r="GA5" i="62" l="1"/>
  <c r="GB29" i="62"/>
  <c r="GB28" i="62" s="1"/>
  <c r="GB5" i="62" s="1"/>
  <c r="FX23" i="62"/>
  <c r="FX22" i="62" s="1"/>
  <c r="GA26" i="62"/>
  <c r="GA25" i="62" s="1"/>
  <c r="GG31" i="62"/>
  <c r="GG6" i="62" s="1"/>
  <c r="GG33" i="62"/>
  <c r="GA4" i="62" l="1"/>
  <c r="GB26" i="62"/>
  <c r="GB25" i="62" s="1"/>
  <c r="GB4" i="62" s="1"/>
  <c r="FX3" i="62"/>
  <c r="FY23" i="62"/>
  <c r="FY22" i="62" s="1"/>
  <c r="FY3" i="62" s="1"/>
  <c r="GC29" i="62"/>
  <c r="GC28" i="62" s="1"/>
  <c r="GC5" i="62" s="1"/>
  <c r="GH32" i="62"/>
  <c r="GH31" i="62"/>
  <c r="GH33" i="62"/>
  <c r="FZ23" i="62" l="1"/>
  <c r="FZ22" i="62" s="1"/>
  <c r="FZ3" i="62" s="1"/>
  <c r="GD29" i="62"/>
  <c r="GD28" i="62" s="1"/>
  <c r="GD5" i="62" s="1"/>
  <c r="GC26" i="62"/>
  <c r="GC25" i="62" s="1"/>
  <c r="GC4" i="62" s="1"/>
  <c r="GI31" i="62"/>
  <c r="GI6" i="62" s="1"/>
  <c r="GI33" i="62"/>
  <c r="GI32" i="62"/>
  <c r="GJ32" i="62" s="1"/>
  <c r="GH6" i="62"/>
  <c r="GE29" i="62" l="1"/>
  <c r="GE28" i="62" s="1"/>
  <c r="GE5" i="62" s="1"/>
  <c r="GD26" i="62"/>
  <c r="GD25" i="62" s="1"/>
  <c r="GD4" i="62" s="1"/>
  <c r="GA23" i="62"/>
  <c r="GA22" i="62" s="1"/>
  <c r="GA3" i="62" s="1"/>
  <c r="GJ33" i="62"/>
  <c r="GJ31" i="62"/>
  <c r="GJ6" i="62" l="1"/>
  <c r="E6" i="62" s="1"/>
  <c r="BC127" i="58" s="1"/>
  <c r="BD127" i="58" s="1"/>
  <c r="GE26" i="62"/>
  <c r="GE25" i="62" s="1"/>
  <c r="GB23" i="62"/>
  <c r="GB22" i="62" s="1"/>
  <c r="GF29" i="62"/>
  <c r="GE4" i="62" l="1"/>
  <c r="GF26" i="62"/>
  <c r="GF25" i="62" s="1"/>
  <c r="GF4" i="62" s="1"/>
  <c r="GB3" i="62"/>
  <c r="GC23" i="62"/>
  <c r="GC22" i="62" s="1"/>
  <c r="GF28" i="62"/>
  <c r="GF5" i="62" s="1"/>
  <c r="GG29" i="62" l="1"/>
  <c r="GG28" i="62" s="1"/>
  <c r="GG26" i="62"/>
  <c r="GG25" i="62" s="1"/>
  <c r="GC3" i="62"/>
  <c r="GD23" i="62"/>
  <c r="GD22" i="62" s="1"/>
  <c r="GG5" i="62" l="1"/>
  <c r="GH29" i="62"/>
  <c r="GH28" i="62" s="1"/>
  <c r="GG4" i="62"/>
  <c r="GH26" i="62"/>
  <c r="GH25" i="62" s="1"/>
  <c r="GD3" i="62"/>
  <c r="GE23" i="62"/>
  <c r="GE22" i="62" s="1"/>
  <c r="GH5" i="62" l="1"/>
  <c r="GI29" i="62"/>
  <c r="GI28" i="62" s="1"/>
  <c r="GH4" i="62"/>
  <c r="GI26" i="62"/>
  <c r="GI25" i="62" s="1"/>
  <c r="GE3" i="62"/>
  <c r="GF23" i="62"/>
  <c r="GF22" i="62" s="1"/>
  <c r="GI5" i="62" l="1"/>
  <c r="GJ29" i="62"/>
  <c r="GJ28" i="62" s="1"/>
  <c r="GI4" i="62"/>
  <c r="GJ26" i="62"/>
  <c r="GJ25" i="62" s="1"/>
  <c r="GF3" i="62"/>
  <c r="GG23" i="62"/>
  <c r="GG22" i="62" s="1"/>
  <c r="GJ4" i="62" l="1"/>
  <c r="E4" i="62" s="1"/>
  <c r="BC124" i="58" s="1"/>
  <c r="BD124" i="58" s="1"/>
  <c r="GJ5" i="62"/>
  <c r="E5" i="62" s="1"/>
  <c r="BC125" i="58" s="1"/>
  <c r="BD125" i="58" s="1"/>
  <c r="GG3" i="62"/>
  <c r="GH23" i="62"/>
  <c r="GH22" i="62" s="1"/>
  <c r="GH3" i="62" l="1"/>
  <c r="GI23" i="62"/>
  <c r="GI22" i="62" s="1"/>
  <c r="GI3" i="62" l="1"/>
  <c r="GJ23" i="62"/>
  <c r="GJ22" i="62" s="1"/>
  <c r="GJ3" i="62" l="1"/>
  <c r="E3" i="62" l="1"/>
  <c r="BC123" i="58" s="1"/>
  <c r="BD123" i="5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5" authorId="0" shapeId="0" xr:uid="{00000000-0006-0000-0B00-000001000000}">
      <text>
        <r>
          <rPr>
            <b/>
            <sz val="9"/>
            <color indexed="81"/>
            <rFont val="MS P ゴシック"/>
            <family val="3"/>
            <charset val="128"/>
          </rPr>
          <t>様式1-1の（E）欄と一致</t>
        </r>
      </text>
    </comment>
    <comment ref="K5" authorId="0" shapeId="0" xr:uid="{00000000-0006-0000-0B00-000002000000}">
      <text>
        <r>
          <rPr>
            <b/>
            <sz val="9"/>
            <color indexed="81"/>
            <rFont val="MS P ゴシック"/>
            <family val="3"/>
            <charset val="128"/>
          </rPr>
          <t>様式1-1の（A）欄と一致</t>
        </r>
      </text>
    </comment>
  </commentList>
</comments>
</file>

<file path=xl/sharedStrings.xml><?xml version="1.0" encoding="utf-8"?>
<sst xmlns="http://schemas.openxmlformats.org/spreadsheetml/2006/main" count="3925" uniqueCount="1487">
  <si>
    <t>事前協議書</t>
    <rPh sb="0" eb="2">
      <t>ジゼン</t>
    </rPh>
    <rPh sb="2" eb="4">
      <t>キョウギ</t>
    </rPh>
    <rPh sb="4" eb="5">
      <t>ショ</t>
    </rPh>
    <phoneticPr fontId="9"/>
  </si>
  <si>
    <t>愛知県知事　殿</t>
    <rPh sb="0" eb="3">
      <t>アイチケン</t>
    </rPh>
    <rPh sb="3" eb="5">
      <t>チジ</t>
    </rPh>
    <rPh sb="6" eb="7">
      <t>ドノ</t>
    </rPh>
    <phoneticPr fontId="9"/>
  </si>
  <si>
    <t>補助事業者名</t>
    <rPh sb="0" eb="2">
      <t>ホジョ</t>
    </rPh>
    <rPh sb="2" eb="4">
      <t>ジギョウ</t>
    </rPh>
    <rPh sb="4" eb="5">
      <t>シャ</t>
    </rPh>
    <rPh sb="5" eb="6">
      <t>メイ</t>
    </rPh>
    <phoneticPr fontId="8"/>
  </si>
  <si>
    <t>代表者職氏名</t>
    <rPh sb="0" eb="3">
      <t>ダイヒョウシャ</t>
    </rPh>
    <rPh sb="3" eb="4">
      <t>ショク</t>
    </rPh>
    <rPh sb="4" eb="6">
      <t>シメイ</t>
    </rPh>
    <phoneticPr fontId="8"/>
  </si>
  <si>
    <t>所在地</t>
    <rPh sb="0" eb="1">
      <t>トコロ</t>
    </rPh>
    <rPh sb="1" eb="2">
      <t>ザイ</t>
    </rPh>
    <rPh sb="2" eb="3">
      <t>チ</t>
    </rPh>
    <phoneticPr fontId="8"/>
  </si>
  <si>
    <t>　このことについて、下記により協議します。</t>
    <rPh sb="10" eb="12">
      <t>カキ</t>
    </rPh>
    <rPh sb="15" eb="17">
      <t>キョウギ</t>
    </rPh>
    <phoneticPr fontId="9"/>
  </si>
  <si>
    <t>１　施設の名称及び所在地</t>
    <phoneticPr fontId="13"/>
  </si>
  <si>
    <t>２　経費所要見込額（県の定める要綱に基づく交付見込額と異なる。）</t>
    <rPh sb="2" eb="4">
      <t>ケイヒ</t>
    </rPh>
    <rPh sb="4" eb="6">
      <t>ショヨウ</t>
    </rPh>
    <rPh sb="6" eb="8">
      <t>ミコ</t>
    </rPh>
    <rPh sb="8" eb="9">
      <t>ガク</t>
    </rPh>
    <rPh sb="10" eb="11">
      <t>ケン</t>
    </rPh>
    <rPh sb="12" eb="13">
      <t>サダ</t>
    </rPh>
    <rPh sb="15" eb="17">
      <t>ヨウコウ</t>
    </rPh>
    <rPh sb="18" eb="19">
      <t>モト</t>
    </rPh>
    <rPh sb="21" eb="23">
      <t>コウフ</t>
    </rPh>
    <rPh sb="23" eb="25">
      <t>ミコミ</t>
    </rPh>
    <rPh sb="25" eb="26">
      <t>ガク</t>
    </rPh>
    <rPh sb="27" eb="28">
      <t>コト</t>
    </rPh>
    <phoneticPr fontId="9"/>
  </si>
  <si>
    <t>３　添付書類</t>
    <rPh sb="2" eb="4">
      <t>テンプ</t>
    </rPh>
    <rPh sb="4" eb="6">
      <t>ショルイ</t>
    </rPh>
    <phoneticPr fontId="9"/>
  </si>
  <si>
    <t>担当部署</t>
    <rPh sb="0" eb="2">
      <t>タントウ</t>
    </rPh>
    <rPh sb="2" eb="4">
      <t>ブショ</t>
    </rPh>
    <phoneticPr fontId="8"/>
  </si>
  <si>
    <t>担当者名</t>
    <rPh sb="0" eb="2">
      <t>タントウ</t>
    </rPh>
    <rPh sb="2" eb="3">
      <t>シャ</t>
    </rPh>
    <rPh sb="3" eb="4">
      <t>メイ</t>
    </rPh>
    <phoneticPr fontId="8"/>
  </si>
  <si>
    <t>電話番号</t>
    <rPh sb="0" eb="2">
      <t>デンワ</t>
    </rPh>
    <rPh sb="2" eb="4">
      <t>バンゴウ</t>
    </rPh>
    <phoneticPr fontId="8"/>
  </si>
  <si>
    <t>Mailｱﾄﾞﾚｽ</t>
  </si>
  <si>
    <t>経費所要額内訳書</t>
    <rPh sb="0" eb="2">
      <t>ケイヒ</t>
    </rPh>
    <rPh sb="2" eb="4">
      <t>ショヨウ</t>
    </rPh>
    <rPh sb="4" eb="5">
      <t>ガク</t>
    </rPh>
    <rPh sb="5" eb="8">
      <t>ウチワケショ</t>
    </rPh>
    <phoneticPr fontId="9"/>
  </si>
  <si>
    <t>初度設備</t>
    <rPh sb="0" eb="2">
      <t>ショド</t>
    </rPh>
    <rPh sb="2" eb="4">
      <t>セツビ</t>
    </rPh>
    <phoneticPr fontId="8"/>
  </si>
  <si>
    <t>人工呼吸器</t>
    <rPh sb="0" eb="2">
      <t>ジンコウ</t>
    </rPh>
    <rPh sb="2" eb="5">
      <t>コキュウキ</t>
    </rPh>
    <phoneticPr fontId="8"/>
  </si>
  <si>
    <t>個人防護具</t>
    <rPh sb="0" eb="2">
      <t>コジン</t>
    </rPh>
    <rPh sb="2" eb="4">
      <t>ボウゴ</t>
    </rPh>
    <rPh sb="4" eb="5">
      <t>グ</t>
    </rPh>
    <phoneticPr fontId="8"/>
  </si>
  <si>
    <t>簡易陰圧装置</t>
    <rPh sb="0" eb="2">
      <t>カンイ</t>
    </rPh>
    <rPh sb="2" eb="3">
      <t>カゲ</t>
    </rPh>
    <rPh sb="3" eb="4">
      <t>アツ</t>
    </rPh>
    <rPh sb="4" eb="6">
      <t>ソウチ</t>
    </rPh>
    <phoneticPr fontId="8"/>
  </si>
  <si>
    <t>簡易ベッド</t>
    <rPh sb="0" eb="2">
      <t>カンイ</t>
    </rPh>
    <phoneticPr fontId="8"/>
  </si>
  <si>
    <t>体外式膜型人工肺</t>
    <rPh sb="0" eb="3">
      <t>タイガイシキ</t>
    </rPh>
    <rPh sb="3" eb="4">
      <t>マク</t>
    </rPh>
    <rPh sb="4" eb="5">
      <t>ガタ</t>
    </rPh>
    <rPh sb="5" eb="7">
      <t>ジンコウ</t>
    </rPh>
    <rPh sb="7" eb="8">
      <t>ハイ</t>
    </rPh>
    <phoneticPr fontId="8"/>
  </si>
  <si>
    <t>簡易病室</t>
    <rPh sb="0" eb="2">
      <t>カンイ</t>
    </rPh>
    <rPh sb="2" eb="4">
      <t>ビョウシツ</t>
    </rPh>
    <phoneticPr fontId="8"/>
  </si>
  <si>
    <t>入院医療機関設備整備事業</t>
    <rPh sb="0" eb="2">
      <t>ニュウイン</t>
    </rPh>
    <rPh sb="2" eb="4">
      <t>イリョウ</t>
    </rPh>
    <rPh sb="4" eb="6">
      <t>キカン</t>
    </rPh>
    <rPh sb="6" eb="8">
      <t>セツビ</t>
    </rPh>
    <rPh sb="8" eb="10">
      <t>セイビ</t>
    </rPh>
    <rPh sb="10" eb="12">
      <t>ジギョウ</t>
    </rPh>
    <phoneticPr fontId="8"/>
  </si>
  <si>
    <t>重点医療機関等設備整備事業</t>
    <rPh sb="0" eb="2">
      <t>ジュウテン</t>
    </rPh>
    <rPh sb="2" eb="4">
      <t>イリョウ</t>
    </rPh>
    <rPh sb="4" eb="6">
      <t>キカン</t>
    </rPh>
    <rPh sb="6" eb="7">
      <t>トウ</t>
    </rPh>
    <rPh sb="7" eb="9">
      <t>セツビ</t>
    </rPh>
    <rPh sb="9" eb="11">
      <t>セイビ</t>
    </rPh>
    <rPh sb="11" eb="13">
      <t>ジギョウ</t>
    </rPh>
    <phoneticPr fontId="8"/>
  </si>
  <si>
    <t>超音波画像診断装置</t>
    <rPh sb="0" eb="3">
      <t>チョウオンパ</t>
    </rPh>
    <rPh sb="3" eb="5">
      <t>ガゾウ</t>
    </rPh>
    <rPh sb="5" eb="7">
      <t>シンダン</t>
    </rPh>
    <rPh sb="7" eb="9">
      <t>ソウチ</t>
    </rPh>
    <phoneticPr fontId="8"/>
  </si>
  <si>
    <t>血液浄化装置</t>
    <rPh sb="0" eb="2">
      <t>ケツエキ</t>
    </rPh>
    <rPh sb="2" eb="4">
      <t>ジョウカ</t>
    </rPh>
    <rPh sb="4" eb="6">
      <t>ソウチ</t>
    </rPh>
    <phoneticPr fontId="8"/>
  </si>
  <si>
    <t>気管支鏡</t>
    <rPh sb="0" eb="4">
      <t>キカンシキョウ</t>
    </rPh>
    <phoneticPr fontId="8"/>
  </si>
  <si>
    <t>CT撮影装置</t>
    <rPh sb="2" eb="4">
      <t>サツエイ</t>
    </rPh>
    <rPh sb="4" eb="6">
      <t>ソウチ</t>
    </rPh>
    <phoneticPr fontId="8"/>
  </si>
  <si>
    <t>生体情報モニタ</t>
    <rPh sb="2" eb="4">
      <t>ジョウホウ</t>
    </rPh>
    <phoneticPr fontId="8"/>
  </si>
  <si>
    <t>分娩監視装置</t>
    <rPh sb="0" eb="2">
      <t>ブンベン</t>
    </rPh>
    <rPh sb="2" eb="4">
      <t>カンシ</t>
    </rPh>
    <rPh sb="4" eb="6">
      <t>ソウチ</t>
    </rPh>
    <phoneticPr fontId="8"/>
  </si>
  <si>
    <t>新生児モニタ</t>
    <rPh sb="0" eb="3">
      <t>シンセイジ</t>
    </rPh>
    <phoneticPr fontId="8"/>
  </si>
  <si>
    <t>紫外線照射装置</t>
    <rPh sb="0" eb="3">
      <t>シガイセン</t>
    </rPh>
    <rPh sb="3" eb="5">
      <t>ショウシャ</t>
    </rPh>
    <rPh sb="5" eb="7">
      <t>ソウチ</t>
    </rPh>
    <phoneticPr fontId="8"/>
  </si>
  <si>
    <t>小　計</t>
    <rPh sb="0" eb="1">
      <t>ショウ</t>
    </rPh>
    <rPh sb="2" eb="3">
      <t>ケイ</t>
    </rPh>
    <phoneticPr fontId="9"/>
  </si>
  <si>
    <t>所要見込額</t>
    <rPh sb="0" eb="2">
      <t>ショヨウ</t>
    </rPh>
    <rPh sb="2" eb="4">
      <t>ミコミ</t>
    </rPh>
    <rPh sb="4" eb="5">
      <t>ガク</t>
    </rPh>
    <phoneticPr fontId="9"/>
  </si>
  <si>
    <t>整備品目</t>
    <rPh sb="0" eb="2">
      <t>セイビ</t>
    </rPh>
    <rPh sb="2" eb="4">
      <t>ヒンモク</t>
    </rPh>
    <phoneticPr fontId="9"/>
  </si>
  <si>
    <t>事業</t>
    <rPh sb="0" eb="2">
      <t>ジギョウ</t>
    </rPh>
    <phoneticPr fontId="9"/>
  </si>
  <si>
    <t>寄付金その他の
収入予定額</t>
    <rPh sb="0" eb="3">
      <t>キフキン</t>
    </rPh>
    <rPh sb="5" eb="6">
      <t>タ</t>
    </rPh>
    <rPh sb="8" eb="10">
      <t>シュウニュウ</t>
    </rPh>
    <rPh sb="10" eb="12">
      <t>ヨテイ</t>
    </rPh>
    <rPh sb="12" eb="13">
      <t>ガク</t>
    </rPh>
    <phoneticPr fontId="9"/>
  </si>
  <si>
    <t>支出予定額</t>
    <rPh sb="0" eb="2">
      <t>シシュツ</t>
    </rPh>
    <rPh sb="2" eb="4">
      <t>ヨテイ</t>
    </rPh>
    <rPh sb="4" eb="5">
      <t>ガク</t>
    </rPh>
    <phoneticPr fontId="9"/>
  </si>
  <si>
    <t>明細</t>
    <rPh sb="0" eb="2">
      <t>メイサイ</t>
    </rPh>
    <phoneticPr fontId="9"/>
  </si>
  <si>
    <t>県補助見込額</t>
    <rPh sb="0" eb="1">
      <t>ケン</t>
    </rPh>
    <rPh sb="1" eb="3">
      <t>ホジョ</t>
    </rPh>
    <rPh sb="3" eb="5">
      <t>ミコミ</t>
    </rPh>
    <rPh sb="5" eb="6">
      <t>ガク</t>
    </rPh>
    <phoneticPr fontId="9"/>
  </si>
  <si>
    <t>合　計</t>
    <rPh sb="0" eb="1">
      <t>ゴウ</t>
    </rPh>
    <rPh sb="2" eb="3">
      <t>ケイ</t>
    </rPh>
    <phoneticPr fontId="9"/>
  </si>
  <si>
    <t>（５）その他必要な書類</t>
    <rPh sb="5" eb="6">
      <t>タ</t>
    </rPh>
    <rPh sb="6" eb="8">
      <t>ヒツヨウ</t>
    </rPh>
    <rPh sb="9" eb="11">
      <t>ショルイ</t>
    </rPh>
    <phoneticPr fontId="9"/>
  </si>
  <si>
    <t>整備先・内容</t>
    <rPh sb="0" eb="2">
      <t>セイビ</t>
    </rPh>
    <rPh sb="2" eb="3">
      <t>サキ</t>
    </rPh>
    <rPh sb="4" eb="6">
      <t>ナイヨウ</t>
    </rPh>
    <phoneticPr fontId="13"/>
  </si>
  <si>
    <t>規格・数量</t>
    <rPh sb="0" eb="2">
      <t>キカク</t>
    </rPh>
    <rPh sb="3" eb="5">
      <t>スウリョウ</t>
    </rPh>
    <phoneticPr fontId="13"/>
  </si>
  <si>
    <t>単価・対象経費か否か</t>
    <rPh sb="0" eb="2">
      <t>タンカ</t>
    </rPh>
    <rPh sb="3" eb="5">
      <t>タイショウ</t>
    </rPh>
    <rPh sb="5" eb="7">
      <t>ケイヒ</t>
    </rPh>
    <rPh sb="8" eb="9">
      <t>イナ</t>
    </rPh>
    <phoneticPr fontId="13"/>
  </si>
  <si>
    <t>補助対象額</t>
    <rPh sb="0" eb="2">
      <t>ホジョ</t>
    </rPh>
    <rPh sb="2" eb="4">
      <t>タイショウ</t>
    </rPh>
    <rPh sb="4" eb="5">
      <t>ガク</t>
    </rPh>
    <phoneticPr fontId="13"/>
  </si>
  <si>
    <t>番号</t>
    <rPh sb="0" eb="2">
      <t>バンゴウ</t>
    </rPh>
    <phoneticPr fontId="13"/>
  </si>
  <si>
    <t>病床</t>
    <rPh sb="0" eb="2">
      <t>ビョウショウ</t>
    </rPh>
    <phoneticPr fontId="13"/>
  </si>
  <si>
    <t>用途先病床</t>
    <rPh sb="0" eb="2">
      <t>ヨウト</t>
    </rPh>
    <rPh sb="2" eb="3">
      <t>サキ</t>
    </rPh>
    <rPh sb="3" eb="5">
      <t>ビョウショウ</t>
    </rPh>
    <phoneticPr fontId="13"/>
  </si>
  <si>
    <t>整備区分</t>
    <rPh sb="0" eb="2">
      <t>セイビ</t>
    </rPh>
    <rPh sb="2" eb="4">
      <t>クブン</t>
    </rPh>
    <phoneticPr fontId="13"/>
  </si>
  <si>
    <t>数量</t>
    <rPh sb="0" eb="2">
      <t>スウリョウ</t>
    </rPh>
    <phoneticPr fontId="13"/>
  </si>
  <si>
    <t>単価(税抜)</t>
    <rPh sb="0" eb="2">
      <t>タンカ</t>
    </rPh>
    <rPh sb="3" eb="4">
      <t>ゼイ</t>
    </rPh>
    <rPh sb="4" eb="5">
      <t>ヌ</t>
    </rPh>
    <phoneticPr fontId="13"/>
  </si>
  <si>
    <t>単価(税込)</t>
    <rPh sb="0" eb="2">
      <t>タンカ</t>
    </rPh>
    <rPh sb="3" eb="4">
      <t>ゼイ</t>
    </rPh>
    <rPh sb="4" eb="5">
      <t>コミ</t>
    </rPh>
    <phoneticPr fontId="13"/>
  </si>
  <si>
    <t>金額(税込)</t>
    <rPh sb="0" eb="2">
      <t>キンガク</t>
    </rPh>
    <rPh sb="3" eb="5">
      <t>ゼイコミ</t>
    </rPh>
    <phoneticPr fontId="13"/>
  </si>
  <si>
    <t>補助対象区分</t>
    <rPh sb="0" eb="2">
      <t>ホジョ</t>
    </rPh>
    <rPh sb="2" eb="4">
      <t>タイショウ</t>
    </rPh>
    <rPh sb="4" eb="6">
      <t>クブン</t>
    </rPh>
    <phoneticPr fontId="13"/>
  </si>
  <si>
    <t>品名</t>
    <rPh sb="0" eb="2">
      <t>ヒンメイ</t>
    </rPh>
    <phoneticPr fontId="13"/>
  </si>
  <si>
    <t>１．整備理由</t>
    <rPh sb="2" eb="4">
      <t>セイビ</t>
    </rPh>
    <rPh sb="4" eb="6">
      <t>リユウ</t>
    </rPh>
    <phoneticPr fontId="9"/>
  </si>
  <si>
    <t>病床数</t>
    <rPh sb="0" eb="3">
      <t>ビョウショウスウ</t>
    </rPh>
    <phoneticPr fontId="9"/>
  </si>
  <si>
    <t>（２）この度、新たに整備を行う必要が生じた理由を詳しく記入してください。</t>
    <rPh sb="5" eb="6">
      <t>タビ</t>
    </rPh>
    <rPh sb="7" eb="8">
      <t>アラ</t>
    </rPh>
    <rPh sb="10" eb="12">
      <t>セイビ</t>
    </rPh>
    <rPh sb="13" eb="14">
      <t>オコナ</t>
    </rPh>
    <rPh sb="15" eb="17">
      <t>ヒツヨウ</t>
    </rPh>
    <rPh sb="18" eb="19">
      <t>ショウ</t>
    </rPh>
    <rPh sb="21" eb="23">
      <t>リユウ</t>
    </rPh>
    <rPh sb="24" eb="25">
      <t>クワ</t>
    </rPh>
    <rPh sb="27" eb="29">
      <t>キニュウ</t>
    </rPh>
    <phoneticPr fontId="9"/>
  </si>
  <si>
    <t>記入項目</t>
    <rPh sb="0" eb="2">
      <t>キニュウ</t>
    </rPh>
    <rPh sb="2" eb="4">
      <t>コウモク</t>
    </rPh>
    <phoneticPr fontId="13"/>
  </si>
  <si>
    <t>記入欄</t>
    <rPh sb="0" eb="2">
      <t>キニュウ</t>
    </rPh>
    <rPh sb="2" eb="3">
      <t>ラン</t>
    </rPh>
    <phoneticPr fontId="13"/>
  </si>
  <si>
    <t>入力判定</t>
    <rPh sb="0" eb="2">
      <t>ニュウリョク</t>
    </rPh>
    <rPh sb="2" eb="4">
      <t>ハンテイ</t>
    </rPh>
    <phoneticPr fontId="13"/>
  </si>
  <si>
    <t>コメント</t>
    <phoneticPr fontId="13"/>
  </si>
  <si>
    <t>法人・個人事業主の別</t>
    <rPh sb="0" eb="2">
      <t>ホウジン</t>
    </rPh>
    <rPh sb="3" eb="5">
      <t>コジン</t>
    </rPh>
    <rPh sb="5" eb="8">
      <t>ジギョウヌシ</t>
    </rPh>
    <rPh sb="9" eb="10">
      <t>ベツ</t>
    </rPh>
    <phoneticPr fontId="13"/>
  </si>
  <si>
    <t>　　　法人（医療法人等）</t>
    <rPh sb="3" eb="5">
      <t>ホウジン</t>
    </rPh>
    <rPh sb="6" eb="8">
      <t>イリョウ</t>
    </rPh>
    <rPh sb="8" eb="10">
      <t>ホウジン</t>
    </rPh>
    <rPh sb="10" eb="11">
      <t>トウ</t>
    </rPh>
    <phoneticPr fontId="13"/>
  </si>
  <si>
    <t>　　　個人事業主（法人ではない）</t>
    <rPh sb="3" eb="5">
      <t>コジン</t>
    </rPh>
    <rPh sb="5" eb="7">
      <t>ジギョウ</t>
    </rPh>
    <rPh sb="7" eb="8">
      <t>ヌシ</t>
    </rPh>
    <rPh sb="9" eb="11">
      <t>ホウジン</t>
    </rPh>
    <phoneticPr fontId="13"/>
  </si>
  <si>
    <t>　　　公立医療機関</t>
    <rPh sb="3" eb="5">
      <t>コウリツ</t>
    </rPh>
    <rPh sb="5" eb="7">
      <t>イリョウ</t>
    </rPh>
    <rPh sb="7" eb="9">
      <t>キカン</t>
    </rPh>
    <phoneticPr fontId="13"/>
  </si>
  <si>
    <t>事業者名（法人名または屋号）</t>
    <rPh sb="0" eb="3">
      <t>ジギョウシャ</t>
    </rPh>
    <rPh sb="3" eb="4">
      <t>メイ</t>
    </rPh>
    <rPh sb="5" eb="7">
      <t>ホウジン</t>
    </rPh>
    <rPh sb="7" eb="8">
      <t>メイ</t>
    </rPh>
    <rPh sb="11" eb="13">
      <t>ヤゴウ</t>
    </rPh>
    <phoneticPr fontId="13"/>
  </si>
  <si>
    <t>代表者役職</t>
    <rPh sb="0" eb="3">
      <t>ダイヒョウシャ</t>
    </rPh>
    <rPh sb="3" eb="5">
      <t>ヤクショク</t>
    </rPh>
    <phoneticPr fontId="13"/>
  </si>
  <si>
    <t>年</t>
  </si>
  <si>
    <t>月</t>
  </si>
  <si>
    <t>日</t>
  </si>
  <si>
    <t>代表者氏名</t>
    <rPh sb="0" eb="3">
      <t>ダイヒョウシャ</t>
    </rPh>
    <rPh sb="3" eb="5">
      <t>シメイ</t>
    </rPh>
    <phoneticPr fontId="13"/>
  </si>
  <si>
    <t>施設の名称</t>
    <rPh sb="0" eb="2">
      <t>シセツ</t>
    </rPh>
    <rPh sb="3" eb="5">
      <t>メイショウ</t>
    </rPh>
    <phoneticPr fontId="13"/>
  </si>
  <si>
    <t>床</t>
    <rPh sb="0" eb="1">
      <t>ユカ</t>
    </rPh>
    <phoneticPr fontId="13"/>
  </si>
  <si>
    <t>合計</t>
    <rPh sb="0" eb="2">
      <t>ゴウケイ</t>
    </rPh>
    <phoneticPr fontId="13"/>
  </si>
  <si>
    <t>提出日</t>
    <rPh sb="0" eb="2">
      <t>テイシュツ</t>
    </rPh>
    <rPh sb="2" eb="3">
      <t>ビ</t>
    </rPh>
    <phoneticPr fontId="13"/>
  </si>
  <si>
    <t>令和</t>
    <rPh sb="0" eb="2">
      <t>レイワ</t>
    </rPh>
    <phoneticPr fontId="13"/>
  </si>
  <si>
    <t>年</t>
    <rPh sb="0" eb="1">
      <t>ネン</t>
    </rPh>
    <phoneticPr fontId="13"/>
  </si>
  <si>
    <t>月</t>
    <rPh sb="0" eb="1">
      <t>ガツ</t>
    </rPh>
    <phoneticPr fontId="13"/>
  </si>
  <si>
    <t>日</t>
    <rPh sb="0" eb="1">
      <t>ニチ</t>
    </rPh>
    <phoneticPr fontId="13"/>
  </si>
  <si>
    <t>文書番号</t>
    <rPh sb="0" eb="2">
      <t>ブンショ</t>
    </rPh>
    <rPh sb="2" eb="4">
      <t>バンゴウ</t>
    </rPh>
    <phoneticPr fontId="13"/>
  </si>
  <si>
    <t>○</t>
    <phoneticPr fontId="13"/>
  </si>
  <si>
    <t>（任意）文書を発出する際に文書番号が必要である場合は入力してください</t>
    <phoneticPr fontId="13"/>
  </si>
  <si>
    <t>担当部署</t>
    <rPh sb="0" eb="2">
      <t>タントウ</t>
    </rPh>
    <rPh sb="2" eb="4">
      <t>ブショ</t>
    </rPh>
    <phoneticPr fontId="13"/>
  </si>
  <si>
    <t>担当者名</t>
    <rPh sb="0" eb="2">
      <t>タントウ</t>
    </rPh>
    <rPh sb="2" eb="3">
      <t>シャ</t>
    </rPh>
    <rPh sb="3" eb="4">
      <t>メイ</t>
    </rPh>
    <phoneticPr fontId="13"/>
  </si>
  <si>
    <t>電話番号（担当直通）</t>
    <rPh sb="0" eb="2">
      <t>デンワ</t>
    </rPh>
    <rPh sb="2" eb="4">
      <t>バンゴウ</t>
    </rPh>
    <rPh sb="5" eb="7">
      <t>タントウ</t>
    </rPh>
    <rPh sb="7" eb="9">
      <t>チョクツウ</t>
    </rPh>
    <phoneticPr fontId="13"/>
  </si>
  <si>
    <t>申立てする</t>
    <rPh sb="0" eb="2">
      <t>モウシタテ</t>
    </rPh>
    <phoneticPr fontId="13"/>
  </si>
  <si>
    <t>Mailｱﾄﾞﾚｽ（担当直通）</t>
    <rPh sb="10" eb="12">
      <t>タントウ</t>
    </rPh>
    <rPh sb="12" eb="14">
      <t>チョクツウ</t>
    </rPh>
    <phoneticPr fontId="13"/>
  </si>
  <si>
    <t>申し立てしない</t>
    <rPh sb="0" eb="1">
      <t>モウ</t>
    </rPh>
    <rPh sb="2" eb="3">
      <t>タ</t>
    </rPh>
    <phoneticPr fontId="13"/>
  </si>
  <si>
    <t>号</t>
    <rPh sb="0" eb="1">
      <t>ゴウ</t>
    </rPh>
    <phoneticPr fontId="13"/>
  </si>
  <si>
    <t>申立事項
申請内容が右記事項と相違ないことを確認し、「申立てする」を選択してください。</t>
    <rPh sb="0" eb="2">
      <t>モウシタテ</t>
    </rPh>
    <rPh sb="2" eb="4">
      <t>ジコウ</t>
    </rPh>
    <rPh sb="5" eb="7">
      <t>シンセイ</t>
    </rPh>
    <rPh sb="7" eb="9">
      <t>ナイヨウ</t>
    </rPh>
    <rPh sb="10" eb="12">
      <t>ウキ</t>
    </rPh>
    <rPh sb="12" eb="14">
      <t>ジコウ</t>
    </rPh>
    <rPh sb="15" eb="17">
      <t>ソウイ</t>
    </rPh>
    <rPh sb="22" eb="24">
      <t>カクニン</t>
    </rPh>
    <rPh sb="27" eb="28">
      <t>モウ</t>
    </rPh>
    <rPh sb="28" eb="29">
      <t>タ</t>
    </rPh>
    <rPh sb="34" eb="36">
      <t>センタク</t>
    </rPh>
    <phoneticPr fontId="13"/>
  </si>
  <si>
    <t>【重点医療機関で該当の場合】
専門治療が必要な患者の
入院受入の可否</t>
    <rPh sb="1" eb="3">
      <t>ジュウテン</t>
    </rPh>
    <rPh sb="3" eb="5">
      <t>イリョウ</t>
    </rPh>
    <rPh sb="5" eb="7">
      <t>キカン</t>
    </rPh>
    <rPh sb="8" eb="10">
      <t>ガイトウ</t>
    </rPh>
    <rPh sb="11" eb="13">
      <t>バアイ</t>
    </rPh>
    <rPh sb="15" eb="17">
      <t>センモン</t>
    </rPh>
    <rPh sb="17" eb="19">
      <t>チリョウ</t>
    </rPh>
    <rPh sb="20" eb="22">
      <t>ヒツヨウ</t>
    </rPh>
    <rPh sb="23" eb="25">
      <t>カンジャ</t>
    </rPh>
    <rPh sb="27" eb="29">
      <t>ニュウイン</t>
    </rPh>
    <rPh sb="29" eb="31">
      <t>ウケイレ</t>
    </rPh>
    <rPh sb="32" eb="34">
      <t>カヒ</t>
    </rPh>
    <phoneticPr fontId="13"/>
  </si>
  <si>
    <t>　　　透析患者</t>
    <rPh sb="3" eb="5">
      <t>トウセキ</t>
    </rPh>
    <rPh sb="5" eb="7">
      <t>カンジャ</t>
    </rPh>
    <phoneticPr fontId="13"/>
  </si>
  <si>
    <t>　　　妊産婦の患者</t>
    <rPh sb="3" eb="6">
      <t>ニンサンプ</t>
    </rPh>
    <rPh sb="7" eb="9">
      <t>カンジャ</t>
    </rPh>
    <phoneticPr fontId="13"/>
  </si>
  <si>
    <t>　　　小児患者</t>
    <rPh sb="3" eb="5">
      <t>ショウニ</t>
    </rPh>
    <rPh sb="5" eb="7">
      <t>カンジャ</t>
    </rPh>
    <phoneticPr fontId="13"/>
  </si>
  <si>
    <t>↘</t>
    <phoneticPr fontId="13"/>
  </si>
  <si>
    <t>判　定</t>
    <rPh sb="0" eb="1">
      <t>ハン</t>
    </rPh>
    <rPh sb="2" eb="3">
      <t>サダム</t>
    </rPh>
    <phoneticPr fontId="13"/>
  </si>
  <si>
    <t>総合判定</t>
    <rPh sb="0" eb="2">
      <t>ソウゴウ</t>
    </rPh>
    <rPh sb="2" eb="4">
      <t>ハンテイ</t>
    </rPh>
    <phoneticPr fontId="13"/>
  </si>
  <si>
    <t>判定</t>
    <rPh sb="0" eb="2">
      <t>ハンテイ</t>
    </rPh>
    <phoneticPr fontId="13"/>
  </si>
  <si>
    <t>初度設備</t>
    <rPh sb="0" eb="2">
      <t>ショド</t>
    </rPh>
    <rPh sb="2" eb="4">
      <t>セツビ</t>
    </rPh>
    <phoneticPr fontId="13"/>
  </si>
  <si>
    <t>共通使用</t>
    <rPh sb="0" eb="2">
      <t>キョウツウ</t>
    </rPh>
    <rPh sb="2" eb="4">
      <t>シヨウ</t>
    </rPh>
    <phoneticPr fontId="13"/>
  </si>
  <si>
    <t>既設病床</t>
    <rPh sb="0" eb="2">
      <t>キセツ</t>
    </rPh>
    <rPh sb="2" eb="4">
      <t>ビョウショウ</t>
    </rPh>
    <phoneticPr fontId="13"/>
  </si>
  <si>
    <t>新設病床</t>
    <rPh sb="0" eb="2">
      <t>シンセツ</t>
    </rPh>
    <rPh sb="2" eb="4">
      <t>ビョウショウ</t>
    </rPh>
    <phoneticPr fontId="13"/>
  </si>
  <si>
    <t>人工呼吸器</t>
    <rPh sb="0" eb="2">
      <t>ジンコウ</t>
    </rPh>
    <rPh sb="2" eb="5">
      <t>コキュウキ</t>
    </rPh>
    <phoneticPr fontId="13"/>
  </si>
  <si>
    <t>対応病床共通</t>
    <rPh sb="0" eb="2">
      <t>タイオウ</t>
    </rPh>
    <rPh sb="2" eb="4">
      <t>ビョウショウ</t>
    </rPh>
    <rPh sb="4" eb="6">
      <t>キョウツウ</t>
    </rPh>
    <phoneticPr fontId="13"/>
  </si>
  <si>
    <t>既設病床1</t>
    <rPh sb="0" eb="2">
      <t>キセツ</t>
    </rPh>
    <rPh sb="2" eb="4">
      <t>ビョウショウ</t>
    </rPh>
    <phoneticPr fontId="13"/>
  </si>
  <si>
    <t>新設病床1</t>
    <rPh sb="0" eb="2">
      <t>シンセツ</t>
    </rPh>
    <rPh sb="2" eb="4">
      <t>ビョウショウ</t>
    </rPh>
    <phoneticPr fontId="13"/>
  </si>
  <si>
    <t>個人防護具</t>
    <rPh sb="0" eb="2">
      <t>コジン</t>
    </rPh>
    <rPh sb="2" eb="4">
      <t>ボウゴ</t>
    </rPh>
    <rPh sb="4" eb="5">
      <t>グ</t>
    </rPh>
    <phoneticPr fontId="13"/>
  </si>
  <si>
    <t>既設病床2</t>
    <rPh sb="0" eb="2">
      <t>キセツ</t>
    </rPh>
    <rPh sb="2" eb="4">
      <t>ビョウショウ</t>
    </rPh>
    <phoneticPr fontId="13"/>
  </si>
  <si>
    <t>新設病床2</t>
    <rPh sb="0" eb="2">
      <t>シンセツ</t>
    </rPh>
    <rPh sb="2" eb="4">
      <t>ビョウショウ</t>
    </rPh>
    <phoneticPr fontId="13"/>
  </si>
  <si>
    <t>簡易病室</t>
    <rPh sb="0" eb="2">
      <t>カンイ</t>
    </rPh>
    <rPh sb="2" eb="4">
      <t>ビョウシツ</t>
    </rPh>
    <phoneticPr fontId="13"/>
  </si>
  <si>
    <t>既設病床3</t>
    <rPh sb="0" eb="2">
      <t>キセツ</t>
    </rPh>
    <rPh sb="2" eb="4">
      <t>ビョウショウ</t>
    </rPh>
    <phoneticPr fontId="13"/>
  </si>
  <si>
    <t>新設病床3</t>
    <rPh sb="0" eb="2">
      <t>シンセツ</t>
    </rPh>
    <rPh sb="2" eb="4">
      <t>ビョウショウ</t>
    </rPh>
    <phoneticPr fontId="13"/>
  </si>
  <si>
    <t>超音波画像診断装置</t>
    <rPh sb="0" eb="3">
      <t>チョウオンパ</t>
    </rPh>
    <rPh sb="3" eb="5">
      <t>ガゾウ</t>
    </rPh>
    <rPh sb="5" eb="7">
      <t>シンダン</t>
    </rPh>
    <rPh sb="7" eb="9">
      <t>ソウチ</t>
    </rPh>
    <phoneticPr fontId="13"/>
  </si>
  <si>
    <t>既設病床4</t>
    <rPh sb="0" eb="2">
      <t>キセツ</t>
    </rPh>
    <rPh sb="2" eb="4">
      <t>ビョウショウ</t>
    </rPh>
    <phoneticPr fontId="13"/>
  </si>
  <si>
    <t>新設病床4</t>
    <rPh sb="0" eb="2">
      <t>シンセツ</t>
    </rPh>
    <rPh sb="2" eb="4">
      <t>ビョウショウ</t>
    </rPh>
    <phoneticPr fontId="13"/>
  </si>
  <si>
    <t>血液浄化装置</t>
    <rPh sb="0" eb="2">
      <t>ケツエキ</t>
    </rPh>
    <rPh sb="2" eb="4">
      <t>ジョウカ</t>
    </rPh>
    <rPh sb="4" eb="6">
      <t>ソウチ</t>
    </rPh>
    <phoneticPr fontId="13"/>
  </si>
  <si>
    <t>既設病床5</t>
    <rPh sb="0" eb="2">
      <t>キセツ</t>
    </rPh>
    <rPh sb="2" eb="4">
      <t>ビョウショウ</t>
    </rPh>
    <phoneticPr fontId="13"/>
  </si>
  <si>
    <t>新設病床5</t>
    <rPh sb="0" eb="2">
      <t>シンセツ</t>
    </rPh>
    <rPh sb="2" eb="4">
      <t>ビョウショウ</t>
    </rPh>
    <phoneticPr fontId="13"/>
  </si>
  <si>
    <t>気管支鏡</t>
    <rPh sb="0" eb="4">
      <t>キカンシキョウ</t>
    </rPh>
    <phoneticPr fontId="13"/>
  </si>
  <si>
    <t>既設病床6</t>
    <rPh sb="0" eb="2">
      <t>キセツ</t>
    </rPh>
    <rPh sb="2" eb="4">
      <t>ビョウショウ</t>
    </rPh>
    <phoneticPr fontId="13"/>
  </si>
  <si>
    <t>新設病床6</t>
    <rPh sb="0" eb="2">
      <t>シンセツ</t>
    </rPh>
    <rPh sb="2" eb="4">
      <t>ビョウショウ</t>
    </rPh>
    <phoneticPr fontId="13"/>
  </si>
  <si>
    <t>既設病床7</t>
    <rPh sb="0" eb="2">
      <t>キセツ</t>
    </rPh>
    <rPh sb="2" eb="4">
      <t>ビョウショウ</t>
    </rPh>
    <phoneticPr fontId="13"/>
  </si>
  <si>
    <t>新設病床7</t>
    <rPh sb="0" eb="2">
      <t>シンセツ</t>
    </rPh>
    <rPh sb="2" eb="4">
      <t>ビョウショウ</t>
    </rPh>
    <phoneticPr fontId="13"/>
  </si>
  <si>
    <t>既設病床8</t>
    <rPh sb="0" eb="2">
      <t>キセツ</t>
    </rPh>
    <rPh sb="2" eb="4">
      <t>ビョウショウ</t>
    </rPh>
    <phoneticPr fontId="13"/>
  </si>
  <si>
    <t>新設病床8</t>
    <rPh sb="0" eb="2">
      <t>シンセツ</t>
    </rPh>
    <rPh sb="2" eb="4">
      <t>ビョウショウ</t>
    </rPh>
    <phoneticPr fontId="13"/>
  </si>
  <si>
    <t>分娩監視装置</t>
    <rPh sb="0" eb="2">
      <t>ブンベン</t>
    </rPh>
    <rPh sb="2" eb="4">
      <t>カンシ</t>
    </rPh>
    <rPh sb="4" eb="6">
      <t>ソウチ</t>
    </rPh>
    <phoneticPr fontId="13"/>
  </si>
  <si>
    <t>既設病床9</t>
    <rPh sb="0" eb="2">
      <t>キセツ</t>
    </rPh>
    <rPh sb="2" eb="4">
      <t>ビョウショウ</t>
    </rPh>
    <phoneticPr fontId="13"/>
  </si>
  <si>
    <t>新設病床9</t>
    <rPh sb="0" eb="2">
      <t>シンセツ</t>
    </rPh>
    <rPh sb="2" eb="4">
      <t>ビョウショウ</t>
    </rPh>
    <phoneticPr fontId="13"/>
  </si>
  <si>
    <t>新生児モニタ</t>
    <rPh sb="0" eb="3">
      <t>シンセイジ</t>
    </rPh>
    <phoneticPr fontId="13"/>
  </si>
  <si>
    <t>既設病床10</t>
    <rPh sb="0" eb="2">
      <t>キセツ</t>
    </rPh>
    <rPh sb="2" eb="4">
      <t>ビョウショウ</t>
    </rPh>
    <phoneticPr fontId="13"/>
  </si>
  <si>
    <t>新設病床10</t>
    <rPh sb="0" eb="2">
      <t>シンセツ</t>
    </rPh>
    <rPh sb="2" eb="4">
      <t>ビョウショウ</t>
    </rPh>
    <phoneticPr fontId="13"/>
  </si>
  <si>
    <t>既設病床11</t>
    <rPh sb="0" eb="2">
      <t>キセツ</t>
    </rPh>
    <rPh sb="2" eb="4">
      <t>ビョウショウ</t>
    </rPh>
    <phoneticPr fontId="13"/>
  </si>
  <si>
    <t>新設病床11</t>
    <rPh sb="0" eb="2">
      <t>シンセツ</t>
    </rPh>
    <rPh sb="2" eb="4">
      <t>ビョウショウ</t>
    </rPh>
    <phoneticPr fontId="13"/>
  </si>
  <si>
    <t>既設病床12</t>
    <rPh sb="0" eb="2">
      <t>キセツ</t>
    </rPh>
    <rPh sb="2" eb="4">
      <t>ビョウショウ</t>
    </rPh>
    <phoneticPr fontId="13"/>
  </si>
  <si>
    <t>新設病床12</t>
    <rPh sb="0" eb="2">
      <t>シンセツ</t>
    </rPh>
    <rPh sb="2" eb="4">
      <t>ビョウショウ</t>
    </rPh>
    <phoneticPr fontId="13"/>
  </si>
  <si>
    <t>既設病床13</t>
    <rPh sb="0" eb="2">
      <t>キセツ</t>
    </rPh>
    <rPh sb="2" eb="4">
      <t>ビョウショウ</t>
    </rPh>
    <phoneticPr fontId="13"/>
  </si>
  <si>
    <t>新設病床13</t>
    <rPh sb="0" eb="2">
      <t>シンセツ</t>
    </rPh>
    <rPh sb="2" eb="4">
      <t>ビョウショウ</t>
    </rPh>
    <phoneticPr fontId="13"/>
  </si>
  <si>
    <t>既設病床14</t>
    <rPh sb="0" eb="2">
      <t>キセツ</t>
    </rPh>
    <rPh sb="2" eb="4">
      <t>ビョウショウ</t>
    </rPh>
    <phoneticPr fontId="13"/>
  </si>
  <si>
    <t>新設病床14</t>
    <rPh sb="0" eb="2">
      <t>シンセツ</t>
    </rPh>
    <rPh sb="2" eb="4">
      <t>ビョウショウ</t>
    </rPh>
    <phoneticPr fontId="13"/>
  </si>
  <si>
    <t>既設病床15</t>
    <rPh sb="0" eb="2">
      <t>キセツ</t>
    </rPh>
    <rPh sb="2" eb="4">
      <t>ビョウショウ</t>
    </rPh>
    <phoneticPr fontId="13"/>
  </si>
  <si>
    <t>新設病床15</t>
    <rPh sb="0" eb="2">
      <t>シンセツ</t>
    </rPh>
    <rPh sb="2" eb="4">
      <t>ビョウショウ</t>
    </rPh>
    <phoneticPr fontId="13"/>
  </si>
  <si>
    <t>既設病床16</t>
    <rPh sb="0" eb="2">
      <t>キセツ</t>
    </rPh>
    <rPh sb="2" eb="4">
      <t>ビョウショウ</t>
    </rPh>
    <phoneticPr fontId="13"/>
  </si>
  <si>
    <t>新設病床16</t>
    <rPh sb="0" eb="2">
      <t>シンセツ</t>
    </rPh>
    <rPh sb="2" eb="4">
      <t>ビョウショウ</t>
    </rPh>
    <phoneticPr fontId="13"/>
  </si>
  <si>
    <t>既設病床17</t>
    <rPh sb="0" eb="2">
      <t>キセツ</t>
    </rPh>
    <rPh sb="2" eb="4">
      <t>ビョウショウ</t>
    </rPh>
    <phoneticPr fontId="13"/>
  </si>
  <si>
    <t>新設病床17</t>
    <rPh sb="0" eb="2">
      <t>シンセツ</t>
    </rPh>
    <rPh sb="2" eb="4">
      <t>ビョウショウ</t>
    </rPh>
    <phoneticPr fontId="13"/>
  </si>
  <si>
    <t>既設病床18</t>
    <rPh sb="0" eb="2">
      <t>キセツ</t>
    </rPh>
    <rPh sb="2" eb="4">
      <t>ビョウショウ</t>
    </rPh>
    <phoneticPr fontId="13"/>
  </si>
  <si>
    <t>新設病床18</t>
    <rPh sb="0" eb="2">
      <t>シンセツ</t>
    </rPh>
    <rPh sb="2" eb="4">
      <t>ビョウショウ</t>
    </rPh>
    <phoneticPr fontId="13"/>
  </si>
  <si>
    <t>既設病床19</t>
    <rPh sb="0" eb="2">
      <t>キセツ</t>
    </rPh>
    <rPh sb="2" eb="4">
      <t>ビョウショウ</t>
    </rPh>
    <phoneticPr fontId="13"/>
  </si>
  <si>
    <t>新設病床19</t>
    <rPh sb="0" eb="2">
      <t>シンセツ</t>
    </rPh>
    <rPh sb="2" eb="4">
      <t>ビョウショウ</t>
    </rPh>
    <phoneticPr fontId="13"/>
  </si>
  <si>
    <t>既設病床20</t>
    <rPh sb="0" eb="2">
      <t>キセツ</t>
    </rPh>
    <rPh sb="2" eb="4">
      <t>ビョウショウ</t>
    </rPh>
    <phoneticPr fontId="13"/>
  </si>
  <si>
    <t>新設病床20</t>
    <rPh sb="0" eb="2">
      <t>シンセツ</t>
    </rPh>
    <rPh sb="2" eb="4">
      <t>ビョウショウ</t>
    </rPh>
    <phoneticPr fontId="13"/>
  </si>
  <si>
    <t>既設病床21</t>
    <rPh sb="0" eb="2">
      <t>キセツ</t>
    </rPh>
    <rPh sb="2" eb="4">
      <t>ビョウショウ</t>
    </rPh>
    <phoneticPr fontId="13"/>
  </si>
  <si>
    <t>新設病床21</t>
    <rPh sb="0" eb="2">
      <t>シンセツ</t>
    </rPh>
    <rPh sb="2" eb="4">
      <t>ビョウショウ</t>
    </rPh>
    <phoneticPr fontId="13"/>
  </si>
  <si>
    <t>既設病床22</t>
    <rPh sb="0" eb="2">
      <t>キセツ</t>
    </rPh>
    <rPh sb="2" eb="4">
      <t>ビョウショウ</t>
    </rPh>
    <phoneticPr fontId="13"/>
  </si>
  <si>
    <t>新設病床22</t>
    <rPh sb="0" eb="2">
      <t>シンセツ</t>
    </rPh>
    <rPh sb="2" eb="4">
      <t>ビョウショウ</t>
    </rPh>
    <phoneticPr fontId="13"/>
  </si>
  <si>
    <t>既設病床23</t>
    <rPh sb="0" eb="2">
      <t>キセツ</t>
    </rPh>
    <rPh sb="2" eb="4">
      <t>ビョウショウ</t>
    </rPh>
    <phoneticPr fontId="13"/>
  </si>
  <si>
    <t>新設病床23</t>
    <rPh sb="0" eb="2">
      <t>シンセツ</t>
    </rPh>
    <rPh sb="2" eb="4">
      <t>ビョウショウ</t>
    </rPh>
    <phoneticPr fontId="13"/>
  </si>
  <si>
    <t>既設病床24</t>
    <rPh sb="0" eb="2">
      <t>キセツ</t>
    </rPh>
    <rPh sb="2" eb="4">
      <t>ビョウショウ</t>
    </rPh>
    <phoneticPr fontId="13"/>
  </si>
  <si>
    <t>新設病床24</t>
    <rPh sb="0" eb="2">
      <t>シンセツ</t>
    </rPh>
    <rPh sb="2" eb="4">
      <t>ビョウショウ</t>
    </rPh>
    <phoneticPr fontId="13"/>
  </si>
  <si>
    <t>既設病床25</t>
    <rPh sb="0" eb="2">
      <t>キセツ</t>
    </rPh>
    <rPh sb="2" eb="4">
      <t>ビョウショウ</t>
    </rPh>
    <phoneticPr fontId="13"/>
  </si>
  <si>
    <t>新設病床25</t>
    <rPh sb="0" eb="2">
      <t>シンセツ</t>
    </rPh>
    <rPh sb="2" eb="4">
      <t>ビョウショウ</t>
    </rPh>
    <phoneticPr fontId="13"/>
  </si>
  <si>
    <t>既設病床26</t>
    <rPh sb="0" eb="2">
      <t>キセツ</t>
    </rPh>
    <rPh sb="2" eb="4">
      <t>ビョウショウ</t>
    </rPh>
    <phoneticPr fontId="13"/>
  </si>
  <si>
    <t>新設病床26</t>
    <rPh sb="0" eb="2">
      <t>シンセツ</t>
    </rPh>
    <rPh sb="2" eb="4">
      <t>ビョウショウ</t>
    </rPh>
    <phoneticPr fontId="13"/>
  </si>
  <si>
    <t>既設病床27</t>
    <rPh sb="0" eb="2">
      <t>キセツ</t>
    </rPh>
    <rPh sb="2" eb="4">
      <t>ビョウショウ</t>
    </rPh>
    <phoneticPr fontId="13"/>
  </si>
  <si>
    <t>新設病床27</t>
    <rPh sb="0" eb="2">
      <t>シンセツ</t>
    </rPh>
    <rPh sb="2" eb="4">
      <t>ビョウショウ</t>
    </rPh>
    <phoneticPr fontId="13"/>
  </si>
  <si>
    <t>既設病床28</t>
    <rPh sb="0" eb="2">
      <t>キセツ</t>
    </rPh>
    <rPh sb="2" eb="4">
      <t>ビョウショウ</t>
    </rPh>
    <phoneticPr fontId="13"/>
  </si>
  <si>
    <t>新設病床28</t>
    <rPh sb="0" eb="2">
      <t>シンセツ</t>
    </rPh>
    <rPh sb="2" eb="4">
      <t>ビョウショウ</t>
    </rPh>
    <phoneticPr fontId="13"/>
  </si>
  <si>
    <t>既設病床29</t>
    <rPh sb="0" eb="2">
      <t>キセツ</t>
    </rPh>
    <rPh sb="2" eb="4">
      <t>ビョウショウ</t>
    </rPh>
    <phoneticPr fontId="13"/>
  </si>
  <si>
    <t>新設病床29</t>
    <rPh sb="0" eb="2">
      <t>シンセツ</t>
    </rPh>
    <rPh sb="2" eb="4">
      <t>ビョウショウ</t>
    </rPh>
    <phoneticPr fontId="13"/>
  </si>
  <si>
    <t>既設病床30</t>
    <rPh sb="0" eb="2">
      <t>キセツ</t>
    </rPh>
    <rPh sb="2" eb="4">
      <t>ビョウショウ</t>
    </rPh>
    <phoneticPr fontId="13"/>
  </si>
  <si>
    <t>新設病床30</t>
    <rPh sb="0" eb="2">
      <t>シンセツ</t>
    </rPh>
    <rPh sb="2" eb="4">
      <t>ビョウショウ</t>
    </rPh>
    <phoneticPr fontId="13"/>
  </si>
  <si>
    <t>既設病床31</t>
    <rPh sb="0" eb="2">
      <t>キセツ</t>
    </rPh>
    <rPh sb="2" eb="4">
      <t>ビョウショウ</t>
    </rPh>
    <phoneticPr fontId="13"/>
  </si>
  <si>
    <t>新設病床31</t>
    <rPh sb="0" eb="2">
      <t>シンセツ</t>
    </rPh>
    <rPh sb="2" eb="4">
      <t>ビョウショウ</t>
    </rPh>
    <phoneticPr fontId="13"/>
  </si>
  <si>
    <t>既設病床32</t>
    <rPh sb="0" eb="2">
      <t>キセツ</t>
    </rPh>
    <rPh sb="2" eb="4">
      <t>ビョウショウ</t>
    </rPh>
    <phoneticPr fontId="13"/>
  </si>
  <si>
    <t>新設病床32</t>
    <rPh sb="0" eb="2">
      <t>シンセツ</t>
    </rPh>
    <rPh sb="2" eb="4">
      <t>ビョウショウ</t>
    </rPh>
    <phoneticPr fontId="13"/>
  </si>
  <si>
    <t>既設病床33</t>
    <rPh sb="0" eb="2">
      <t>キセツ</t>
    </rPh>
    <rPh sb="2" eb="4">
      <t>ビョウショウ</t>
    </rPh>
    <phoneticPr fontId="13"/>
  </si>
  <si>
    <t>新設病床33</t>
    <rPh sb="0" eb="2">
      <t>シンセツ</t>
    </rPh>
    <rPh sb="2" eb="4">
      <t>ビョウショウ</t>
    </rPh>
    <phoneticPr fontId="13"/>
  </si>
  <si>
    <t>既設病床34</t>
    <rPh sb="0" eb="2">
      <t>キセツ</t>
    </rPh>
    <rPh sb="2" eb="4">
      <t>ビョウショウ</t>
    </rPh>
    <phoneticPr fontId="13"/>
  </si>
  <si>
    <t>新設病床34</t>
    <rPh sb="0" eb="2">
      <t>シンセツ</t>
    </rPh>
    <rPh sb="2" eb="4">
      <t>ビョウショウ</t>
    </rPh>
    <phoneticPr fontId="13"/>
  </si>
  <si>
    <t>既設病床35</t>
    <rPh sb="0" eb="2">
      <t>キセツ</t>
    </rPh>
    <rPh sb="2" eb="4">
      <t>ビョウショウ</t>
    </rPh>
    <phoneticPr fontId="13"/>
  </si>
  <si>
    <t>新設病床35</t>
    <rPh sb="0" eb="2">
      <t>シンセツ</t>
    </rPh>
    <rPh sb="2" eb="4">
      <t>ビョウショウ</t>
    </rPh>
    <phoneticPr fontId="13"/>
  </si>
  <si>
    <t>既設病床36</t>
    <rPh sb="0" eb="2">
      <t>キセツ</t>
    </rPh>
    <rPh sb="2" eb="4">
      <t>ビョウショウ</t>
    </rPh>
    <phoneticPr fontId="13"/>
  </si>
  <si>
    <t>新設病床36</t>
    <rPh sb="0" eb="2">
      <t>シンセツ</t>
    </rPh>
    <rPh sb="2" eb="4">
      <t>ビョウショウ</t>
    </rPh>
    <phoneticPr fontId="13"/>
  </si>
  <si>
    <t>既設病床37</t>
    <rPh sb="0" eb="2">
      <t>キセツ</t>
    </rPh>
    <rPh sb="2" eb="4">
      <t>ビョウショウ</t>
    </rPh>
    <phoneticPr fontId="13"/>
  </si>
  <si>
    <t>新設病床37</t>
    <rPh sb="0" eb="2">
      <t>シンセツ</t>
    </rPh>
    <rPh sb="2" eb="4">
      <t>ビョウショウ</t>
    </rPh>
    <phoneticPr fontId="13"/>
  </si>
  <si>
    <t>既設病床38</t>
    <rPh sb="0" eb="2">
      <t>キセツ</t>
    </rPh>
    <rPh sb="2" eb="4">
      <t>ビョウショウ</t>
    </rPh>
    <phoneticPr fontId="13"/>
  </si>
  <si>
    <t>新設病床38</t>
    <rPh sb="0" eb="2">
      <t>シンセツ</t>
    </rPh>
    <rPh sb="2" eb="4">
      <t>ビョウショウ</t>
    </rPh>
    <phoneticPr fontId="13"/>
  </si>
  <si>
    <t>既設病床39</t>
    <rPh sb="0" eb="2">
      <t>キセツ</t>
    </rPh>
    <rPh sb="2" eb="4">
      <t>ビョウショウ</t>
    </rPh>
    <phoneticPr fontId="13"/>
  </si>
  <si>
    <t>新設病床39</t>
    <rPh sb="0" eb="2">
      <t>シンセツ</t>
    </rPh>
    <rPh sb="2" eb="4">
      <t>ビョウショウ</t>
    </rPh>
    <phoneticPr fontId="13"/>
  </si>
  <si>
    <t>既設病床40</t>
    <rPh sb="0" eb="2">
      <t>キセツ</t>
    </rPh>
    <rPh sb="2" eb="4">
      <t>ビョウショウ</t>
    </rPh>
    <phoneticPr fontId="13"/>
  </si>
  <si>
    <t>新設病床40</t>
    <rPh sb="0" eb="2">
      <t>シンセツ</t>
    </rPh>
    <rPh sb="2" eb="4">
      <t>ビョウショウ</t>
    </rPh>
    <phoneticPr fontId="13"/>
  </si>
  <si>
    <t>既設病床41</t>
    <rPh sb="0" eb="2">
      <t>キセツ</t>
    </rPh>
    <rPh sb="2" eb="4">
      <t>ビョウショウ</t>
    </rPh>
    <phoneticPr fontId="13"/>
  </si>
  <si>
    <t>新設病床41</t>
    <rPh sb="0" eb="2">
      <t>シンセツ</t>
    </rPh>
    <rPh sb="2" eb="4">
      <t>ビョウショウ</t>
    </rPh>
    <phoneticPr fontId="13"/>
  </si>
  <si>
    <t>既設病床42</t>
    <rPh sb="0" eb="2">
      <t>キセツ</t>
    </rPh>
    <rPh sb="2" eb="4">
      <t>ビョウショウ</t>
    </rPh>
    <phoneticPr fontId="13"/>
  </si>
  <si>
    <t>新設病床42</t>
    <rPh sb="0" eb="2">
      <t>シンセツ</t>
    </rPh>
    <rPh sb="2" eb="4">
      <t>ビョウショウ</t>
    </rPh>
    <phoneticPr fontId="13"/>
  </si>
  <si>
    <t>既設病床43</t>
    <rPh sb="0" eb="2">
      <t>キセツ</t>
    </rPh>
    <rPh sb="2" eb="4">
      <t>ビョウショウ</t>
    </rPh>
    <phoneticPr fontId="13"/>
  </si>
  <si>
    <t>新設病床43</t>
    <rPh sb="0" eb="2">
      <t>シンセツ</t>
    </rPh>
    <rPh sb="2" eb="4">
      <t>ビョウショウ</t>
    </rPh>
    <phoneticPr fontId="13"/>
  </si>
  <si>
    <t>既設病床44</t>
    <rPh sb="0" eb="2">
      <t>キセツ</t>
    </rPh>
    <rPh sb="2" eb="4">
      <t>ビョウショウ</t>
    </rPh>
    <phoneticPr fontId="13"/>
  </si>
  <si>
    <t>新設病床44</t>
    <rPh sb="0" eb="2">
      <t>シンセツ</t>
    </rPh>
    <rPh sb="2" eb="4">
      <t>ビョウショウ</t>
    </rPh>
    <phoneticPr fontId="13"/>
  </si>
  <si>
    <t>既設病床45</t>
    <rPh sb="0" eb="2">
      <t>キセツ</t>
    </rPh>
    <rPh sb="2" eb="4">
      <t>ビョウショウ</t>
    </rPh>
    <phoneticPr fontId="13"/>
  </si>
  <si>
    <t>新設病床45</t>
    <rPh sb="0" eb="2">
      <t>シンセツ</t>
    </rPh>
    <rPh sb="2" eb="4">
      <t>ビョウショウ</t>
    </rPh>
    <phoneticPr fontId="13"/>
  </si>
  <si>
    <t>既設病床46</t>
    <rPh sb="0" eb="2">
      <t>キセツ</t>
    </rPh>
    <rPh sb="2" eb="4">
      <t>ビョウショウ</t>
    </rPh>
    <phoneticPr fontId="13"/>
  </si>
  <si>
    <t>新設病床46</t>
    <rPh sb="0" eb="2">
      <t>シンセツ</t>
    </rPh>
    <rPh sb="2" eb="4">
      <t>ビョウショウ</t>
    </rPh>
    <phoneticPr fontId="13"/>
  </si>
  <si>
    <t>既設病床47</t>
    <rPh sb="0" eb="2">
      <t>キセツ</t>
    </rPh>
    <rPh sb="2" eb="4">
      <t>ビョウショウ</t>
    </rPh>
    <phoneticPr fontId="13"/>
  </si>
  <si>
    <t>新設病床47</t>
    <rPh sb="0" eb="2">
      <t>シンセツ</t>
    </rPh>
    <rPh sb="2" eb="4">
      <t>ビョウショウ</t>
    </rPh>
    <phoneticPr fontId="13"/>
  </si>
  <si>
    <t>既設病床48</t>
    <rPh sb="0" eb="2">
      <t>キセツ</t>
    </rPh>
    <rPh sb="2" eb="4">
      <t>ビョウショウ</t>
    </rPh>
    <phoneticPr fontId="13"/>
  </si>
  <si>
    <t>新設病床48</t>
    <rPh sb="0" eb="2">
      <t>シンセツ</t>
    </rPh>
    <rPh sb="2" eb="4">
      <t>ビョウショウ</t>
    </rPh>
    <phoneticPr fontId="13"/>
  </si>
  <si>
    <t>既設病床49</t>
    <rPh sb="0" eb="2">
      <t>キセツ</t>
    </rPh>
    <rPh sb="2" eb="4">
      <t>ビョウショウ</t>
    </rPh>
    <phoneticPr fontId="13"/>
  </si>
  <si>
    <t>新設病床49</t>
    <rPh sb="0" eb="2">
      <t>シンセツ</t>
    </rPh>
    <rPh sb="2" eb="4">
      <t>ビョウショウ</t>
    </rPh>
    <phoneticPr fontId="13"/>
  </si>
  <si>
    <t>既設病床50</t>
    <rPh sb="0" eb="2">
      <t>キセツ</t>
    </rPh>
    <rPh sb="2" eb="4">
      <t>ビョウショウ</t>
    </rPh>
    <phoneticPr fontId="13"/>
  </si>
  <si>
    <t>新設病床50</t>
    <rPh sb="0" eb="2">
      <t>シンセツ</t>
    </rPh>
    <rPh sb="2" eb="4">
      <t>ビョウショウ</t>
    </rPh>
    <phoneticPr fontId="13"/>
  </si>
  <si>
    <t>既設病床51</t>
    <rPh sb="0" eb="2">
      <t>キセツ</t>
    </rPh>
    <rPh sb="2" eb="4">
      <t>ビョウショウ</t>
    </rPh>
    <phoneticPr fontId="13"/>
  </si>
  <si>
    <t>新設病床51</t>
    <rPh sb="0" eb="2">
      <t>シンセツ</t>
    </rPh>
    <rPh sb="2" eb="4">
      <t>ビョウショウ</t>
    </rPh>
    <phoneticPr fontId="13"/>
  </si>
  <si>
    <t>既設病床52</t>
    <rPh sb="0" eb="2">
      <t>キセツ</t>
    </rPh>
    <rPh sb="2" eb="4">
      <t>ビョウショウ</t>
    </rPh>
    <phoneticPr fontId="13"/>
  </si>
  <si>
    <t>新設病床52</t>
    <rPh sb="0" eb="2">
      <t>シンセツ</t>
    </rPh>
    <rPh sb="2" eb="4">
      <t>ビョウショウ</t>
    </rPh>
    <phoneticPr fontId="13"/>
  </si>
  <si>
    <t>既設病床53</t>
    <rPh sb="0" eb="2">
      <t>キセツ</t>
    </rPh>
    <rPh sb="2" eb="4">
      <t>ビョウショウ</t>
    </rPh>
    <phoneticPr fontId="13"/>
  </si>
  <si>
    <t>新設病床53</t>
    <rPh sb="0" eb="2">
      <t>シンセツ</t>
    </rPh>
    <rPh sb="2" eb="4">
      <t>ビョウショウ</t>
    </rPh>
    <phoneticPr fontId="13"/>
  </si>
  <si>
    <t>既設病床54</t>
    <rPh sb="0" eb="2">
      <t>キセツ</t>
    </rPh>
    <rPh sb="2" eb="4">
      <t>ビョウショウ</t>
    </rPh>
    <phoneticPr fontId="13"/>
  </si>
  <si>
    <t>新設病床54</t>
    <rPh sb="0" eb="2">
      <t>シンセツ</t>
    </rPh>
    <rPh sb="2" eb="4">
      <t>ビョウショウ</t>
    </rPh>
    <phoneticPr fontId="13"/>
  </si>
  <si>
    <t>既設病床55</t>
    <rPh sb="0" eb="2">
      <t>キセツ</t>
    </rPh>
    <rPh sb="2" eb="4">
      <t>ビョウショウ</t>
    </rPh>
    <phoneticPr fontId="13"/>
  </si>
  <si>
    <t>新設病床55</t>
    <rPh sb="0" eb="2">
      <t>シンセツ</t>
    </rPh>
    <rPh sb="2" eb="4">
      <t>ビョウショウ</t>
    </rPh>
    <phoneticPr fontId="13"/>
  </si>
  <si>
    <t>既設病床56</t>
    <rPh sb="0" eb="2">
      <t>キセツ</t>
    </rPh>
    <rPh sb="2" eb="4">
      <t>ビョウショウ</t>
    </rPh>
    <phoneticPr fontId="13"/>
  </si>
  <si>
    <t>新設病床56</t>
    <rPh sb="0" eb="2">
      <t>シンセツ</t>
    </rPh>
    <rPh sb="2" eb="4">
      <t>ビョウショウ</t>
    </rPh>
    <phoneticPr fontId="13"/>
  </si>
  <si>
    <t>既設病床57</t>
    <rPh sb="0" eb="2">
      <t>キセツ</t>
    </rPh>
    <rPh sb="2" eb="4">
      <t>ビョウショウ</t>
    </rPh>
    <phoneticPr fontId="13"/>
  </si>
  <si>
    <t>新設病床57</t>
    <rPh sb="0" eb="2">
      <t>シンセツ</t>
    </rPh>
    <rPh sb="2" eb="4">
      <t>ビョウショウ</t>
    </rPh>
    <phoneticPr fontId="13"/>
  </si>
  <si>
    <t>既設病床58</t>
    <rPh sb="0" eb="2">
      <t>キセツ</t>
    </rPh>
    <rPh sb="2" eb="4">
      <t>ビョウショウ</t>
    </rPh>
    <phoneticPr fontId="13"/>
  </si>
  <si>
    <t>新設病床58</t>
    <rPh sb="0" eb="2">
      <t>シンセツ</t>
    </rPh>
    <rPh sb="2" eb="4">
      <t>ビョウショウ</t>
    </rPh>
    <phoneticPr fontId="13"/>
  </si>
  <si>
    <t>既設病床59</t>
    <rPh sb="0" eb="2">
      <t>キセツ</t>
    </rPh>
    <rPh sb="2" eb="4">
      <t>ビョウショウ</t>
    </rPh>
    <phoneticPr fontId="13"/>
  </si>
  <si>
    <t>新設病床59</t>
    <rPh sb="0" eb="2">
      <t>シンセツ</t>
    </rPh>
    <rPh sb="2" eb="4">
      <t>ビョウショウ</t>
    </rPh>
    <phoneticPr fontId="13"/>
  </si>
  <si>
    <t>既設病床60</t>
    <rPh sb="0" eb="2">
      <t>キセツ</t>
    </rPh>
    <rPh sb="2" eb="4">
      <t>ビョウショウ</t>
    </rPh>
    <phoneticPr fontId="13"/>
  </si>
  <si>
    <t>新設病床60</t>
    <rPh sb="0" eb="2">
      <t>シンセツ</t>
    </rPh>
    <rPh sb="2" eb="4">
      <t>ビョウショウ</t>
    </rPh>
    <phoneticPr fontId="13"/>
  </si>
  <si>
    <t>既設病床61</t>
    <rPh sb="0" eb="2">
      <t>キセツ</t>
    </rPh>
    <rPh sb="2" eb="4">
      <t>ビョウショウ</t>
    </rPh>
    <phoneticPr fontId="13"/>
  </si>
  <si>
    <t>新設病床61</t>
    <rPh sb="0" eb="2">
      <t>シンセツ</t>
    </rPh>
    <rPh sb="2" eb="4">
      <t>ビョウショウ</t>
    </rPh>
    <phoneticPr fontId="13"/>
  </si>
  <si>
    <t>既設病床62</t>
    <rPh sb="0" eb="2">
      <t>キセツ</t>
    </rPh>
    <rPh sb="2" eb="4">
      <t>ビョウショウ</t>
    </rPh>
    <phoneticPr fontId="13"/>
  </si>
  <si>
    <t>新設病床62</t>
    <rPh sb="0" eb="2">
      <t>シンセツ</t>
    </rPh>
    <rPh sb="2" eb="4">
      <t>ビョウショウ</t>
    </rPh>
    <phoneticPr fontId="13"/>
  </si>
  <si>
    <t>既設病床63</t>
    <rPh sb="0" eb="2">
      <t>キセツ</t>
    </rPh>
    <rPh sb="2" eb="4">
      <t>ビョウショウ</t>
    </rPh>
    <phoneticPr fontId="13"/>
  </si>
  <si>
    <t>新設病床63</t>
    <rPh sb="0" eb="2">
      <t>シンセツ</t>
    </rPh>
    <rPh sb="2" eb="4">
      <t>ビョウショウ</t>
    </rPh>
    <phoneticPr fontId="13"/>
  </si>
  <si>
    <t>既設病床64</t>
    <rPh sb="0" eb="2">
      <t>キセツ</t>
    </rPh>
    <rPh sb="2" eb="4">
      <t>ビョウショウ</t>
    </rPh>
    <phoneticPr fontId="13"/>
  </si>
  <si>
    <t>新設病床64</t>
    <rPh sb="0" eb="2">
      <t>シンセツ</t>
    </rPh>
    <rPh sb="2" eb="4">
      <t>ビョウショウ</t>
    </rPh>
    <phoneticPr fontId="13"/>
  </si>
  <si>
    <t>既設病床65</t>
    <rPh sb="0" eb="2">
      <t>キセツ</t>
    </rPh>
    <rPh sb="2" eb="4">
      <t>ビョウショウ</t>
    </rPh>
    <phoneticPr fontId="13"/>
  </si>
  <si>
    <t>新設病床65</t>
    <rPh sb="0" eb="2">
      <t>シンセツ</t>
    </rPh>
    <rPh sb="2" eb="4">
      <t>ビョウショウ</t>
    </rPh>
    <phoneticPr fontId="13"/>
  </si>
  <si>
    <t>既設病床66</t>
    <rPh sb="0" eb="2">
      <t>キセツ</t>
    </rPh>
    <rPh sb="2" eb="4">
      <t>ビョウショウ</t>
    </rPh>
    <phoneticPr fontId="13"/>
  </si>
  <si>
    <t>新設病床66</t>
    <rPh sb="0" eb="2">
      <t>シンセツ</t>
    </rPh>
    <rPh sb="2" eb="4">
      <t>ビョウショウ</t>
    </rPh>
    <phoneticPr fontId="13"/>
  </si>
  <si>
    <t>既設病床67</t>
    <rPh sb="0" eb="2">
      <t>キセツ</t>
    </rPh>
    <rPh sb="2" eb="4">
      <t>ビョウショウ</t>
    </rPh>
    <phoneticPr fontId="13"/>
  </si>
  <si>
    <t>新設病床67</t>
    <rPh sb="0" eb="2">
      <t>シンセツ</t>
    </rPh>
    <rPh sb="2" eb="4">
      <t>ビョウショウ</t>
    </rPh>
    <phoneticPr fontId="13"/>
  </si>
  <si>
    <t>既設病床68</t>
    <rPh sb="0" eb="2">
      <t>キセツ</t>
    </rPh>
    <rPh sb="2" eb="4">
      <t>ビョウショウ</t>
    </rPh>
    <phoneticPr fontId="13"/>
  </si>
  <si>
    <t>新設病床68</t>
    <rPh sb="0" eb="2">
      <t>シンセツ</t>
    </rPh>
    <rPh sb="2" eb="4">
      <t>ビョウショウ</t>
    </rPh>
    <phoneticPr fontId="13"/>
  </si>
  <si>
    <t>既設病床69</t>
    <rPh sb="0" eb="2">
      <t>キセツ</t>
    </rPh>
    <rPh sb="2" eb="4">
      <t>ビョウショウ</t>
    </rPh>
    <phoneticPr fontId="13"/>
  </si>
  <si>
    <t>新設病床69</t>
    <rPh sb="0" eb="2">
      <t>シンセツ</t>
    </rPh>
    <rPh sb="2" eb="4">
      <t>ビョウショウ</t>
    </rPh>
    <phoneticPr fontId="13"/>
  </si>
  <si>
    <t>既設病床70</t>
    <rPh sb="0" eb="2">
      <t>キセツ</t>
    </rPh>
    <rPh sb="2" eb="4">
      <t>ビョウショウ</t>
    </rPh>
    <phoneticPr fontId="13"/>
  </si>
  <si>
    <t>新設病床70</t>
    <rPh sb="0" eb="2">
      <t>シンセツ</t>
    </rPh>
    <rPh sb="2" eb="4">
      <t>ビョウショウ</t>
    </rPh>
    <phoneticPr fontId="13"/>
  </si>
  <si>
    <t>既設病床71</t>
    <rPh sb="0" eb="2">
      <t>キセツ</t>
    </rPh>
    <rPh sb="2" eb="4">
      <t>ビョウショウ</t>
    </rPh>
    <phoneticPr fontId="13"/>
  </si>
  <si>
    <t>新設病床71</t>
    <rPh sb="0" eb="2">
      <t>シンセツ</t>
    </rPh>
    <rPh sb="2" eb="4">
      <t>ビョウショウ</t>
    </rPh>
    <phoneticPr fontId="13"/>
  </si>
  <si>
    <t>既設病床72</t>
    <rPh sb="0" eb="2">
      <t>キセツ</t>
    </rPh>
    <rPh sb="2" eb="4">
      <t>ビョウショウ</t>
    </rPh>
    <phoneticPr fontId="13"/>
  </si>
  <si>
    <t>新設病床72</t>
    <rPh sb="0" eb="2">
      <t>シンセツ</t>
    </rPh>
    <rPh sb="2" eb="4">
      <t>ビョウショウ</t>
    </rPh>
    <phoneticPr fontId="13"/>
  </si>
  <si>
    <t>既設病床73</t>
    <rPh sb="0" eb="2">
      <t>キセツ</t>
    </rPh>
    <rPh sb="2" eb="4">
      <t>ビョウショウ</t>
    </rPh>
    <phoneticPr fontId="13"/>
  </si>
  <si>
    <t>新設病床73</t>
    <rPh sb="0" eb="2">
      <t>シンセツ</t>
    </rPh>
    <rPh sb="2" eb="4">
      <t>ビョウショウ</t>
    </rPh>
    <phoneticPr fontId="13"/>
  </si>
  <si>
    <t>既設病床74</t>
    <rPh sb="0" eb="2">
      <t>キセツ</t>
    </rPh>
    <rPh sb="2" eb="4">
      <t>ビョウショウ</t>
    </rPh>
    <phoneticPr fontId="13"/>
  </si>
  <si>
    <t>新設病床74</t>
    <rPh sb="0" eb="2">
      <t>シンセツ</t>
    </rPh>
    <rPh sb="2" eb="4">
      <t>ビョウショウ</t>
    </rPh>
    <phoneticPr fontId="13"/>
  </si>
  <si>
    <t>既設病床75</t>
    <rPh sb="0" eb="2">
      <t>キセツ</t>
    </rPh>
    <rPh sb="2" eb="4">
      <t>ビョウショウ</t>
    </rPh>
    <phoneticPr fontId="13"/>
  </si>
  <si>
    <t>新設病床75</t>
    <rPh sb="0" eb="2">
      <t>シンセツ</t>
    </rPh>
    <rPh sb="2" eb="4">
      <t>ビョウショウ</t>
    </rPh>
    <phoneticPr fontId="13"/>
  </si>
  <si>
    <t>既設病床76</t>
    <rPh sb="0" eb="2">
      <t>キセツ</t>
    </rPh>
    <rPh sb="2" eb="4">
      <t>ビョウショウ</t>
    </rPh>
    <phoneticPr fontId="13"/>
  </si>
  <si>
    <t>新設病床76</t>
    <rPh sb="0" eb="2">
      <t>シンセツ</t>
    </rPh>
    <rPh sb="2" eb="4">
      <t>ビョウショウ</t>
    </rPh>
    <phoneticPr fontId="13"/>
  </si>
  <si>
    <t>既設病床77</t>
    <rPh sb="0" eb="2">
      <t>キセツ</t>
    </rPh>
    <rPh sb="2" eb="4">
      <t>ビョウショウ</t>
    </rPh>
    <phoneticPr fontId="13"/>
  </si>
  <si>
    <t>新設病床77</t>
    <rPh sb="0" eb="2">
      <t>シンセツ</t>
    </rPh>
    <rPh sb="2" eb="4">
      <t>ビョウショウ</t>
    </rPh>
    <phoneticPr fontId="13"/>
  </si>
  <si>
    <t>既設病床78</t>
    <rPh sb="0" eb="2">
      <t>キセツ</t>
    </rPh>
    <rPh sb="2" eb="4">
      <t>ビョウショウ</t>
    </rPh>
    <phoneticPr fontId="13"/>
  </si>
  <si>
    <t>新設病床78</t>
    <rPh sb="0" eb="2">
      <t>シンセツ</t>
    </rPh>
    <rPh sb="2" eb="4">
      <t>ビョウショウ</t>
    </rPh>
    <phoneticPr fontId="13"/>
  </si>
  <si>
    <t>既設病床79</t>
    <rPh sb="0" eb="2">
      <t>キセツ</t>
    </rPh>
    <rPh sb="2" eb="4">
      <t>ビョウショウ</t>
    </rPh>
    <phoneticPr fontId="13"/>
  </si>
  <si>
    <t>新設病床79</t>
    <rPh sb="0" eb="2">
      <t>シンセツ</t>
    </rPh>
    <rPh sb="2" eb="4">
      <t>ビョウショウ</t>
    </rPh>
    <phoneticPr fontId="13"/>
  </si>
  <si>
    <t>既設病床80</t>
    <rPh sb="0" eb="2">
      <t>キセツ</t>
    </rPh>
    <rPh sb="2" eb="4">
      <t>ビョウショウ</t>
    </rPh>
    <phoneticPr fontId="13"/>
  </si>
  <si>
    <t>新設病床80</t>
    <rPh sb="0" eb="2">
      <t>シンセツ</t>
    </rPh>
    <rPh sb="2" eb="4">
      <t>ビョウショウ</t>
    </rPh>
    <phoneticPr fontId="13"/>
  </si>
  <si>
    <t>既設病床81</t>
    <rPh sb="0" eb="2">
      <t>キセツ</t>
    </rPh>
    <rPh sb="2" eb="4">
      <t>ビョウショウ</t>
    </rPh>
    <phoneticPr fontId="13"/>
  </si>
  <si>
    <t>新設病床81</t>
    <rPh sb="0" eb="2">
      <t>シンセツ</t>
    </rPh>
    <rPh sb="2" eb="4">
      <t>ビョウショウ</t>
    </rPh>
    <phoneticPr fontId="13"/>
  </si>
  <si>
    <t>既設病床82</t>
    <rPh sb="0" eb="2">
      <t>キセツ</t>
    </rPh>
    <rPh sb="2" eb="4">
      <t>ビョウショウ</t>
    </rPh>
    <phoneticPr fontId="13"/>
  </si>
  <si>
    <t>新設病床82</t>
    <rPh sb="0" eb="2">
      <t>シンセツ</t>
    </rPh>
    <rPh sb="2" eb="4">
      <t>ビョウショウ</t>
    </rPh>
    <phoneticPr fontId="13"/>
  </si>
  <si>
    <t>既設病床83</t>
    <rPh sb="0" eb="2">
      <t>キセツ</t>
    </rPh>
    <rPh sb="2" eb="4">
      <t>ビョウショウ</t>
    </rPh>
    <phoneticPr fontId="13"/>
  </si>
  <si>
    <t>新設病床83</t>
    <rPh sb="0" eb="2">
      <t>シンセツ</t>
    </rPh>
    <rPh sb="2" eb="4">
      <t>ビョウショウ</t>
    </rPh>
    <phoneticPr fontId="13"/>
  </si>
  <si>
    <t>既設病床84</t>
    <rPh sb="0" eb="2">
      <t>キセツ</t>
    </rPh>
    <rPh sb="2" eb="4">
      <t>ビョウショウ</t>
    </rPh>
    <phoneticPr fontId="13"/>
  </si>
  <si>
    <t>新設病床84</t>
    <rPh sb="0" eb="2">
      <t>シンセツ</t>
    </rPh>
    <rPh sb="2" eb="4">
      <t>ビョウショウ</t>
    </rPh>
    <phoneticPr fontId="13"/>
  </si>
  <si>
    <t>既設病床85</t>
    <rPh sb="0" eb="2">
      <t>キセツ</t>
    </rPh>
    <rPh sb="2" eb="4">
      <t>ビョウショウ</t>
    </rPh>
    <phoneticPr fontId="13"/>
  </si>
  <si>
    <t>新設病床85</t>
    <rPh sb="0" eb="2">
      <t>シンセツ</t>
    </rPh>
    <rPh sb="2" eb="4">
      <t>ビョウショウ</t>
    </rPh>
    <phoneticPr fontId="13"/>
  </si>
  <si>
    <t>既設病床86</t>
    <rPh sb="0" eb="2">
      <t>キセツ</t>
    </rPh>
    <rPh sb="2" eb="4">
      <t>ビョウショウ</t>
    </rPh>
    <phoneticPr fontId="13"/>
  </si>
  <si>
    <t>新設病床86</t>
    <rPh sb="0" eb="2">
      <t>シンセツ</t>
    </rPh>
    <rPh sb="2" eb="4">
      <t>ビョウショウ</t>
    </rPh>
    <phoneticPr fontId="13"/>
  </si>
  <si>
    <t>既設病床87</t>
    <rPh sb="0" eb="2">
      <t>キセツ</t>
    </rPh>
    <rPh sb="2" eb="4">
      <t>ビョウショウ</t>
    </rPh>
    <phoneticPr fontId="13"/>
  </si>
  <si>
    <t>新設病床87</t>
    <rPh sb="0" eb="2">
      <t>シンセツ</t>
    </rPh>
    <rPh sb="2" eb="4">
      <t>ビョウショウ</t>
    </rPh>
    <phoneticPr fontId="13"/>
  </si>
  <si>
    <t>既設病床88</t>
    <rPh sb="0" eb="2">
      <t>キセツ</t>
    </rPh>
    <rPh sb="2" eb="4">
      <t>ビョウショウ</t>
    </rPh>
    <phoneticPr fontId="13"/>
  </si>
  <si>
    <t>新設病床88</t>
    <rPh sb="0" eb="2">
      <t>シンセツ</t>
    </rPh>
    <rPh sb="2" eb="4">
      <t>ビョウショウ</t>
    </rPh>
    <phoneticPr fontId="13"/>
  </si>
  <si>
    <t>既設病床89</t>
    <rPh sb="0" eb="2">
      <t>キセツ</t>
    </rPh>
    <rPh sb="2" eb="4">
      <t>ビョウショウ</t>
    </rPh>
    <phoneticPr fontId="13"/>
  </si>
  <si>
    <t>新設病床89</t>
    <rPh sb="0" eb="2">
      <t>シンセツ</t>
    </rPh>
    <rPh sb="2" eb="4">
      <t>ビョウショウ</t>
    </rPh>
    <phoneticPr fontId="13"/>
  </si>
  <si>
    <t>既設病床90</t>
    <rPh sb="0" eb="2">
      <t>キセツ</t>
    </rPh>
    <rPh sb="2" eb="4">
      <t>ビョウショウ</t>
    </rPh>
    <phoneticPr fontId="13"/>
  </si>
  <si>
    <t>新設病床90</t>
    <rPh sb="0" eb="2">
      <t>シンセツ</t>
    </rPh>
    <rPh sb="2" eb="4">
      <t>ビョウショウ</t>
    </rPh>
    <phoneticPr fontId="13"/>
  </si>
  <si>
    <t>既設病床91</t>
    <rPh sb="0" eb="2">
      <t>キセツ</t>
    </rPh>
    <rPh sb="2" eb="4">
      <t>ビョウショウ</t>
    </rPh>
    <phoneticPr fontId="13"/>
  </si>
  <si>
    <t>新設病床91</t>
    <rPh sb="0" eb="2">
      <t>シンセツ</t>
    </rPh>
    <rPh sb="2" eb="4">
      <t>ビョウショウ</t>
    </rPh>
    <phoneticPr fontId="13"/>
  </si>
  <si>
    <t>既設病床92</t>
    <rPh sb="0" eb="2">
      <t>キセツ</t>
    </rPh>
    <rPh sb="2" eb="4">
      <t>ビョウショウ</t>
    </rPh>
    <phoneticPr fontId="13"/>
  </si>
  <si>
    <t>新設病床92</t>
    <rPh sb="0" eb="2">
      <t>シンセツ</t>
    </rPh>
    <rPh sb="2" eb="4">
      <t>ビョウショウ</t>
    </rPh>
    <phoneticPr fontId="13"/>
  </si>
  <si>
    <t>既設病床93</t>
    <rPh sb="0" eb="2">
      <t>キセツ</t>
    </rPh>
    <rPh sb="2" eb="4">
      <t>ビョウショウ</t>
    </rPh>
    <phoneticPr fontId="13"/>
  </si>
  <si>
    <t>新設病床93</t>
    <rPh sb="0" eb="2">
      <t>シンセツ</t>
    </rPh>
    <rPh sb="2" eb="4">
      <t>ビョウショウ</t>
    </rPh>
    <phoneticPr fontId="13"/>
  </si>
  <si>
    <t>既設病床94</t>
    <rPh sb="0" eb="2">
      <t>キセツ</t>
    </rPh>
    <rPh sb="2" eb="4">
      <t>ビョウショウ</t>
    </rPh>
    <phoneticPr fontId="13"/>
  </si>
  <si>
    <t>新設病床94</t>
    <rPh sb="0" eb="2">
      <t>シンセツ</t>
    </rPh>
    <rPh sb="2" eb="4">
      <t>ビョウショウ</t>
    </rPh>
    <phoneticPr fontId="13"/>
  </si>
  <si>
    <t>既設病床95</t>
    <rPh sb="0" eb="2">
      <t>キセツ</t>
    </rPh>
    <rPh sb="2" eb="4">
      <t>ビョウショウ</t>
    </rPh>
    <phoneticPr fontId="13"/>
  </si>
  <si>
    <t>新設病床95</t>
    <rPh sb="0" eb="2">
      <t>シンセツ</t>
    </rPh>
    <rPh sb="2" eb="4">
      <t>ビョウショウ</t>
    </rPh>
    <phoneticPr fontId="13"/>
  </si>
  <si>
    <t>既設病床96</t>
    <rPh sb="0" eb="2">
      <t>キセツ</t>
    </rPh>
    <rPh sb="2" eb="4">
      <t>ビョウショウ</t>
    </rPh>
    <phoneticPr fontId="13"/>
  </si>
  <si>
    <t>新設病床96</t>
    <rPh sb="0" eb="2">
      <t>シンセツ</t>
    </rPh>
    <rPh sb="2" eb="4">
      <t>ビョウショウ</t>
    </rPh>
    <phoneticPr fontId="13"/>
  </si>
  <si>
    <t>既設病床97</t>
    <rPh sb="0" eb="2">
      <t>キセツ</t>
    </rPh>
    <rPh sb="2" eb="4">
      <t>ビョウショウ</t>
    </rPh>
    <phoneticPr fontId="13"/>
  </si>
  <si>
    <t>新設病床97</t>
    <rPh sb="0" eb="2">
      <t>シンセツ</t>
    </rPh>
    <rPh sb="2" eb="4">
      <t>ビョウショウ</t>
    </rPh>
    <phoneticPr fontId="13"/>
  </si>
  <si>
    <t>既設病床98</t>
    <rPh sb="0" eb="2">
      <t>キセツ</t>
    </rPh>
    <rPh sb="2" eb="4">
      <t>ビョウショウ</t>
    </rPh>
    <phoneticPr fontId="13"/>
  </si>
  <si>
    <t>新設病床98</t>
    <rPh sb="0" eb="2">
      <t>シンセツ</t>
    </rPh>
    <rPh sb="2" eb="4">
      <t>ビョウショウ</t>
    </rPh>
    <phoneticPr fontId="13"/>
  </si>
  <si>
    <t>既設病床99</t>
    <rPh sb="0" eb="2">
      <t>キセツ</t>
    </rPh>
    <rPh sb="2" eb="4">
      <t>ビョウショウ</t>
    </rPh>
    <phoneticPr fontId="13"/>
  </si>
  <si>
    <t>新設病床99</t>
    <rPh sb="0" eb="2">
      <t>シンセツ</t>
    </rPh>
    <rPh sb="2" eb="4">
      <t>ビョウショウ</t>
    </rPh>
    <phoneticPr fontId="13"/>
  </si>
  <si>
    <t>既設病床100</t>
    <rPh sb="0" eb="2">
      <t>キセツ</t>
    </rPh>
    <rPh sb="2" eb="4">
      <t>ビョウショウ</t>
    </rPh>
    <phoneticPr fontId="13"/>
  </si>
  <si>
    <t>新設病床100</t>
    <rPh sb="0" eb="2">
      <t>シンセツ</t>
    </rPh>
    <rPh sb="2" eb="4">
      <t>ビョウショウ</t>
    </rPh>
    <phoneticPr fontId="13"/>
  </si>
  <si>
    <t>既設病床101</t>
    <rPh sb="0" eb="2">
      <t>キセツ</t>
    </rPh>
    <rPh sb="2" eb="4">
      <t>ビョウショウ</t>
    </rPh>
    <phoneticPr fontId="13"/>
  </si>
  <si>
    <t>新設病床101</t>
    <rPh sb="0" eb="2">
      <t>シンセツ</t>
    </rPh>
    <rPh sb="2" eb="4">
      <t>ビョウショウ</t>
    </rPh>
    <phoneticPr fontId="13"/>
  </si>
  <si>
    <t>既設病床102</t>
    <rPh sb="0" eb="2">
      <t>キセツ</t>
    </rPh>
    <rPh sb="2" eb="4">
      <t>ビョウショウ</t>
    </rPh>
    <phoneticPr fontId="13"/>
  </si>
  <si>
    <t>新設病床102</t>
    <rPh sb="0" eb="2">
      <t>シンセツ</t>
    </rPh>
    <rPh sb="2" eb="4">
      <t>ビョウショウ</t>
    </rPh>
    <phoneticPr fontId="13"/>
  </si>
  <si>
    <t>既設病床103</t>
    <rPh sb="0" eb="2">
      <t>キセツ</t>
    </rPh>
    <rPh sb="2" eb="4">
      <t>ビョウショウ</t>
    </rPh>
    <phoneticPr fontId="13"/>
  </si>
  <si>
    <t>新設病床103</t>
    <rPh sb="0" eb="2">
      <t>シンセツ</t>
    </rPh>
    <rPh sb="2" eb="4">
      <t>ビョウショウ</t>
    </rPh>
    <phoneticPr fontId="13"/>
  </si>
  <si>
    <t>既設病床104</t>
    <rPh sb="0" eb="2">
      <t>キセツ</t>
    </rPh>
    <rPh sb="2" eb="4">
      <t>ビョウショウ</t>
    </rPh>
    <phoneticPr fontId="13"/>
  </si>
  <si>
    <t>新設病床104</t>
    <rPh sb="0" eb="2">
      <t>シンセツ</t>
    </rPh>
    <rPh sb="2" eb="4">
      <t>ビョウショウ</t>
    </rPh>
    <phoneticPr fontId="13"/>
  </si>
  <si>
    <t>既設病床105</t>
    <rPh sb="0" eb="2">
      <t>キセツ</t>
    </rPh>
    <rPh sb="2" eb="4">
      <t>ビョウショウ</t>
    </rPh>
    <phoneticPr fontId="13"/>
  </si>
  <si>
    <t>新設病床105</t>
    <rPh sb="0" eb="2">
      <t>シンセツ</t>
    </rPh>
    <rPh sb="2" eb="4">
      <t>ビョウショウ</t>
    </rPh>
    <phoneticPr fontId="13"/>
  </si>
  <si>
    <t>既設病床106</t>
    <rPh sb="0" eb="2">
      <t>キセツ</t>
    </rPh>
    <rPh sb="2" eb="4">
      <t>ビョウショウ</t>
    </rPh>
    <phoneticPr fontId="13"/>
  </si>
  <si>
    <t>新設病床106</t>
    <rPh sb="0" eb="2">
      <t>シンセツ</t>
    </rPh>
    <rPh sb="2" eb="4">
      <t>ビョウショウ</t>
    </rPh>
    <phoneticPr fontId="13"/>
  </si>
  <si>
    <t>既設病床107</t>
    <rPh sb="0" eb="2">
      <t>キセツ</t>
    </rPh>
    <rPh sb="2" eb="4">
      <t>ビョウショウ</t>
    </rPh>
    <phoneticPr fontId="13"/>
  </si>
  <si>
    <t>新設病床107</t>
    <rPh sb="0" eb="2">
      <t>シンセツ</t>
    </rPh>
    <rPh sb="2" eb="4">
      <t>ビョウショウ</t>
    </rPh>
    <phoneticPr fontId="13"/>
  </si>
  <si>
    <t>既設病床108</t>
    <rPh sb="0" eb="2">
      <t>キセツ</t>
    </rPh>
    <rPh sb="2" eb="4">
      <t>ビョウショウ</t>
    </rPh>
    <phoneticPr fontId="13"/>
  </si>
  <si>
    <t>新設病床108</t>
    <rPh sb="0" eb="2">
      <t>シンセツ</t>
    </rPh>
    <rPh sb="2" eb="4">
      <t>ビョウショウ</t>
    </rPh>
    <phoneticPr fontId="13"/>
  </si>
  <si>
    <t>既設病床109</t>
    <rPh sb="0" eb="2">
      <t>キセツ</t>
    </rPh>
    <rPh sb="2" eb="4">
      <t>ビョウショウ</t>
    </rPh>
    <phoneticPr fontId="13"/>
  </si>
  <si>
    <t>新設病床109</t>
    <rPh sb="0" eb="2">
      <t>シンセツ</t>
    </rPh>
    <rPh sb="2" eb="4">
      <t>ビョウショウ</t>
    </rPh>
    <phoneticPr fontId="13"/>
  </si>
  <si>
    <t>既設病床110</t>
    <rPh sb="0" eb="2">
      <t>キセツ</t>
    </rPh>
    <rPh sb="2" eb="4">
      <t>ビョウショウ</t>
    </rPh>
    <phoneticPr fontId="13"/>
  </si>
  <si>
    <t>新設病床110</t>
    <rPh sb="0" eb="2">
      <t>シンセツ</t>
    </rPh>
    <rPh sb="2" eb="4">
      <t>ビョウショウ</t>
    </rPh>
    <phoneticPr fontId="13"/>
  </si>
  <si>
    <t>既設病床111</t>
    <rPh sb="0" eb="2">
      <t>キセツ</t>
    </rPh>
    <rPh sb="2" eb="4">
      <t>ビョウショウ</t>
    </rPh>
    <phoneticPr fontId="13"/>
  </si>
  <si>
    <t>新設病床111</t>
    <rPh sb="0" eb="2">
      <t>シンセツ</t>
    </rPh>
    <rPh sb="2" eb="4">
      <t>ビョウショウ</t>
    </rPh>
    <phoneticPr fontId="13"/>
  </si>
  <si>
    <t>既設病床112</t>
    <rPh sb="0" eb="2">
      <t>キセツ</t>
    </rPh>
    <rPh sb="2" eb="4">
      <t>ビョウショウ</t>
    </rPh>
    <phoneticPr fontId="13"/>
  </si>
  <si>
    <t>新設病床112</t>
    <rPh sb="0" eb="2">
      <t>シンセツ</t>
    </rPh>
    <rPh sb="2" eb="4">
      <t>ビョウショウ</t>
    </rPh>
    <phoneticPr fontId="13"/>
  </si>
  <si>
    <t>既設病床113</t>
    <rPh sb="0" eb="2">
      <t>キセツ</t>
    </rPh>
    <rPh sb="2" eb="4">
      <t>ビョウショウ</t>
    </rPh>
    <phoneticPr fontId="13"/>
  </si>
  <si>
    <t>新設病床113</t>
    <rPh sb="0" eb="2">
      <t>シンセツ</t>
    </rPh>
    <rPh sb="2" eb="4">
      <t>ビョウショウ</t>
    </rPh>
    <phoneticPr fontId="13"/>
  </si>
  <si>
    <t>既設病床114</t>
    <rPh sb="0" eb="2">
      <t>キセツ</t>
    </rPh>
    <rPh sb="2" eb="4">
      <t>ビョウショウ</t>
    </rPh>
    <phoneticPr fontId="13"/>
  </si>
  <si>
    <t>新設病床114</t>
    <rPh sb="0" eb="2">
      <t>シンセツ</t>
    </rPh>
    <rPh sb="2" eb="4">
      <t>ビョウショウ</t>
    </rPh>
    <phoneticPr fontId="13"/>
  </si>
  <si>
    <t>既設病床115</t>
    <rPh sb="0" eb="2">
      <t>キセツ</t>
    </rPh>
    <rPh sb="2" eb="4">
      <t>ビョウショウ</t>
    </rPh>
    <phoneticPr fontId="13"/>
  </si>
  <si>
    <t>新設病床115</t>
    <rPh sb="0" eb="2">
      <t>シンセツ</t>
    </rPh>
    <rPh sb="2" eb="4">
      <t>ビョウショウ</t>
    </rPh>
    <phoneticPr fontId="13"/>
  </si>
  <si>
    <t>既設病床116</t>
    <rPh sb="0" eb="2">
      <t>キセツ</t>
    </rPh>
    <rPh sb="2" eb="4">
      <t>ビョウショウ</t>
    </rPh>
    <phoneticPr fontId="13"/>
  </si>
  <si>
    <t>新設病床116</t>
    <rPh sb="0" eb="2">
      <t>シンセツ</t>
    </rPh>
    <rPh sb="2" eb="4">
      <t>ビョウショウ</t>
    </rPh>
    <phoneticPr fontId="13"/>
  </si>
  <si>
    <t>既設病床117</t>
    <rPh sb="0" eb="2">
      <t>キセツ</t>
    </rPh>
    <rPh sb="2" eb="4">
      <t>ビョウショウ</t>
    </rPh>
    <phoneticPr fontId="13"/>
  </si>
  <si>
    <t>新設病床117</t>
    <rPh sb="0" eb="2">
      <t>シンセツ</t>
    </rPh>
    <rPh sb="2" eb="4">
      <t>ビョウショウ</t>
    </rPh>
    <phoneticPr fontId="13"/>
  </si>
  <si>
    <t>既設病床118</t>
    <rPh sb="0" eb="2">
      <t>キセツ</t>
    </rPh>
    <rPh sb="2" eb="4">
      <t>ビョウショウ</t>
    </rPh>
    <phoneticPr fontId="13"/>
  </si>
  <si>
    <t>新設病床118</t>
    <rPh sb="0" eb="2">
      <t>シンセツ</t>
    </rPh>
    <rPh sb="2" eb="4">
      <t>ビョウショウ</t>
    </rPh>
    <phoneticPr fontId="13"/>
  </si>
  <si>
    <t>既設病床119</t>
    <rPh sb="0" eb="2">
      <t>キセツ</t>
    </rPh>
    <rPh sb="2" eb="4">
      <t>ビョウショウ</t>
    </rPh>
    <phoneticPr fontId="13"/>
  </si>
  <si>
    <t>新設病床119</t>
    <rPh sb="0" eb="2">
      <t>シンセツ</t>
    </rPh>
    <rPh sb="2" eb="4">
      <t>ビョウショウ</t>
    </rPh>
    <phoneticPr fontId="13"/>
  </si>
  <si>
    <t>既設病床120</t>
    <rPh sb="0" eb="2">
      <t>キセツ</t>
    </rPh>
    <rPh sb="2" eb="4">
      <t>ビョウショウ</t>
    </rPh>
    <phoneticPr fontId="13"/>
  </si>
  <si>
    <t>新設病床120</t>
    <rPh sb="0" eb="2">
      <t>シンセツ</t>
    </rPh>
    <rPh sb="2" eb="4">
      <t>ビョウショウ</t>
    </rPh>
    <phoneticPr fontId="13"/>
  </si>
  <si>
    <t>既設病床121</t>
    <rPh sb="0" eb="2">
      <t>キセツ</t>
    </rPh>
    <rPh sb="2" eb="4">
      <t>ビョウショウ</t>
    </rPh>
    <phoneticPr fontId="13"/>
  </si>
  <si>
    <t>新設病床121</t>
    <rPh sb="0" eb="2">
      <t>シンセツ</t>
    </rPh>
    <rPh sb="2" eb="4">
      <t>ビョウショウ</t>
    </rPh>
    <phoneticPr fontId="13"/>
  </si>
  <si>
    <t>既設病床122</t>
    <rPh sb="0" eb="2">
      <t>キセツ</t>
    </rPh>
    <rPh sb="2" eb="4">
      <t>ビョウショウ</t>
    </rPh>
    <phoneticPr fontId="13"/>
  </si>
  <si>
    <t>新設病床122</t>
    <rPh sb="0" eb="2">
      <t>シンセツ</t>
    </rPh>
    <rPh sb="2" eb="4">
      <t>ビョウショウ</t>
    </rPh>
    <phoneticPr fontId="13"/>
  </si>
  <si>
    <t>既設病床123</t>
    <rPh sb="0" eb="2">
      <t>キセツ</t>
    </rPh>
    <rPh sb="2" eb="4">
      <t>ビョウショウ</t>
    </rPh>
    <phoneticPr fontId="13"/>
  </si>
  <si>
    <t>新設病床123</t>
    <rPh sb="0" eb="2">
      <t>シンセツ</t>
    </rPh>
    <rPh sb="2" eb="4">
      <t>ビョウショウ</t>
    </rPh>
    <phoneticPr fontId="13"/>
  </si>
  <si>
    <t>既設病床124</t>
    <rPh sb="0" eb="2">
      <t>キセツ</t>
    </rPh>
    <rPh sb="2" eb="4">
      <t>ビョウショウ</t>
    </rPh>
    <phoneticPr fontId="13"/>
  </si>
  <si>
    <t>新設病床124</t>
    <rPh sb="0" eb="2">
      <t>シンセツ</t>
    </rPh>
    <rPh sb="2" eb="4">
      <t>ビョウショウ</t>
    </rPh>
    <phoneticPr fontId="13"/>
  </si>
  <si>
    <t>既設病床125</t>
    <rPh sb="0" eb="2">
      <t>キセツ</t>
    </rPh>
    <rPh sb="2" eb="4">
      <t>ビョウショウ</t>
    </rPh>
    <phoneticPr fontId="13"/>
  </si>
  <si>
    <t>新設病床125</t>
    <rPh sb="0" eb="2">
      <t>シンセツ</t>
    </rPh>
    <rPh sb="2" eb="4">
      <t>ビョウショウ</t>
    </rPh>
    <phoneticPr fontId="13"/>
  </si>
  <si>
    <t>既設病床126</t>
    <rPh sb="0" eb="2">
      <t>キセツ</t>
    </rPh>
    <rPh sb="2" eb="4">
      <t>ビョウショウ</t>
    </rPh>
    <phoneticPr fontId="13"/>
  </si>
  <si>
    <t>新設病床126</t>
    <rPh sb="0" eb="2">
      <t>シンセツ</t>
    </rPh>
    <rPh sb="2" eb="4">
      <t>ビョウショウ</t>
    </rPh>
    <phoneticPr fontId="13"/>
  </si>
  <si>
    <t>既設病床127</t>
    <rPh sb="0" eb="2">
      <t>キセツ</t>
    </rPh>
    <rPh sb="2" eb="4">
      <t>ビョウショウ</t>
    </rPh>
    <phoneticPr fontId="13"/>
  </si>
  <si>
    <t>新設病床127</t>
    <rPh sb="0" eb="2">
      <t>シンセツ</t>
    </rPh>
    <rPh sb="2" eb="4">
      <t>ビョウショウ</t>
    </rPh>
    <phoneticPr fontId="13"/>
  </si>
  <si>
    <t>既設病床128</t>
    <rPh sb="0" eb="2">
      <t>キセツ</t>
    </rPh>
    <rPh sb="2" eb="4">
      <t>ビョウショウ</t>
    </rPh>
    <phoneticPr fontId="13"/>
  </si>
  <si>
    <t>新設病床128</t>
    <rPh sb="0" eb="2">
      <t>シンセツ</t>
    </rPh>
    <rPh sb="2" eb="4">
      <t>ビョウショウ</t>
    </rPh>
    <phoneticPr fontId="13"/>
  </si>
  <si>
    <t>既設病床129</t>
    <rPh sb="0" eb="2">
      <t>キセツ</t>
    </rPh>
    <rPh sb="2" eb="4">
      <t>ビョウショウ</t>
    </rPh>
    <phoneticPr fontId="13"/>
  </si>
  <si>
    <t>新設病床129</t>
    <rPh sb="0" eb="2">
      <t>シンセツ</t>
    </rPh>
    <rPh sb="2" eb="4">
      <t>ビョウショウ</t>
    </rPh>
    <phoneticPr fontId="13"/>
  </si>
  <si>
    <t>既設病床130</t>
    <rPh sb="0" eb="2">
      <t>キセツ</t>
    </rPh>
    <rPh sb="2" eb="4">
      <t>ビョウショウ</t>
    </rPh>
    <phoneticPr fontId="13"/>
  </si>
  <si>
    <t>新設病床130</t>
    <rPh sb="0" eb="2">
      <t>シンセツ</t>
    </rPh>
    <rPh sb="2" eb="4">
      <t>ビョウショウ</t>
    </rPh>
    <phoneticPr fontId="13"/>
  </si>
  <si>
    <t>既設病床131</t>
    <rPh sb="0" eb="2">
      <t>キセツ</t>
    </rPh>
    <rPh sb="2" eb="4">
      <t>ビョウショウ</t>
    </rPh>
    <phoneticPr fontId="13"/>
  </si>
  <si>
    <t>新設病床131</t>
    <rPh sb="0" eb="2">
      <t>シンセツ</t>
    </rPh>
    <rPh sb="2" eb="4">
      <t>ビョウショウ</t>
    </rPh>
    <phoneticPr fontId="13"/>
  </si>
  <si>
    <t>既設病床132</t>
    <rPh sb="0" eb="2">
      <t>キセツ</t>
    </rPh>
    <rPh sb="2" eb="4">
      <t>ビョウショウ</t>
    </rPh>
    <phoneticPr fontId="13"/>
  </si>
  <si>
    <t>新設病床132</t>
    <rPh sb="0" eb="2">
      <t>シンセツ</t>
    </rPh>
    <rPh sb="2" eb="4">
      <t>ビョウショウ</t>
    </rPh>
    <phoneticPr fontId="13"/>
  </si>
  <si>
    <t>既設病床133</t>
    <rPh sb="0" eb="2">
      <t>キセツ</t>
    </rPh>
    <rPh sb="2" eb="4">
      <t>ビョウショウ</t>
    </rPh>
    <phoneticPr fontId="13"/>
  </si>
  <si>
    <t>新設病床133</t>
    <rPh sb="0" eb="2">
      <t>シンセツ</t>
    </rPh>
    <rPh sb="2" eb="4">
      <t>ビョウショウ</t>
    </rPh>
    <phoneticPr fontId="13"/>
  </si>
  <si>
    <t>既設病床134</t>
    <rPh sb="0" eb="2">
      <t>キセツ</t>
    </rPh>
    <rPh sb="2" eb="4">
      <t>ビョウショウ</t>
    </rPh>
    <phoneticPr fontId="13"/>
  </si>
  <si>
    <t>新設病床134</t>
    <rPh sb="0" eb="2">
      <t>シンセツ</t>
    </rPh>
    <rPh sb="2" eb="4">
      <t>ビョウショウ</t>
    </rPh>
    <phoneticPr fontId="13"/>
  </si>
  <si>
    <t>既設病床135</t>
    <rPh sb="0" eb="2">
      <t>キセツ</t>
    </rPh>
    <rPh sb="2" eb="4">
      <t>ビョウショウ</t>
    </rPh>
    <phoneticPr fontId="13"/>
  </si>
  <si>
    <t>新設病床135</t>
    <rPh sb="0" eb="2">
      <t>シンセツ</t>
    </rPh>
    <rPh sb="2" eb="4">
      <t>ビョウショウ</t>
    </rPh>
    <phoneticPr fontId="13"/>
  </si>
  <si>
    <t>既設病床136</t>
    <rPh sb="0" eb="2">
      <t>キセツ</t>
    </rPh>
    <rPh sb="2" eb="4">
      <t>ビョウショウ</t>
    </rPh>
    <phoneticPr fontId="13"/>
  </si>
  <si>
    <t>新設病床136</t>
    <rPh sb="0" eb="2">
      <t>シンセツ</t>
    </rPh>
    <rPh sb="2" eb="4">
      <t>ビョウショウ</t>
    </rPh>
    <phoneticPr fontId="13"/>
  </si>
  <si>
    <t>既設病床137</t>
    <rPh sb="0" eb="2">
      <t>キセツ</t>
    </rPh>
    <rPh sb="2" eb="4">
      <t>ビョウショウ</t>
    </rPh>
    <phoneticPr fontId="13"/>
  </si>
  <si>
    <t>新設病床137</t>
    <rPh sb="0" eb="2">
      <t>シンセツ</t>
    </rPh>
    <rPh sb="2" eb="4">
      <t>ビョウショウ</t>
    </rPh>
    <phoneticPr fontId="13"/>
  </si>
  <si>
    <t>既設病床138</t>
    <rPh sb="0" eb="2">
      <t>キセツ</t>
    </rPh>
    <rPh sb="2" eb="4">
      <t>ビョウショウ</t>
    </rPh>
    <phoneticPr fontId="13"/>
  </si>
  <si>
    <t>新設病床138</t>
    <rPh sb="0" eb="2">
      <t>シンセツ</t>
    </rPh>
    <rPh sb="2" eb="4">
      <t>ビョウショウ</t>
    </rPh>
    <phoneticPr fontId="13"/>
  </si>
  <si>
    <t>既設病床139</t>
    <rPh sb="0" eb="2">
      <t>キセツ</t>
    </rPh>
    <rPh sb="2" eb="4">
      <t>ビョウショウ</t>
    </rPh>
    <phoneticPr fontId="13"/>
  </si>
  <si>
    <t>新設病床139</t>
    <rPh sb="0" eb="2">
      <t>シンセツ</t>
    </rPh>
    <rPh sb="2" eb="4">
      <t>ビョウショウ</t>
    </rPh>
    <phoneticPr fontId="13"/>
  </si>
  <si>
    <t>既設病床140</t>
    <rPh sb="0" eb="2">
      <t>キセツ</t>
    </rPh>
    <rPh sb="2" eb="4">
      <t>ビョウショウ</t>
    </rPh>
    <phoneticPr fontId="13"/>
  </si>
  <si>
    <t>新設病床140</t>
    <rPh sb="0" eb="2">
      <t>シンセツ</t>
    </rPh>
    <rPh sb="2" eb="4">
      <t>ビョウショウ</t>
    </rPh>
    <phoneticPr fontId="13"/>
  </si>
  <si>
    <t>既設病床141</t>
    <rPh sb="0" eb="2">
      <t>キセツ</t>
    </rPh>
    <rPh sb="2" eb="4">
      <t>ビョウショウ</t>
    </rPh>
    <phoneticPr fontId="13"/>
  </si>
  <si>
    <t>新設病床141</t>
    <rPh sb="0" eb="2">
      <t>シンセツ</t>
    </rPh>
    <rPh sb="2" eb="4">
      <t>ビョウショウ</t>
    </rPh>
    <phoneticPr fontId="13"/>
  </si>
  <si>
    <t>既設病床142</t>
    <rPh sb="0" eb="2">
      <t>キセツ</t>
    </rPh>
    <rPh sb="2" eb="4">
      <t>ビョウショウ</t>
    </rPh>
    <phoneticPr fontId="13"/>
  </si>
  <si>
    <t>新設病床142</t>
    <rPh sb="0" eb="2">
      <t>シンセツ</t>
    </rPh>
    <rPh sb="2" eb="4">
      <t>ビョウショウ</t>
    </rPh>
    <phoneticPr fontId="13"/>
  </si>
  <si>
    <t>既設病床143</t>
    <rPh sb="0" eb="2">
      <t>キセツ</t>
    </rPh>
    <rPh sb="2" eb="4">
      <t>ビョウショウ</t>
    </rPh>
    <phoneticPr fontId="13"/>
  </si>
  <si>
    <t>新設病床143</t>
    <rPh sb="0" eb="2">
      <t>シンセツ</t>
    </rPh>
    <rPh sb="2" eb="4">
      <t>ビョウショウ</t>
    </rPh>
    <phoneticPr fontId="13"/>
  </si>
  <si>
    <t>既設病床144</t>
    <rPh sb="0" eb="2">
      <t>キセツ</t>
    </rPh>
    <rPh sb="2" eb="4">
      <t>ビョウショウ</t>
    </rPh>
    <phoneticPr fontId="13"/>
  </si>
  <si>
    <t>新設病床144</t>
    <rPh sb="0" eb="2">
      <t>シンセツ</t>
    </rPh>
    <rPh sb="2" eb="4">
      <t>ビョウショウ</t>
    </rPh>
    <phoneticPr fontId="13"/>
  </si>
  <si>
    <t>既設病床145</t>
    <rPh sb="0" eb="2">
      <t>キセツ</t>
    </rPh>
    <rPh sb="2" eb="4">
      <t>ビョウショウ</t>
    </rPh>
    <phoneticPr fontId="13"/>
  </si>
  <si>
    <t>新設病床145</t>
    <rPh sb="0" eb="2">
      <t>シンセツ</t>
    </rPh>
    <rPh sb="2" eb="4">
      <t>ビョウショウ</t>
    </rPh>
    <phoneticPr fontId="13"/>
  </si>
  <si>
    <t>既設病床146</t>
    <rPh sb="0" eb="2">
      <t>キセツ</t>
    </rPh>
    <rPh sb="2" eb="4">
      <t>ビョウショウ</t>
    </rPh>
    <phoneticPr fontId="13"/>
  </si>
  <si>
    <t>新設病床146</t>
    <rPh sb="0" eb="2">
      <t>シンセツ</t>
    </rPh>
    <rPh sb="2" eb="4">
      <t>ビョウショウ</t>
    </rPh>
    <phoneticPr fontId="13"/>
  </si>
  <si>
    <t>既設病床147</t>
    <rPh sb="0" eb="2">
      <t>キセツ</t>
    </rPh>
    <rPh sb="2" eb="4">
      <t>ビョウショウ</t>
    </rPh>
    <phoneticPr fontId="13"/>
  </si>
  <si>
    <t>新設病床147</t>
    <rPh sb="0" eb="2">
      <t>シンセツ</t>
    </rPh>
    <rPh sb="2" eb="4">
      <t>ビョウショウ</t>
    </rPh>
    <phoneticPr fontId="13"/>
  </si>
  <si>
    <t>既設病床148</t>
    <rPh sb="0" eb="2">
      <t>キセツ</t>
    </rPh>
    <rPh sb="2" eb="4">
      <t>ビョウショウ</t>
    </rPh>
    <phoneticPr fontId="13"/>
  </si>
  <si>
    <t>新設病床148</t>
    <rPh sb="0" eb="2">
      <t>シンセツ</t>
    </rPh>
    <rPh sb="2" eb="4">
      <t>ビョウショウ</t>
    </rPh>
    <phoneticPr fontId="13"/>
  </si>
  <si>
    <t>既設病床149</t>
    <rPh sb="0" eb="2">
      <t>キセツ</t>
    </rPh>
    <rPh sb="2" eb="4">
      <t>ビョウショウ</t>
    </rPh>
    <phoneticPr fontId="13"/>
  </si>
  <si>
    <t>新設病床149</t>
    <rPh sb="0" eb="2">
      <t>シンセツ</t>
    </rPh>
    <rPh sb="2" eb="4">
      <t>ビョウショウ</t>
    </rPh>
    <phoneticPr fontId="13"/>
  </si>
  <si>
    <t>既設病床150</t>
    <rPh sb="0" eb="2">
      <t>キセツ</t>
    </rPh>
    <rPh sb="2" eb="4">
      <t>ビョウショウ</t>
    </rPh>
    <phoneticPr fontId="13"/>
  </si>
  <si>
    <t>新設病床150</t>
    <rPh sb="0" eb="2">
      <t>シンセツ</t>
    </rPh>
    <rPh sb="2" eb="4">
      <t>ビョウショウ</t>
    </rPh>
    <phoneticPr fontId="13"/>
  </si>
  <si>
    <r>
      <t>１．はじめに
　　今回申請するにあたり、以下の記入欄に必要事項を入力してください。→　記入欄右の「判定」が全て「○」となり、</t>
    </r>
    <r>
      <rPr>
        <b/>
        <u/>
        <sz val="12"/>
        <color rgb="FFFF0000"/>
        <rFont val="Yu Gothic"/>
        <family val="3"/>
        <charset val="128"/>
        <scheme val="minor"/>
      </rPr>
      <t>赤表示が全て白表示に変われば入力完了</t>
    </r>
    <r>
      <rPr>
        <b/>
        <sz val="12"/>
        <color theme="1"/>
        <rFont val="Yu Gothic"/>
        <family val="3"/>
        <charset val="128"/>
        <scheme val="minor"/>
      </rPr>
      <t>です。
　　　　　　　　　　　　　　　　　　　　　　　　　　　　　　　　　　→　記載不十分等の箇所はコメント欄を参照ください。
　　こちらで入力した内容はその後に入力いただく各種様式の必要記載部分に反映されます。</t>
    </r>
    <rPh sb="9" eb="11">
      <t>コンカイ</t>
    </rPh>
    <rPh sb="11" eb="13">
      <t>シンセイ</t>
    </rPh>
    <rPh sb="20" eb="22">
      <t>イカ</t>
    </rPh>
    <rPh sb="23" eb="26">
      <t>キニュウラン</t>
    </rPh>
    <rPh sb="27" eb="29">
      <t>ヒツヨウ</t>
    </rPh>
    <rPh sb="29" eb="31">
      <t>ジコウ</t>
    </rPh>
    <rPh sb="32" eb="34">
      <t>ニュウリョク</t>
    </rPh>
    <rPh sb="43" eb="46">
      <t>キニュウラン</t>
    </rPh>
    <rPh sb="46" eb="47">
      <t>ミギ</t>
    </rPh>
    <rPh sb="49" eb="51">
      <t>ハンテイ</t>
    </rPh>
    <rPh sb="53" eb="54">
      <t>スベ</t>
    </rPh>
    <rPh sb="62" eb="63">
      <t>アカ</t>
    </rPh>
    <rPh sb="63" eb="65">
      <t>ヒョウジ</t>
    </rPh>
    <rPh sb="66" eb="67">
      <t>スベ</t>
    </rPh>
    <rPh sb="68" eb="69">
      <t>シロ</t>
    </rPh>
    <rPh sb="69" eb="71">
      <t>ヒョウジ</t>
    </rPh>
    <rPh sb="72" eb="73">
      <t>カ</t>
    </rPh>
    <rPh sb="76" eb="78">
      <t>ニュウリョク</t>
    </rPh>
    <rPh sb="78" eb="80">
      <t>カンリョウ</t>
    </rPh>
    <rPh sb="120" eb="122">
      <t>キサイ</t>
    </rPh>
    <rPh sb="122" eb="125">
      <t>フジュウブン</t>
    </rPh>
    <rPh sb="125" eb="126">
      <t>トウ</t>
    </rPh>
    <rPh sb="127" eb="129">
      <t>カショ</t>
    </rPh>
    <rPh sb="134" eb="135">
      <t>ラン</t>
    </rPh>
    <rPh sb="136" eb="138">
      <t>サンショウ</t>
    </rPh>
    <rPh sb="150" eb="152">
      <t>ニュウリョク</t>
    </rPh>
    <rPh sb="154" eb="156">
      <t>ナイヨウ</t>
    </rPh>
    <rPh sb="159" eb="160">
      <t>ゴ</t>
    </rPh>
    <rPh sb="161" eb="163">
      <t>ニュウリョク</t>
    </rPh>
    <rPh sb="167" eb="169">
      <t>カクシュ</t>
    </rPh>
    <rPh sb="169" eb="171">
      <t>ヨウシキ</t>
    </rPh>
    <rPh sb="172" eb="174">
      <t>ヒツヨウ</t>
    </rPh>
    <rPh sb="174" eb="176">
      <t>キサイ</t>
    </rPh>
    <rPh sb="176" eb="178">
      <t>ブブン</t>
    </rPh>
    <rPh sb="179" eb="181">
      <t>ハンエイ</t>
    </rPh>
    <phoneticPr fontId="13"/>
  </si>
  <si>
    <t>判定</t>
    <rPh sb="0" eb="2">
      <t>ハンテイ</t>
    </rPh>
    <phoneticPr fontId="9"/>
  </si>
  <si>
    <t>コメント</t>
  </si>
  <si>
    <t>コメント</t>
    <phoneticPr fontId="9"/>
  </si>
  <si>
    <t>↑</t>
    <phoneticPr fontId="9"/>
  </si>
  <si>
    <t>総合判定</t>
    <rPh sb="0" eb="2">
      <t>ソウゴウ</t>
    </rPh>
    <rPh sb="2" eb="4">
      <t>ハンテイ</t>
    </rPh>
    <phoneticPr fontId="9"/>
  </si>
  <si>
    <t>内訳表全体の入力判定</t>
    <rPh sb="0" eb="2">
      <t>ウチワケ</t>
    </rPh>
    <rPh sb="2" eb="3">
      <t>ヒョウ</t>
    </rPh>
    <rPh sb="3" eb="5">
      <t>ゼンタイ</t>
    </rPh>
    <rPh sb="6" eb="8">
      <t>ニュウリョク</t>
    </rPh>
    <rPh sb="8" eb="10">
      <t>ハンテイ</t>
    </rPh>
    <phoneticPr fontId="9"/>
  </si>
  <si>
    <t>交付申請</t>
    <rPh sb="0" eb="2">
      <t>コウフ</t>
    </rPh>
    <rPh sb="2" eb="4">
      <t>シンセイ</t>
    </rPh>
    <phoneticPr fontId="9"/>
  </si>
  <si>
    <t>初度設備明細</t>
    <rPh sb="0" eb="2">
      <t>ショド</t>
    </rPh>
    <rPh sb="2" eb="4">
      <t>セツビ</t>
    </rPh>
    <rPh sb="4" eb="6">
      <t>メイサイ</t>
    </rPh>
    <phoneticPr fontId="8"/>
  </si>
  <si>
    <t>人工呼吸器明細</t>
    <rPh sb="0" eb="2">
      <t>ジンコウ</t>
    </rPh>
    <rPh sb="2" eb="5">
      <t>コキュウキ</t>
    </rPh>
    <phoneticPr fontId="8"/>
  </si>
  <si>
    <t>個人防護具明細</t>
    <rPh sb="0" eb="2">
      <t>コジン</t>
    </rPh>
    <rPh sb="2" eb="4">
      <t>ボウゴ</t>
    </rPh>
    <rPh sb="4" eb="5">
      <t>グ</t>
    </rPh>
    <phoneticPr fontId="8"/>
  </si>
  <si>
    <t>簡易陰圧装置明細</t>
    <rPh sb="0" eb="2">
      <t>カンイ</t>
    </rPh>
    <rPh sb="2" eb="3">
      <t>カゲ</t>
    </rPh>
    <rPh sb="3" eb="4">
      <t>アツ</t>
    </rPh>
    <rPh sb="4" eb="6">
      <t>ソウチ</t>
    </rPh>
    <phoneticPr fontId="8"/>
  </si>
  <si>
    <t>簡易ベッド明細</t>
    <rPh sb="0" eb="2">
      <t>カンイ</t>
    </rPh>
    <phoneticPr fontId="8"/>
  </si>
  <si>
    <t>体外式膜型人工肺明細</t>
    <rPh sb="0" eb="3">
      <t>タイガイシキ</t>
    </rPh>
    <rPh sb="3" eb="4">
      <t>マク</t>
    </rPh>
    <rPh sb="4" eb="5">
      <t>ガタ</t>
    </rPh>
    <rPh sb="5" eb="7">
      <t>ジンコウ</t>
    </rPh>
    <rPh sb="7" eb="8">
      <t>ハイ</t>
    </rPh>
    <phoneticPr fontId="8"/>
  </si>
  <si>
    <t>簡易病室明細</t>
    <rPh sb="0" eb="2">
      <t>カンイ</t>
    </rPh>
    <rPh sb="2" eb="4">
      <t>ビョウシツ</t>
    </rPh>
    <phoneticPr fontId="8"/>
  </si>
  <si>
    <t>紫外線照射装置明細</t>
    <rPh sb="0" eb="3">
      <t>シガイセン</t>
    </rPh>
    <rPh sb="3" eb="5">
      <t>ショウシャ</t>
    </rPh>
    <rPh sb="5" eb="7">
      <t>ソウチ</t>
    </rPh>
    <phoneticPr fontId="8"/>
  </si>
  <si>
    <t>超音波画像診断装置明細</t>
    <rPh sb="0" eb="3">
      <t>チョウオンパ</t>
    </rPh>
    <rPh sb="3" eb="5">
      <t>ガゾウ</t>
    </rPh>
    <rPh sb="5" eb="7">
      <t>シンダン</t>
    </rPh>
    <rPh sb="7" eb="9">
      <t>ソウチ</t>
    </rPh>
    <rPh sb="9" eb="11">
      <t>メイサイ</t>
    </rPh>
    <phoneticPr fontId="8"/>
  </si>
  <si>
    <t>血液浄化装置明細</t>
    <rPh sb="0" eb="2">
      <t>ケツエキ</t>
    </rPh>
    <rPh sb="2" eb="4">
      <t>ジョウカ</t>
    </rPh>
    <rPh sb="4" eb="6">
      <t>ソウチ</t>
    </rPh>
    <phoneticPr fontId="8"/>
  </si>
  <si>
    <t>気管支鏡明細</t>
    <rPh sb="0" eb="4">
      <t>キカンシキョウ</t>
    </rPh>
    <phoneticPr fontId="8"/>
  </si>
  <si>
    <t>CT撮影装置明細</t>
    <rPh sb="2" eb="4">
      <t>サツエイ</t>
    </rPh>
    <rPh sb="4" eb="6">
      <t>ソウチ</t>
    </rPh>
    <phoneticPr fontId="8"/>
  </si>
  <si>
    <t>生体情報モニタ明細</t>
    <rPh sb="2" eb="4">
      <t>ジョウホウ</t>
    </rPh>
    <phoneticPr fontId="8"/>
  </si>
  <si>
    <t>分娩監視装置明細</t>
    <rPh sb="0" eb="2">
      <t>ブンベン</t>
    </rPh>
    <rPh sb="2" eb="4">
      <t>カンシ</t>
    </rPh>
    <rPh sb="4" eb="6">
      <t>ソウチ</t>
    </rPh>
    <phoneticPr fontId="8"/>
  </si>
  <si>
    <t>新生児モニタ明細</t>
    <rPh sb="0" eb="3">
      <t>シンセイジ</t>
    </rPh>
    <phoneticPr fontId="8"/>
  </si>
  <si>
    <t>様式2-1</t>
    <rPh sb="0" eb="2">
      <t>ヨウシキ</t>
    </rPh>
    <phoneticPr fontId="9"/>
  </si>
  <si>
    <t>様式2-2</t>
    <rPh sb="0" eb="2">
      <t>ヨウシキ</t>
    </rPh>
    <phoneticPr fontId="9"/>
  </si>
  <si>
    <t>様式2-3</t>
    <rPh sb="0" eb="2">
      <t>ヨウシキ</t>
    </rPh>
    <phoneticPr fontId="9"/>
  </si>
  <si>
    <t>様式2-4</t>
    <rPh sb="0" eb="2">
      <t>ヨウシキ</t>
    </rPh>
    <phoneticPr fontId="9"/>
  </si>
  <si>
    <t>様式2-5</t>
    <rPh sb="0" eb="2">
      <t>ヨウシキ</t>
    </rPh>
    <phoneticPr fontId="9"/>
  </si>
  <si>
    <t>様式2-6</t>
    <rPh sb="0" eb="2">
      <t>ヨウシキ</t>
    </rPh>
    <phoneticPr fontId="9"/>
  </si>
  <si>
    <t>様式2-7</t>
    <rPh sb="0" eb="2">
      <t>ヨウシキ</t>
    </rPh>
    <phoneticPr fontId="9"/>
  </si>
  <si>
    <t>様式2-8</t>
    <rPh sb="0" eb="2">
      <t>ヨウシキ</t>
    </rPh>
    <phoneticPr fontId="9"/>
  </si>
  <si>
    <t>様式2-9</t>
    <rPh sb="0" eb="2">
      <t>ヨウシキ</t>
    </rPh>
    <phoneticPr fontId="9"/>
  </si>
  <si>
    <t>様式2-10</t>
    <rPh sb="0" eb="2">
      <t>ヨウシキ</t>
    </rPh>
    <phoneticPr fontId="9"/>
  </si>
  <si>
    <t>様式2-11</t>
    <rPh sb="0" eb="2">
      <t>ヨウシキ</t>
    </rPh>
    <phoneticPr fontId="9"/>
  </si>
  <si>
    <t>様式2-12</t>
    <rPh sb="0" eb="2">
      <t>ヨウシキ</t>
    </rPh>
    <phoneticPr fontId="9"/>
  </si>
  <si>
    <t>様式2-13</t>
    <rPh sb="0" eb="2">
      <t>ヨウシキ</t>
    </rPh>
    <phoneticPr fontId="9"/>
  </si>
  <si>
    <t>様式2-14</t>
    <rPh sb="0" eb="2">
      <t>ヨウシキ</t>
    </rPh>
    <phoneticPr fontId="9"/>
  </si>
  <si>
    <t>様式2-15</t>
    <rPh sb="0" eb="2">
      <t>ヨウシキ</t>
    </rPh>
    <phoneticPr fontId="9"/>
  </si>
  <si>
    <t>補助金等に係る予算の執行の適正化に関する法律（昭和三十年法律第百七十九号）（抄）
（関係者の責務）
第三条２　補助事業者等及び間接補助事業者等は、補助金等が国民から徴収された税金その他の貴重な財源でまかなわれるものであることに留意し、法令の定及び補助金等の交付の目的又は間接補助金等の交付若しくは融通の目的に従つて誠実に補助事業等又は間接補助事業等を行うように努めなければならない。
（補助金等の交付の決定）
第六条　各省各庁の長は、補助金等の交付の申請があつたときは、当該申請に係る書類等の審査及び必要に応じて行う現地調査等により、当該申請に係る補助金等の交付が法令及び予算で定めるところに違反しないかどうか、補助事業等の目的及び内容が適正であるかどうか、金額の算定に誤がないかどうか等を調査し、補助金等を交付すべきものと認めたときは、すみやかに補助金等の交付の決定（契約の承諾の決定を含む。以下同じ。）をしなければならない。
（立入検査等）
第二十三条　各省各庁の長は、補助金等に係る予算の執行の適正を期するため必要があるときは、補助事業者等若しくは間接補助事業者等に対して報告をさせ、又は当該職員にその事務所、事業場等に立ち入り、帳簿書類その他の物件を検査させ、若しくは関係者に質問させることができる。
（事務の実施）
第二十六条　各省各庁の長は、政令で定めるところにより、補助金等の交付に関する事務の一部を各省各庁の機関に委任することができる。
２　国は、政令で定めるところにより、補助金等の交付に関する事務の一部を都道府県が行うこととすることができる。</t>
    <rPh sb="38" eb="39">
      <t>ショウ</t>
    </rPh>
    <phoneticPr fontId="9"/>
  </si>
  <si>
    <t>３．所要額内訳</t>
    <rPh sb="2" eb="4">
      <t>ショヨウ</t>
    </rPh>
    <rPh sb="4" eb="5">
      <t>ガク</t>
    </rPh>
    <rPh sb="5" eb="7">
      <t>ウチワケ</t>
    </rPh>
    <phoneticPr fontId="9"/>
  </si>
  <si>
    <t>２．整備方法</t>
    <phoneticPr fontId="9"/>
  </si>
  <si>
    <t>個人防護具　明細</t>
    <rPh sb="0" eb="2">
      <t>コジン</t>
    </rPh>
    <rPh sb="2" eb="4">
      <t>ボウゴ</t>
    </rPh>
    <rPh sb="4" eb="5">
      <t>グ</t>
    </rPh>
    <rPh sb="6" eb="8">
      <t>メイサイ</t>
    </rPh>
    <phoneticPr fontId="13"/>
  </si>
  <si>
    <t>合計</t>
    <rPh sb="0" eb="1">
      <t>ゴウ</t>
    </rPh>
    <phoneticPr fontId="13"/>
  </si>
  <si>
    <t>１．はじめに</t>
    <phoneticPr fontId="13"/>
  </si>
  <si>
    <t>税抜額算出</t>
    <rPh sb="0" eb="1">
      <t>ゼイ</t>
    </rPh>
    <rPh sb="1" eb="2">
      <t>ヌ</t>
    </rPh>
    <rPh sb="2" eb="3">
      <t>ガク</t>
    </rPh>
    <rPh sb="3" eb="5">
      <t>サンシュツ</t>
    </rPh>
    <phoneticPr fontId="13"/>
  </si>
  <si>
    <t>ここに入力</t>
    <rPh sb="3" eb="5">
      <t>ニュウリョク</t>
    </rPh>
    <phoneticPr fontId="13"/>
  </si>
  <si>
    <t>税抜額</t>
    <rPh sb="0" eb="1">
      <t>ゼイ</t>
    </rPh>
    <rPh sb="1" eb="2">
      <t>ヌ</t>
    </rPh>
    <rPh sb="2" eb="3">
      <t>ガク</t>
    </rPh>
    <phoneticPr fontId="13"/>
  </si>
  <si>
    <t>※税抜単価がわからない場合はこちらで算出してください。</t>
    <rPh sb="1" eb="3">
      <t>ゼイヌキ</t>
    </rPh>
    <rPh sb="3" eb="5">
      <t>タンカ</t>
    </rPh>
    <rPh sb="11" eb="13">
      <t>バアイ</t>
    </rPh>
    <rPh sb="18" eb="20">
      <t>サンシュツ</t>
    </rPh>
    <phoneticPr fontId="13"/>
  </si>
  <si>
    <t>２．防護具情報</t>
    <rPh sb="2" eb="4">
      <t>ボウゴ</t>
    </rPh>
    <rPh sb="4" eb="5">
      <t>グ</t>
    </rPh>
    <rPh sb="5" eb="7">
      <t>ジョウホウ</t>
    </rPh>
    <phoneticPr fontId="13"/>
  </si>
  <si>
    <t>種類</t>
    <rPh sb="0" eb="2">
      <t>シュルイ</t>
    </rPh>
    <phoneticPr fontId="13"/>
  </si>
  <si>
    <t>添付書類
番号</t>
    <rPh sb="0" eb="2">
      <t>テンプ</t>
    </rPh>
    <rPh sb="2" eb="4">
      <t>ショルイ</t>
    </rPh>
    <rPh sb="5" eb="7">
      <t>バンゴウ</t>
    </rPh>
    <phoneticPr fontId="13"/>
  </si>
  <si>
    <t>※県記入欄</t>
    <rPh sb="1" eb="2">
      <t>ケン</t>
    </rPh>
    <rPh sb="2" eb="4">
      <t>キニュウ</t>
    </rPh>
    <rPh sb="4" eb="5">
      <t>ラン</t>
    </rPh>
    <phoneticPr fontId="13"/>
  </si>
  <si>
    <t>項目</t>
    <rPh sb="0" eb="2">
      <t>コウモク</t>
    </rPh>
    <phoneticPr fontId="13"/>
  </si>
  <si>
    <t>不備の箇所等</t>
    <rPh sb="0" eb="2">
      <t>フビ</t>
    </rPh>
    <rPh sb="3" eb="5">
      <t>カショ</t>
    </rPh>
    <rPh sb="5" eb="6">
      <t>トウ</t>
    </rPh>
    <phoneticPr fontId="13"/>
  </si>
  <si>
    <t>→</t>
    <phoneticPr fontId="13"/>
  </si>
  <si>
    <t>入力項目</t>
    <rPh sb="0" eb="2">
      <t>ニュウリョク</t>
    </rPh>
    <rPh sb="2" eb="4">
      <t>コウモク</t>
    </rPh>
    <phoneticPr fontId="13"/>
  </si>
  <si>
    <t>←入力の過程で記載不十分の表示がされますが、適切に入力がされると表示は解消されます。</t>
    <rPh sb="1" eb="3">
      <t>ニュウリョク</t>
    </rPh>
    <rPh sb="4" eb="6">
      <t>カテイ</t>
    </rPh>
    <rPh sb="7" eb="9">
      <t>キサイ</t>
    </rPh>
    <rPh sb="9" eb="12">
      <t>フジュウブン</t>
    </rPh>
    <rPh sb="13" eb="15">
      <t>ヒョウジ</t>
    </rPh>
    <rPh sb="22" eb="24">
      <t>テキセツ</t>
    </rPh>
    <rPh sb="25" eb="27">
      <t>ニュウリョク</t>
    </rPh>
    <rPh sb="32" eb="34">
      <t>ヒョウジ</t>
    </rPh>
    <rPh sb="35" eb="37">
      <t>カイショウ</t>
    </rPh>
    <phoneticPr fontId="13"/>
  </si>
  <si>
    <t>②「防護具情報」の入力</t>
    <rPh sb="2" eb="4">
      <t>ボウゴ</t>
    </rPh>
    <rPh sb="4" eb="5">
      <t>グ</t>
    </rPh>
    <rPh sb="5" eb="7">
      <t>ジョウホウ</t>
    </rPh>
    <rPh sb="9" eb="11">
      <t>ニュウリョク</t>
    </rPh>
    <phoneticPr fontId="13"/>
  </si>
  <si>
    <t>参考）○：未記入、×：入力不十分、◎：適切に入力</t>
    <rPh sb="0" eb="2">
      <t>サンコウ</t>
    </rPh>
    <rPh sb="5" eb="8">
      <t>ミキニュウ</t>
    </rPh>
    <rPh sb="11" eb="13">
      <t>ニュウリョク</t>
    </rPh>
    <rPh sb="13" eb="16">
      <t>フジュウブン</t>
    </rPh>
    <rPh sb="19" eb="21">
      <t>テキセツ</t>
    </rPh>
    <rPh sb="22" eb="24">
      <t>ニュウリョク</t>
    </rPh>
    <phoneticPr fontId="13"/>
  </si>
  <si>
    <t>品目</t>
    <rPh sb="0" eb="2">
      <t>ヒンモク</t>
    </rPh>
    <phoneticPr fontId="13"/>
  </si>
  <si>
    <t>マスク</t>
    <phoneticPr fontId="13"/>
  </si>
  <si>
    <t>ゴーグル</t>
    <phoneticPr fontId="13"/>
  </si>
  <si>
    <t>ガウン</t>
    <phoneticPr fontId="13"/>
  </si>
  <si>
    <t>グローブ</t>
    <phoneticPr fontId="13"/>
  </si>
  <si>
    <t>キャップ</t>
    <phoneticPr fontId="13"/>
  </si>
  <si>
    <t>　上記に基づき、補助金交付に係る申請にあたっては、本書に基づく県との協議の結果を踏まえ行うことを申し立てるとともに、協議において知事が補助事業等の目的及び内容に適正性を認めることができない場合においては、交付決定できない場合があることについても確認しました。</t>
    <rPh sb="1" eb="3">
      <t>ジョウキ</t>
    </rPh>
    <rPh sb="4" eb="5">
      <t>モト</t>
    </rPh>
    <rPh sb="8" eb="11">
      <t>ホジョキン</t>
    </rPh>
    <rPh sb="11" eb="13">
      <t>コウフ</t>
    </rPh>
    <rPh sb="14" eb="15">
      <t>カカ</t>
    </rPh>
    <rPh sb="16" eb="18">
      <t>シンセイ</t>
    </rPh>
    <rPh sb="25" eb="27">
      <t>ホンショ</t>
    </rPh>
    <rPh sb="28" eb="29">
      <t>モト</t>
    </rPh>
    <rPh sb="31" eb="32">
      <t>ケン</t>
    </rPh>
    <rPh sb="34" eb="36">
      <t>キョウギ</t>
    </rPh>
    <rPh sb="37" eb="39">
      <t>ケッカ</t>
    </rPh>
    <rPh sb="40" eb="41">
      <t>フ</t>
    </rPh>
    <rPh sb="43" eb="44">
      <t>オコナ</t>
    </rPh>
    <rPh sb="48" eb="49">
      <t>モウ</t>
    </rPh>
    <rPh sb="50" eb="51">
      <t>タ</t>
    </rPh>
    <rPh sb="58" eb="60">
      <t>キョウギ</t>
    </rPh>
    <rPh sb="64" eb="66">
      <t>チジ</t>
    </rPh>
    <rPh sb="82" eb="83">
      <t>セイ</t>
    </rPh>
    <rPh sb="84" eb="85">
      <t>ミト</t>
    </rPh>
    <rPh sb="94" eb="96">
      <t>バアイ</t>
    </rPh>
    <rPh sb="102" eb="104">
      <t>コウフ</t>
    </rPh>
    <rPh sb="104" eb="106">
      <t>ケッテイ</t>
    </rPh>
    <rPh sb="110" eb="112">
      <t>バアイ</t>
    </rPh>
    <rPh sb="122" eb="124">
      <t>カクニン</t>
    </rPh>
    <phoneticPr fontId="9"/>
  </si>
  <si>
    <t>（３）平面図（確保病床の位置、過去に本補助金を活用して整備した設備及び整備予定の設備の配備状況が判るもの。）</t>
    <rPh sb="3" eb="6">
      <t>ヘイメンズ</t>
    </rPh>
    <rPh sb="7" eb="9">
      <t>カクホ</t>
    </rPh>
    <rPh sb="9" eb="11">
      <t>ビョウショウ</t>
    </rPh>
    <rPh sb="12" eb="14">
      <t>イチ</t>
    </rPh>
    <rPh sb="15" eb="17">
      <t>カコ</t>
    </rPh>
    <rPh sb="18" eb="19">
      <t>ホン</t>
    </rPh>
    <rPh sb="19" eb="22">
      <t>ホジョキン</t>
    </rPh>
    <rPh sb="23" eb="25">
      <t>カツヨウ</t>
    </rPh>
    <rPh sb="27" eb="29">
      <t>セイビ</t>
    </rPh>
    <rPh sb="31" eb="33">
      <t>セツビ</t>
    </rPh>
    <rPh sb="33" eb="34">
      <t>オヨ</t>
    </rPh>
    <rPh sb="35" eb="37">
      <t>セイビ</t>
    </rPh>
    <rPh sb="37" eb="39">
      <t>ヨテイ</t>
    </rPh>
    <rPh sb="40" eb="42">
      <t>セツビ</t>
    </rPh>
    <rPh sb="43" eb="45">
      <t>ハイビ</t>
    </rPh>
    <rPh sb="45" eb="47">
      <t>ジョウキョウ</t>
    </rPh>
    <rPh sb="48" eb="49">
      <t>ワカ</t>
    </rPh>
    <phoneticPr fontId="9"/>
  </si>
  <si>
    <t>（４）見積書の写し、カタログ等整備品目の規格（型式）、数量、単価及び金額の確認資料</t>
    <phoneticPr fontId="9"/>
  </si>
  <si>
    <t>　整備をリースにより行うか、購入により行うか記入してください。
　なお、購入により整備する場合は、必ずリースによる整備を検討し、購入による整備とせざるを得ないと判断した理由を以下の欄に記入してください。（リースによる整備を検討していない及び、購入による整備とせざるを得ないとする理由が不十分と判断される場合には公費による整備に親和しないことから、交付しないこととする場合があります。）</t>
    <phoneticPr fontId="9"/>
  </si>
  <si>
    <t>変更申請</t>
    <rPh sb="0" eb="2">
      <t>ヘンコウ</t>
    </rPh>
    <rPh sb="2" eb="4">
      <t>シンセイ</t>
    </rPh>
    <phoneticPr fontId="9"/>
  </si>
  <si>
    <t>事前協議</t>
    <rPh sb="0" eb="2">
      <t>ジゼン</t>
    </rPh>
    <rPh sb="2" eb="4">
      <t>キョウギ</t>
    </rPh>
    <phoneticPr fontId="9"/>
  </si>
  <si>
    <t>事業</t>
    <rPh sb="0" eb="2">
      <t>ジギョウ</t>
    </rPh>
    <phoneticPr fontId="13"/>
  </si>
  <si>
    <t>品目</t>
    <rPh sb="1" eb="2">
      <t>モク</t>
    </rPh>
    <phoneticPr fontId="13"/>
  </si>
  <si>
    <t>型番</t>
    <phoneticPr fontId="13"/>
  </si>
  <si>
    <t>基準額</t>
    <phoneticPr fontId="13"/>
  </si>
  <si>
    <t>総合</t>
    <rPh sb="0" eb="2">
      <t>ソウゴウ</t>
    </rPh>
    <phoneticPr fontId="13"/>
  </si>
  <si>
    <t>員数</t>
    <phoneticPr fontId="13"/>
  </si>
  <si>
    <t>単価</t>
    <phoneticPr fontId="13"/>
  </si>
  <si>
    <t>金額</t>
    <phoneticPr fontId="13"/>
  </si>
  <si>
    <t>規格（型式）</t>
    <phoneticPr fontId="13"/>
  </si>
  <si>
    <t>数量</t>
    <phoneticPr fontId="13"/>
  </si>
  <si>
    <t>単価（税込）</t>
    <rPh sb="3" eb="5">
      <t>ゼイコ</t>
    </rPh>
    <phoneticPr fontId="13"/>
  </si>
  <si>
    <t>年</t>
    <rPh sb="0" eb="1">
      <t>ネン</t>
    </rPh>
    <phoneticPr fontId="7"/>
  </si>
  <si>
    <t>月</t>
    <rPh sb="0" eb="1">
      <t>ツキ</t>
    </rPh>
    <phoneticPr fontId="7"/>
  </si>
  <si>
    <t>月</t>
    <rPh sb="0" eb="1">
      <t>ツキ</t>
    </rPh>
    <phoneticPr fontId="13"/>
  </si>
  <si>
    <t>日</t>
    <rPh sb="0" eb="1">
      <t>ヒ</t>
    </rPh>
    <phoneticPr fontId="7"/>
  </si>
  <si>
    <t>日</t>
    <rPh sb="0" eb="1">
      <t>ヒ</t>
    </rPh>
    <phoneticPr fontId="13"/>
  </si>
  <si>
    <t>円</t>
    <rPh sb="0" eb="1">
      <t>エン</t>
    </rPh>
    <phoneticPr fontId="13"/>
  </si>
  <si>
    <t>入院医療機関設備整備事業（１）</t>
    <rPh sb="0" eb="2">
      <t>ニュウイン</t>
    </rPh>
    <rPh sb="2" eb="4">
      <t>イリョウ</t>
    </rPh>
    <rPh sb="4" eb="6">
      <t>キカン</t>
    </rPh>
    <rPh sb="6" eb="8">
      <t>セツビ</t>
    </rPh>
    <rPh sb="8" eb="10">
      <t>セイビ</t>
    </rPh>
    <rPh sb="10" eb="12">
      <t>ジギョウ</t>
    </rPh>
    <phoneticPr fontId="13"/>
  </si>
  <si>
    <t>初度設備</t>
    <rPh sb="0" eb="2">
      <t>ショド</t>
    </rPh>
    <rPh sb="2" eb="4">
      <t>セツビ</t>
    </rPh>
    <phoneticPr fontId="7"/>
  </si>
  <si>
    <t>人工呼吸器</t>
    <rPh sb="0" eb="2">
      <t>ジンコウ</t>
    </rPh>
    <rPh sb="2" eb="5">
      <t>コキュウキ</t>
    </rPh>
    <phoneticPr fontId="7"/>
  </si>
  <si>
    <t>令和</t>
  </si>
  <si>
    <t>個人防護具</t>
    <phoneticPr fontId="13"/>
  </si>
  <si>
    <t>簡易陰圧装置</t>
    <rPh sb="0" eb="2">
      <t>カンイ</t>
    </rPh>
    <rPh sb="2" eb="3">
      <t>イン</t>
    </rPh>
    <rPh sb="3" eb="4">
      <t>アツ</t>
    </rPh>
    <rPh sb="4" eb="6">
      <t>ソウチ</t>
    </rPh>
    <phoneticPr fontId="13"/>
  </si>
  <si>
    <t>簡易ベッド</t>
    <phoneticPr fontId="13"/>
  </si>
  <si>
    <t>体外式膜型人工肺</t>
    <rPh sb="0" eb="3">
      <t>タイガイシキ</t>
    </rPh>
    <rPh sb="3" eb="4">
      <t>マク</t>
    </rPh>
    <rPh sb="4" eb="5">
      <t>ガタ</t>
    </rPh>
    <rPh sb="5" eb="7">
      <t>ジンコウ</t>
    </rPh>
    <rPh sb="7" eb="8">
      <t>ハイ</t>
    </rPh>
    <phoneticPr fontId="13"/>
  </si>
  <si>
    <t>簡易病室</t>
    <rPh sb="2" eb="4">
      <t>ビョウシツ</t>
    </rPh>
    <phoneticPr fontId="13"/>
  </si>
  <si>
    <t>入院医療機関設備整備事業（２）</t>
    <rPh sb="0" eb="2">
      <t>ニュウイン</t>
    </rPh>
    <rPh sb="2" eb="4">
      <t>イリョウ</t>
    </rPh>
    <rPh sb="4" eb="6">
      <t>キカン</t>
    </rPh>
    <rPh sb="6" eb="8">
      <t>セツビ</t>
    </rPh>
    <rPh sb="8" eb="10">
      <t>セイビ</t>
    </rPh>
    <rPh sb="10" eb="12">
      <t>ジギョウ</t>
    </rPh>
    <phoneticPr fontId="13"/>
  </si>
  <si>
    <t>紫外線照射装置</t>
    <rPh sb="0" eb="3">
      <t>シガイセン</t>
    </rPh>
    <rPh sb="3" eb="5">
      <t>ショウシャ</t>
    </rPh>
    <rPh sb="5" eb="7">
      <t>ソウチ</t>
    </rPh>
    <phoneticPr fontId="7"/>
  </si>
  <si>
    <t>紫外線照射装置</t>
    <rPh sb="0" eb="3">
      <t>シガイセン</t>
    </rPh>
    <rPh sb="3" eb="5">
      <t>ショウシャ</t>
    </rPh>
    <rPh sb="5" eb="7">
      <t>ソウチ</t>
    </rPh>
    <phoneticPr fontId="13"/>
  </si>
  <si>
    <t>計</t>
    <rPh sb="0" eb="1">
      <t>ケイ</t>
    </rPh>
    <phoneticPr fontId="13"/>
  </si>
  <si>
    <t>超音波画像診断装置</t>
    <rPh sb="0" eb="3">
      <t>チョウオンパ</t>
    </rPh>
    <rPh sb="3" eb="5">
      <t>ガゾウ</t>
    </rPh>
    <rPh sb="5" eb="7">
      <t>シンダン</t>
    </rPh>
    <rPh sb="7" eb="9">
      <t>ソウチ</t>
    </rPh>
    <phoneticPr fontId="7"/>
  </si>
  <si>
    <t>血液浄化装置</t>
    <rPh sb="0" eb="2">
      <t>ケツエキ</t>
    </rPh>
    <rPh sb="2" eb="4">
      <t>ジョウカ</t>
    </rPh>
    <rPh sb="4" eb="6">
      <t>ソウチ</t>
    </rPh>
    <phoneticPr fontId="7"/>
  </si>
  <si>
    <t>気管支鏡</t>
    <rPh sb="0" eb="4">
      <t>キカンシキョウ</t>
    </rPh>
    <phoneticPr fontId="7"/>
  </si>
  <si>
    <t>生体情報モニタ</t>
    <rPh sb="2" eb="4">
      <t>ジョウホウ</t>
    </rPh>
    <phoneticPr fontId="13"/>
  </si>
  <si>
    <t>分娩監視装置</t>
    <rPh sb="0" eb="2">
      <t>ブンベン</t>
    </rPh>
    <rPh sb="2" eb="4">
      <t>カンシ</t>
    </rPh>
    <rPh sb="4" eb="6">
      <t>ソウチ</t>
    </rPh>
    <phoneticPr fontId="7"/>
  </si>
  <si>
    <t>新生児モニタ</t>
    <rPh sb="0" eb="3">
      <t>シンセイジ</t>
    </rPh>
    <phoneticPr fontId="7"/>
  </si>
  <si>
    <t>１．普通　２．当座　</t>
    <phoneticPr fontId="13"/>
  </si>
  <si>
    <t>品目</t>
    <rPh sb="0" eb="1">
      <t>ヒン</t>
    </rPh>
    <rPh sb="1" eb="2">
      <t>モク</t>
    </rPh>
    <phoneticPr fontId="13"/>
  </si>
  <si>
    <t>総事業費
(A)</t>
    <phoneticPr fontId="13"/>
  </si>
  <si>
    <t>差引事業費
(A)―(B)
（C）</t>
    <phoneticPr fontId="13"/>
  </si>
  <si>
    <t>基準額
（E）</t>
    <phoneticPr fontId="13"/>
  </si>
  <si>
    <t>選定額
(F)</t>
    <phoneticPr fontId="13"/>
  </si>
  <si>
    <t>県補助
基本額
(G)</t>
    <phoneticPr fontId="13"/>
  </si>
  <si>
    <t>備考</t>
    <phoneticPr fontId="13"/>
  </si>
  <si>
    <t>個人防護具</t>
    <rPh sb="0" eb="2">
      <t>コジン</t>
    </rPh>
    <rPh sb="2" eb="4">
      <t>ボウゴ</t>
    </rPh>
    <rPh sb="4" eb="5">
      <t>グ</t>
    </rPh>
    <phoneticPr fontId="7"/>
  </si>
  <si>
    <t>簡易陰圧装置</t>
    <rPh sb="0" eb="2">
      <t>カンイ</t>
    </rPh>
    <rPh sb="2" eb="3">
      <t>カゲ</t>
    </rPh>
    <rPh sb="3" eb="4">
      <t>アツ</t>
    </rPh>
    <rPh sb="4" eb="6">
      <t>ソウチ</t>
    </rPh>
    <phoneticPr fontId="13"/>
  </si>
  <si>
    <t>簡易ベッド</t>
    <rPh sb="0" eb="2">
      <t>カンイ</t>
    </rPh>
    <phoneticPr fontId="7"/>
  </si>
  <si>
    <t>簡易ベッド</t>
    <rPh sb="0" eb="2">
      <t>カンイ</t>
    </rPh>
    <phoneticPr fontId="13"/>
  </si>
  <si>
    <t>簡易病室</t>
    <rPh sb="0" eb="2">
      <t>カンイ</t>
    </rPh>
    <rPh sb="2" eb="4">
      <t>ビョウシツ</t>
    </rPh>
    <phoneticPr fontId="7"/>
  </si>
  <si>
    <t>CT撮影装置</t>
    <rPh sb="2" eb="4">
      <t>サツエイ</t>
    </rPh>
    <rPh sb="4" eb="6">
      <t>ソウチ</t>
    </rPh>
    <phoneticPr fontId="13"/>
  </si>
  <si>
    <t>総計</t>
    <rPh sb="0" eb="2">
      <t>ソウケイ</t>
    </rPh>
    <phoneticPr fontId="13"/>
  </si>
  <si>
    <t>注１「県補助額」(H)には、１，０００円未満を切り捨てた額を記入すること。</t>
    <phoneticPr fontId="13"/>
  </si>
  <si>
    <t>日付</t>
    <rPh sb="0" eb="2">
      <t>ヒヅケ</t>
    </rPh>
    <phoneticPr fontId="9"/>
  </si>
  <si>
    <t>見積書金額</t>
    <rPh sb="0" eb="3">
      <t>ミツモリショ</t>
    </rPh>
    <rPh sb="3" eb="5">
      <t>キンガク</t>
    </rPh>
    <phoneticPr fontId="13"/>
  </si>
  <si>
    <t>割引額</t>
    <rPh sb="0" eb="3">
      <t>ワリビキガク</t>
    </rPh>
    <phoneticPr fontId="13"/>
  </si>
  <si>
    <t>（現況の設備状況及び整備を要する設備がないことによりどのような支障が生じたか、さらに今後同様の支障が生じる蓋然性について定量的根拠に基づき説明をすること。なお、説明に不足がある場合、協議の中で追加説明を求めること及び、記載内容の根拠となる資料の提出を求めることがあります。）</t>
    <rPh sb="1" eb="3">
      <t>ゲンキョウ</t>
    </rPh>
    <rPh sb="4" eb="6">
      <t>セツビ</t>
    </rPh>
    <rPh sb="6" eb="8">
      <t>ジョウキョウ</t>
    </rPh>
    <rPh sb="8" eb="9">
      <t>オヨ</t>
    </rPh>
    <rPh sb="10" eb="12">
      <t>セイビ</t>
    </rPh>
    <rPh sb="13" eb="14">
      <t>ヨウ</t>
    </rPh>
    <rPh sb="16" eb="18">
      <t>セツビ</t>
    </rPh>
    <rPh sb="31" eb="33">
      <t>シショウ</t>
    </rPh>
    <rPh sb="34" eb="35">
      <t>ショウ</t>
    </rPh>
    <rPh sb="42" eb="44">
      <t>コンゴ</t>
    </rPh>
    <rPh sb="44" eb="46">
      <t>ドウヨウ</t>
    </rPh>
    <rPh sb="47" eb="49">
      <t>シショウ</t>
    </rPh>
    <rPh sb="50" eb="51">
      <t>ショウ</t>
    </rPh>
    <rPh sb="53" eb="56">
      <t>ガイゼンセイ</t>
    </rPh>
    <rPh sb="60" eb="62">
      <t>テイリョウ</t>
    </rPh>
    <rPh sb="62" eb="63">
      <t>テキ</t>
    </rPh>
    <rPh sb="63" eb="65">
      <t>コンキョ</t>
    </rPh>
    <rPh sb="66" eb="67">
      <t>モト</t>
    </rPh>
    <rPh sb="69" eb="71">
      <t>セツメイ</t>
    </rPh>
    <rPh sb="80" eb="82">
      <t>セツメイ</t>
    </rPh>
    <rPh sb="83" eb="85">
      <t>フソク</t>
    </rPh>
    <rPh sb="88" eb="90">
      <t>バアイ</t>
    </rPh>
    <rPh sb="91" eb="93">
      <t>キョウギ</t>
    </rPh>
    <rPh sb="94" eb="95">
      <t>ナカ</t>
    </rPh>
    <rPh sb="96" eb="98">
      <t>ツイカ</t>
    </rPh>
    <rPh sb="98" eb="100">
      <t>セツメイ</t>
    </rPh>
    <rPh sb="101" eb="102">
      <t>モト</t>
    </rPh>
    <rPh sb="106" eb="107">
      <t>オヨ</t>
    </rPh>
    <rPh sb="109" eb="111">
      <t>キサイ</t>
    </rPh>
    <rPh sb="111" eb="113">
      <t>ナイヨウ</t>
    </rPh>
    <rPh sb="114" eb="116">
      <t>コンキョ</t>
    </rPh>
    <rPh sb="119" eb="121">
      <t>シリョウ</t>
    </rPh>
    <rPh sb="122" eb="124">
      <t>テイシュツ</t>
    </rPh>
    <rPh sb="125" eb="126">
      <t>モト</t>
    </rPh>
    <phoneticPr fontId="9"/>
  </si>
  <si>
    <t>AO</t>
  </si>
  <si>
    <t>AO</t>
    <phoneticPr fontId="9"/>
  </si>
  <si>
    <t>AP</t>
  </si>
  <si>
    <t>AP</t>
    <phoneticPr fontId="9"/>
  </si>
  <si>
    <t>AQ</t>
  </si>
  <si>
    <t>AQ</t>
    <phoneticPr fontId="9"/>
  </si>
  <si>
    <t>AR</t>
    <phoneticPr fontId="9"/>
  </si>
  <si>
    <t>初度設備</t>
    <rPh sb="0" eb="2">
      <t>ショド</t>
    </rPh>
    <rPh sb="2" eb="4">
      <t>セツビ</t>
    </rPh>
    <phoneticPr fontId="9"/>
  </si>
  <si>
    <t>所要額</t>
    <rPh sb="0" eb="3">
      <t>ショヨウガク</t>
    </rPh>
    <phoneticPr fontId="9"/>
  </si>
  <si>
    <t>補助額</t>
    <rPh sb="0" eb="3">
      <t>ホジョガク</t>
    </rPh>
    <phoneticPr fontId="9"/>
  </si>
  <si>
    <t>簡易陰圧装置</t>
    <rPh sb="0" eb="2">
      <t>カンイ</t>
    </rPh>
    <rPh sb="2" eb="4">
      <t>インアツ</t>
    </rPh>
    <rPh sb="4" eb="6">
      <t>ソウチ</t>
    </rPh>
    <phoneticPr fontId="9"/>
  </si>
  <si>
    <t>簡易ベッド</t>
    <rPh sb="0" eb="2">
      <t>カンイ</t>
    </rPh>
    <phoneticPr fontId="9"/>
  </si>
  <si>
    <t>紫外線照射装置</t>
    <phoneticPr fontId="9"/>
  </si>
  <si>
    <t>超音波画像診断装置</t>
    <phoneticPr fontId="9"/>
  </si>
  <si>
    <t>血液浄化装置</t>
    <phoneticPr fontId="9"/>
  </si>
  <si>
    <t>気管支鏡</t>
    <phoneticPr fontId="9"/>
  </si>
  <si>
    <t>ＣＴ撮影装置等</t>
    <phoneticPr fontId="9"/>
  </si>
  <si>
    <t>生体情報モニタ</t>
    <phoneticPr fontId="9"/>
  </si>
  <si>
    <t>分娩監視装置</t>
    <phoneticPr fontId="9"/>
  </si>
  <si>
    <t>新生児モニタ</t>
    <phoneticPr fontId="9"/>
  </si>
  <si>
    <r>
      <t>　</t>
    </r>
    <r>
      <rPr>
        <b/>
        <u/>
        <sz val="11"/>
        <color rgb="FFFF0000"/>
        <rFont val="Yu Gothic"/>
        <family val="3"/>
        <charset val="128"/>
        <scheme val="minor"/>
      </rPr>
      <t>右端に表示の番号を、見積書あるいは納品書の内訳中、該当の部分に記入し記載の箇所を明示してください。</t>
    </r>
    <r>
      <rPr>
        <b/>
        <sz val="11"/>
        <color theme="1"/>
        <rFont val="Yu Gothic"/>
        <family val="3"/>
        <charset val="128"/>
        <scheme val="minor"/>
      </rPr>
      <t xml:space="preserve">
　購入数量が過大または見積額が一般的な相場帯を逸脱していると見受けられる場合は整備内容の見直しを協議において依頼することがあります。
　特定の病床に紐づけるものでない整備に関しては、「病床欄」は「共通使用」を、「用途左記病床」は「対応病床共通」を選択してください。</t>
    </r>
    <rPh sb="52" eb="54">
      <t>コウニュウ</t>
    </rPh>
    <rPh sb="54" eb="56">
      <t>スウリョウ</t>
    </rPh>
    <rPh sb="57" eb="59">
      <t>カダイ</t>
    </rPh>
    <rPh sb="62" eb="64">
      <t>ミツ</t>
    </rPh>
    <rPh sb="64" eb="65">
      <t>ガク</t>
    </rPh>
    <rPh sb="66" eb="69">
      <t>イッパンテキ</t>
    </rPh>
    <rPh sb="70" eb="72">
      <t>ソウバ</t>
    </rPh>
    <rPh sb="72" eb="73">
      <t>タイ</t>
    </rPh>
    <rPh sb="74" eb="76">
      <t>イツダツ</t>
    </rPh>
    <rPh sb="81" eb="83">
      <t>ミウ</t>
    </rPh>
    <rPh sb="87" eb="89">
      <t>バアイ</t>
    </rPh>
    <rPh sb="90" eb="92">
      <t>セイビ</t>
    </rPh>
    <rPh sb="92" eb="94">
      <t>ナイヨウ</t>
    </rPh>
    <rPh sb="95" eb="97">
      <t>ミナオ</t>
    </rPh>
    <rPh sb="99" eb="101">
      <t>キョウギ</t>
    </rPh>
    <rPh sb="105" eb="107">
      <t>イライ</t>
    </rPh>
    <rPh sb="119" eb="121">
      <t>トクテイ</t>
    </rPh>
    <rPh sb="122" eb="124">
      <t>ビョウショウ</t>
    </rPh>
    <rPh sb="125" eb="126">
      <t>ヒモ</t>
    </rPh>
    <rPh sb="134" eb="136">
      <t>セイビ</t>
    </rPh>
    <rPh sb="137" eb="138">
      <t>カン</t>
    </rPh>
    <rPh sb="143" eb="145">
      <t>ビョウショウ</t>
    </rPh>
    <rPh sb="145" eb="146">
      <t>ラン</t>
    </rPh>
    <rPh sb="149" eb="151">
      <t>キョウツウ</t>
    </rPh>
    <rPh sb="151" eb="153">
      <t>シヨウ</t>
    </rPh>
    <rPh sb="157" eb="159">
      <t>ヨウト</t>
    </rPh>
    <rPh sb="159" eb="161">
      <t>サキ</t>
    </rPh>
    <rPh sb="161" eb="163">
      <t>ビョウショウ</t>
    </rPh>
    <rPh sb="166" eb="168">
      <t>タイオウ</t>
    </rPh>
    <rPh sb="168" eb="170">
      <t>ビョウショウ</t>
    </rPh>
    <rPh sb="170" eb="172">
      <t>キョウツウ</t>
    </rPh>
    <rPh sb="174" eb="176">
      <t>センタク</t>
    </rPh>
    <phoneticPr fontId="9"/>
  </si>
  <si>
    <t>入院医療機関
設備整備事業（１）</t>
    <rPh sb="0" eb="2">
      <t>ニュウイン</t>
    </rPh>
    <rPh sb="2" eb="4">
      <t>イリョウ</t>
    </rPh>
    <rPh sb="4" eb="6">
      <t>キカン</t>
    </rPh>
    <rPh sb="7" eb="9">
      <t>セツビ</t>
    </rPh>
    <rPh sb="9" eb="11">
      <t>セイビ</t>
    </rPh>
    <rPh sb="11" eb="13">
      <t>ジギョウ</t>
    </rPh>
    <phoneticPr fontId="13"/>
  </si>
  <si>
    <t>入院医療機関
設備整備事業（２）</t>
    <phoneticPr fontId="13"/>
  </si>
  <si>
    <t>簡易院圧装置</t>
    <rPh sb="0" eb="2">
      <t>カンイ</t>
    </rPh>
    <rPh sb="2" eb="3">
      <t>イン</t>
    </rPh>
    <rPh sb="3" eb="4">
      <t>アツ</t>
    </rPh>
    <rPh sb="4" eb="6">
      <t>ソウチ</t>
    </rPh>
    <phoneticPr fontId="7"/>
  </si>
  <si>
    <t>ＥＣＭＯ</t>
  </si>
  <si>
    <t>ＣＴ</t>
  </si>
  <si>
    <t>生体情報モニタ</t>
    <rPh sb="0" eb="2">
      <t>セイタイ</t>
    </rPh>
    <rPh sb="2" eb="4">
      <t>ジョウホウ</t>
    </rPh>
    <phoneticPr fontId="7"/>
  </si>
  <si>
    <t>交付決定日</t>
    <rPh sb="0" eb="2">
      <t>コウフ</t>
    </rPh>
    <rPh sb="2" eb="5">
      <t>ケッテイビ</t>
    </rPh>
    <phoneticPr fontId="7"/>
  </si>
  <si>
    <t>申請額</t>
    <rPh sb="0" eb="3">
      <t>シンセイガク</t>
    </rPh>
    <phoneticPr fontId="7"/>
  </si>
  <si>
    <t>総事業費</t>
    <rPh sb="0" eb="1">
      <t>ソウ</t>
    </rPh>
    <rPh sb="1" eb="3">
      <t>ジギョウ</t>
    </rPh>
    <rPh sb="3" eb="4">
      <t>ヒ</t>
    </rPh>
    <phoneticPr fontId="7"/>
  </si>
  <si>
    <t>寄付金等</t>
    <rPh sb="0" eb="3">
      <t>キフキン</t>
    </rPh>
    <rPh sb="3" eb="4">
      <t>トウ</t>
    </rPh>
    <phoneticPr fontId="7"/>
  </si>
  <si>
    <t>差引</t>
    <rPh sb="0" eb="2">
      <t>サシヒキ</t>
    </rPh>
    <phoneticPr fontId="7"/>
  </si>
  <si>
    <t>支出予定額</t>
    <rPh sb="0" eb="2">
      <t>シシュツ</t>
    </rPh>
    <rPh sb="2" eb="4">
      <t>ヨテイ</t>
    </rPh>
    <rPh sb="4" eb="5">
      <t>ガク</t>
    </rPh>
    <phoneticPr fontId="7"/>
  </si>
  <si>
    <t>基準額</t>
    <rPh sb="0" eb="2">
      <t>キジュン</t>
    </rPh>
    <rPh sb="2" eb="3">
      <t>ガク</t>
    </rPh>
    <phoneticPr fontId="7"/>
  </si>
  <si>
    <t>選定額</t>
    <rPh sb="0" eb="2">
      <t>センテイ</t>
    </rPh>
    <rPh sb="2" eb="3">
      <t>ガク</t>
    </rPh>
    <phoneticPr fontId="7"/>
  </si>
  <si>
    <t>補助基本額</t>
    <rPh sb="0" eb="2">
      <t>ホジョ</t>
    </rPh>
    <rPh sb="2" eb="4">
      <t>キホン</t>
    </rPh>
    <rPh sb="4" eb="5">
      <t>ガク</t>
    </rPh>
    <phoneticPr fontId="7"/>
  </si>
  <si>
    <t>補助額</t>
    <rPh sb="0" eb="2">
      <t>ホジョ</t>
    </rPh>
    <rPh sb="2" eb="3">
      <t>ガク</t>
    </rPh>
    <phoneticPr fontId="7"/>
  </si>
  <si>
    <t>金融機関名</t>
    <rPh sb="0" eb="2">
      <t>キンユウ</t>
    </rPh>
    <rPh sb="2" eb="5">
      <t>キカンメイ</t>
    </rPh>
    <phoneticPr fontId="7"/>
  </si>
  <si>
    <t>支店名</t>
    <rPh sb="0" eb="3">
      <t>シテンメイ</t>
    </rPh>
    <phoneticPr fontId="7"/>
  </si>
  <si>
    <t>預金口座種別</t>
    <rPh sb="0" eb="2">
      <t>ヨキン</t>
    </rPh>
    <rPh sb="2" eb="4">
      <t>コウザ</t>
    </rPh>
    <rPh sb="4" eb="6">
      <t>シュベツ</t>
    </rPh>
    <phoneticPr fontId="7"/>
  </si>
  <si>
    <t>口座情報</t>
    <rPh sb="0" eb="2">
      <t>コウザ</t>
    </rPh>
    <rPh sb="2" eb="4">
      <t>ジョウホウ</t>
    </rPh>
    <phoneticPr fontId="9"/>
  </si>
  <si>
    <t>岐阜信用金庫</t>
  </si>
  <si>
    <t>普通</t>
  </si>
  <si>
    <t>豊川信用金庫</t>
  </si>
  <si>
    <t>本店営業部</t>
  </si>
  <si>
    <t>大府支店</t>
  </si>
  <si>
    <t>名古屋銀行</t>
  </si>
  <si>
    <t>岡崎信用金庫</t>
  </si>
  <si>
    <t>豊橋支店</t>
  </si>
  <si>
    <t>いちい信用金庫</t>
  </si>
  <si>
    <t>津島営業部</t>
  </si>
  <si>
    <t>百五銀行</t>
  </si>
  <si>
    <t>西春支店</t>
  </si>
  <si>
    <t>当座</t>
  </si>
  <si>
    <t>藤が丘支店</t>
  </si>
  <si>
    <t>みずほ銀行</t>
  </si>
  <si>
    <t>名古屋支店</t>
  </si>
  <si>
    <t>東海支店</t>
  </si>
  <si>
    <t>今池支店</t>
  </si>
  <si>
    <t>滝子支店</t>
  </si>
  <si>
    <t>東海公務部</t>
  </si>
  <si>
    <t>蒲郡信用金庫</t>
  </si>
  <si>
    <t>豊橋信用金庫</t>
  </si>
  <si>
    <t>中京銀行</t>
  </si>
  <si>
    <t>瀬戸支店</t>
  </si>
  <si>
    <t>新城支店</t>
  </si>
  <si>
    <t>大津橋支店</t>
  </si>
  <si>
    <t>　愛　知　県　知　事　殿</t>
    <phoneticPr fontId="13"/>
  </si>
  <si>
    <t>所　  在 　 地</t>
    <rPh sb="0" eb="1">
      <t>トコロ</t>
    </rPh>
    <rPh sb="4" eb="5">
      <t>ザイ</t>
    </rPh>
    <rPh sb="8" eb="9">
      <t>チ</t>
    </rPh>
    <phoneticPr fontId="13"/>
  </si>
  <si>
    <t>実績報告</t>
    <rPh sb="0" eb="2">
      <t>ジッセキ</t>
    </rPh>
    <rPh sb="2" eb="4">
      <t>ホウコク</t>
    </rPh>
    <phoneticPr fontId="13"/>
  </si>
  <si>
    <t>交付申請</t>
    <rPh sb="0" eb="2">
      <t>コウフ</t>
    </rPh>
    <rPh sb="2" eb="4">
      <t>シンセイ</t>
    </rPh>
    <phoneticPr fontId="13"/>
  </si>
  <si>
    <t>補助事業者名</t>
    <rPh sb="0" eb="2">
      <t>ホジョ</t>
    </rPh>
    <rPh sb="2" eb="4">
      <t>ジギョウ</t>
    </rPh>
    <rPh sb="4" eb="5">
      <t>シャ</t>
    </rPh>
    <rPh sb="5" eb="6">
      <t>メイ</t>
    </rPh>
    <phoneticPr fontId="13"/>
  </si>
  <si>
    <t>変更申請</t>
    <rPh sb="0" eb="2">
      <t>ヘンコウ</t>
    </rPh>
    <rPh sb="2" eb="4">
      <t>シンセイ</t>
    </rPh>
    <phoneticPr fontId="13"/>
  </si>
  <si>
    <t>代表者職氏名</t>
    <rPh sb="0" eb="3">
      <t>ダイヒョウシャ</t>
    </rPh>
    <rPh sb="3" eb="4">
      <t>ショク</t>
    </rPh>
    <rPh sb="4" eb="6">
      <t>シメイ</t>
    </rPh>
    <phoneticPr fontId="13"/>
  </si>
  <si>
    <t>記</t>
    <rPh sb="0" eb="1">
      <t>キ</t>
    </rPh>
    <phoneticPr fontId="13"/>
  </si>
  <si>
    <t>４　添付書類</t>
    <rPh sb="2" eb="4">
      <t>テンプ</t>
    </rPh>
    <rPh sb="4" eb="6">
      <t>ショルイ</t>
    </rPh>
    <phoneticPr fontId="13"/>
  </si>
  <si>
    <t>　</t>
    <phoneticPr fontId="13"/>
  </si>
  <si>
    <t>　申請者は、以下いずれの事項にも該当するものであることを申し立てます。
□　補助を受ける経費について他の補助金等の交付を受けていないこと。
□　本補助金により整備した設備は新型コロナウイルス感染症対策の目的以外に使用しないこと。
□　本補助金の収入、支出等に係る証拠書類を５年間適切に整備保管すること。
□　暴力団員又は暴力団関係者と実質的を含めいかなる関係も有していないこと。</t>
    <rPh sb="1" eb="3">
      <t>シンセイ</t>
    </rPh>
    <rPh sb="6" eb="8">
      <t>イカ</t>
    </rPh>
    <rPh sb="12" eb="14">
      <t>ジコウ</t>
    </rPh>
    <rPh sb="16" eb="18">
      <t>ガイトウ</t>
    </rPh>
    <rPh sb="28" eb="29">
      <t>モウ</t>
    </rPh>
    <rPh sb="30" eb="31">
      <t>タ</t>
    </rPh>
    <rPh sb="72" eb="73">
      <t>ホン</t>
    </rPh>
    <rPh sb="73" eb="76">
      <t>ホジョキン</t>
    </rPh>
    <rPh sb="79" eb="81">
      <t>セイビ</t>
    </rPh>
    <rPh sb="86" eb="88">
      <t>シンガタ</t>
    </rPh>
    <rPh sb="95" eb="98">
      <t>カンセンショウ</t>
    </rPh>
    <rPh sb="98" eb="100">
      <t>タイサク</t>
    </rPh>
    <rPh sb="101" eb="103">
      <t>モクテキ</t>
    </rPh>
    <rPh sb="104" eb="105">
      <t>ガイ</t>
    </rPh>
    <rPh sb="106" eb="108">
      <t>シヨウ</t>
    </rPh>
    <rPh sb="117" eb="118">
      <t>ホン</t>
    </rPh>
    <rPh sb="158" eb="159">
      <t>マタ</t>
    </rPh>
    <phoneticPr fontId="13"/>
  </si>
  <si>
    <t>　申請者は、以下いずれの事項にも該当するものであることを申し立てます。
☑　補助を受ける経費について他の補助金等の交付を受けていないこと。
☑　本補助金により整備した設備は新型コロナウイルス感染症対策の目的以外に使用しないこと。
☑　本補助金の収入、支出等に係る証拠書類を５年間適切に整備保管すること。
☑　暴力団員又は暴力団関係者と実質的を含めいかなる関係も有していないこと。</t>
    <rPh sb="1" eb="3">
      <t>シンセイ</t>
    </rPh>
    <rPh sb="6" eb="8">
      <t>イカ</t>
    </rPh>
    <rPh sb="12" eb="14">
      <t>ジコウ</t>
    </rPh>
    <rPh sb="16" eb="18">
      <t>ガイトウ</t>
    </rPh>
    <rPh sb="28" eb="29">
      <t>モウ</t>
    </rPh>
    <rPh sb="30" eb="31">
      <t>タ</t>
    </rPh>
    <rPh sb="72" eb="73">
      <t>ホン</t>
    </rPh>
    <rPh sb="73" eb="76">
      <t>ホジョキン</t>
    </rPh>
    <rPh sb="79" eb="81">
      <t>セイビ</t>
    </rPh>
    <rPh sb="86" eb="88">
      <t>シンガタ</t>
    </rPh>
    <rPh sb="95" eb="98">
      <t>カンセンショウ</t>
    </rPh>
    <rPh sb="98" eb="100">
      <t>タイサク</t>
    </rPh>
    <rPh sb="101" eb="103">
      <t>モクテキ</t>
    </rPh>
    <rPh sb="104" eb="105">
      <t>ガイ</t>
    </rPh>
    <rPh sb="106" eb="108">
      <t>シヨウ</t>
    </rPh>
    <rPh sb="117" eb="118">
      <t>ホン</t>
    </rPh>
    <rPh sb="158" eb="159">
      <t>マタ</t>
    </rPh>
    <phoneticPr fontId="13"/>
  </si>
  <si>
    <t>電話番号</t>
    <rPh sb="0" eb="2">
      <t>デンワ</t>
    </rPh>
    <rPh sb="2" eb="4">
      <t>バンゴウ</t>
    </rPh>
    <phoneticPr fontId="13"/>
  </si>
  <si>
    <t>Mailｱﾄﾞﾚｽ</t>
    <phoneticPr fontId="13"/>
  </si>
  <si>
    <t>　　愛知県知事　殿</t>
    <rPh sb="2" eb="5">
      <t>アイチケン</t>
    </rPh>
    <rPh sb="5" eb="7">
      <t>チジ</t>
    </rPh>
    <rPh sb="8" eb="9">
      <t>ドノ</t>
    </rPh>
    <phoneticPr fontId="13"/>
  </si>
  <si>
    <t>住所</t>
    <rPh sb="0" eb="2">
      <t>ジュウショ</t>
    </rPh>
    <phoneticPr fontId="13"/>
  </si>
  <si>
    <t>施設名称</t>
    <rPh sb="0" eb="2">
      <t>シセツ</t>
    </rPh>
    <rPh sb="2" eb="4">
      <t>メイショウ</t>
    </rPh>
    <phoneticPr fontId="13"/>
  </si>
  <si>
    <t>請　求　書</t>
    <rPh sb="0" eb="1">
      <t>ショウ</t>
    </rPh>
    <rPh sb="2" eb="3">
      <t>モトム</t>
    </rPh>
    <rPh sb="4" eb="5">
      <t>ショ</t>
    </rPh>
    <phoneticPr fontId="13"/>
  </si>
  <si>
    <t>１．請求金額</t>
    <rPh sb="2" eb="4">
      <t>セイキュウ</t>
    </rPh>
    <rPh sb="4" eb="6">
      <t>キンガク</t>
    </rPh>
    <phoneticPr fontId="13"/>
  </si>
  <si>
    <t>２．振込先口座</t>
    <rPh sb="2" eb="5">
      <t>フリコミサキ</t>
    </rPh>
    <rPh sb="5" eb="7">
      <t>コウザ</t>
    </rPh>
    <phoneticPr fontId="13"/>
  </si>
  <si>
    <t>金融機関名</t>
    <rPh sb="0" eb="2">
      <t>キンユウ</t>
    </rPh>
    <rPh sb="2" eb="4">
      <t>キカン</t>
    </rPh>
    <rPh sb="4" eb="5">
      <t>メイ</t>
    </rPh>
    <phoneticPr fontId="13"/>
  </si>
  <si>
    <t>支店名</t>
    <rPh sb="0" eb="3">
      <t>シテンメイ</t>
    </rPh>
    <phoneticPr fontId="13"/>
  </si>
  <si>
    <t>口座種別</t>
    <rPh sb="0" eb="2">
      <t>コウザ</t>
    </rPh>
    <rPh sb="2" eb="4">
      <t>シュベツ</t>
    </rPh>
    <phoneticPr fontId="13"/>
  </si>
  <si>
    <t>口座番号</t>
    <rPh sb="0" eb="2">
      <t>コウザ</t>
    </rPh>
    <rPh sb="2" eb="4">
      <t>バンゴウ</t>
    </rPh>
    <phoneticPr fontId="13"/>
  </si>
  <si>
    <t>担　当　者</t>
    <rPh sb="0" eb="1">
      <t>タン</t>
    </rPh>
    <rPh sb="2" eb="3">
      <t>トウ</t>
    </rPh>
    <rPh sb="4" eb="5">
      <t>モノ</t>
    </rPh>
    <phoneticPr fontId="9"/>
  </si>
  <si>
    <t>氏　名</t>
    <rPh sb="0" eb="1">
      <t>シ</t>
    </rPh>
    <rPh sb="2" eb="3">
      <t>ナ</t>
    </rPh>
    <phoneticPr fontId="9"/>
  </si>
  <si>
    <t>電話番号</t>
    <rPh sb="0" eb="1">
      <t>デン</t>
    </rPh>
    <rPh sb="1" eb="2">
      <t>ハナシ</t>
    </rPh>
    <rPh sb="2" eb="4">
      <t>バンゴウ</t>
    </rPh>
    <phoneticPr fontId="9"/>
  </si>
  <si>
    <t>メールアドレス</t>
  </si>
  <si>
    <t>以下のとおりです。</t>
    <phoneticPr fontId="13"/>
  </si>
  <si>
    <r>
      <t>振込先情報</t>
    </r>
    <r>
      <rPr>
        <b/>
        <sz val="12"/>
        <color rgb="FFFF0000"/>
        <rFont val="Yu Gothic"/>
        <family val="3"/>
        <charset val="128"/>
        <scheme val="minor"/>
      </rPr>
      <t>※2</t>
    </r>
    <rPh sb="0" eb="3">
      <t>フリコミサキ</t>
    </rPh>
    <rPh sb="3" eb="5">
      <t>ジョウホウ</t>
    </rPh>
    <phoneticPr fontId="9"/>
  </si>
  <si>
    <t>金融機関コード</t>
    <rPh sb="0" eb="2">
      <t>キンユウ</t>
    </rPh>
    <rPh sb="2" eb="4">
      <t>キカン</t>
    </rPh>
    <phoneticPr fontId="42"/>
  </si>
  <si>
    <t>←４桁の金融機関コードを半角数字で入力してください。</t>
    <rPh sb="2" eb="3">
      <t>ケタ</t>
    </rPh>
    <rPh sb="4" eb="6">
      <t>キンユウ</t>
    </rPh>
    <rPh sb="6" eb="8">
      <t>キカン</t>
    </rPh>
    <rPh sb="12" eb="14">
      <t>ハンカク</t>
    </rPh>
    <rPh sb="14" eb="16">
      <t>スウジ</t>
    </rPh>
    <rPh sb="17" eb="19">
      <t>ニュウリョク</t>
    </rPh>
    <phoneticPr fontId="13"/>
  </si>
  <si>
    <t>支店番号</t>
    <rPh sb="0" eb="2">
      <t>シテン</t>
    </rPh>
    <rPh sb="2" eb="4">
      <t>バンゴウ</t>
    </rPh>
    <phoneticPr fontId="42"/>
  </si>
  <si>
    <t>←３桁の支店コードを半角数字で入力してください。</t>
    <rPh sb="2" eb="3">
      <t>ケタ</t>
    </rPh>
    <rPh sb="4" eb="6">
      <t>シテン</t>
    </rPh>
    <rPh sb="10" eb="12">
      <t>ハンカク</t>
    </rPh>
    <rPh sb="12" eb="14">
      <t>スウジ</t>
    </rPh>
    <rPh sb="15" eb="17">
      <t>ニュウリョク</t>
    </rPh>
    <phoneticPr fontId="13"/>
  </si>
  <si>
    <t>金融機関名</t>
    <rPh sb="0" eb="2">
      <t>キンユウ</t>
    </rPh>
    <rPh sb="2" eb="4">
      <t>キカン</t>
    </rPh>
    <rPh sb="4" eb="5">
      <t>メイ</t>
    </rPh>
    <phoneticPr fontId="42"/>
  </si>
  <si>
    <t>←「株式会社」は不要。「銀行」、「信用金庫」等まで入力してください。</t>
    <rPh sb="2" eb="4">
      <t>カブシキ</t>
    </rPh>
    <rPh sb="4" eb="6">
      <t>カイシャ</t>
    </rPh>
    <rPh sb="8" eb="10">
      <t>フヨウ</t>
    </rPh>
    <rPh sb="12" eb="14">
      <t>ギンコウ</t>
    </rPh>
    <rPh sb="17" eb="19">
      <t>シンヨウ</t>
    </rPh>
    <rPh sb="19" eb="21">
      <t>キンコ</t>
    </rPh>
    <rPh sb="22" eb="23">
      <t>トウ</t>
    </rPh>
    <rPh sb="25" eb="27">
      <t>ニュウリョク</t>
    </rPh>
    <phoneticPr fontId="13"/>
  </si>
  <si>
    <t>店　名</t>
    <rPh sb="0" eb="1">
      <t>ミセ</t>
    </rPh>
    <rPh sb="2" eb="3">
      <t>ナ</t>
    </rPh>
    <phoneticPr fontId="42"/>
  </si>
  <si>
    <t>←「支店」、「営業部」まで入力してください。</t>
    <rPh sb="2" eb="4">
      <t>シテン</t>
    </rPh>
    <rPh sb="7" eb="10">
      <t>エイギョウブ</t>
    </rPh>
    <rPh sb="13" eb="15">
      <t>ニュウリョク</t>
    </rPh>
    <phoneticPr fontId="13"/>
  </si>
  <si>
    <t>預金種類</t>
    <rPh sb="0" eb="2">
      <t>ヨキン</t>
    </rPh>
    <rPh sb="2" eb="4">
      <t>シュルイ</t>
    </rPh>
    <phoneticPr fontId="42"/>
  </si>
  <si>
    <t>１．普通　２．当座　（数字を記入してください。）</t>
    <rPh sb="7" eb="9">
      <t>トウザ</t>
    </rPh>
    <rPh sb="11" eb="13">
      <t>スウジ</t>
    </rPh>
    <rPh sb="14" eb="16">
      <t>キニュウ</t>
    </rPh>
    <phoneticPr fontId="42"/>
  </si>
  <si>
    <t>口座番号</t>
    <rPh sb="0" eb="2">
      <t>コウザ</t>
    </rPh>
    <rPh sb="2" eb="4">
      <t>バンゴウ</t>
    </rPh>
    <phoneticPr fontId="42"/>
  </si>
  <si>
    <t>←番号が７桁以下の場合は先頭に「0」を入力してください。</t>
    <rPh sb="1" eb="3">
      <t>バンゴウ</t>
    </rPh>
    <rPh sb="5" eb="6">
      <t>ケタ</t>
    </rPh>
    <rPh sb="6" eb="8">
      <t>イカ</t>
    </rPh>
    <rPh sb="9" eb="11">
      <t>バアイ</t>
    </rPh>
    <rPh sb="12" eb="14">
      <t>セントウ</t>
    </rPh>
    <rPh sb="19" eb="21">
      <t>ニュウリョク</t>
    </rPh>
    <phoneticPr fontId="13"/>
  </si>
  <si>
    <t>口座名義（ｶﾅ）</t>
    <rPh sb="0" eb="2">
      <t>コウザ</t>
    </rPh>
    <rPh sb="2" eb="4">
      <t>メイギ</t>
    </rPh>
    <phoneticPr fontId="9"/>
  </si>
  <si>
    <t>口座名義</t>
    <rPh sb="0" eb="2">
      <t>コウザ</t>
    </rPh>
    <rPh sb="2" eb="4">
      <t>メイギ</t>
    </rPh>
    <phoneticPr fontId="9"/>
  </si>
  <si>
    <t>←コメントまとめ</t>
    <phoneticPr fontId="13"/>
  </si>
  <si>
    <t>歳入</t>
    <rPh sb="0" eb="2">
      <t>サイニュウ</t>
    </rPh>
    <phoneticPr fontId="42"/>
  </si>
  <si>
    <t>款</t>
    <rPh sb="0" eb="1">
      <t>カン</t>
    </rPh>
    <phoneticPr fontId="42"/>
  </si>
  <si>
    <t>項</t>
    <rPh sb="0" eb="1">
      <t>コウ</t>
    </rPh>
    <phoneticPr fontId="42"/>
  </si>
  <si>
    <t>目</t>
    <rPh sb="0" eb="1">
      <t>モク</t>
    </rPh>
    <phoneticPr fontId="42"/>
  </si>
  <si>
    <t>予算現額</t>
    <rPh sb="0" eb="2">
      <t>ヨサン</t>
    </rPh>
    <rPh sb="2" eb="3">
      <t>ウツツ</t>
    </rPh>
    <rPh sb="3" eb="4">
      <t>ガク</t>
    </rPh>
    <phoneticPr fontId="42"/>
  </si>
  <si>
    <t>節</t>
    <rPh sb="0" eb="1">
      <t>セツ</t>
    </rPh>
    <phoneticPr fontId="42"/>
  </si>
  <si>
    <t>備考</t>
    <rPh sb="0" eb="2">
      <t>ビコウ</t>
    </rPh>
    <phoneticPr fontId="42"/>
  </si>
  <si>
    <t>入力区分</t>
    <rPh sb="0" eb="2">
      <t>ニュウリョク</t>
    </rPh>
    <rPh sb="2" eb="4">
      <t>クブン</t>
    </rPh>
    <phoneticPr fontId="13"/>
  </si>
  <si>
    <t>区分</t>
    <rPh sb="0" eb="2">
      <t>クブン</t>
    </rPh>
    <phoneticPr fontId="42"/>
  </si>
  <si>
    <t>金額</t>
    <rPh sb="0" eb="2">
      <t>キンガク</t>
    </rPh>
    <phoneticPr fontId="42"/>
  </si>
  <si>
    <t>歳入</t>
    <rPh sb="0" eb="2">
      <t>サイニュウ</t>
    </rPh>
    <phoneticPr fontId="13"/>
  </si>
  <si>
    <t>歳出</t>
    <rPh sb="0" eb="2">
      <t>サイシュツ</t>
    </rPh>
    <phoneticPr fontId="13"/>
  </si>
  <si>
    <t>歳出</t>
    <rPh sb="0" eb="2">
      <t>サイシュツ</t>
    </rPh>
    <phoneticPr fontId="42"/>
  </si>
  <si>
    <t>　　　原本と相違ないことを証明します。</t>
    <rPh sb="3" eb="5">
      <t>ゲンポン</t>
    </rPh>
    <rPh sb="6" eb="8">
      <t>ソウイ</t>
    </rPh>
    <rPh sb="13" eb="15">
      <t>ショウメイ</t>
    </rPh>
    <phoneticPr fontId="42"/>
  </si>
  <si>
    <t>補助事業者名　</t>
    <rPh sb="0" eb="2">
      <t>ホジョ</t>
    </rPh>
    <rPh sb="2" eb="5">
      <t>ジギョウシャ</t>
    </rPh>
    <rPh sb="5" eb="6">
      <t>メイ</t>
    </rPh>
    <phoneticPr fontId="13"/>
  </si>
  <si>
    <t>代表者職氏名</t>
    <rPh sb="0" eb="3">
      <t>ダイヒョウシャ</t>
    </rPh>
    <rPh sb="3" eb="4">
      <t>ショク</t>
    </rPh>
    <rPh sb="4" eb="6">
      <t>シメイ</t>
    </rPh>
    <phoneticPr fontId="42"/>
  </si>
  <si>
    <t>(注）節の金額が他の事業を含む場合は、当該補助対象事業分を備考欄に記入すること。</t>
    <rPh sb="1" eb="2">
      <t>チュウ</t>
    </rPh>
    <rPh sb="3" eb="4">
      <t>セツ</t>
    </rPh>
    <rPh sb="5" eb="7">
      <t>キンガク</t>
    </rPh>
    <rPh sb="8" eb="9">
      <t>タ</t>
    </rPh>
    <rPh sb="10" eb="12">
      <t>ジギョウ</t>
    </rPh>
    <rPh sb="13" eb="14">
      <t>フク</t>
    </rPh>
    <rPh sb="15" eb="17">
      <t>バアイ</t>
    </rPh>
    <rPh sb="19" eb="21">
      <t>トウガイ</t>
    </rPh>
    <rPh sb="21" eb="23">
      <t>ホジョ</t>
    </rPh>
    <rPh sb="23" eb="25">
      <t>タイショウ</t>
    </rPh>
    <rPh sb="25" eb="27">
      <t>ジギョウ</t>
    </rPh>
    <rPh sb="27" eb="28">
      <t>ブン</t>
    </rPh>
    <rPh sb="29" eb="31">
      <t>ビコウ</t>
    </rPh>
    <rPh sb="31" eb="32">
      <t>ラン</t>
    </rPh>
    <rPh sb="33" eb="35">
      <t>キニュウ</t>
    </rPh>
    <phoneticPr fontId="42"/>
  </si>
  <si>
    <t>　なお、本協議を行う者は、補助事業者として補助金等に係る予算の執行の適正化に関する法律（昭和三十年法律第百七十九号）（以下、「法」という。）第３条第２項に定める責務を負うものであること及び、本協議は法第26条第１項及び第２項に基づき本補助金に係る事務を実施することとした都道府県が法第６条に基づく交付決定を行うにあたり補助事業等の目的及び内容が適正であるかどうかを確認するために行うためのものであり、補助事業者として協議に係る補助事業の目的及び内容について必要な説明責任を負うものであることについて確認しました。</t>
    <rPh sb="4" eb="7">
      <t>ホンキョウギ</t>
    </rPh>
    <rPh sb="8" eb="9">
      <t>オコナ</t>
    </rPh>
    <rPh sb="10" eb="11">
      <t>モノ</t>
    </rPh>
    <rPh sb="13" eb="15">
      <t>ホジョ</t>
    </rPh>
    <rPh sb="15" eb="18">
      <t>ジギョウシャ</t>
    </rPh>
    <rPh sb="21" eb="24">
      <t>ホジョキン</t>
    </rPh>
    <rPh sb="24" eb="25">
      <t>トウ</t>
    </rPh>
    <rPh sb="26" eb="27">
      <t>カカ</t>
    </rPh>
    <rPh sb="28" eb="30">
      <t>ヨサン</t>
    </rPh>
    <rPh sb="31" eb="33">
      <t>シッコウ</t>
    </rPh>
    <rPh sb="34" eb="37">
      <t>テキセイカ</t>
    </rPh>
    <rPh sb="38" eb="39">
      <t>カン</t>
    </rPh>
    <rPh sb="41" eb="43">
      <t>ホウリツ</t>
    </rPh>
    <rPh sb="44" eb="46">
      <t>ショウワ</t>
    </rPh>
    <rPh sb="46" eb="49">
      <t>サンジュウネン</t>
    </rPh>
    <rPh sb="49" eb="51">
      <t>ホウリツ</t>
    </rPh>
    <rPh sb="51" eb="52">
      <t>ダイ</t>
    </rPh>
    <rPh sb="52" eb="57">
      <t>ヒャクナナジュウキュウゴウ</t>
    </rPh>
    <rPh sb="59" eb="61">
      <t>イカ</t>
    </rPh>
    <rPh sb="63" eb="64">
      <t>ホウ</t>
    </rPh>
    <rPh sb="70" eb="71">
      <t>ダイ</t>
    </rPh>
    <rPh sb="72" eb="73">
      <t>ジョウ</t>
    </rPh>
    <rPh sb="73" eb="74">
      <t>ダイ</t>
    </rPh>
    <rPh sb="75" eb="76">
      <t>コウ</t>
    </rPh>
    <rPh sb="77" eb="78">
      <t>サダ</t>
    </rPh>
    <rPh sb="80" eb="82">
      <t>セキム</t>
    </rPh>
    <rPh sb="83" eb="84">
      <t>オ</t>
    </rPh>
    <rPh sb="92" eb="93">
      <t>オヨ</t>
    </rPh>
    <rPh sb="95" eb="98">
      <t>ホンキョウギ</t>
    </rPh>
    <rPh sb="100" eb="101">
      <t>ダイ</t>
    </rPh>
    <rPh sb="103" eb="104">
      <t>ジョウ</t>
    </rPh>
    <rPh sb="104" eb="105">
      <t>ダイ</t>
    </rPh>
    <rPh sb="106" eb="107">
      <t>コウ</t>
    </rPh>
    <rPh sb="107" eb="108">
      <t>オヨ</t>
    </rPh>
    <rPh sb="109" eb="110">
      <t>ダイ</t>
    </rPh>
    <rPh sb="111" eb="112">
      <t>コウ</t>
    </rPh>
    <rPh sb="113" eb="114">
      <t>モト</t>
    </rPh>
    <rPh sb="116" eb="117">
      <t>ホン</t>
    </rPh>
    <rPh sb="117" eb="120">
      <t>ホジョキン</t>
    </rPh>
    <rPh sb="121" eb="122">
      <t>カカ</t>
    </rPh>
    <rPh sb="123" eb="125">
      <t>ジム</t>
    </rPh>
    <rPh sb="126" eb="128">
      <t>ジッシ</t>
    </rPh>
    <rPh sb="135" eb="139">
      <t>トドウフケン</t>
    </rPh>
    <rPh sb="141" eb="142">
      <t>ダイ</t>
    </rPh>
    <rPh sb="143" eb="144">
      <t>ジョウ</t>
    </rPh>
    <rPh sb="145" eb="146">
      <t>モト</t>
    </rPh>
    <rPh sb="148" eb="150">
      <t>コウフ</t>
    </rPh>
    <rPh sb="150" eb="152">
      <t>ケッテイ</t>
    </rPh>
    <rPh sb="153" eb="154">
      <t>オコナ</t>
    </rPh>
    <rPh sb="182" eb="184">
      <t>カクニン</t>
    </rPh>
    <rPh sb="189" eb="190">
      <t>オコナ</t>
    </rPh>
    <rPh sb="200" eb="202">
      <t>ホジョ</t>
    </rPh>
    <rPh sb="202" eb="205">
      <t>ジギョウシャ</t>
    </rPh>
    <rPh sb="208" eb="210">
      <t>キョウギ</t>
    </rPh>
    <rPh sb="211" eb="212">
      <t>カカ</t>
    </rPh>
    <rPh sb="213" eb="215">
      <t>ホジョ</t>
    </rPh>
    <rPh sb="215" eb="217">
      <t>ジギョウ</t>
    </rPh>
    <rPh sb="218" eb="220">
      <t>モクテキ</t>
    </rPh>
    <rPh sb="220" eb="221">
      <t>オヨ</t>
    </rPh>
    <rPh sb="222" eb="224">
      <t>ナイヨウ</t>
    </rPh>
    <rPh sb="228" eb="230">
      <t>ヒツヨウ</t>
    </rPh>
    <rPh sb="231" eb="233">
      <t>セツメイ</t>
    </rPh>
    <rPh sb="233" eb="235">
      <t>セキニン</t>
    </rPh>
    <rPh sb="249" eb="251">
      <t>カクニン</t>
    </rPh>
    <phoneticPr fontId="9"/>
  </si>
  <si>
    <t>個別病床</t>
    <rPh sb="0" eb="2">
      <t>コベツ</t>
    </rPh>
    <rPh sb="2" eb="4">
      <t>ビョウショウ</t>
    </rPh>
    <phoneticPr fontId="13"/>
  </si>
  <si>
    <t>病床1</t>
    <rPh sb="0" eb="2">
      <t>ビョウショウ</t>
    </rPh>
    <phoneticPr fontId="13"/>
  </si>
  <si>
    <t>病床2</t>
    <rPh sb="0" eb="2">
      <t>ビョウショウ</t>
    </rPh>
    <phoneticPr fontId="13"/>
  </si>
  <si>
    <t>病床3</t>
    <rPh sb="0" eb="2">
      <t>ビョウショウ</t>
    </rPh>
    <phoneticPr fontId="13"/>
  </si>
  <si>
    <t>病床4</t>
    <rPh sb="0" eb="2">
      <t>ビョウショウ</t>
    </rPh>
    <phoneticPr fontId="13"/>
  </si>
  <si>
    <t>病床5</t>
    <rPh sb="0" eb="2">
      <t>ビョウショウ</t>
    </rPh>
    <phoneticPr fontId="13"/>
  </si>
  <si>
    <t>病床6</t>
    <rPh sb="0" eb="2">
      <t>ビョウショウ</t>
    </rPh>
    <phoneticPr fontId="13"/>
  </si>
  <si>
    <t>病床7</t>
    <rPh sb="0" eb="2">
      <t>ビョウショウ</t>
    </rPh>
    <phoneticPr fontId="13"/>
  </si>
  <si>
    <t>病床8</t>
    <rPh sb="0" eb="2">
      <t>ビョウショウ</t>
    </rPh>
    <phoneticPr fontId="13"/>
  </si>
  <si>
    <t>病床9</t>
    <rPh sb="0" eb="2">
      <t>ビョウショウ</t>
    </rPh>
    <phoneticPr fontId="13"/>
  </si>
  <si>
    <t>病床10</t>
    <rPh sb="0" eb="2">
      <t>ビョウショウ</t>
    </rPh>
    <phoneticPr fontId="13"/>
  </si>
  <si>
    <t>病床11</t>
    <rPh sb="0" eb="2">
      <t>ビョウショウ</t>
    </rPh>
    <phoneticPr fontId="13"/>
  </si>
  <si>
    <t>病床12</t>
    <rPh sb="0" eb="2">
      <t>ビョウショウ</t>
    </rPh>
    <phoneticPr fontId="13"/>
  </si>
  <si>
    <t>病床13</t>
    <rPh sb="0" eb="2">
      <t>ビョウショウ</t>
    </rPh>
    <phoneticPr fontId="13"/>
  </si>
  <si>
    <t>病床14</t>
    <rPh sb="0" eb="2">
      <t>ビョウショウ</t>
    </rPh>
    <phoneticPr fontId="13"/>
  </si>
  <si>
    <t>病床15</t>
    <rPh sb="0" eb="2">
      <t>ビョウショウ</t>
    </rPh>
    <phoneticPr fontId="13"/>
  </si>
  <si>
    <t>病床16</t>
    <rPh sb="0" eb="2">
      <t>ビョウショウ</t>
    </rPh>
    <phoneticPr fontId="13"/>
  </si>
  <si>
    <t>病床17</t>
    <rPh sb="0" eb="2">
      <t>ビョウショウ</t>
    </rPh>
    <phoneticPr fontId="13"/>
  </si>
  <si>
    <t>病床18</t>
    <rPh sb="0" eb="2">
      <t>ビョウショウ</t>
    </rPh>
    <phoneticPr fontId="13"/>
  </si>
  <si>
    <t>病床19</t>
    <rPh sb="0" eb="2">
      <t>ビョウショウ</t>
    </rPh>
    <phoneticPr fontId="13"/>
  </si>
  <si>
    <t>病床20</t>
    <rPh sb="0" eb="2">
      <t>ビョウショウ</t>
    </rPh>
    <phoneticPr fontId="13"/>
  </si>
  <si>
    <t>病床21</t>
    <rPh sb="0" eb="2">
      <t>ビョウショウ</t>
    </rPh>
    <phoneticPr fontId="13"/>
  </si>
  <si>
    <t>病床22</t>
    <rPh sb="0" eb="2">
      <t>ビョウショウ</t>
    </rPh>
    <phoneticPr fontId="13"/>
  </si>
  <si>
    <t>病床23</t>
    <rPh sb="0" eb="2">
      <t>ビョウショウ</t>
    </rPh>
    <phoneticPr fontId="13"/>
  </si>
  <si>
    <t>病床24</t>
    <rPh sb="0" eb="2">
      <t>ビョウショウ</t>
    </rPh>
    <phoneticPr fontId="13"/>
  </si>
  <si>
    <t>病床25</t>
    <rPh sb="0" eb="2">
      <t>ビョウショウ</t>
    </rPh>
    <phoneticPr fontId="13"/>
  </si>
  <si>
    <t>病床26</t>
    <rPh sb="0" eb="2">
      <t>ビョウショウ</t>
    </rPh>
    <phoneticPr fontId="13"/>
  </si>
  <si>
    <t>病床27</t>
    <rPh sb="0" eb="2">
      <t>ビョウショウ</t>
    </rPh>
    <phoneticPr fontId="13"/>
  </si>
  <si>
    <t>病床28</t>
    <rPh sb="0" eb="2">
      <t>ビョウショウ</t>
    </rPh>
    <phoneticPr fontId="13"/>
  </si>
  <si>
    <t>病床29</t>
    <rPh sb="0" eb="2">
      <t>ビョウショウ</t>
    </rPh>
    <phoneticPr fontId="13"/>
  </si>
  <si>
    <t>病床30</t>
    <rPh sb="0" eb="2">
      <t>ビョウショウ</t>
    </rPh>
    <phoneticPr fontId="13"/>
  </si>
  <si>
    <t>病床31</t>
    <rPh sb="0" eb="2">
      <t>ビョウショウ</t>
    </rPh>
    <phoneticPr fontId="13"/>
  </si>
  <si>
    <t>病床32</t>
    <rPh sb="0" eb="2">
      <t>ビョウショウ</t>
    </rPh>
    <phoneticPr fontId="13"/>
  </si>
  <si>
    <t>病床33</t>
    <rPh sb="0" eb="2">
      <t>ビョウショウ</t>
    </rPh>
    <phoneticPr fontId="13"/>
  </si>
  <si>
    <t>病床34</t>
    <rPh sb="0" eb="2">
      <t>ビョウショウ</t>
    </rPh>
    <phoneticPr fontId="13"/>
  </si>
  <si>
    <t>病床35</t>
    <rPh sb="0" eb="2">
      <t>ビョウショウ</t>
    </rPh>
    <phoneticPr fontId="13"/>
  </si>
  <si>
    <t>病床36</t>
    <rPh sb="0" eb="2">
      <t>ビョウショウ</t>
    </rPh>
    <phoneticPr fontId="13"/>
  </si>
  <si>
    <t>病床37</t>
    <rPh sb="0" eb="2">
      <t>ビョウショウ</t>
    </rPh>
    <phoneticPr fontId="13"/>
  </si>
  <si>
    <t>病床38</t>
    <rPh sb="0" eb="2">
      <t>ビョウショウ</t>
    </rPh>
    <phoneticPr fontId="13"/>
  </si>
  <si>
    <t>病床39</t>
    <rPh sb="0" eb="2">
      <t>ビョウショウ</t>
    </rPh>
    <phoneticPr fontId="13"/>
  </si>
  <si>
    <t>病床40</t>
    <rPh sb="0" eb="2">
      <t>ビョウショウ</t>
    </rPh>
    <phoneticPr fontId="13"/>
  </si>
  <si>
    <t>病床41</t>
    <rPh sb="0" eb="2">
      <t>ビョウショウ</t>
    </rPh>
    <phoneticPr fontId="13"/>
  </si>
  <si>
    <t>病床42</t>
    <rPh sb="0" eb="2">
      <t>ビョウショウ</t>
    </rPh>
    <phoneticPr fontId="13"/>
  </si>
  <si>
    <t>病床43</t>
    <rPh sb="0" eb="2">
      <t>ビョウショウ</t>
    </rPh>
    <phoneticPr fontId="13"/>
  </si>
  <si>
    <t>病床44</t>
    <rPh sb="0" eb="2">
      <t>ビョウショウ</t>
    </rPh>
    <phoneticPr fontId="13"/>
  </si>
  <si>
    <t>病床45</t>
    <rPh sb="0" eb="2">
      <t>ビョウショウ</t>
    </rPh>
    <phoneticPr fontId="13"/>
  </si>
  <si>
    <t>病床46</t>
    <rPh sb="0" eb="2">
      <t>ビョウショウ</t>
    </rPh>
    <phoneticPr fontId="13"/>
  </si>
  <si>
    <t>病床47</t>
    <rPh sb="0" eb="2">
      <t>ビョウショウ</t>
    </rPh>
    <phoneticPr fontId="13"/>
  </si>
  <si>
    <t>病床48</t>
    <rPh sb="0" eb="2">
      <t>ビョウショウ</t>
    </rPh>
    <phoneticPr fontId="13"/>
  </si>
  <si>
    <t>病床49</t>
    <rPh sb="0" eb="2">
      <t>ビョウショウ</t>
    </rPh>
    <phoneticPr fontId="13"/>
  </si>
  <si>
    <t>病床50</t>
    <rPh sb="0" eb="2">
      <t>ビョウショウ</t>
    </rPh>
    <phoneticPr fontId="13"/>
  </si>
  <si>
    <t>病床51</t>
    <rPh sb="0" eb="2">
      <t>ビョウショウ</t>
    </rPh>
    <phoneticPr fontId="13"/>
  </si>
  <si>
    <t>病床52</t>
    <rPh sb="0" eb="2">
      <t>ビョウショウ</t>
    </rPh>
    <phoneticPr fontId="13"/>
  </si>
  <si>
    <t>病床53</t>
    <rPh sb="0" eb="2">
      <t>ビョウショウ</t>
    </rPh>
    <phoneticPr fontId="13"/>
  </si>
  <si>
    <t>病床54</t>
    <rPh sb="0" eb="2">
      <t>ビョウショウ</t>
    </rPh>
    <phoneticPr fontId="13"/>
  </si>
  <si>
    <t>病床55</t>
    <rPh sb="0" eb="2">
      <t>ビョウショウ</t>
    </rPh>
    <phoneticPr fontId="13"/>
  </si>
  <si>
    <t>病床56</t>
    <rPh sb="0" eb="2">
      <t>ビョウショウ</t>
    </rPh>
    <phoneticPr fontId="13"/>
  </si>
  <si>
    <t>病床57</t>
    <rPh sb="0" eb="2">
      <t>ビョウショウ</t>
    </rPh>
    <phoneticPr fontId="13"/>
  </si>
  <si>
    <t>病床58</t>
    <rPh sb="0" eb="2">
      <t>ビョウショウ</t>
    </rPh>
    <phoneticPr fontId="13"/>
  </si>
  <si>
    <t>病床59</t>
    <rPh sb="0" eb="2">
      <t>ビョウショウ</t>
    </rPh>
    <phoneticPr fontId="13"/>
  </si>
  <si>
    <t>病床60</t>
    <rPh sb="0" eb="2">
      <t>ビョウショウ</t>
    </rPh>
    <phoneticPr fontId="13"/>
  </si>
  <si>
    <t>病床61</t>
    <rPh sb="0" eb="2">
      <t>ビョウショウ</t>
    </rPh>
    <phoneticPr fontId="13"/>
  </si>
  <si>
    <t>病床62</t>
    <rPh sb="0" eb="2">
      <t>ビョウショウ</t>
    </rPh>
    <phoneticPr fontId="13"/>
  </si>
  <si>
    <t>病床63</t>
    <rPh sb="0" eb="2">
      <t>ビョウショウ</t>
    </rPh>
    <phoneticPr fontId="13"/>
  </si>
  <si>
    <t>病床64</t>
    <rPh sb="0" eb="2">
      <t>ビョウショウ</t>
    </rPh>
    <phoneticPr fontId="13"/>
  </si>
  <si>
    <t>病床65</t>
    <rPh sb="0" eb="2">
      <t>ビョウショウ</t>
    </rPh>
    <phoneticPr fontId="13"/>
  </si>
  <si>
    <t>病床66</t>
    <rPh sb="0" eb="2">
      <t>ビョウショウ</t>
    </rPh>
    <phoneticPr fontId="13"/>
  </si>
  <si>
    <t>病床67</t>
    <rPh sb="0" eb="2">
      <t>ビョウショウ</t>
    </rPh>
    <phoneticPr fontId="13"/>
  </si>
  <si>
    <t>病床68</t>
    <rPh sb="0" eb="2">
      <t>ビョウショウ</t>
    </rPh>
    <phoneticPr fontId="13"/>
  </si>
  <si>
    <t>病床69</t>
    <rPh sb="0" eb="2">
      <t>ビョウショウ</t>
    </rPh>
    <phoneticPr fontId="13"/>
  </si>
  <si>
    <t>病床70</t>
    <rPh sb="0" eb="2">
      <t>ビョウショウ</t>
    </rPh>
    <phoneticPr fontId="13"/>
  </si>
  <si>
    <t>病床71</t>
    <rPh sb="0" eb="2">
      <t>ビョウショウ</t>
    </rPh>
    <phoneticPr fontId="13"/>
  </si>
  <si>
    <t>病床72</t>
    <rPh sb="0" eb="2">
      <t>ビョウショウ</t>
    </rPh>
    <phoneticPr fontId="13"/>
  </si>
  <si>
    <t>病床73</t>
    <rPh sb="0" eb="2">
      <t>ビョウショウ</t>
    </rPh>
    <phoneticPr fontId="13"/>
  </si>
  <si>
    <t>病床74</t>
    <rPh sb="0" eb="2">
      <t>ビョウショウ</t>
    </rPh>
    <phoneticPr fontId="13"/>
  </si>
  <si>
    <t>病床75</t>
    <rPh sb="0" eb="2">
      <t>ビョウショウ</t>
    </rPh>
    <phoneticPr fontId="13"/>
  </si>
  <si>
    <t>病床76</t>
    <rPh sb="0" eb="2">
      <t>ビョウショウ</t>
    </rPh>
    <phoneticPr fontId="13"/>
  </si>
  <si>
    <t>病床77</t>
    <rPh sb="0" eb="2">
      <t>ビョウショウ</t>
    </rPh>
    <phoneticPr fontId="13"/>
  </si>
  <si>
    <t>病床78</t>
    <rPh sb="0" eb="2">
      <t>ビョウショウ</t>
    </rPh>
    <phoneticPr fontId="13"/>
  </si>
  <si>
    <t>病床79</t>
    <rPh sb="0" eb="2">
      <t>ビョウショウ</t>
    </rPh>
    <phoneticPr fontId="13"/>
  </si>
  <si>
    <t>病床80</t>
    <rPh sb="0" eb="2">
      <t>ビョウショウ</t>
    </rPh>
    <phoneticPr fontId="13"/>
  </si>
  <si>
    <t>病床81</t>
    <rPh sb="0" eb="2">
      <t>ビョウショウ</t>
    </rPh>
    <phoneticPr fontId="13"/>
  </si>
  <si>
    <t>病床82</t>
    <rPh sb="0" eb="2">
      <t>ビョウショウ</t>
    </rPh>
    <phoneticPr fontId="13"/>
  </si>
  <si>
    <t>病床83</t>
    <rPh sb="0" eb="2">
      <t>ビョウショウ</t>
    </rPh>
    <phoneticPr fontId="13"/>
  </si>
  <si>
    <t>病床84</t>
    <rPh sb="0" eb="2">
      <t>ビョウショウ</t>
    </rPh>
    <phoneticPr fontId="13"/>
  </si>
  <si>
    <t>病床85</t>
    <rPh sb="0" eb="2">
      <t>ビョウショウ</t>
    </rPh>
    <phoneticPr fontId="13"/>
  </si>
  <si>
    <t>病床86</t>
    <rPh sb="0" eb="2">
      <t>ビョウショウ</t>
    </rPh>
    <phoneticPr fontId="13"/>
  </si>
  <si>
    <t>病床87</t>
    <rPh sb="0" eb="2">
      <t>ビョウショウ</t>
    </rPh>
    <phoneticPr fontId="13"/>
  </si>
  <si>
    <t>病床88</t>
    <rPh sb="0" eb="2">
      <t>ビョウショウ</t>
    </rPh>
    <phoneticPr fontId="13"/>
  </si>
  <si>
    <t>病床89</t>
    <rPh sb="0" eb="2">
      <t>ビョウショウ</t>
    </rPh>
    <phoneticPr fontId="13"/>
  </si>
  <si>
    <t>病床90</t>
    <rPh sb="0" eb="2">
      <t>ビョウショウ</t>
    </rPh>
    <phoneticPr fontId="13"/>
  </si>
  <si>
    <t>病床91</t>
    <rPh sb="0" eb="2">
      <t>ビョウショウ</t>
    </rPh>
    <phoneticPr fontId="13"/>
  </si>
  <si>
    <t>病床92</t>
    <rPh sb="0" eb="2">
      <t>ビョウショウ</t>
    </rPh>
    <phoneticPr fontId="13"/>
  </si>
  <si>
    <t>病床93</t>
    <rPh sb="0" eb="2">
      <t>ビョウショウ</t>
    </rPh>
    <phoneticPr fontId="13"/>
  </si>
  <si>
    <t>病床94</t>
    <rPh sb="0" eb="2">
      <t>ビョウショウ</t>
    </rPh>
    <phoneticPr fontId="13"/>
  </si>
  <si>
    <t>病床95</t>
    <rPh sb="0" eb="2">
      <t>ビョウショウ</t>
    </rPh>
    <phoneticPr fontId="13"/>
  </si>
  <si>
    <t>病床96</t>
    <rPh sb="0" eb="2">
      <t>ビョウショウ</t>
    </rPh>
    <phoneticPr fontId="13"/>
  </si>
  <si>
    <t>病床97</t>
    <rPh sb="0" eb="2">
      <t>ビョウショウ</t>
    </rPh>
    <phoneticPr fontId="13"/>
  </si>
  <si>
    <t>病床98</t>
    <rPh sb="0" eb="2">
      <t>ビョウショウ</t>
    </rPh>
    <phoneticPr fontId="13"/>
  </si>
  <si>
    <t>病床99</t>
    <rPh sb="0" eb="2">
      <t>ビョウショウ</t>
    </rPh>
    <phoneticPr fontId="13"/>
  </si>
  <si>
    <t>病床100</t>
    <rPh sb="0" eb="2">
      <t>ビョウショウ</t>
    </rPh>
    <phoneticPr fontId="13"/>
  </si>
  <si>
    <t>病床101</t>
    <rPh sb="0" eb="2">
      <t>ビョウショウ</t>
    </rPh>
    <phoneticPr fontId="13"/>
  </si>
  <si>
    <t>病床102</t>
    <rPh sb="0" eb="2">
      <t>ビョウショウ</t>
    </rPh>
    <phoneticPr fontId="13"/>
  </si>
  <si>
    <t>病床103</t>
    <rPh sb="0" eb="2">
      <t>ビョウショウ</t>
    </rPh>
    <phoneticPr fontId="13"/>
  </si>
  <si>
    <t>病床104</t>
    <rPh sb="0" eb="2">
      <t>ビョウショウ</t>
    </rPh>
    <phoneticPr fontId="13"/>
  </si>
  <si>
    <t>病床105</t>
    <rPh sb="0" eb="2">
      <t>ビョウショウ</t>
    </rPh>
    <phoneticPr fontId="13"/>
  </si>
  <si>
    <t>病床106</t>
    <rPh sb="0" eb="2">
      <t>ビョウショウ</t>
    </rPh>
    <phoneticPr fontId="13"/>
  </si>
  <si>
    <t>病床107</t>
    <rPh sb="0" eb="2">
      <t>ビョウショウ</t>
    </rPh>
    <phoneticPr fontId="13"/>
  </si>
  <si>
    <t>病床108</t>
    <rPh sb="0" eb="2">
      <t>ビョウショウ</t>
    </rPh>
    <phoneticPr fontId="13"/>
  </si>
  <si>
    <t>病床109</t>
    <rPh sb="0" eb="2">
      <t>ビョウショウ</t>
    </rPh>
    <phoneticPr fontId="13"/>
  </si>
  <si>
    <t>病床110</t>
    <rPh sb="0" eb="2">
      <t>ビョウショウ</t>
    </rPh>
    <phoneticPr fontId="13"/>
  </si>
  <si>
    <t>病床111</t>
    <rPh sb="0" eb="2">
      <t>ビョウショウ</t>
    </rPh>
    <phoneticPr fontId="13"/>
  </si>
  <si>
    <t>病床112</t>
    <rPh sb="0" eb="2">
      <t>ビョウショウ</t>
    </rPh>
    <phoneticPr fontId="13"/>
  </si>
  <si>
    <t>病床113</t>
    <rPh sb="0" eb="2">
      <t>ビョウショウ</t>
    </rPh>
    <phoneticPr fontId="13"/>
  </si>
  <si>
    <t>病床114</t>
    <rPh sb="0" eb="2">
      <t>ビョウショウ</t>
    </rPh>
    <phoneticPr fontId="13"/>
  </si>
  <si>
    <t>病床115</t>
    <rPh sb="0" eb="2">
      <t>ビョウショウ</t>
    </rPh>
    <phoneticPr fontId="13"/>
  </si>
  <si>
    <t>病床116</t>
    <rPh sb="0" eb="2">
      <t>ビョウショウ</t>
    </rPh>
    <phoneticPr fontId="13"/>
  </si>
  <si>
    <t>病床117</t>
    <rPh sb="0" eb="2">
      <t>ビョウショウ</t>
    </rPh>
    <phoneticPr fontId="13"/>
  </si>
  <si>
    <t>病床118</t>
    <rPh sb="0" eb="2">
      <t>ビョウショウ</t>
    </rPh>
    <phoneticPr fontId="13"/>
  </si>
  <si>
    <t>病床119</t>
    <rPh sb="0" eb="2">
      <t>ビョウショウ</t>
    </rPh>
    <phoneticPr fontId="13"/>
  </si>
  <si>
    <t>病床120</t>
    <rPh sb="0" eb="2">
      <t>ビョウショウ</t>
    </rPh>
    <phoneticPr fontId="13"/>
  </si>
  <si>
    <t>病床121</t>
    <rPh sb="0" eb="2">
      <t>ビョウショウ</t>
    </rPh>
    <phoneticPr fontId="13"/>
  </si>
  <si>
    <t>病床122</t>
    <rPh sb="0" eb="2">
      <t>ビョウショウ</t>
    </rPh>
    <phoneticPr fontId="13"/>
  </si>
  <si>
    <t>病床123</t>
    <rPh sb="0" eb="2">
      <t>ビョウショウ</t>
    </rPh>
    <phoneticPr fontId="13"/>
  </si>
  <si>
    <t>病床124</t>
    <rPh sb="0" eb="2">
      <t>ビョウショウ</t>
    </rPh>
    <phoneticPr fontId="13"/>
  </si>
  <si>
    <t>病床125</t>
    <rPh sb="0" eb="2">
      <t>ビョウショウ</t>
    </rPh>
    <phoneticPr fontId="13"/>
  </si>
  <si>
    <t>病床126</t>
    <rPh sb="0" eb="2">
      <t>ビョウショウ</t>
    </rPh>
    <phoneticPr fontId="13"/>
  </si>
  <si>
    <t>病床127</t>
    <rPh sb="0" eb="2">
      <t>ビョウショウ</t>
    </rPh>
    <phoneticPr fontId="13"/>
  </si>
  <si>
    <t>病床128</t>
    <rPh sb="0" eb="2">
      <t>ビョウショウ</t>
    </rPh>
    <phoneticPr fontId="13"/>
  </si>
  <si>
    <t>病床129</t>
    <rPh sb="0" eb="2">
      <t>ビョウショウ</t>
    </rPh>
    <phoneticPr fontId="13"/>
  </si>
  <si>
    <t>病床130</t>
    <rPh sb="0" eb="2">
      <t>ビョウショウ</t>
    </rPh>
    <phoneticPr fontId="13"/>
  </si>
  <si>
    <t>病床131</t>
    <rPh sb="0" eb="2">
      <t>ビョウショウ</t>
    </rPh>
    <phoneticPr fontId="13"/>
  </si>
  <si>
    <t>病床132</t>
    <rPh sb="0" eb="2">
      <t>ビョウショウ</t>
    </rPh>
    <phoneticPr fontId="13"/>
  </si>
  <si>
    <t>病床133</t>
    <rPh sb="0" eb="2">
      <t>ビョウショウ</t>
    </rPh>
    <phoneticPr fontId="13"/>
  </si>
  <si>
    <t>病床134</t>
    <rPh sb="0" eb="2">
      <t>ビョウショウ</t>
    </rPh>
    <phoneticPr fontId="13"/>
  </si>
  <si>
    <t>病床135</t>
    <rPh sb="0" eb="2">
      <t>ビョウショウ</t>
    </rPh>
    <phoneticPr fontId="13"/>
  </si>
  <si>
    <t>病床136</t>
    <rPh sb="0" eb="2">
      <t>ビョウショウ</t>
    </rPh>
    <phoneticPr fontId="13"/>
  </si>
  <si>
    <t>病床137</t>
    <rPh sb="0" eb="2">
      <t>ビョウショウ</t>
    </rPh>
    <phoneticPr fontId="13"/>
  </si>
  <si>
    <t>病床138</t>
    <rPh sb="0" eb="2">
      <t>ビョウショウ</t>
    </rPh>
    <phoneticPr fontId="13"/>
  </si>
  <si>
    <t>病床139</t>
    <rPh sb="0" eb="2">
      <t>ビョウショウ</t>
    </rPh>
    <phoneticPr fontId="13"/>
  </si>
  <si>
    <t>病床140</t>
    <rPh sb="0" eb="2">
      <t>ビョウショウ</t>
    </rPh>
    <phoneticPr fontId="13"/>
  </si>
  <si>
    <t>病床141</t>
    <rPh sb="0" eb="2">
      <t>ビョウショウ</t>
    </rPh>
    <phoneticPr fontId="13"/>
  </si>
  <si>
    <t>病床142</t>
    <rPh sb="0" eb="2">
      <t>ビョウショウ</t>
    </rPh>
    <phoneticPr fontId="13"/>
  </si>
  <si>
    <t>病床143</t>
    <rPh sb="0" eb="2">
      <t>ビョウショウ</t>
    </rPh>
    <phoneticPr fontId="13"/>
  </si>
  <si>
    <t>病床144</t>
    <rPh sb="0" eb="2">
      <t>ビョウショウ</t>
    </rPh>
    <phoneticPr fontId="13"/>
  </si>
  <si>
    <t>病床145</t>
    <rPh sb="0" eb="2">
      <t>ビョウショウ</t>
    </rPh>
    <phoneticPr fontId="13"/>
  </si>
  <si>
    <t>病床146</t>
    <rPh sb="0" eb="2">
      <t>ビョウショウ</t>
    </rPh>
    <phoneticPr fontId="13"/>
  </si>
  <si>
    <t>病床147</t>
    <rPh sb="0" eb="2">
      <t>ビョウショウ</t>
    </rPh>
    <phoneticPr fontId="13"/>
  </si>
  <si>
    <t>病床148</t>
    <rPh sb="0" eb="2">
      <t>ビョウショウ</t>
    </rPh>
    <phoneticPr fontId="13"/>
  </si>
  <si>
    <t>病床149</t>
    <rPh sb="0" eb="2">
      <t>ビョウショウ</t>
    </rPh>
    <phoneticPr fontId="13"/>
  </si>
  <si>
    <t>病床150</t>
    <rPh sb="0" eb="2">
      <t>ビョウショウ</t>
    </rPh>
    <phoneticPr fontId="13"/>
  </si>
  <si>
    <t>共通1</t>
    <rPh sb="0" eb="2">
      <t>キョウツウ</t>
    </rPh>
    <phoneticPr fontId="13"/>
  </si>
  <si>
    <t>共通2</t>
    <rPh sb="0" eb="2">
      <t>キョウツウ</t>
    </rPh>
    <phoneticPr fontId="13"/>
  </si>
  <si>
    <t>共通3</t>
    <rPh sb="0" eb="2">
      <t>キョウツウ</t>
    </rPh>
    <phoneticPr fontId="13"/>
  </si>
  <si>
    <t>共通4</t>
    <rPh sb="0" eb="2">
      <t>キョウツウ</t>
    </rPh>
    <phoneticPr fontId="13"/>
  </si>
  <si>
    <t>共通5</t>
    <rPh sb="0" eb="2">
      <t>キョウツウ</t>
    </rPh>
    <phoneticPr fontId="13"/>
  </si>
  <si>
    <t>共通6</t>
    <rPh sb="0" eb="2">
      <t>キョウツウ</t>
    </rPh>
    <phoneticPr fontId="13"/>
  </si>
  <si>
    <t>共通7</t>
    <rPh sb="0" eb="2">
      <t>キョウツウ</t>
    </rPh>
    <phoneticPr fontId="13"/>
  </si>
  <si>
    <t>共通8</t>
    <rPh sb="0" eb="2">
      <t>キョウツウ</t>
    </rPh>
    <phoneticPr fontId="13"/>
  </si>
  <si>
    <t>共通9</t>
    <rPh sb="0" eb="2">
      <t>キョウツウ</t>
    </rPh>
    <phoneticPr fontId="13"/>
  </si>
  <si>
    <t>共通10</t>
    <rPh sb="0" eb="2">
      <t>キョウツウ</t>
    </rPh>
    <phoneticPr fontId="13"/>
  </si>
  <si>
    <t>共通11</t>
    <rPh sb="0" eb="2">
      <t>キョウツウ</t>
    </rPh>
    <phoneticPr fontId="13"/>
  </si>
  <si>
    <t>共通12</t>
    <rPh sb="0" eb="2">
      <t>キョウツウ</t>
    </rPh>
    <phoneticPr fontId="13"/>
  </si>
  <si>
    <t>共通13</t>
    <rPh sb="0" eb="2">
      <t>キョウツウ</t>
    </rPh>
    <phoneticPr fontId="13"/>
  </si>
  <si>
    <t>共通14</t>
    <rPh sb="0" eb="2">
      <t>キョウツウ</t>
    </rPh>
    <phoneticPr fontId="13"/>
  </si>
  <si>
    <t>共通15</t>
    <rPh sb="0" eb="2">
      <t>キョウツウ</t>
    </rPh>
    <phoneticPr fontId="13"/>
  </si>
  <si>
    <t>共通16</t>
    <rPh sb="0" eb="2">
      <t>キョウツウ</t>
    </rPh>
    <phoneticPr fontId="13"/>
  </si>
  <si>
    <t>共通17</t>
    <rPh sb="0" eb="2">
      <t>キョウツウ</t>
    </rPh>
    <phoneticPr fontId="13"/>
  </si>
  <si>
    <t>共通18</t>
    <rPh sb="0" eb="2">
      <t>キョウツウ</t>
    </rPh>
    <phoneticPr fontId="13"/>
  </si>
  <si>
    <t>共通19</t>
    <rPh sb="0" eb="2">
      <t>キョウツウ</t>
    </rPh>
    <phoneticPr fontId="13"/>
  </si>
  <si>
    <t>共通20</t>
    <rPh sb="0" eb="2">
      <t>キョウツウ</t>
    </rPh>
    <phoneticPr fontId="13"/>
  </si>
  <si>
    <t>共通21</t>
    <rPh sb="0" eb="2">
      <t>キョウツウ</t>
    </rPh>
    <phoneticPr fontId="13"/>
  </si>
  <si>
    <t>共通22</t>
    <rPh sb="0" eb="2">
      <t>キョウツウ</t>
    </rPh>
    <phoneticPr fontId="13"/>
  </si>
  <si>
    <t>共通23</t>
    <rPh sb="0" eb="2">
      <t>キョウツウ</t>
    </rPh>
    <phoneticPr fontId="13"/>
  </si>
  <si>
    <t>共通24</t>
    <rPh sb="0" eb="2">
      <t>キョウツウ</t>
    </rPh>
    <phoneticPr fontId="13"/>
  </si>
  <si>
    <t>共通25</t>
    <rPh sb="0" eb="2">
      <t>キョウツウ</t>
    </rPh>
    <phoneticPr fontId="13"/>
  </si>
  <si>
    <t>共通26</t>
    <rPh sb="0" eb="2">
      <t>キョウツウ</t>
    </rPh>
    <phoneticPr fontId="13"/>
  </si>
  <si>
    <t>共通27</t>
    <rPh sb="0" eb="2">
      <t>キョウツウ</t>
    </rPh>
    <phoneticPr fontId="13"/>
  </si>
  <si>
    <t>共通28</t>
    <rPh sb="0" eb="2">
      <t>キョウツウ</t>
    </rPh>
    <phoneticPr fontId="13"/>
  </si>
  <si>
    <t>共通29</t>
    <rPh sb="0" eb="2">
      <t>キョウツウ</t>
    </rPh>
    <phoneticPr fontId="13"/>
  </si>
  <si>
    <t>共通30</t>
    <rPh sb="0" eb="2">
      <t>キョウツウ</t>
    </rPh>
    <phoneticPr fontId="13"/>
  </si>
  <si>
    <t>共通31</t>
    <rPh sb="0" eb="2">
      <t>キョウツウ</t>
    </rPh>
    <phoneticPr fontId="13"/>
  </si>
  <si>
    <t>共通32</t>
    <rPh sb="0" eb="2">
      <t>キョウツウ</t>
    </rPh>
    <phoneticPr fontId="13"/>
  </si>
  <si>
    <t>共通33</t>
    <rPh sb="0" eb="2">
      <t>キョウツウ</t>
    </rPh>
    <phoneticPr fontId="13"/>
  </si>
  <si>
    <t>共通34</t>
    <rPh sb="0" eb="2">
      <t>キョウツウ</t>
    </rPh>
    <phoneticPr fontId="13"/>
  </si>
  <si>
    <t>共通35</t>
    <rPh sb="0" eb="2">
      <t>キョウツウ</t>
    </rPh>
    <phoneticPr fontId="13"/>
  </si>
  <si>
    <t>共通36</t>
    <rPh sb="0" eb="2">
      <t>キョウツウ</t>
    </rPh>
    <phoneticPr fontId="13"/>
  </si>
  <si>
    <t>共通37</t>
    <rPh sb="0" eb="2">
      <t>キョウツウ</t>
    </rPh>
    <phoneticPr fontId="13"/>
  </si>
  <si>
    <t>共通38</t>
    <rPh sb="0" eb="2">
      <t>キョウツウ</t>
    </rPh>
    <phoneticPr fontId="13"/>
  </si>
  <si>
    <t>共通39</t>
    <rPh sb="0" eb="2">
      <t>キョウツウ</t>
    </rPh>
    <phoneticPr fontId="13"/>
  </si>
  <si>
    <t>共通40</t>
    <rPh sb="0" eb="2">
      <t>キョウツウ</t>
    </rPh>
    <phoneticPr fontId="13"/>
  </si>
  <si>
    <t>共通41</t>
    <rPh sb="0" eb="2">
      <t>キョウツウ</t>
    </rPh>
    <phoneticPr fontId="13"/>
  </si>
  <si>
    <t>共通42</t>
    <rPh sb="0" eb="2">
      <t>キョウツウ</t>
    </rPh>
    <phoneticPr fontId="13"/>
  </si>
  <si>
    <t>共通43</t>
    <rPh sb="0" eb="2">
      <t>キョウツウ</t>
    </rPh>
    <phoneticPr fontId="13"/>
  </si>
  <si>
    <t>共通44</t>
    <rPh sb="0" eb="2">
      <t>キョウツウ</t>
    </rPh>
    <phoneticPr fontId="13"/>
  </si>
  <si>
    <t>共通45</t>
    <rPh sb="0" eb="2">
      <t>キョウツウ</t>
    </rPh>
    <phoneticPr fontId="13"/>
  </si>
  <si>
    <t>共通46</t>
    <rPh sb="0" eb="2">
      <t>キョウツウ</t>
    </rPh>
    <phoneticPr fontId="13"/>
  </si>
  <si>
    <t>共通47</t>
    <rPh sb="0" eb="2">
      <t>キョウツウ</t>
    </rPh>
    <phoneticPr fontId="13"/>
  </si>
  <si>
    <t>共通48</t>
    <rPh sb="0" eb="2">
      <t>キョウツウ</t>
    </rPh>
    <phoneticPr fontId="13"/>
  </si>
  <si>
    <t>共通49</t>
    <rPh sb="0" eb="2">
      <t>キョウツウ</t>
    </rPh>
    <phoneticPr fontId="13"/>
  </si>
  <si>
    <t>共通50</t>
    <rPh sb="0" eb="2">
      <t>キョウツウ</t>
    </rPh>
    <phoneticPr fontId="13"/>
  </si>
  <si>
    <t>共通51</t>
    <rPh sb="0" eb="2">
      <t>キョウツウ</t>
    </rPh>
    <phoneticPr fontId="13"/>
  </si>
  <si>
    <t>共通52</t>
    <rPh sb="0" eb="2">
      <t>キョウツウ</t>
    </rPh>
    <phoneticPr fontId="13"/>
  </si>
  <si>
    <t>共通53</t>
    <rPh sb="0" eb="2">
      <t>キョウツウ</t>
    </rPh>
    <phoneticPr fontId="13"/>
  </si>
  <si>
    <t>共通54</t>
    <rPh sb="0" eb="2">
      <t>キョウツウ</t>
    </rPh>
    <phoneticPr fontId="13"/>
  </si>
  <si>
    <t>共通55</t>
    <rPh sb="0" eb="2">
      <t>キョウツウ</t>
    </rPh>
    <phoneticPr fontId="13"/>
  </si>
  <si>
    <t>共通56</t>
    <rPh sb="0" eb="2">
      <t>キョウツウ</t>
    </rPh>
    <phoneticPr fontId="13"/>
  </si>
  <si>
    <t>共通57</t>
    <rPh sb="0" eb="2">
      <t>キョウツウ</t>
    </rPh>
    <phoneticPr fontId="13"/>
  </si>
  <si>
    <t>共通58</t>
    <rPh sb="0" eb="2">
      <t>キョウツウ</t>
    </rPh>
    <phoneticPr fontId="13"/>
  </si>
  <si>
    <t>共通59</t>
    <rPh sb="0" eb="2">
      <t>キョウツウ</t>
    </rPh>
    <phoneticPr fontId="13"/>
  </si>
  <si>
    <t>共通60</t>
    <rPh sb="0" eb="2">
      <t>キョウツウ</t>
    </rPh>
    <phoneticPr fontId="13"/>
  </si>
  <si>
    <t>共通61</t>
    <rPh sb="0" eb="2">
      <t>キョウツウ</t>
    </rPh>
    <phoneticPr fontId="13"/>
  </si>
  <si>
    <t>共通62</t>
    <rPh sb="0" eb="2">
      <t>キョウツウ</t>
    </rPh>
    <phoneticPr fontId="13"/>
  </si>
  <si>
    <t>共通63</t>
    <rPh sb="0" eb="2">
      <t>キョウツウ</t>
    </rPh>
    <phoneticPr fontId="13"/>
  </si>
  <si>
    <t>共通64</t>
    <rPh sb="0" eb="2">
      <t>キョウツウ</t>
    </rPh>
    <phoneticPr fontId="13"/>
  </si>
  <si>
    <t>共通65</t>
    <rPh sb="0" eb="2">
      <t>キョウツウ</t>
    </rPh>
    <phoneticPr fontId="13"/>
  </si>
  <si>
    <t>共通66</t>
    <rPh sb="0" eb="2">
      <t>キョウツウ</t>
    </rPh>
    <phoneticPr fontId="13"/>
  </si>
  <si>
    <t>共通67</t>
    <rPh sb="0" eb="2">
      <t>キョウツウ</t>
    </rPh>
    <phoneticPr fontId="13"/>
  </si>
  <si>
    <t>共通68</t>
    <rPh sb="0" eb="2">
      <t>キョウツウ</t>
    </rPh>
    <phoneticPr fontId="13"/>
  </si>
  <si>
    <t>共通69</t>
    <rPh sb="0" eb="2">
      <t>キョウツウ</t>
    </rPh>
    <phoneticPr fontId="13"/>
  </si>
  <si>
    <t>共通70</t>
    <rPh sb="0" eb="2">
      <t>キョウツウ</t>
    </rPh>
    <phoneticPr fontId="13"/>
  </si>
  <si>
    <t>共通71</t>
    <rPh sb="0" eb="2">
      <t>キョウツウ</t>
    </rPh>
    <phoneticPr fontId="13"/>
  </si>
  <si>
    <t>共通72</t>
    <rPh sb="0" eb="2">
      <t>キョウツウ</t>
    </rPh>
    <phoneticPr fontId="13"/>
  </si>
  <si>
    <t>共通73</t>
    <rPh sb="0" eb="2">
      <t>キョウツウ</t>
    </rPh>
    <phoneticPr fontId="13"/>
  </si>
  <si>
    <t>共通74</t>
    <rPh sb="0" eb="2">
      <t>キョウツウ</t>
    </rPh>
    <phoneticPr fontId="13"/>
  </si>
  <si>
    <t>共通75</t>
    <rPh sb="0" eb="2">
      <t>キョウツウ</t>
    </rPh>
    <phoneticPr fontId="13"/>
  </si>
  <si>
    <t>共通76</t>
    <rPh sb="0" eb="2">
      <t>キョウツウ</t>
    </rPh>
    <phoneticPr fontId="13"/>
  </si>
  <si>
    <t>共通77</t>
    <rPh sb="0" eb="2">
      <t>キョウツウ</t>
    </rPh>
    <phoneticPr fontId="13"/>
  </si>
  <si>
    <t>共通78</t>
    <rPh sb="0" eb="2">
      <t>キョウツウ</t>
    </rPh>
    <phoneticPr fontId="13"/>
  </si>
  <si>
    <t>共通79</t>
    <rPh sb="0" eb="2">
      <t>キョウツウ</t>
    </rPh>
    <phoneticPr fontId="13"/>
  </si>
  <si>
    <t>共通80</t>
    <rPh sb="0" eb="2">
      <t>キョウツウ</t>
    </rPh>
    <phoneticPr fontId="13"/>
  </si>
  <si>
    <t>共通81</t>
    <rPh sb="0" eb="2">
      <t>キョウツウ</t>
    </rPh>
    <phoneticPr fontId="13"/>
  </si>
  <si>
    <t>共通82</t>
    <rPh sb="0" eb="2">
      <t>キョウツウ</t>
    </rPh>
    <phoneticPr fontId="13"/>
  </si>
  <si>
    <t>共通83</t>
    <rPh sb="0" eb="2">
      <t>キョウツウ</t>
    </rPh>
    <phoneticPr fontId="13"/>
  </si>
  <si>
    <t>共通84</t>
    <rPh sb="0" eb="2">
      <t>キョウツウ</t>
    </rPh>
    <phoneticPr fontId="13"/>
  </si>
  <si>
    <t>共通85</t>
    <rPh sb="0" eb="2">
      <t>キョウツウ</t>
    </rPh>
    <phoneticPr fontId="13"/>
  </si>
  <si>
    <t>共通86</t>
    <rPh sb="0" eb="2">
      <t>キョウツウ</t>
    </rPh>
    <phoneticPr fontId="13"/>
  </si>
  <si>
    <t>共通87</t>
    <rPh sb="0" eb="2">
      <t>キョウツウ</t>
    </rPh>
    <phoneticPr fontId="13"/>
  </si>
  <si>
    <t>共通88</t>
    <rPh sb="0" eb="2">
      <t>キョウツウ</t>
    </rPh>
    <phoneticPr fontId="13"/>
  </si>
  <si>
    <t>共通89</t>
    <rPh sb="0" eb="2">
      <t>キョウツウ</t>
    </rPh>
    <phoneticPr fontId="13"/>
  </si>
  <si>
    <t>共通90</t>
    <rPh sb="0" eb="2">
      <t>キョウツウ</t>
    </rPh>
    <phoneticPr fontId="13"/>
  </si>
  <si>
    <t>共通91</t>
    <rPh sb="0" eb="2">
      <t>キョウツウ</t>
    </rPh>
    <phoneticPr fontId="13"/>
  </si>
  <si>
    <t>共通92</t>
    <rPh sb="0" eb="2">
      <t>キョウツウ</t>
    </rPh>
    <phoneticPr fontId="13"/>
  </si>
  <si>
    <t>共通93</t>
    <rPh sb="0" eb="2">
      <t>キョウツウ</t>
    </rPh>
    <phoneticPr fontId="13"/>
  </si>
  <si>
    <t>共通94</t>
    <rPh sb="0" eb="2">
      <t>キョウツウ</t>
    </rPh>
    <phoneticPr fontId="13"/>
  </si>
  <si>
    <t>共通95</t>
    <rPh sb="0" eb="2">
      <t>キョウツウ</t>
    </rPh>
    <phoneticPr fontId="13"/>
  </si>
  <si>
    <t>共通96</t>
    <rPh sb="0" eb="2">
      <t>キョウツウ</t>
    </rPh>
    <phoneticPr fontId="13"/>
  </si>
  <si>
    <t>共通97</t>
    <rPh sb="0" eb="2">
      <t>キョウツウ</t>
    </rPh>
    <phoneticPr fontId="13"/>
  </si>
  <si>
    <t>共通98</t>
    <rPh sb="0" eb="2">
      <t>キョウツウ</t>
    </rPh>
    <phoneticPr fontId="13"/>
  </si>
  <si>
    <t>共通99</t>
    <rPh sb="0" eb="2">
      <t>キョウツウ</t>
    </rPh>
    <phoneticPr fontId="13"/>
  </si>
  <si>
    <t>共通100</t>
    <rPh sb="0" eb="2">
      <t>キョウツウ</t>
    </rPh>
    <phoneticPr fontId="13"/>
  </si>
  <si>
    <t>共通101</t>
    <rPh sb="0" eb="2">
      <t>キョウツウ</t>
    </rPh>
    <phoneticPr fontId="13"/>
  </si>
  <si>
    <t>共通102</t>
    <rPh sb="0" eb="2">
      <t>キョウツウ</t>
    </rPh>
    <phoneticPr fontId="13"/>
  </si>
  <si>
    <t>共通103</t>
    <rPh sb="0" eb="2">
      <t>キョウツウ</t>
    </rPh>
    <phoneticPr fontId="13"/>
  </si>
  <si>
    <t>共通104</t>
    <rPh sb="0" eb="2">
      <t>キョウツウ</t>
    </rPh>
    <phoneticPr fontId="13"/>
  </si>
  <si>
    <t>共通105</t>
    <rPh sb="0" eb="2">
      <t>キョウツウ</t>
    </rPh>
    <phoneticPr fontId="13"/>
  </si>
  <si>
    <t>共通106</t>
    <rPh sb="0" eb="2">
      <t>キョウツウ</t>
    </rPh>
    <phoneticPr fontId="13"/>
  </si>
  <si>
    <t>共通107</t>
    <rPh sb="0" eb="2">
      <t>キョウツウ</t>
    </rPh>
    <phoneticPr fontId="13"/>
  </si>
  <si>
    <t>共通108</t>
    <rPh sb="0" eb="2">
      <t>キョウツウ</t>
    </rPh>
    <phoneticPr fontId="13"/>
  </si>
  <si>
    <t>共通109</t>
    <rPh sb="0" eb="2">
      <t>キョウツウ</t>
    </rPh>
    <phoneticPr fontId="13"/>
  </si>
  <si>
    <t>共通110</t>
    <rPh sb="0" eb="2">
      <t>キョウツウ</t>
    </rPh>
    <phoneticPr fontId="13"/>
  </si>
  <si>
    <t>共通111</t>
    <rPh sb="0" eb="2">
      <t>キョウツウ</t>
    </rPh>
    <phoneticPr fontId="13"/>
  </si>
  <si>
    <t>共通112</t>
    <rPh sb="0" eb="2">
      <t>キョウツウ</t>
    </rPh>
    <phoneticPr fontId="13"/>
  </si>
  <si>
    <t>共通113</t>
    <rPh sb="0" eb="2">
      <t>キョウツウ</t>
    </rPh>
    <phoneticPr fontId="13"/>
  </si>
  <si>
    <t>共通114</t>
    <rPh sb="0" eb="2">
      <t>キョウツウ</t>
    </rPh>
    <phoneticPr fontId="13"/>
  </si>
  <si>
    <t>共通115</t>
    <rPh sb="0" eb="2">
      <t>キョウツウ</t>
    </rPh>
    <phoneticPr fontId="13"/>
  </si>
  <si>
    <t>共通116</t>
    <rPh sb="0" eb="2">
      <t>キョウツウ</t>
    </rPh>
    <phoneticPr fontId="13"/>
  </si>
  <si>
    <t>共通117</t>
    <rPh sb="0" eb="2">
      <t>キョウツウ</t>
    </rPh>
    <phoneticPr fontId="13"/>
  </si>
  <si>
    <t>共通118</t>
    <rPh sb="0" eb="2">
      <t>キョウツウ</t>
    </rPh>
    <phoneticPr fontId="13"/>
  </si>
  <si>
    <t>共通119</t>
    <rPh sb="0" eb="2">
      <t>キョウツウ</t>
    </rPh>
    <phoneticPr fontId="13"/>
  </si>
  <si>
    <t>共通120</t>
    <rPh sb="0" eb="2">
      <t>キョウツウ</t>
    </rPh>
    <phoneticPr fontId="13"/>
  </si>
  <si>
    <t>共通121</t>
    <rPh sb="0" eb="2">
      <t>キョウツウ</t>
    </rPh>
    <phoneticPr fontId="13"/>
  </si>
  <si>
    <t>共通122</t>
    <rPh sb="0" eb="2">
      <t>キョウツウ</t>
    </rPh>
    <phoneticPr fontId="13"/>
  </si>
  <si>
    <t>共通123</t>
    <rPh sb="0" eb="2">
      <t>キョウツウ</t>
    </rPh>
    <phoneticPr fontId="13"/>
  </si>
  <si>
    <t>共通124</t>
    <rPh sb="0" eb="2">
      <t>キョウツウ</t>
    </rPh>
    <phoneticPr fontId="13"/>
  </si>
  <si>
    <t>共通125</t>
    <rPh sb="0" eb="2">
      <t>キョウツウ</t>
    </rPh>
    <phoneticPr fontId="13"/>
  </si>
  <si>
    <t>共通126</t>
    <rPh sb="0" eb="2">
      <t>キョウツウ</t>
    </rPh>
    <phoneticPr fontId="13"/>
  </si>
  <si>
    <t>共通127</t>
    <rPh sb="0" eb="2">
      <t>キョウツウ</t>
    </rPh>
    <phoneticPr fontId="13"/>
  </si>
  <si>
    <t>共通128</t>
    <rPh sb="0" eb="2">
      <t>キョウツウ</t>
    </rPh>
    <phoneticPr fontId="13"/>
  </si>
  <si>
    <t>共通129</t>
    <rPh sb="0" eb="2">
      <t>キョウツウ</t>
    </rPh>
    <phoneticPr fontId="13"/>
  </si>
  <si>
    <t>共通130</t>
    <rPh sb="0" eb="2">
      <t>キョウツウ</t>
    </rPh>
    <phoneticPr fontId="13"/>
  </si>
  <si>
    <t>共通131</t>
    <rPh sb="0" eb="2">
      <t>キョウツウ</t>
    </rPh>
    <phoneticPr fontId="13"/>
  </si>
  <si>
    <t>共通132</t>
    <rPh sb="0" eb="2">
      <t>キョウツウ</t>
    </rPh>
    <phoneticPr fontId="13"/>
  </si>
  <si>
    <t>共通133</t>
    <rPh sb="0" eb="2">
      <t>キョウツウ</t>
    </rPh>
    <phoneticPr fontId="13"/>
  </si>
  <si>
    <t>共通134</t>
    <rPh sb="0" eb="2">
      <t>キョウツウ</t>
    </rPh>
    <phoneticPr fontId="13"/>
  </si>
  <si>
    <t>共通135</t>
    <rPh sb="0" eb="2">
      <t>キョウツウ</t>
    </rPh>
    <phoneticPr fontId="13"/>
  </si>
  <si>
    <t>共通136</t>
    <rPh sb="0" eb="2">
      <t>キョウツウ</t>
    </rPh>
    <phoneticPr fontId="13"/>
  </si>
  <si>
    <t>共通137</t>
    <rPh sb="0" eb="2">
      <t>キョウツウ</t>
    </rPh>
    <phoneticPr fontId="13"/>
  </si>
  <si>
    <t>共通138</t>
    <rPh sb="0" eb="2">
      <t>キョウツウ</t>
    </rPh>
    <phoneticPr fontId="13"/>
  </si>
  <si>
    <t>共通139</t>
    <rPh sb="0" eb="2">
      <t>キョウツウ</t>
    </rPh>
    <phoneticPr fontId="13"/>
  </si>
  <si>
    <t>共通140</t>
    <rPh sb="0" eb="2">
      <t>キョウツウ</t>
    </rPh>
    <phoneticPr fontId="13"/>
  </si>
  <si>
    <t>共通141</t>
    <rPh sb="0" eb="2">
      <t>キョウツウ</t>
    </rPh>
    <phoneticPr fontId="13"/>
  </si>
  <si>
    <t>共通142</t>
    <rPh sb="0" eb="2">
      <t>キョウツウ</t>
    </rPh>
    <phoneticPr fontId="13"/>
  </si>
  <si>
    <t>共通143</t>
    <rPh sb="0" eb="2">
      <t>キョウツウ</t>
    </rPh>
    <phoneticPr fontId="13"/>
  </si>
  <si>
    <t>共通144</t>
    <rPh sb="0" eb="2">
      <t>キョウツウ</t>
    </rPh>
    <phoneticPr fontId="13"/>
  </si>
  <si>
    <t>共通145</t>
    <rPh sb="0" eb="2">
      <t>キョウツウ</t>
    </rPh>
    <phoneticPr fontId="13"/>
  </si>
  <si>
    <t>共通146</t>
    <rPh sb="0" eb="2">
      <t>キョウツウ</t>
    </rPh>
    <phoneticPr fontId="13"/>
  </si>
  <si>
    <t>共通147</t>
    <rPh sb="0" eb="2">
      <t>キョウツウ</t>
    </rPh>
    <phoneticPr fontId="13"/>
  </si>
  <si>
    <t>共通148</t>
    <rPh sb="0" eb="2">
      <t>キョウツウ</t>
    </rPh>
    <phoneticPr fontId="13"/>
  </si>
  <si>
    <t>共通149</t>
    <rPh sb="0" eb="2">
      <t>キョウツウ</t>
    </rPh>
    <phoneticPr fontId="13"/>
  </si>
  <si>
    <t>共通150</t>
    <rPh sb="0" eb="2">
      <t>キョウツウ</t>
    </rPh>
    <phoneticPr fontId="13"/>
  </si>
  <si>
    <t>人工呼吸器</t>
    <rPh sb="0" eb="2">
      <t>ジンコウ</t>
    </rPh>
    <rPh sb="2" eb="5">
      <t>コキュウキ</t>
    </rPh>
    <phoneticPr fontId="9"/>
  </si>
  <si>
    <t>内、包括</t>
    <rPh sb="0" eb="1">
      <t>ウチ</t>
    </rPh>
    <rPh sb="2" eb="4">
      <t>ホウカツ</t>
    </rPh>
    <phoneticPr fontId="9"/>
  </si>
  <si>
    <t>内、創生</t>
    <rPh sb="0" eb="1">
      <t>ウチ</t>
    </rPh>
    <rPh sb="2" eb="4">
      <t>ソウセイ</t>
    </rPh>
    <phoneticPr fontId="9"/>
  </si>
  <si>
    <t>体外式膜型人工肺</t>
    <rPh sb="0" eb="3">
      <t>タイガイシキ</t>
    </rPh>
    <rPh sb="3" eb="4">
      <t>マク</t>
    </rPh>
    <rPh sb="4" eb="5">
      <t>ガタ</t>
    </rPh>
    <rPh sb="5" eb="8">
      <t>ジンコウハイ</t>
    </rPh>
    <phoneticPr fontId="9"/>
  </si>
  <si>
    <t>総事業費</t>
    <phoneticPr fontId="9"/>
  </si>
  <si>
    <t>差引事業費</t>
    <phoneticPr fontId="9"/>
  </si>
  <si>
    <t>対象経費</t>
    <phoneticPr fontId="9"/>
  </si>
  <si>
    <t>基準額</t>
    <phoneticPr fontId="9"/>
  </si>
  <si>
    <t>選定額</t>
    <phoneticPr fontId="9"/>
  </si>
  <si>
    <t>県補助基本額</t>
    <phoneticPr fontId="9"/>
  </si>
  <si>
    <t>県補助額</t>
    <phoneticPr fontId="9"/>
  </si>
  <si>
    <t>寄付金その他</t>
    <phoneticPr fontId="9"/>
  </si>
  <si>
    <t>－</t>
    <phoneticPr fontId="9"/>
  </si>
  <si>
    <t>確保病床数</t>
    <rPh sb="0" eb="2">
      <t>カクホ</t>
    </rPh>
    <rPh sb="2" eb="5">
      <t>ビョウショウスウ</t>
    </rPh>
    <phoneticPr fontId="13"/>
  </si>
  <si>
    <t>預金種別</t>
    <rPh sb="0" eb="2">
      <t>ヨキン</t>
    </rPh>
    <rPh sb="2" eb="4">
      <t>シュベツ</t>
    </rPh>
    <phoneticPr fontId="9"/>
  </si>
  <si>
    <t>血液浄化装置、分娩監視装置、新生児モニタを整備する場合、対象患者の受入が可能であることを確認する必要があるため、チェックしてください。</t>
    <phoneticPr fontId="9"/>
  </si>
  <si>
    <t>補助事業者名</t>
    <rPh sb="0" eb="2">
      <t>ホジョ</t>
    </rPh>
    <rPh sb="2" eb="4">
      <t>ジギョウ</t>
    </rPh>
    <rPh sb="4" eb="5">
      <t>シャ</t>
    </rPh>
    <rPh sb="5" eb="6">
      <t>メイ</t>
    </rPh>
    <phoneticPr fontId="9"/>
  </si>
  <si>
    <t>所在地</t>
    <rPh sb="0" eb="3">
      <t>ショザイチ</t>
    </rPh>
    <phoneticPr fontId="9"/>
  </si>
  <si>
    <t>代表者職氏名</t>
    <rPh sb="0" eb="3">
      <t>ダイヒョウシャ</t>
    </rPh>
    <rPh sb="3" eb="4">
      <t>ショク</t>
    </rPh>
    <rPh sb="4" eb="6">
      <t>シメイ</t>
    </rPh>
    <phoneticPr fontId="9"/>
  </si>
  <si>
    <t>提出日</t>
    <rPh sb="0" eb="2">
      <t>テイシュツ</t>
    </rPh>
    <rPh sb="2" eb="3">
      <t>ビ</t>
    </rPh>
    <phoneticPr fontId="9"/>
  </si>
  <si>
    <t>三菱UFJ銀行</t>
  </si>
  <si>
    <t>犬山支店</t>
  </si>
  <si>
    <t>上段：交付内訳額
下段：補助対象額</t>
    <rPh sb="0" eb="2">
      <t>ジョウダン</t>
    </rPh>
    <rPh sb="3" eb="8">
      <t>コウフウチワケガク</t>
    </rPh>
    <rPh sb="9" eb="11">
      <t>ゲダン</t>
    </rPh>
    <rPh sb="12" eb="17">
      <t>ホジョタイショウガク</t>
    </rPh>
    <phoneticPr fontId="9"/>
  </si>
  <si>
    <t>三井住友銀行</t>
  </si>
  <si>
    <t>刈谷支店</t>
  </si>
  <si>
    <t>名古屋営業部</t>
  </si>
  <si>
    <t>令和５年　　月　　日　</t>
    <phoneticPr fontId="13"/>
  </si>
  <si>
    <t>海部東農業協同組合</t>
  </si>
  <si>
    <t>甚目寺支店</t>
  </si>
  <si>
    <t>西尾信用金庫</t>
  </si>
  <si>
    <t>交付申請兼実績報告</t>
    <rPh sb="0" eb="5">
      <t>コウフシンセイケン</t>
    </rPh>
    <rPh sb="5" eb="9">
      <t>ジッセキホウコク</t>
    </rPh>
    <phoneticPr fontId="9"/>
  </si>
  <si>
    <t>５感対第○○○○－</t>
    <rPh sb="1" eb="2">
      <t>カン</t>
    </rPh>
    <rPh sb="2" eb="3">
      <t>タイ</t>
    </rPh>
    <rPh sb="3" eb="4">
      <t>ダイ</t>
    </rPh>
    <phoneticPr fontId="13"/>
  </si>
  <si>
    <t>申請者情報</t>
    <rPh sb="0" eb="3">
      <t>シンセイシャ</t>
    </rPh>
    <rPh sb="3" eb="5">
      <t>ジョウホウ</t>
    </rPh>
    <phoneticPr fontId="13"/>
  </si>
  <si>
    <t>振込先情報</t>
    <rPh sb="0" eb="3">
      <t>フリコミサキ</t>
    </rPh>
    <rPh sb="3" eb="5">
      <t>ジョウホウ</t>
    </rPh>
    <phoneticPr fontId="13"/>
  </si>
  <si>
    <t>基礎情報</t>
    <rPh sb="0" eb="2">
      <t>キソ</t>
    </rPh>
    <rPh sb="2" eb="4">
      <t>ジョウホウ</t>
    </rPh>
    <phoneticPr fontId="13"/>
  </si>
  <si>
    <t>共通必須</t>
    <rPh sb="0" eb="2">
      <t>キョウツウ</t>
    </rPh>
    <rPh sb="2" eb="4">
      <t>ヒッス</t>
    </rPh>
    <phoneticPr fontId="13"/>
  </si>
  <si>
    <t>２．職員情報</t>
    <rPh sb="2" eb="4">
      <t>ショクイン</t>
    </rPh>
    <rPh sb="4" eb="6">
      <t>ジョウホウ</t>
    </rPh>
    <phoneticPr fontId="13"/>
  </si>
  <si>
    <t>３．配置情報</t>
    <rPh sb="2" eb="4">
      <t>ハイチ</t>
    </rPh>
    <rPh sb="4" eb="6">
      <t>ジョウホウ</t>
    </rPh>
    <phoneticPr fontId="13"/>
  </si>
  <si>
    <t>個人防護具のみ</t>
    <rPh sb="0" eb="2">
      <t>コジン</t>
    </rPh>
    <rPh sb="2" eb="4">
      <t>ボウゴ</t>
    </rPh>
    <rPh sb="4" eb="5">
      <t>グ</t>
    </rPh>
    <phoneticPr fontId="13"/>
  </si>
  <si>
    <t>４．防護具使用情報</t>
    <rPh sb="2" eb="4">
      <t>ボウゴ</t>
    </rPh>
    <rPh sb="4" eb="5">
      <t>グ</t>
    </rPh>
    <rPh sb="5" eb="7">
      <t>シヨウ</t>
    </rPh>
    <rPh sb="7" eb="9">
      <t>ジョウホウ</t>
    </rPh>
    <phoneticPr fontId="13"/>
  </si>
  <si>
    <t>○以下入力欄に必要情報を入力してください。（個人防護具を申請する場合を除き「４．平均着脱使用枚数」以外は入力必須。）</t>
    <rPh sb="1" eb="3">
      <t>イカ</t>
    </rPh>
    <rPh sb="3" eb="5">
      <t>ニュウリョク</t>
    </rPh>
    <rPh sb="5" eb="6">
      <t>ラン</t>
    </rPh>
    <rPh sb="7" eb="9">
      <t>ヒツヨウ</t>
    </rPh>
    <rPh sb="9" eb="11">
      <t>ジョウホウ</t>
    </rPh>
    <rPh sb="12" eb="14">
      <t>ニュウリョク</t>
    </rPh>
    <rPh sb="22" eb="27">
      <t>コジンボウゴグ</t>
    </rPh>
    <rPh sb="28" eb="30">
      <t>シンセイ</t>
    </rPh>
    <rPh sb="32" eb="34">
      <t>バアイ</t>
    </rPh>
    <rPh sb="35" eb="36">
      <t>ノゾ</t>
    </rPh>
    <rPh sb="49" eb="51">
      <t>イガイ</t>
    </rPh>
    <rPh sb="52" eb="56">
      <t>ニュウリョクヒッス</t>
    </rPh>
    <phoneticPr fontId="9"/>
  </si>
  <si>
    <t>・個人防護具：１日あたり平均配置員数（常勤換算）＊診療日数＊3,600円/日</t>
    <rPh sb="1" eb="6">
      <t>コジンボウゴグ</t>
    </rPh>
    <rPh sb="19" eb="21">
      <t>ジョウキン</t>
    </rPh>
    <rPh sb="21" eb="23">
      <t>カンサン</t>
    </rPh>
    <phoneticPr fontId="13"/>
  </si>
  <si>
    <t>○上部の入力欄から順に入力していくようにしてください。</t>
    <rPh sb="1" eb="3">
      <t>ジョウブ</t>
    </rPh>
    <rPh sb="4" eb="6">
      <t>ニュウリョク</t>
    </rPh>
    <rPh sb="6" eb="7">
      <t>ラン</t>
    </rPh>
    <rPh sb="9" eb="10">
      <t>ジュン</t>
    </rPh>
    <rPh sb="11" eb="13">
      <t>ニュウリョク</t>
    </rPh>
    <phoneticPr fontId="9"/>
  </si>
  <si>
    <t>○同じく個人防護具に係り、入力いただいた職員配置数及び患者数と比較し、計上されている使用数が著しく多い場合、計上の理由について県から問合せの上、
　公費補助整備に親和しないと判断される過剰分については計上から除外いただきます。</t>
    <rPh sb="1" eb="2">
      <t>オナ</t>
    </rPh>
    <rPh sb="4" eb="9">
      <t>コジンボウゴグ</t>
    </rPh>
    <rPh sb="10" eb="11">
      <t>カカ</t>
    </rPh>
    <rPh sb="13" eb="15">
      <t>ニュウリョク</t>
    </rPh>
    <rPh sb="20" eb="25">
      <t>ショクインハイチスウ</t>
    </rPh>
    <rPh sb="25" eb="26">
      <t>オヨ</t>
    </rPh>
    <rPh sb="27" eb="30">
      <t>カンジャスウ</t>
    </rPh>
    <rPh sb="31" eb="33">
      <t>ヒカク</t>
    </rPh>
    <rPh sb="35" eb="40">
      <t>コジンボウゴグ</t>
    </rPh>
    <rPh sb="40" eb="41">
      <t>オヨ</t>
    </rPh>
    <rPh sb="42" eb="44">
      <t>ケイジョウ</t>
    </rPh>
    <rPh sb="49" eb="52">
      <t>シヨウスウ</t>
    </rPh>
    <rPh sb="53" eb="54">
      <t>イチジル</t>
    </rPh>
    <rPh sb="56" eb="57">
      <t>オオ</t>
    </rPh>
    <rPh sb="58" eb="60">
      <t>バアイ</t>
    </rPh>
    <rPh sb="61" eb="63">
      <t>ケイジョウ</t>
    </rPh>
    <rPh sb="64" eb="66">
      <t>リユウ</t>
    </rPh>
    <rPh sb="70" eb="71">
      <t>ケン</t>
    </rPh>
    <rPh sb="75" eb="77">
      <t>トイアワ</t>
    </rPh>
    <rPh sb="79" eb="80">
      <t>ウエ</t>
    </rPh>
    <rPh sb="81" eb="83">
      <t>コウヒ</t>
    </rPh>
    <rPh sb="83" eb="85">
      <t>ホジョ</t>
    </rPh>
    <rPh sb="85" eb="87">
      <t>セイビ</t>
    </rPh>
    <rPh sb="88" eb="90">
      <t>シンワ</t>
    </rPh>
    <rPh sb="94" eb="96">
      <t>ハンダン</t>
    </rPh>
    <rPh sb="99" eb="101">
      <t>カジョウ</t>
    </rPh>
    <rPh sb="101" eb="102">
      <t>ブン</t>
    </rPh>
    <rPh sb="107" eb="109">
      <t>ケイジョウ</t>
    </rPh>
    <rPh sb="111" eb="113">
      <t>ジョガイ</t>
    </rPh>
    <phoneticPr fontId="9"/>
  </si>
  <si>
    <t>通常診療時間帯と分けた時間枠を設け応需</t>
    <rPh sb="0" eb="2">
      <t>ツウジョウ</t>
    </rPh>
    <rPh sb="2" eb="4">
      <t>シンリョウ</t>
    </rPh>
    <rPh sb="4" eb="7">
      <t>ジカンタイ</t>
    </rPh>
    <rPh sb="8" eb="9">
      <t>ワ</t>
    </rPh>
    <rPh sb="11" eb="14">
      <t>ジカンワク</t>
    </rPh>
    <rPh sb="15" eb="16">
      <t>モウ</t>
    </rPh>
    <rPh sb="17" eb="19">
      <t>オウジュ</t>
    </rPh>
    <phoneticPr fontId="13"/>
  </si>
  <si>
    <t>通常診療時間帯において随時応需</t>
    <rPh sb="0" eb="4">
      <t>ツウジョウシンリョウ</t>
    </rPh>
    <rPh sb="4" eb="7">
      <t>ジカンタイ</t>
    </rPh>
    <rPh sb="11" eb="13">
      <t>ズイジ</t>
    </rPh>
    <rPh sb="13" eb="15">
      <t>オウジュ</t>
    </rPh>
    <phoneticPr fontId="13"/>
  </si>
  <si>
    <t>敷地外に設けたプレハブ、テント等で実施</t>
    <rPh sb="0" eb="3">
      <t>シキチガイ</t>
    </rPh>
    <rPh sb="4" eb="5">
      <t>モウ</t>
    </rPh>
    <rPh sb="15" eb="16">
      <t>トウ</t>
    </rPh>
    <rPh sb="17" eb="19">
      <t>ジッシ</t>
    </rPh>
    <phoneticPr fontId="13"/>
  </si>
  <si>
    <t>院内の診療スペースで実施</t>
    <rPh sb="0" eb="2">
      <t>インナイ</t>
    </rPh>
    <rPh sb="3" eb="5">
      <t>シンリョウ</t>
    </rPh>
    <rPh sb="10" eb="12">
      <t>ジッシ</t>
    </rPh>
    <phoneticPr fontId="13"/>
  </si>
  <si>
    <t>曜日</t>
    <rPh sb="0" eb="2">
      <t>ヨウビ</t>
    </rPh>
    <phoneticPr fontId="9"/>
  </si>
  <si>
    <t>診察日</t>
    <rPh sb="0" eb="3">
      <t>シンサツビ</t>
    </rPh>
    <phoneticPr fontId="9"/>
  </si>
  <si>
    <t>建物内の診療スペース外（勝手口等からの通用先等）で実施</t>
    <rPh sb="0" eb="3">
      <t>タテモノナイ</t>
    </rPh>
    <rPh sb="4" eb="6">
      <t>シンリョウ</t>
    </rPh>
    <rPh sb="10" eb="11">
      <t>ガイ</t>
    </rPh>
    <rPh sb="12" eb="15">
      <t>カッテグチ</t>
    </rPh>
    <rPh sb="15" eb="16">
      <t>トウ</t>
    </rPh>
    <rPh sb="19" eb="21">
      <t>ツウヨウ</t>
    </rPh>
    <rPh sb="21" eb="22">
      <t>サキ</t>
    </rPh>
    <rPh sb="22" eb="23">
      <t>トウ</t>
    </rPh>
    <rPh sb="25" eb="27">
      <t>ジッシ</t>
    </rPh>
    <phoneticPr fontId="13"/>
  </si>
  <si>
    <t>①</t>
    <phoneticPr fontId="13"/>
  </si>
  <si>
    <t>②</t>
    <phoneticPr fontId="13"/>
  </si>
  <si>
    <t>③</t>
    <phoneticPr fontId="13"/>
  </si>
  <si>
    <t>月</t>
    <rPh sb="0" eb="1">
      <t>ゲツ</t>
    </rPh>
    <phoneticPr fontId="13"/>
  </si>
  <si>
    <t>診療日</t>
    <rPh sb="0" eb="2">
      <t>シンリョウ</t>
    </rPh>
    <rPh sb="2" eb="3">
      <t>ビ</t>
    </rPh>
    <phoneticPr fontId="9"/>
  </si>
  <si>
    <t>火</t>
  </si>
  <si>
    <t>火曜日</t>
  </si>
  <si>
    <t>休診日</t>
    <rPh sb="0" eb="3">
      <t>キュウシンビ</t>
    </rPh>
    <phoneticPr fontId="9"/>
  </si>
  <si>
    <t>水</t>
  </si>
  <si>
    <t>水曜日</t>
  </si>
  <si>
    <t>木</t>
  </si>
  <si>
    <t>木曜日</t>
  </si>
  <si>
    <t>金</t>
  </si>
  <si>
    <t>金曜日</t>
  </si>
  <si>
    <t>土</t>
  </si>
  <si>
    <t>土曜日</t>
  </si>
  <si>
    <t>日曜日</t>
  </si>
  <si>
    <t>職種</t>
    <rPh sb="0" eb="2">
      <t>ショクシュ</t>
    </rPh>
    <phoneticPr fontId="13"/>
  </si>
  <si>
    <r>
      <t>氏名（員数の適切な算出のため１つの欄に氏名いずれも入力するようにしてください。</t>
    </r>
    <r>
      <rPr>
        <b/>
        <u/>
        <sz val="14"/>
        <color rgb="FFFF0000"/>
        <rFont val="Yu Gothic"/>
        <family val="3"/>
        <charset val="128"/>
        <scheme val="minor"/>
      </rPr>
      <t>姓と名を別欄に入力しないようにすること。</t>
    </r>
    <r>
      <rPr>
        <b/>
        <sz val="14"/>
        <color theme="1"/>
        <rFont val="Yu Gothic"/>
        <family val="3"/>
        <charset val="128"/>
        <scheme val="minor"/>
      </rPr>
      <t>）</t>
    </r>
    <rPh sb="0" eb="2">
      <t>シメイ</t>
    </rPh>
    <rPh sb="3" eb="5">
      <t>インスウ</t>
    </rPh>
    <rPh sb="6" eb="8">
      <t>テキセツ</t>
    </rPh>
    <rPh sb="9" eb="11">
      <t>サンシュツ</t>
    </rPh>
    <rPh sb="17" eb="18">
      <t>ラン</t>
    </rPh>
    <rPh sb="19" eb="21">
      <t>シメイ</t>
    </rPh>
    <rPh sb="25" eb="27">
      <t>ニュウリョク</t>
    </rPh>
    <rPh sb="39" eb="40">
      <t>セイ</t>
    </rPh>
    <rPh sb="41" eb="42">
      <t>メイ</t>
    </rPh>
    <rPh sb="43" eb="45">
      <t>ベツラン</t>
    </rPh>
    <rPh sb="46" eb="48">
      <t>ニュウリョク</t>
    </rPh>
    <phoneticPr fontId="13"/>
  </si>
  <si>
    <t>入力上の注意点</t>
    <phoneticPr fontId="13"/>
  </si>
  <si>
    <t>医師</t>
    <rPh sb="0" eb="2">
      <t>イシ</t>
    </rPh>
    <phoneticPr fontId="13"/>
  </si>
  <si>
    <t>例）山田太郎</t>
    <rPh sb="0" eb="1">
      <t>レイ</t>
    </rPh>
    <rPh sb="2" eb="4">
      <t>ヤマダ</t>
    </rPh>
    <rPh sb="4" eb="6">
      <t>タロウ</t>
    </rPh>
    <phoneticPr fontId="13"/>
  </si>
  <si>
    <t>例）田中花子</t>
    <rPh sb="0" eb="1">
      <t>レイ</t>
    </rPh>
    <rPh sb="2" eb="4">
      <t>タナカ</t>
    </rPh>
    <rPh sb="4" eb="6">
      <t>ハナコ</t>
    </rPh>
    <phoneticPr fontId="13"/>
  </si>
  <si>
    <t>○人員配置体制については、必要と認める場合タイムカード等の賃金算定根拠となる勤務実績が判る帳簿のご提出をお願いする場合があります。
　（ご対応いただけない場合、公費補助整備が妥当と判断いたしかね交付決定できない場合がありますのでご了承ください。）</t>
    <rPh sb="1" eb="3">
      <t>ジンイン</t>
    </rPh>
    <rPh sb="3" eb="5">
      <t>ハイチ</t>
    </rPh>
    <rPh sb="5" eb="7">
      <t>タイセイ</t>
    </rPh>
    <rPh sb="13" eb="15">
      <t>ヒツヨウ</t>
    </rPh>
    <rPh sb="16" eb="17">
      <t>ミト</t>
    </rPh>
    <rPh sb="19" eb="21">
      <t>バアイ</t>
    </rPh>
    <rPh sb="27" eb="28">
      <t>トウ</t>
    </rPh>
    <rPh sb="29" eb="31">
      <t>チンギン</t>
    </rPh>
    <rPh sb="31" eb="33">
      <t>サンテイ</t>
    </rPh>
    <rPh sb="33" eb="35">
      <t>コンキョ</t>
    </rPh>
    <rPh sb="38" eb="40">
      <t>キンム</t>
    </rPh>
    <rPh sb="40" eb="42">
      <t>ジッセキ</t>
    </rPh>
    <rPh sb="43" eb="44">
      <t>ワカ</t>
    </rPh>
    <rPh sb="45" eb="47">
      <t>チョウボ</t>
    </rPh>
    <rPh sb="49" eb="51">
      <t>テイシュツ</t>
    </rPh>
    <rPh sb="53" eb="54">
      <t>ネガ</t>
    </rPh>
    <rPh sb="57" eb="59">
      <t>バアイ</t>
    </rPh>
    <rPh sb="69" eb="71">
      <t>タイオウ</t>
    </rPh>
    <rPh sb="77" eb="79">
      <t>バアイ</t>
    </rPh>
    <rPh sb="80" eb="82">
      <t>コウヒ</t>
    </rPh>
    <rPh sb="82" eb="84">
      <t>ホジョ</t>
    </rPh>
    <rPh sb="84" eb="86">
      <t>セイビ</t>
    </rPh>
    <rPh sb="87" eb="89">
      <t>ダトウ</t>
    </rPh>
    <rPh sb="90" eb="92">
      <t>ハンダン</t>
    </rPh>
    <rPh sb="97" eb="99">
      <t>コウフ</t>
    </rPh>
    <rPh sb="99" eb="101">
      <t>ケッテイ</t>
    </rPh>
    <rPh sb="105" eb="107">
      <t>バアイ</t>
    </rPh>
    <rPh sb="115" eb="117">
      <t>リョウショウ</t>
    </rPh>
    <phoneticPr fontId="13"/>
  </si>
  <si>
    <t>４月</t>
    <rPh sb="1" eb="2">
      <t>ガツ</t>
    </rPh>
    <phoneticPr fontId="13"/>
  </si>
  <si>
    <t>５月</t>
    <rPh sb="1" eb="2">
      <t>ガツ</t>
    </rPh>
    <phoneticPr fontId="13"/>
  </si>
  <si>
    <t>合計or
平均</t>
    <rPh sb="0" eb="1">
      <t>ゴウ</t>
    </rPh>
    <rPh sb="1" eb="2">
      <t>ケイ</t>
    </rPh>
    <rPh sb="5" eb="7">
      <t>ヘイキン</t>
    </rPh>
    <phoneticPr fontId="13"/>
  </si>
  <si>
    <t>土</t>
    <rPh sb="0" eb="1">
      <t>ド</t>
    </rPh>
    <phoneticPr fontId="13"/>
  </si>
  <si>
    <t>火</t>
    <rPh sb="0" eb="1">
      <t>カ</t>
    </rPh>
    <phoneticPr fontId="13"/>
  </si>
  <si>
    <t>－</t>
    <phoneticPr fontId="13"/>
  </si>
  <si>
    <t>休診日（グレーのセル）以外は全て入力（０の場合は０）</t>
    <rPh sb="0" eb="3">
      <t>キュウシンビ</t>
    </rPh>
    <rPh sb="11" eb="13">
      <t>イガイ</t>
    </rPh>
    <rPh sb="14" eb="15">
      <t>スベ</t>
    </rPh>
    <rPh sb="16" eb="18">
      <t>ニュウリョク</t>
    </rPh>
    <rPh sb="21" eb="23">
      <t>バアイ</t>
    </rPh>
    <phoneticPr fontId="13"/>
  </si>
  <si>
    <t>内、咳症状等を有する患者数</t>
    <rPh sb="0" eb="1">
      <t>ウチ</t>
    </rPh>
    <rPh sb="2" eb="3">
      <t>セキ</t>
    </rPh>
    <rPh sb="3" eb="5">
      <t>ショウジョウ</t>
    </rPh>
    <rPh sb="5" eb="6">
      <t>トウ</t>
    </rPh>
    <rPh sb="7" eb="8">
      <t>ユウ</t>
    </rPh>
    <rPh sb="10" eb="12">
      <t>カンジャ</t>
    </rPh>
    <rPh sb="12" eb="13">
      <t>スウ</t>
    </rPh>
    <phoneticPr fontId="13"/>
  </si>
  <si>
    <t>上段の疑い患者数の範囲内。休診日（グレーのセル）以外は全て入力（０の場合は０）</t>
    <rPh sb="0" eb="2">
      <t>ジョウダン</t>
    </rPh>
    <rPh sb="3" eb="4">
      <t>ウタガ</t>
    </rPh>
    <rPh sb="5" eb="7">
      <t>カンジャ</t>
    </rPh>
    <rPh sb="7" eb="8">
      <t>スウ</t>
    </rPh>
    <rPh sb="9" eb="12">
      <t>ハンイナイ</t>
    </rPh>
    <rPh sb="13" eb="16">
      <t>キュウシンビ</t>
    </rPh>
    <rPh sb="24" eb="26">
      <t>イガイ</t>
    </rPh>
    <rPh sb="27" eb="28">
      <t>スベ</t>
    </rPh>
    <rPh sb="29" eb="31">
      <t>ニュウリョク</t>
    </rPh>
    <rPh sb="34" eb="36">
      <t>バアイ</t>
    </rPh>
    <phoneticPr fontId="13"/>
  </si>
  <si>
    <t>常勤換算数</t>
    <rPh sb="0" eb="2">
      <t>ジョウキン</t>
    </rPh>
    <rPh sb="2" eb="4">
      <t>カンサン</t>
    </rPh>
    <rPh sb="4" eb="5">
      <t>スウ</t>
    </rPh>
    <phoneticPr fontId="13"/>
  </si>
  <si>
    <t>配置員数</t>
    <rPh sb="0" eb="2">
      <t>ハイチ</t>
    </rPh>
    <rPh sb="2" eb="4">
      <t>インスウ</t>
    </rPh>
    <phoneticPr fontId="13"/>
  </si>
  <si>
    <t>勤務時間数計</t>
    <rPh sb="0" eb="5">
      <t>キンムジカンスウ</t>
    </rPh>
    <rPh sb="5" eb="6">
      <t>ケイ</t>
    </rPh>
    <phoneticPr fontId="13"/>
  </si>
  <si>
    <t>上段の最大勤務時間数の範囲内。休診日（グレーのセル）以外は全て入力（０の場合は０）</t>
    <rPh sb="15" eb="18">
      <t>キュウシンビ</t>
    </rPh>
    <rPh sb="26" eb="28">
      <t>イガイ</t>
    </rPh>
    <rPh sb="29" eb="30">
      <t>スベ</t>
    </rPh>
    <rPh sb="31" eb="33">
      <t>ニュウリョク</t>
    </rPh>
    <rPh sb="36" eb="38">
      <t>バアイ</t>
    </rPh>
    <phoneticPr fontId="13"/>
  </si>
  <si>
    <t>疑い患者数</t>
    <rPh sb="0" eb="1">
      <t>ウタガ</t>
    </rPh>
    <rPh sb="2" eb="5">
      <t>カンジャスウ</t>
    </rPh>
    <phoneticPr fontId="13"/>
  </si>
  <si>
    <t>内、有咳症状等</t>
    <rPh sb="0" eb="1">
      <t>ウチ</t>
    </rPh>
    <rPh sb="2" eb="3">
      <t>ユウ</t>
    </rPh>
    <rPh sb="3" eb="4">
      <t>セキ</t>
    </rPh>
    <rPh sb="4" eb="7">
      <t>ショウジョウトウ</t>
    </rPh>
    <phoneticPr fontId="13"/>
  </si>
  <si>
    <t>品目等</t>
    <rPh sb="0" eb="2">
      <t>ヒンモク</t>
    </rPh>
    <rPh sb="2" eb="3">
      <t>トウ</t>
    </rPh>
    <phoneticPr fontId="13"/>
  </si>
  <si>
    <t>その他</t>
    <rPh sb="2" eb="3">
      <t>タ</t>
    </rPh>
    <phoneticPr fontId="13"/>
  </si>
  <si>
    <t>シールド付</t>
    <rPh sb="4" eb="5">
      <t>ツ</t>
    </rPh>
    <phoneticPr fontId="13"/>
  </si>
  <si>
    <t>N95・ハイラックマスク
(咳症状等患者のみ)</t>
    <rPh sb="14" eb="17">
      <t>セキショウジョウ</t>
    </rPh>
    <rPh sb="17" eb="18">
      <t>トウ</t>
    </rPh>
    <rPh sb="18" eb="20">
      <t>カンジャ</t>
    </rPh>
    <phoneticPr fontId="13"/>
  </si>
  <si>
    <t>リユーサブル
(1以下の数値を入力)</t>
    <rPh sb="9" eb="11">
      <t>イカ</t>
    </rPh>
    <rPh sb="12" eb="14">
      <t>スウチ</t>
    </rPh>
    <rPh sb="15" eb="17">
      <t>ニュウリョク</t>
    </rPh>
    <phoneticPr fontId="13"/>
  </si>
  <si>
    <t>レンズ交換型本体
(1以下の数値を入力)</t>
    <rPh sb="3" eb="6">
      <t>コウカンガタ</t>
    </rPh>
    <rPh sb="6" eb="8">
      <t>ホンタイ</t>
    </rPh>
    <phoneticPr fontId="13"/>
  </si>
  <si>
    <t>交換用レンズ</t>
    <rPh sb="0" eb="3">
      <t>コウカンヨウ</t>
    </rPh>
    <phoneticPr fontId="13"/>
  </si>
  <si>
    <t>フェイス
シールド</t>
    <phoneticPr fontId="13"/>
  </si>
  <si>
    <t>使捨て一体型</t>
    <rPh sb="0" eb="1">
      <t>ツカ</t>
    </rPh>
    <rPh sb="1" eb="2">
      <t>ス</t>
    </rPh>
    <rPh sb="3" eb="6">
      <t>イッタイガタ</t>
    </rPh>
    <phoneticPr fontId="13"/>
  </si>
  <si>
    <t>フレーム
(1以下の数値を入力)</t>
    <phoneticPr fontId="13"/>
  </si>
  <si>
    <t>交換用シールド</t>
    <rPh sb="0" eb="3">
      <t>コウカンヨウ</t>
    </rPh>
    <phoneticPr fontId="13"/>
  </si>
  <si>
    <t>リユーサブル
(1以下の数値を入力)</t>
    <phoneticPr fontId="13"/>
  </si>
  <si>
    <t>【品目毎の着脱使用の頻度】（「判定」が要入力となっている黄色の欄に、１患者対応あたりどのタイミングで着脱し当該数量になるか記載してください。）</t>
    <rPh sb="1" eb="3">
      <t>ヒンモク</t>
    </rPh>
    <rPh sb="3" eb="4">
      <t>ゴト</t>
    </rPh>
    <rPh sb="5" eb="7">
      <t>チャクダツ</t>
    </rPh>
    <rPh sb="7" eb="9">
      <t>シヨウ</t>
    </rPh>
    <rPh sb="10" eb="12">
      <t>ヒンド</t>
    </rPh>
    <rPh sb="15" eb="17">
      <t>ハンテイ</t>
    </rPh>
    <rPh sb="19" eb="22">
      <t>ヨウニュウリョク</t>
    </rPh>
    <rPh sb="28" eb="30">
      <t>キイロ</t>
    </rPh>
    <rPh sb="31" eb="32">
      <t>ラン</t>
    </rPh>
    <rPh sb="35" eb="37">
      <t>カンジャ</t>
    </rPh>
    <rPh sb="37" eb="39">
      <t>タイオウ</t>
    </rPh>
    <rPh sb="50" eb="52">
      <t>チャクダツ</t>
    </rPh>
    <rPh sb="53" eb="55">
      <t>トウガイ</t>
    </rPh>
    <rPh sb="55" eb="57">
      <t>スウリョウ</t>
    </rPh>
    <rPh sb="61" eb="63">
      <t>キサイ</t>
    </rPh>
    <phoneticPr fontId="13"/>
  </si>
  <si>
    <t>着脱使用の手順</t>
    <rPh sb="0" eb="2">
      <t>チャクダツ</t>
    </rPh>
    <rPh sb="2" eb="4">
      <t>シヨウ</t>
    </rPh>
    <rPh sb="5" eb="7">
      <t>テジュン</t>
    </rPh>
    <phoneticPr fontId="13"/>
  </si>
  <si>
    <t>患者数</t>
    <rPh sb="0" eb="3">
      <t>カンジャスウ</t>
    </rPh>
    <phoneticPr fontId="13"/>
  </si>
  <si>
    <t>エアロ</t>
    <phoneticPr fontId="13"/>
  </si>
  <si>
    <t>00</t>
    <phoneticPr fontId="13"/>
  </si>
  <si>
    <t>マスク
（その他）</t>
    <rPh sb="7" eb="8">
      <t>タ</t>
    </rPh>
    <phoneticPr fontId="13"/>
  </si>
  <si>
    <t>月曜日</t>
    <rPh sb="0" eb="3">
      <t>ゲツヨウビ</t>
    </rPh>
    <phoneticPr fontId="9"/>
  </si>
  <si>
    <t>マスク
（ハイラック）</t>
    <phoneticPr fontId="13"/>
  </si>
  <si>
    <t>マスク</t>
    <phoneticPr fontId="9"/>
  </si>
  <si>
    <t>グローブ</t>
    <phoneticPr fontId="9"/>
  </si>
  <si>
    <t>ガウン</t>
    <phoneticPr fontId="9"/>
  </si>
  <si>
    <t>ゴーグル</t>
    <phoneticPr fontId="9"/>
  </si>
  <si>
    <t>フェイスシールド</t>
    <phoneticPr fontId="9"/>
  </si>
  <si>
    <t>ゴーグル
（リユーサブル）</t>
    <phoneticPr fontId="13"/>
  </si>
  <si>
    <t>医師</t>
    <rPh sb="0" eb="2">
      <t>イシ</t>
    </rPh>
    <phoneticPr fontId="9"/>
  </si>
  <si>
    <t>ゴーグル
（レンズ交換型）</t>
    <rPh sb="9" eb="12">
      <t>コウカンガタ</t>
    </rPh>
    <phoneticPr fontId="13"/>
  </si>
  <si>
    <t>ゴーグル
（交換用レンズ）</t>
    <rPh sb="6" eb="8">
      <t>コウカン</t>
    </rPh>
    <rPh sb="8" eb="9">
      <t>ヨウ</t>
    </rPh>
    <phoneticPr fontId="13"/>
  </si>
  <si>
    <t>フェイスシールド
（使い捨て一体型）</t>
    <rPh sb="10" eb="11">
      <t>ツカ</t>
    </rPh>
    <rPh sb="12" eb="13">
      <t>ス</t>
    </rPh>
    <rPh sb="14" eb="17">
      <t>イッタイガタ</t>
    </rPh>
    <phoneticPr fontId="13"/>
  </si>
  <si>
    <t>フェイスシールド
（フレーム）</t>
    <phoneticPr fontId="13"/>
  </si>
  <si>
    <t>フェイスシールド
（交換用シールド）</t>
    <rPh sb="10" eb="12">
      <t>コウカン</t>
    </rPh>
    <rPh sb="12" eb="13">
      <t>ヨウ</t>
    </rPh>
    <phoneticPr fontId="13"/>
  </si>
  <si>
    <t>フェイスシールド
（リユーサブル）</t>
    <phoneticPr fontId="13"/>
  </si>
  <si>
    <t>合計or平均</t>
    <rPh sb="0" eb="1">
      <t>ゴウ</t>
    </rPh>
    <rPh sb="1" eb="2">
      <t>ケイ</t>
    </rPh>
    <rPh sb="4" eb="6">
      <t>ヘイキン</t>
    </rPh>
    <phoneticPr fontId="13"/>
  </si>
  <si>
    <t>入力上の注意点</t>
    <rPh sb="0" eb="3">
      <t>ニュウリョクジョウ</t>
    </rPh>
    <rPh sb="4" eb="7">
      <t>チュウイテン</t>
    </rPh>
    <phoneticPr fontId="13"/>
  </si>
  <si>
    <t>全ての欄に当該月の疑い外来患者数を入力してください。</t>
    <rPh sb="0" eb="1">
      <t>スベ</t>
    </rPh>
    <rPh sb="3" eb="4">
      <t>ラン</t>
    </rPh>
    <rPh sb="5" eb="7">
      <t>トウガイ</t>
    </rPh>
    <rPh sb="7" eb="8">
      <t>ツキ</t>
    </rPh>
    <rPh sb="9" eb="10">
      <t>ウタガ</t>
    </rPh>
    <rPh sb="11" eb="13">
      <t>ガイライ</t>
    </rPh>
    <rPh sb="13" eb="16">
      <t>カンジャスウ</t>
    </rPh>
    <rPh sb="17" eb="19">
      <t>ニュウリョク</t>
    </rPh>
    <phoneticPr fontId="13"/>
  </si>
  <si>
    <t>常勤換算数平均/日</t>
    <rPh sb="0" eb="2">
      <t>ジョウキン</t>
    </rPh>
    <rPh sb="2" eb="4">
      <t>カンサン</t>
    </rPh>
    <rPh sb="4" eb="5">
      <t>スウ</t>
    </rPh>
    <rPh sb="5" eb="7">
      <t>ヘイキン</t>
    </rPh>
    <rPh sb="8" eb="9">
      <t>ニチ</t>
    </rPh>
    <phoneticPr fontId="13"/>
  </si>
  <si>
    <t>１日あたり平均勤務時間数を週の平均診療時間数で除した常勤換算の配置員数が表示されます。</t>
    <rPh sb="1" eb="2">
      <t>ニチ</t>
    </rPh>
    <rPh sb="5" eb="7">
      <t>ヘイキン</t>
    </rPh>
    <rPh sb="7" eb="9">
      <t>キンム</t>
    </rPh>
    <rPh sb="9" eb="12">
      <t>ジカンスウ</t>
    </rPh>
    <rPh sb="13" eb="14">
      <t>シュウ</t>
    </rPh>
    <rPh sb="15" eb="17">
      <t>ヘイキン</t>
    </rPh>
    <rPh sb="17" eb="22">
      <t>シンリョウジカンスウ</t>
    </rPh>
    <rPh sb="23" eb="24">
      <t>ジョ</t>
    </rPh>
    <rPh sb="26" eb="30">
      <t>ジョウキンカンサン</t>
    </rPh>
    <rPh sb="31" eb="33">
      <t>ハイチ</t>
    </rPh>
    <rPh sb="33" eb="35">
      <t>インスウ</t>
    </rPh>
    <rPh sb="36" eb="38">
      <t>ヒョウジ</t>
    </rPh>
    <phoneticPr fontId="13"/>
  </si>
  <si>
    <t>平均配置員数/日</t>
    <rPh sb="0" eb="2">
      <t>ヘイキン</t>
    </rPh>
    <rPh sb="2" eb="4">
      <t>ハイチ</t>
    </rPh>
    <rPh sb="4" eb="6">
      <t>インスウ</t>
    </rPh>
    <rPh sb="7" eb="8">
      <t>ニチ</t>
    </rPh>
    <phoneticPr fontId="13"/>
  </si>
  <si>
    <t>勤務時間数計/月</t>
    <rPh sb="0" eb="5">
      <t>キンムジカンスウ</t>
    </rPh>
    <rPh sb="5" eb="6">
      <t>ケイ</t>
    </rPh>
    <rPh sb="7" eb="8">
      <t>ツキ</t>
    </rPh>
    <phoneticPr fontId="13"/>
  </si>
  <si>
    <t>納品日情報等</t>
    <rPh sb="0" eb="3">
      <t>ノウヒンビ</t>
    </rPh>
    <rPh sb="3" eb="5">
      <t>ジョウホウ</t>
    </rPh>
    <rPh sb="5" eb="6">
      <t>トウ</t>
    </rPh>
    <phoneticPr fontId="13"/>
  </si>
  <si>
    <t>パーテーション</t>
    <phoneticPr fontId="13"/>
  </si>
  <si>
    <t>消毒清掃経費　明細</t>
    <rPh sb="0" eb="2">
      <t>ショウドク</t>
    </rPh>
    <rPh sb="2" eb="4">
      <t>セイソウ</t>
    </rPh>
    <rPh sb="4" eb="6">
      <t>ケイヒ</t>
    </rPh>
    <rPh sb="7" eb="9">
      <t>メイサイ</t>
    </rPh>
    <phoneticPr fontId="13"/>
  </si>
  <si>
    <t>基準単価</t>
    <rPh sb="0" eb="2">
      <t>キジュン</t>
    </rPh>
    <rPh sb="2" eb="4">
      <t>タンカ</t>
    </rPh>
    <phoneticPr fontId="13"/>
  </si>
  <si>
    <t>←こちらに税込の単価を入力すると下段に税抜の額が
　自動で表示されます。</t>
    <phoneticPr fontId="13"/>
  </si>
  <si>
    <t>補助基準額</t>
    <rPh sb="0" eb="2">
      <t>ホジョ</t>
    </rPh>
    <rPh sb="2" eb="4">
      <t>キジュン</t>
    </rPh>
    <rPh sb="4" eb="5">
      <t>ガク</t>
    </rPh>
    <phoneticPr fontId="13"/>
  </si>
  <si>
    <t>２．消毒清掃経費情報</t>
    <rPh sb="2" eb="4">
      <t>ショウドク</t>
    </rPh>
    <rPh sb="4" eb="6">
      <t>セイソウ</t>
    </rPh>
    <rPh sb="6" eb="8">
      <t>ケイヒ</t>
    </rPh>
    <rPh sb="8" eb="10">
      <t>ジョウホウ</t>
    </rPh>
    <phoneticPr fontId="13"/>
  </si>
  <si>
    <t>大区分</t>
    <rPh sb="0" eb="3">
      <t>ダイクブン</t>
    </rPh>
    <phoneticPr fontId="13"/>
  </si>
  <si>
    <t>商品名・内容等</t>
    <rPh sb="0" eb="3">
      <t>ショウヒンメイ</t>
    </rPh>
    <rPh sb="4" eb="6">
      <t>ナイヨウ</t>
    </rPh>
    <rPh sb="6" eb="7">
      <t>トウ</t>
    </rPh>
    <phoneticPr fontId="13"/>
  </si>
  <si>
    <t>消耗品</t>
    <rPh sb="0" eb="2">
      <t>ショウモウ</t>
    </rPh>
    <rPh sb="2" eb="3">
      <t>ヒン</t>
    </rPh>
    <phoneticPr fontId="13"/>
  </si>
  <si>
    <t>②「消毒清掃経費情報」の入力</t>
    <rPh sb="2" eb="4">
      <t>ショウドク</t>
    </rPh>
    <rPh sb="4" eb="6">
      <t>セイソウ</t>
    </rPh>
    <rPh sb="6" eb="8">
      <t>ケイヒ</t>
    </rPh>
    <rPh sb="8" eb="10">
      <t>ジョウホウ</t>
    </rPh>
    <rPh sb="12" eb="14">
      <t>ニュウリョク</t>
    </rPh>
    <phoneticPr fontId="13"/>
  </si>
  <si>
    <t>内容量/箱</t>
    <rPh sb="0" eb="3">
      <t>ナイヨウリョウ</t>
    </rPh>
    <rPh sb="4" eb="5">
      <t>ハコ</t>
    </rPh>
    <phoneticPr fontId="13"/>
  </si>
  <si>
    <t>―</t>
    <phoneticPr fontId="13"/>
  </si>
  <si>
    <t>　令和５年度愛知県新型コロナウイルス感染症入院医療機関設備整備費補助金について、
下記の金額を請求します。なお、支払は下記の口座に振り込んでください。</t>
    <rPh sb="21" eb="23">
      <t>ニュウイン</t>
    </rPh>
    <rPh sb="23" eb="25">
      <t>イリョウ</t>
    </rPh>
    <rPh sb="41" eb="43">
      <t>カキ</t>
    </rPh>
    <rPh sb="59" eb="61">
      <t>カキ</t>
    </rPh>
    <phoneticPr fontId="13"/>
  </si>
  <si>
    <t>空気清浄機・パーテーション・簡易ベッド明細</t>
    <rPh sb="0" eb="2">
      <t>クウキ</t>
    </rPh>
    <rPh sb="2" eb="5">
      <t>セイジョウキ</t>
    </rPh>
    <rPh sb="14" eb="16">
      <t>カンイ</t>
    </rPh>
    <rPh sb="19" eb="21">
      <t>メイサイ</t>
    </rPh>
    <phoneticPr fontId="13"/>
  </si>
  <si>
    <t>空気清浄機</t>
    <rPh sb="0" eb="2">
      <t>クウキ</t>
    </rPh>
    <rPh sb="2" eb="5">
      <t>セイジョウキ</t>
    </rPh>
    <phoneticPr fontId="13"/>
  </si>
  <si>
    <t>ー</t>
    <phoneticPr fontId="13"/>
  </si>
  <si>
    <t>《以下の品目を申請する場合は、設置場所がわかる図面、購入品目の規格等がわかるカタログ及び見積書を提出すること。》</t>
    <rPh sb="1" eb="3">
      <t>イカ</t>
    </rPh>
    <rPh sb="4" eb="6">
      <t>ヒンモク</t>
    </rPh>
    <rPh sb="7" eb="9">
      <t>シンセイ</t>
    </rPh>
    <rPh sb="11" eb="13">
      <t>バアイ</t>
    </rPh>
    <rPh sb="15" eb="17">
      <t>セッチ</t>
    </rPh>
    <rPh sb="17" eb="19">
      <t>バショ</t>
    </rPh>
    <rPh sb="23" eb="25">
      <t>ズメン</t>
    </rPh>
    <rPh sb="26" eb="28">
      <t>コウニュウ</t>
    </rPh>
    <rPh sb="28" eb="30">
      <t>ヒンモク</t>
    </rPh>
    <rPh sb="31" eb="33">
      <t>キカク</t>
    </rPh>
    <rPh sb="33" eb="34">
      <t>トウ</t>
    </rPh>
    <rPh sb="42" eb="43">
      <t>オヨ</t>
    </rPh>
    <rPh sb="44" eb="47">
      <t>ミツモリショ</t>
    </rPh>
    <rPh sb="48" eb="50">
      <t>テイシュツ</t>
    </rPh>
    <phoneticPr fontId="13"/>
  </si>
  <si>
    <t>１．空気清浄機</t>
    <rPh sb="2" eb="4">
      <t>クウキ</t>
    </rPh>
    <rPh sb="4" eb="7">
      <t>セイジョウキ</t>
    </rPh>
    <phoneticPr fontId="13"/>
  </si>
  <si>
    <t>【補助要件】</t>
    <rPh sb="1" eb="3">
      <t>ホジョ</t>
    </rPh>
    <rPh sb="3" eb="5">
      <t>ヨウケン</t>
    </rPh>
    <phoneticPr fontId="13"/>
  </si>
  <si>
    <t>HEPAフィルター式であること。（これ以外の規格は補助対象外）</t>
    <rPh sb="19" eb="21">
      <t>イガイ</t>
    </rPh>
    <rPh sb="22" eb="24">
      <t>キカク</t>
    </rPh>
    <rPh sb="25" eb="27">
      <t>ホジョ</t>
    </rPh>
    <rPh sb="27" eb="29">
      <t>タイショウ</t>
    </rPh>
    <rPh sb="29" eb="30">
      <t>ガイ</t>
    </rPh>
    <phoneticPr fontId="13"/>
  </si>
  <si>
    <t>④</t>
    <phoneticPr fontId="13"/>
  </si>
  <si>
    <t>（１）設置場所</t>
    <rPh sb="3" eb="5">
      <t>セッチ</t>
    </rPh>
    <rPh sb="5" eb="7">
      <t>バショ</t>
    </rPh>
    <phoneticPr fontId="13"/>
  </si>
  <si>
    <t>設置場所</t>
    <rPh sb="0" eb="2">
      <t>セッチ</t>
    </rPh>
    <rPh sb="2" eb="4">
      <t>バショ</t>
    </rPh>
    <phoneticPr fontId="13"/>
  </si>
  <si>
    <t>陰圧化の方法</t>
    <rPh sb="0" eb="2">
      <t>インアツ</t>
    </rPh>
    <rPh sb="2" eb="3">
      <t>カ</t>
    </rPh>
    <rPh sb="4" eb="6">
      <t>ホウホウ</t>
    </rPh>
    <phoneticPr fontId="13"/>
  </si>
  <si>
    <t>（２）経費内訳</t>
    <rPh sb="3" eb="5">
      <t>ケイヒ</t>
    </rPh>
    <rPh sb="5" eb="7">
      <t>ウチワケ</t>
    </rPh>
    <phoneticPr fontId="13"/>
  </si>
  <si>
    <t>単価(税込)</t>
    <rPh sb="0" eb="2">
      <t>タンカ</t>
    </rPh>
    <rPh sb="3" eb="5">
      <t>ゼイコ</t>
    </rPh>
    <phoneticPr fontId="13"/>
  </si>
  <si>
    <t>金額(税込)</t>
    <rPh sb="0" eb="2">
      <t>キンガク</t>
    </rPh>
    <rPh sb="3" eb="5">
      <t>ゼイコ</t>
    </rPh>
    <phoneticPr fontId="13"/>
  </si>
  <si>
    <t>計(a)</t>
    <rPh sb="0" eb="1">
      <t>ケイ</t>
    </rPh>
    <phoneticPr fontId="13"/>
  </si>
  <si>
    <t>補助基準額/施設(b)</t>
    <rPh sb="0" eb="2">
      <t>ホジョ</t>
    </rPh>
    <rPh sb="2" eb="4">
      <t>キジュン</t>
    </rPh>
    <rPh sb="4" eb="5">
      <t>ガク</t>
    </rPh>
    <rPh sb="6" eb="8">
      <t>シセツ</t>
    </rPh>
    <phoneticPr fontId="13"/>
  </si>
  <si>
    <t>既交付額(c)</t>
    <rPh sb="0" eb="1">
      <t>スデ</t>
    </rPh>
    <rPh sb="1" eb="3">
      <t>コウフ</t>
    </rPh>
    <rPh sb="3" eb="4">
      <t>ガク</t>
    </rPh>
    <phoneticPr fontId="13"/>
  </si>
  <si>
    <t>申請可能額(d=b-c)</t>
    <rPh sb="0" eb="2">
      <t>シンセイ</t>
    </rPh>
    <rPh sb="2" eb="4">
      <t>カノウ</t>
    </rPh>
    <rPh sb="4" eb="5">
      <t>ガク</t>
    </rPh>
    <phoneticPr fontId="13"/>
  </si>
  <si>
    <t>申請額(a,dいずれか小さい額)</t>
    <rPh sb="0" eb="3">
      <t>シンセイガク</t>
    </rPh>
    <rPh sb="11" eb="12">
      <t>チイ</t>
    </rPh>
    <rPh sb="14" eb="15">
      <t>ガク</t>
    </rPh>
    <phoneticPr fontId="13"/>
  </si>
  <si>
    <t>２．パーテーション</t>
    <phoneticPr fontId="13"/>
  </si>
  <si>
    <t>基準単価は205,000円/台。</t>
    <rPh sb="0" eb="2">
      <t>キジュン</t>
    </rPh>
    <rPh sb="2" eb="4">
      <t>タンカ</t>
    </rPh>
    <rPh sb="12" eb="13">
      <t>エン</t>
    </rPh>
    <rPh sb="14" eb="15">
      <t>ダイ</t>
    </rPh>
    <phoneticPr fontId="13"/>
  </si>
  <si>
    <t>補助額/台</t>
    <rPh sb="0" eb="2">
      <t>ホジョ</t>
    </rPh>
    <rPh sb="2" eb="3">
      <t>ガク</t>
    </rPh>
    <rPh sb="4" eb="5">
      <t>ダイ</t>
    </rPh>
    <phoneticPr fontId="13"/>
  </si>
  <si>
    <t>３．簡易ベッド</t>
    <rPh sb="2" eb="4">
      <t>カンイ</t>
    </rPh>
    <phoneticPr fontId="13"/>
  </si>
  <si>
    <t>基準単価は51,400円/台。</t>
    <rPh sb="0" eb="2">
      <t>キジュン</t>
    </rPh>
    <rPh sb="2" eb="4">
      <t>タンカ</t>
    </rPh>
    <rPh sb="11" eb="12">
      <t>エン</t>
    </rPh>
    <rPh sb="13" eb="14">
      <t>ダイ</t>
    </rPh>
    <phoneticPr fontId="13"/>
  </si>
  <si>
    <t>陰圧対応可能な室内に設置、壁へのダクト接続での外気へ清浄化した空気の放出による。</t>
    <rPh sb="23" eb="25">
      <t>ガイキ</t>
    </rPh>
    <rPh sb="26" eb="29">
      <t>セイジョウカ</t>
    </rPh>
    <rPh sb="31" eb="33">
      <t>クウキ</t>
    </rPh>
    <rPh sb="34" eb="36">
      <t>ホウシュツ</t>
    </rPh>
    <phoneticPr fontId="13"/>
  </si>
  <si>
    <t>簡易陰圧テントの設置による。</t>
    <rPh sb="0" eb="2">
      <t>カンイ</t>
    </rPh>
    <rPh sb="2" eb="4">
      <t>インアツ</t>
    </rPh>
    <rPh sb="8" eb="10">
      <t>セッチ</t>
    </rPh>
    <phoneticPr fontId="13"/>
  </si>
  <si>
    <t>本体</t>
    <rPh sb="0" eb="2">
      <t>ホンタイ</t>
    </rPh>
    <phoneticPr fontId="13"/>
  </si>
  <si>
    <t>確保病床数</t>
    <rPh sb="0" eb="2">
      <t>カクホ</t>
    </rPh>
    <rPh sb="2" eb="5">
      <t>ビョウショウスウ</t>
    </rPh>
    <phoneticPr fontId="9"/>
  </si>
  <si>
    <t>確保病床の有無</t>
    <rPh sb="0" eb="2">
      <t>カクホ</t>
    </rPh>
    <rPh sb="2" eb="4">
      <t>ビョウショウ</t>
    </rPh>
    <rPh sb="5" eb="7">
      <t>ウム</t>
    </rPh>
    <phoneticPr fontId="9"/>
  </si>
  <si>
    <t>確保病床</t>
    <rPh sb="0" eb="2">
      <t>カクホ</t>
    </rPh>
    <rPh sb="2" eb="4">
      <t>ビョウショウ</t>
    </rPh>
    <phoneticPr fontId="9"/>
  </si>
  <si>
    <t>有</t>
    <rPh sb="0" eb="1">
      <t>アリ</t>
    </rPh>
    <phoneticPr fontId="9"/>
  </si>
  <si>
    <t>無</t>
    <rPh sb="0" eb="1">
      <t>ナ</t>
    </rPh>
    <phoneticPr fontId="9"/>
  </si>
  <si>
    <t>入院医療体制に係る基礎情報</t>
    <rPh sb="0" eb="2">
      <t>ニュウイン</t>
    </rPh>
    <rPh sb="2" eb="4">
      <t>イリョウ</t>
    </rPh>
    <rPh sb="4" eb="6">
      <t>タイセイ</t>
    </rPh>
    <rPh sb="7" eb="8">
      <t>カカ</t>
    </rPh>
    <rPh sb="9" eb="11">
      <t>キソ</t>
    </rPh>
    <rPh sb="11" eb="13">
      <t>ジョウホウ</t>
    </rPh>
    <phoneticPr fontId="9"/>
  </si>
  <si>
    <t>・消毒清掃費：コロナ延入院患者数数＊1,000円/１日１床（ただし、利用病床に限る。）
（単価については、１日１床あたり入院対応における病室消毒にかかる経費等を評価。直営、外部委託による場合いずれも共通。）</t>
    <rPh sb="1" eb="3">
      <t>ショウドク</t>
    </rPh>
    <rPh sb="3" eb="6">
      <t>セイソウヒ</t>
    </rPh>
    <rPh sb="10" eb="11">
      <t>ノベ</t>
    </rPh>
    <rPh sb="11" eb="13">
      <t>ニュウイン</t>
    </rPh>
    <rPh sb="13" eb="16">
      <t>カンジャスウ</t>
    </rPh>
    <rPh sb="16" eb="17">
      <t>スウ</t>
    </rPh>
    <rPh sb="23" eb="24">
      <t>エン</t>
    </rPh>
    <rPh sb="45" eb="47">
      <t>タンカ</t>
    </rPh>
    <rPh sb="54" eb="55">
      <t>ニチ</t>
    </rPh>
    <rPh sb="56" eb="57">
      <t>ユカ</t>
    </rPh>
    <rPh sb="60" eb="62">
      <t>ニュウイン</t>
    </rPh>
    <rPh sb="62" eb="64">
      <t>タイオウ</t>
    </rPh>
    <rPh sb="68" eb="70">
      <t>ビョウシツ</t>
    </rPh>
    <rPh sb="70" eb="72">
      <t>ショウドク</t>
    </rPh>
    <rPh sb="76" eb="78">
      <t>ケイヒ</t>
    </rPh>
    <rPh sb="78" eb="79">
      <t>トウ</t>
    </rPh>
    <rPh sb="80" eb="82">
      <t>ヒョウカ</t>
    </rPh>
    <rPh sb="83" eb="85">
      <t>チョクエイ</t>
    </rPh>
    <rPh sb="86" eb="88">
      <t>ガイブ</t>
    </rPh>
    <rPh sb="88" eb="90">
      <t>イタク</t>
    </rPh>
    <rPh sb="93" eb="95">
      <t>バアイ</t>
    </rPh>
    <rPh sb="99" eb="101">
      <t>キョウツウ</t>
    </rPh>
    <phoneticPr fontId="13"/>
  </si>
  <si>
    <r>
      <t>○１日あたり平均配置員数は、配置員数の勤務時間の合計を１クールあたり開始から終了までの時間数で除した</t>
    </r>
    <r>
      <rPr>
        <b/>
        <u/>
        <sz val="14"/>
        <color rgb="FFFF0000"/>
        <rFont val="Yu Gothic"/>
        <family val="3"/>
        <charset val="128"/>
        <scheme val="minor"/>
      </rPr>
      <t>常勤換算数</t>
    </r>
    <r>
      <rPr>
        <b/>
        <sz val="14"/>
        <color theme="1"/>
        <rFont val="Yu Gothic"/>
        <family val="3"/>
        <charset val="128"/>
        <scheme val="minor"/>
      </rPr>
      <t>により算定します。</t>
    </r>
    <rPh sb="2" eb="3">
      <t>ニチ</t>
    </rPh>
    <rPh sb="6" eb="8">
      <t>ヘイキン</t>
    </rPh>
    <rPh sb="8" eb="10">
      <t>ハイチ</t>
    </rPh>
    <rPh sb="10" eb="12">
      <t>インスウ</t>
    </rPh>
    <rPh sb="14" eb="16">
      <t>ハイチ</t>
    </rPh>
    <rPh sb="16" eb="18">
      <t>インスウ</t>
    </rPh>
    <rPh sb="19" eb="21">
      <t>キンム</t>
    </rPh>
    <rPh sb="21" eb="23">
      <t>ジカン</t>
    </rPh>
    <rPh sb="24" eb="26">
      <t>ゴウケイ</t>
    </rPh>
    <rPh sb="34" eb="36">
      <t>カイシ</t>
    </rPh>
    <rPh sb="38" eb="40">
      <t>シュウリョウ</t>
    </rPh>
    <rPh sb="43" eb="46">
      <t>ジカンスウ</t>
    </rPh>
    <rPh sb="47" eb="48">
      <t>ジョ</t>
    </rPh>
    <rPh sb="50" eb="52">
      <t>ジョウキン</t>
    </rPh>
    <rPh sb="52" eb="54">
      <t>カンサン</t>
    </rPh>
    <rPh sb="54" eb="55">
      <t>スウ</t>
    </rPh>
    <rPh sb="58" eb="60">
      <t>サンテイ</t>
    </rPh>
    <phoneticPr fontId="13"/>
  </si>
  <si>
    <r>
      <t>○個人防護具に係り、</t>
    </r>
    <r>
      <rPr>
        <b/>
        <u/>
        <sz val="14"/>
        <color rgb="FFFF0000"/>
        <rFont val="Yu Gothic"/>
        <family val="3"/>
        <charset val="128"/>
        <scheme val="minor"/>
      </rPr>
      <t>N95マスク及びハイラックマスク</t>
    </r>
    <r>
      <rPr>
        <b/>
        <sz val="14"/>
        <color theme="1"/>
        <rFont val="Yu Gothic"/>
        <family val="3"/>
        <charset val="128"/>
        <scheme val="minor"/>
      </rPr>
      <t>については、国が示す防護具着用の目安に基づき、</t>
    </r>
    <r>
      <rPr>
        <b/>
        <u/>
        <sz val="14"/>
        <color rgb="FFFF0000"/>
        <rFont val="Yu Gothic"/>
        <family val="3"/>
        <charset val="128"/>
        <scheme val="minor"/>
      </rPr>
      <t>エアロゾル排出リスクが高い患者の入院対応の際における着用分のみ補助対象</t>
    </r>
    <r>
      <rPr>
        <b/>
        <sz val="14"/>
        <color theme="1"/>
        <rFont val="Yu Gothic"/>
        <family val="3"/>
        <charset val="128"/>
        <scheme val="minor"/>
      </rPr>
      <t>とします。
（必要と認める際にはカルテ等の写しをご提出いただきます。期日までの説明等のご対応をいただけない場合及び必要数を超えた数量計上の場合は「その他マスク」の補助基準単価を適用します。）</t>
    </r>
    <rPh sb="1" eb="6">
      <t>コジンボウゴグ</t>
    </rPh>
    <rPh sb="7" eb="8">
      <t>カカ</t>
    </rPh>
    <rPh sb="16" eb="17">
      <t>オヨ</t>
    </rPh>
    <rPh sb="32" eb="33">
      <t>クニ</t>
    </rPh>
    <rPh sb="34" eb="35">
      <t>シメ</t>
    </rPh>
    <rPh sb="36" eb="39">
      <t>ボウゴグ</t>
    </rPh>
    <rPh sb="39" eb="41">
      <t>チャクヨウ</t>
    </rPh>
    <rPh sb="42" eb="44">
      <t>メヤス</t>
    </rPh>
    <rPh sb="45" eb="46">
      <t>モト</t>
    </rPh>
    <rPh sb="62" eb="64">
      <t>カンジャ</t>
    </rPh>
    <rPh sb="65" eb="67">
      <t>ニュウイン</t>
    </rPh>
    <rPh sb="67" eb="69">
      <t>タイオウ</t>
    </rPh>
    <rPh sb="70" eb="71">
      <t>サイ</t>
    </rPh>
    <rPh sb="75" eb="78">
      <t>チャクヨウブン</t>
    </rPh>
    <rPh sb="80" eb="84">
      <t>ホジョタイショウ</t>
    </rPh>
    <rPh sb="91" eb="93">
      <t>ヒツヨウ</t>
    </rPh>
    <rPh sb="94" eb="95">
      <t>ミト</t>
    </rPh>
    <rPh sb="97" eb="98">
      <t>サイ</t>
    </rPh>
    <rPh sb="103" eb="104">
      <t>トウ</t>
    </rPh>
    <rPh sb="105" eb="106">
      <t>ウツ</t>
    </rPh>
    <rPh sb="109" eb="111">
      <t>テイシュツ</t>
    </rPh>
    <rPh sb="118" eb="120">
      <t>キジツ</t>
    </rPh>
    <rPh sb="123" eb="125">
      <t>セツメイ</t>
    </rPh>
    <rPh sb="125" eb="126">
      <t>トウ</t>
    </rPh>
    <rPh sb="128" eb="130">
      <t>タイオウ</t>
    </rPh>
    <rPh sb="137" eb="139">
      <t>バアイ</t>
    </rPh>
    <rPh sb="139" eb="140">
      <t>オヨ</t>
    </rPh>
    <rPh sb="141" eb="144">
      <t>ヒツヨウスウ</t>
    </rPh>
    <rPh sb="145" eb="146">
      <t>コ</t>
    </rPh>
    <rPh sb="148" eb="150">
      <t>スウリョウ</t>
    </rPh>
    <rPh sb="150" eb="152">
      <t>ケイジョウ</t>
    </rPh>
    <rPh sb="153" eb="155">
      <t>バアイ</t>
    </rPh>
    <rPh sb="159" eb="160">
      <t>タ</t>
    </rPh>
    <rPh sb="165" eb="171">
      <t>ホジョキジュンタンカ</t>
    </rPh>
    <rPh sb="172" eb="174">
      <t>テキヨウ</t>
    </rPh>
    <phoneticPr fontId="13"/>
  </si>
  <si>
    <t>コロナ入院患者数</t>
    <rPh sb="3" eb="5">
      <t>ニュウイン</t>
    </rPh>
    <rPh sb="5" eb="7">
      <t>カンジャ</t>
    </rPh>
    <rPh sb="7" eb="8">
      <t>スウ</t>
    </rPh>
    <phoneticPr fontId="13"/>
  </si>
  <si>
    <t>○「内、咳症状等を有する患者数」には、上段の入院患者数の内、エアロゾル排出リスクが高い患者（咳嗽がある。喀痰吸引や酸素投与を実施するなど）
　の人数を入力してください。）　（必要と認める際にはカルテ等の写しをご提出いただきます。）</t>
    <rPh sb="19" eb="21">
      <t>ジョウダン</t>
    </rPh>
    <rPh sb="26" eb="27">
      <t>スウ</t>
    </rPh>
    <rPh sb="28" eb="29">
      <t>ウチ</t>
    </rPh>
    <rPh sb="35" eb="37">
      <t>ハイシュツ</t>
    </rPh>
    <rPh sb="41" eb="42">
      <t>タカ</t>
    </rPh>
    <rPh sb="43" eb="45">
      <t>カンジャ</t>
    </rPh>
    <rPh sb="57" eb="59">
      <t>サンソ</t>
    </rPh>
    <rPh sb="59" eb="61">
      <t>トウヨ</t>
    </rPh>
    <rPh sb="72" eb="74">
      <t>ニンズウ</t>
    </rPh>
    <rPh sb="75" eb="77">
      <t>ニュウリョク</t>
    </rPh>
    <phoneticPr fontId="13"/>
  </si>
  <si>
    <t>看護配置割合</t>
    <rPh sb="0" eb="2">
      <t>カンゴ</t>
    </rPh>
    <rPh sb="2" eb="4">
      <t>ハイチ</t>
    </rPh>
    <rPh sb="4" eb="6">
      <t>ワリアイ</t>
    </rPh>
    <phoneticPr fontId="9"/>
  </si>
  <si>
    <t>月</t>
    <rPh sb="0" eb="1">
      <t>ツキ</t>
    </rPh>
    <phoneticPr fontId="9"/>
  </si>
  <si>
    <t>４月</t>
    <rPh sb="1" eb="2">
      <t>ガツ</t>
    </rPh>
    <phoneticPr fontId="9"/>
  </si>
  <si>
    <t>５月</t>
    <rPh sb="1" eb="2">
      <t>ガツ</t>
    </rPh>
    <phoneticPr fontId="9"/>
  </si>
  <si>
    <t>：</t>
    <phoneticPr fontId="9"/>
  </si>
  <si>
    <t>標準勤務時間数</t>
    <rPh sb="0" eb="2">
      <t>ヒョウジュン</t>
    </rPh>
    <rPh sb="2" eb="6">
      <t>キンムジカン</t>
    </rPh>
    <rPh sb="6" eb="7">
      <t>スウ</t>
    </rPh>
    <phoneticPr fontId="13"/>
  </si>
  <si>
    <t>○入院患者１人あたりの使用数量として通常想定されるより多い数量を記載すると赤色で表示されます。
　その際、記載の数量の必要理由について確認させていただきますのであらかじめご了承ください。</t>
    <rPh sb="1" eb="3">
      <t>ニュウイン</t>
    </rPh>
    <rPh sb="3" eb="5">
      <t>カンジャ</t>
    </rPh>
    <rPh sb="6" eb="7">
      <t>ニン</t>
    </rPh>
    <rPh sb="11" eb="13">
      <t>シヨウ</t>
    </rPh>
    <rPh sb="13" eb="15">
      <t>スウリョウ</t>
    </rPh>
    <rPh sb="18" eb="20">
      <t>ツウジョウ</t>
    </rPh>
    <rPh sb="20" eb="22">
      <t>ソウテイ</t>
    </rPh>
    <rPh sb="27" eb="28">
      <t>オオ</t>
    </rPh>
    <rPh sb="29" eb="31">
      <t>スウリョウ</t>
    </rPh>
    <rPh sb="32" eb="34">
      <t>キサイ</t>
    </rPh>
    <rPh sb="37" eb="38">
      <t>アカ</t>
    </rPh>
    <rPh sb="38" eb="39">
      <t>イロ</t>
    </rPh>
    <rPh sb="40" eb="42">
      <t>ヒョウジ</t>
    </rPh>
    <rPh sb="51" eb="52">
      <t>サイ</t>
    </rPh>
    <rPh sb="53" eb="55">
      <t>キサイ</t>
    </rPh>
    <rPh sb="56" eb="58">
      <t>スウリョウ</t>
    </rPh>
    <rPh sb="59" eb="61">
      <t>ヒツヨウ</t>
    </rPh>
    <rPh sb="61" eb="63">
      <t>リユウ</t>
    </rPh>
    <rPh sb="67" eb="69">
      <t>カクニン</t>
    </rPh>
    <rPh sb="86" eb="88">
      <t>リョウショウ</t>
    </rPh>
    <phoneticPr fontId="13"/>
  </si>
  <si>
    <t>平均訪室回数/患者１人１日</t>
    <rPh sb="0" eb="2">
      <t>ヘイキン</t>
    </rPh>
    <rPh sb="2" eb="3">
      <t>ホウ</t>
    </rPh>
    <rPh sb="3" eb="4">
      <t>シツ</t>
    </rPh>
    <rPh sb="4" eb="6">
      <t>カイスウ</t>
    </rPh>
    <phoneticPr fontId="13"/>
  </si>
  <si>
    <t>平均対応員数/患者１人１回</t>
    <rPh sb="0" eb="2">
      <t>ヘイキン</t>
    </rPh>
    <rPh sb="2" eb="4">
      <t>タイオウ</t>
    </rPh>
    <rPh sb="4" eb="6">
      <t>インスウ</t>
    </rPh>
    <rPh sb="7" eb="9">
      <t>カンジャ</t>
    </rPh>
    <rPh sb="10" eb="11">
      <t>ニン</t>
    </rPh>
    <rPh sb="12" eb="13">
      <t>カイ</t>
    </rPh>
    <phoneticPr fontId="13"/>
  </si>
  <si>
    <t>○リユーサブル品の使用数を計上する場合、例えば患者対応100回の頻度で交換する際は0.01（=1÷100）と入力してください。</t>
    <rPh sb="7" eb="8">
      <t>ヒン</t>
    </rPh>
    <rPh sb="9" eb="12">
      <t>シヨウスウ</t>
    </rPh>
    <rPh sb="13" eb="15">
      <t>ケイジョウ</t>
    </rPh>
    <rPh sb="17" eb="19">
      <t>バアイ</t>
    </rPh>
    <rPh sb="20" eb="21">
      <t>タト</t>
    </rPh>
    <rPh sb="23" eb="25">
      <t>カンジャ</t>
    </rPh>
    <rPh sb="25" eb="27">
      <t>タイオウ</t>
    </rPh>
    <rPh sb="30" eb="31">
      <t>カイ</t>
    </rPh>
    <rPh sb="32" eb="34">
      <t>ヒンド</t>
    </rPh>
    <rPh sb="35" eb="37">
      <t>コウカン</t>
    </rPh>
    <rPh sb="39" eb="40">
      <t>サイ</t>
    </rPh>
    <rPh sb="54" eb="56">
      <t>ニュウリョク</t>
    </rPh>
    <phoneticPr fontId="13"/>
  </si>
  <si>
    <t>延べ対応人数/患者１人１日</t>
    <rPh sb="0" eb="1">
      <t>ノ</t>
    </rPh>
    <rPh sb="2" eb="4">
      <t>タイオウ</t>
    </rPh>
    <rPh sb="4" eb="6">
      <t>ニンズウ</t>
    </rPh>
    <rPh sb="7" eb="9">
      <t>カンジャ</t>
    </rPh>
    <rPh sb="10" eb="11">
      <t>ニン</t>
    </rPh>
    <rPh sb="12" eb="13">
      <t>ニチ</t>
    </rPh>
    <phoneticPr fontId="13"/>
  </si>
  <si>
    <t>使用数</t>
    <rPh sb="0" eb="2">
      <t>シヨウ</t>
    </rPh>
    <rPh sb="2" eb="3">
      <t>スウ</t>
    </rPh>
    <phoneticPr fontId="13"/>
  </si>
  <si>
    <t>延べ患者数</t>
    <rPh sb="0" eb="1">
      <t>ノ</t>
    </rPh>
    <rPh sb="2" eb="5">
      <t>カンジャスウ</t>
    </rPh>
    <phoneticPr fontId="13"/>
  </si>
  <si>
    <t>延べ対応人数
/患者１人１日</t>
    <rPh sb="0" eb="1">
      <t>ノ</t>
    </rPh>
    <rPh sb="2" eb="4">
      <t>タイオウ</t>
    </rPh>
    <rPh sb="4" eb="6">
      <t>ニンズウ</t>
    </rPh>
    <rPh sb="8" eb="10">
      <t>カンジャ</t>
    </rPh>
    <rPh sb="11" eb="12">
      <t>ニン</t>
    </rPh>
    <rPh sb="13" eb="14">
      <t>ニチ</t>
    </rPh>
    <phoneticPr fontId="13"/>
  </si>
  <si>
    <t>総使用見込量</t>
    <rPh sb="0" eb="1">
      <t>ソウ</t>
    </rPh>
    <rPh sb="1" eb="3">
      <t>シヨウ</t>
    </rPh>
    <rPh sb="3" eb="5">
      <t>ミコ</t>
    </rPh>
    <rPh sb="5" eb="6">
      <t>リョウ</t>
    </rPh>
    <phoneticPr fontId="9"/>
  </si>
  <si>
    <t>使用数
/患者１人１回</t>
    <rPh sb="0" eb="2">
      <t>シヨウ</t>
    </rPh>
    <rPh sb="2" eb="3">
      <t>スウ</t>
    </rPh>
    <rPh sb="5" eb="7">
      <t>カンジャ</t>
    </rPh>
    <rPh sb="8" eb="9">
      <t>ニン</t>
    </rPh>
    <rPh sb="10" eb="11">
      <t>カイ</t>
    </rPh>
    <phoneticPr fontId="13"/>
  </si>
  <si>
    <t>○「入院患者数」には各日のコロナ入院患者の人数（または見込数）を入力してください。
　（院内で発生したコロナ患者を除く。未入力欄がある場合、患者または職員の配置数を０として算定します。）</t>
    <rPh sb="2" eb="4">
      <t>ニュウイン</t>
    </rPh>
    <rPh sb="10" eb="12">
      <t>カクジツ</t>
    </rPh>
    <rPh sb="16" eb="18">
      <t>ニュウイン</t>
    </rPh>
    <rPh sb="18" eb="20">
      <t>カンジャ</t>
    </rPh>
    <rPh sb="21" eb="23">
      <t>ニンズウ</t>
    </rPh>
    <rPh sb="27" eb="29">
      <t>ミコ</t>
    </rPh>
    <rPh sb="29" eb="30">
      <t>スウ</t>
    </rPh>
    <rPh sb="32" eb="34">
      <t>ニュウリョク</t>
    </rPh>
    <rPh sb="44" eb="46">
      <t>インナイ</t>
    </rPh>
    <rPh sb="47" eb="49">
      <t>ハッセイ</t>
    </rPh>
    <rPh sb="54" eb="56">
      <t>カンジャ</t>
    </rPh>
    <rPh sb="57" eb="58">
      <t>ノゾ</t>
    </rPh>
    <rPh sb="60" eb="63">
      <t>ミニュウリョク</t>
    </rPh>
    <rPh sb="63" eb="64">
      <t>ラン</t>
    </rPh>
    <rPh sb="67" eb="69">
      <t>バアイ</t>
    </rPh>
    <rPh sb="70" eb="72">
      <t>カンジャ</t>
    </rPh>
    <rPh sb="75" eb="77">
      <t>ショクイン</t>
    </rPh>
    <rPh sb="78" eb="80">
      <t>ハイチ</t>
    </rPh>
    <rPh sb="80" eb="81">
      <t>スウ</t>
    </rPh>
    <rPh sb="86" eb="88">
      <t>サンテイ</t>
    </rPh>
    <phoneticPr fontId="13"/>
  </si>
  <si>
    <t>ー</t>
    <phoneticPr fontId="9"/>
  </si>
  <si>
    <t>標準勤務時間/月</t>
    <rPh sb="0" eb="2">
      <t>ヒョウジュン</t>
    </rPh>
    <rPh sb="2" eb="6">
      <t>キンムジカン</t>
    </rPh>
    <rPh sb="7" eb="8">
      <t>ツキ</t>
    </rPh>
    <phoneticPr fontId="13"/>
  </si>
  <si>
    <t>コロナ入院患者の延べ数(月計)</t>
    <rPh sb="3" eb="5">
      <t>ニュウイン</t>
    </rPh>
    <rPh sb="5" eb="7">
      <t>カンジャ</t>
    </rPh>
    <rPh sb="8" eb="9">
      <t>ノ</t>
    </rPh>
    <rPh sb="10" eb="11">
      <t>スウ</t>
    </rPh>
    <rPh sb="12" eb="14">
      <t>ゲッケイ</t>
    </rPh>
    <rPh sb="13" eb="14">
      <t>ケイ</t>
    </rPh>
    <phoneticPr fontId="13"/>
  </si>
  <si>
    <t>内、咳症状等を有する患者の延べ数 (月計)</t>
    <rPh sb="0" eb="1">
      <t>ウチ</t>
    </rPh>
    <rPh sb="2" eb="3">
      <t>セキ</t>
    </rPh>
    <rPh sb="3" eb="5">
      <t>ショウジョウ</t>
    </rPh>
    <rPh sb="5" eb="6">
      <t>トウ</t>
    </rPh>
    <rPh sb="7" eb="8">
      <t>ユウ</t>
    </rPh>
    <rPh sb="10" eb="12">
      <t>カンジャ</t>
    </rPh>
    <rPh sb="13" eb="14">
      <t>ノ</t>
    </rPh>
    <rPh sb="15" eb="16">
      <t>スウ</t>
    </rPh>
    <rPh sb="18" eb="20">
      <t>ゲッケイ</t>
    </rPh>
    <phoneticPr fontId="13"/>
  </si>
  <si>
    <t>コロナ入院患者が１人以上の日(月計)</t>
    <rPh sb="3" eb="5">
      <t>ニュウイン</t>
    </rPh>
    <rPh sb="5" eb="7">
      <t>カンジャ</t>
    </rPh>
    <rPh sb="9" eb="12">
      <t>ニンイジョウ</t>
    </rPh>
    <rPh sb="13" eb="14">
      <t>ヒ</t>
    </rPh>
    <rPh sb="15" eb="17">
      <t>ゲッケイ</t>
    </rPh>
    <rPh sb="16" eb="17">
      <t>ケイ</t>
    </rPh>
    <phoneticPr fontId="13"/>
  </si>
  <si>
    <t>延べ入院患者数</t>
    <rPh sb="0" eb="1">
      <t>ノ</t>
    </rPh>
    <rPh sb="2" eb="7">
      <t>ニュウインカンジャスウ</t>
    </rPh>
    <phoneticPr fontId="13"/>
  </si>
  <si>
    <t>「入院医療体制に係る基礎情報」シートを入力し、基準額の算定基礎数値（疑い患者数）が正しく表示されているか確認してください。
　※補助基準額は補助対象期間内の延べ入院患者数＊基準単価で得られた額</t>
    <rPh sb="1" eb="3">
      <t>ニュウイン</t>
    </rPh>
    <rPh sb="3" eb="5">
      <t>イリョウ</t>
    </rPh>
    <rPh sb="5" eb="7">
      <t>タイセイ</t>
    </rPh>
    <rPh sb="8" eb="9">
      <t>カカ</t>
    </rPh>
    <rPh sb="10" eb="12">
      <t>キソ</t>
    </rPh>
    <rPh sb="12" eb="14">
      <t>ジョウホウ</t>
    </rPh>
    <rPh sb="19" eb="21">
      <t>ニュウリョク</t>
    </rPh>
    <rPh sb="23" eb="25">
      <t>キジュン</t>
    </rPh>
    <rPh sb="25" eb="26">
      <t>ガク</t>
    </rPh>
    <rPh sb="27" eb="29">
      <t>サンテイ</t>
    </rPh>
    <rPh sb="29" eb="31">
      <t>キソ</t>
    </rPh>
    <rPh sb="31" eb="33">
      <t>スウチ</t>
    </rPh>
    <rPh sb="34" eb="35">
      <t>ウタガ</t>
    </rPh>
    <rPh sb="36" eb="39">
      <t>カンジャスウ</t>
    </rPh>
    <rPh sb="41" eb="42">
      <t>タダ</t>
    </rPh>
    <rPh sb="44" eb="46">
      <t>ヒョウジ</t>
    </rPh>
    <rPh sb="52" eb="54">
      <t>カクニン</t>
    </rPh>
    <rPh sb="70" eb="77">
      <t>ホジョタイショウキカンナイ</t>
    </rPh>
    <rPh sb="78" eb="79">
      <t>ノ</t>
    </rPh>
    <rPh sb="80" eb="82">
      <t>ニュウイン</t>
    </rPh>
    <rPh sb="82" eb="85">
      <t>カンジャスウ</t>
    </rPh>
    <phoneticPr fontId="13"/>
  </si>
  <si>
    <t>入院</t>
    <rPh sb="0" eb="2">
      <t>ニュウイン</t>
    </rPh>
    <phoneticPr fontId="9"/>
  </si>
  <si>
    <t>感染</t>
    <rPh sb="0" eb="2">
      <t>カンセン</t>
    </rPh>
    <phoneticPr fontId="9"/>
  </si>
  <si>
    <t>重点</t>
    <rPh sb="0" eb="2">
      <t>ジュウテン</t>
    </rPh>
    <phoneticPr fontId="9"/>
  </si>
  <si>
    <t>１．勤務体制</t>
    <rPh sb="2" eb="4">
      <t>キンム</t>
    </rPh>
    <rPh sb="4" eb="6">
      <t>タイセイ</t>
    </rPh>
    <phoneticPr fontId="13"/>
  </si>
  <si>
    <t>①「基礎情報」の入力</t>
    <rPh sb="2" eb="4">
      <t>キソ</t>
    </rPh>
    <rPh sb="4" eb="6">
      <t>ジョウホウ</t>
    </rPh>
    <rPh sb="8" eb="10">
      <t>ニュウリョク</t>
    </rPh>
    <phoneticPr fontId="13"/>
  </si>
  <si>
    <t>入力いただいた配置割合に基づく基準上の勤務時間数が表示されますので、入力の際の参考にしてください。</t>
    <rPh sb="0" eb="2">
      <t>ニュウリョク</t>
    </rPh>
    <rPh sb="7" eb="9">
      <t>ハイチ</t>
    </rPh>
    <rPh sb="9" eb="11">
      <t>ワリアイ</t>
    </rPh>
    <rPh sb="12" eb="13">
      <t>モト</t>
    </rPh>
    <rPh sb="15" eb="18">
      <t>キジュンジョウ</t>
    </rPh>
    <rPh sb="19" eb="24">
      <t>キンムジカンスウ</t>
    </rPh>
    <rPh sb="25" eb="27">
      <t>ヒョウジ</t>
    </rPh>
    <rPh sb="34" eb="36">
      <t>ニュウリョク</t>
    </rPh>
    <rPh sb="37" eb="38">
      <t>サイ</t>
    </rPh>
    <rPh sb="39" eb="41">
      <t>サンコウ</t>
    </rPh>
    <phoneticPr fontId="13"/>
  </si>
  <si>
    <t>平均の常勤換算数が表示されます。</t>
    <rPh sb="0" eb="2">
      <t>ヘイキン</t>
    </rPh>
    <rPh sb="3" eb="7">
      <t>ジョウキンカンサン</t>
    </rPh>
    <rPh sb="7" eb="8">
      <t>スウ</t>
    </rPh>
    <rPh sb="9" eb="11">
      <t>ヒョウジ</t>
    </rPh>
    <phoneticPr fontId="13"/>
  </si>
  <si>
    <t>マスク</t>
  </si>
  <si>
    <t>紫外線照射装置等
導入経費</t>
    <rPh sb="0" eb="3">
      <t>シガイセン</t>
    </rPh>
    <rPh sb="3" eb="5">
      <t>ショウシャ</t>
    </rPh>
    <rPh sb="5" eb="7">
      <t>ソウチ</t>
    </rPh>
    <rPh sb="7" eb="8">
      <t>トウ</t>
    </rPh>
    <rPh sb="9" eb="11">
      <t>ドウニュウ</t>
    </rPh>
    <rPh sb="11" eb="13">
      <t>ケイヒ</t>
    </rPh>
    <phoneticPr fontId="13"/>
  </si>
  <si>
    <t>総計</t>
    <rPh sb="0" eb="2">
      <t>ソウケイ</t>
    </rPh>
    <phoneticPr fontId="9"/>
  </si>
  <si>
    <t>月</t>
    <phoneticPr fontId="9"/>
  </si>
  <si>
    <t>日</t>
    <phoneticPr fontId="9"/>
  </si>
  <si>
    <t>（例）当院はこれまで確保病床を有する入院医療機関ではなかったがこれまでコロナ入院患者を受け入れてきた。
　　　これまで要請のあった患者の中には人工呼吸器の使用が必要な重症患者が含まれ、当院に既存の人工呼吸器が既に入院している患者に使用していたため
　　　受け入れを断らざるを得ない事態が生じた。（要請を断ったケース実績については添付資料のとおり。）
　　　入院患者の総体として軽症化の傾向があるものの、直近○月においても上記のケースが生じており、今後も引き続き重症患者を受け入れていく方針のもと
　　　受け入れを断らざるを得ない状況とならないよう、新規で１台追加することとしたい。</t>
    <rPh sb="148" eb="150">
      <t>ヨウセイ</t>
    </rPh>
    <rPh sb="151" eb="152">
      <t>コトワ</t>
    </rPh>
    <rPh sb="157" eb="159">
      <t>ジッセキ</t>
    </rPh>
    <rPh sb="164" eb="166">
      <t>テンプ</t>
    </rPh>
    <rPh sb="166" eb="168">
      <t>シリョウ</t>
    </rPh>
    <rPh sb="178" eb="180">
      <t>ニュウイン</t>
    </rPh>
    <rPh sb="180" eb="182">
      <t>カンジャ</t>
    </rPh>
    <rPh sb="183" eb="185">
      <t>ソウタイ</t>
    </rPh>
    <rPh sb="188" eb="191">
      <t>ケイショウカ</t>
    </rPh>
    <rPh sb="192" eb="194">
      <t>ケイコウ</t>
    </rPh>
    <rPh sb="201" eb="203">
      <t>チョッキン</t>
    </rPh>
    <rPh sb="204" eb="205">
      <t>ガツ</t>
    </rPh>
    <rPh sb="210" eb="212">
      <t>ジョウキ</t>
    </rPh>
    <rPh sb="217" eb="218">
      <t>ショウ</t>
    </rPh>
    <rPh sb="223" eb="225">
      <t>コンゴ</t>
    </rPh>
    <rPh sb="226" eb="227">
      <t>ヒ</t>
    </rPh>
    <rPh sb="228" eb="229">
      <t>ツヅ</t>
    </rPh>
    <rPh sb="230" eb="234">
      <t>ジュウショウカンジャ</t>
    </rPh>
    <rPh sb="235" eb="236">
      <t>ウ</t>
    </rPh>
    <rPh sb="237" eb="238">
      <t>イ</t>
    </rPh>
    <rPh sb="242" eb="244">
      <t>ホウシン</t>
    </rPh>
    <rPh sb="251" eb="252">
      <t>ウ</t>
    </rPh>
    <rPh sb="253" eb="254">
      <t>イ</t>
    </rPh>
    <rPh sb="256" eb="257">
      <t>コトワ</t>
    </rPh>
    <rPh sb="261" eb="262">
      <t>エ</t>
    </rPh>
    <rPh sb="264" eb="266">
      <t>ジョウキョウ</t>
    </rPh>
    <rPh sb="274" eb="276">
      <t>シンキ</t>
    </rPh>
    <rPh sb="278" eb="279">
      <t>ダイ</t>
    </rPh>
    <rPh sb="279" eb="281">
      <t>ツイカ</t>
    </rPh>
    <phoneticPr fontId="9"/>
  </si>
  <si>
    <t>日付</t>
    <rPh sb="0" eb="2">
      <t>ヒヅケ</t>
    </rPh>
    <phoneticPr fontId="13"/>
  </si>
  <si>
    <t>【補助対象期間中における看護職員の配置割合の実績及び予定】※入院基本料の算定基礎である配置割合等に基づき入力してください。</t>
    <rPh sb="1" eb="8">
      <t>ホジョタイショウキカンチュウ</t>
    </rPh>
    <rPh sb="12" eb="16">
      <t>カンゴショクイン</t>
    </rPh>
    <rPh sb="17" eb="19">
      <t>ハイチ</t>
    </rPh>
    <rPh sb="19" eb="21">
      <t>ワリアイ</t>
    </rPh>
    <rPh sb="22" eb="24">
      <t>ジッセキ</t>
    </rPh>
    <rPh sb="24" eb="25">
      <t>オヨ</t>
    </rPh>
    <rPh sb="26" eb="28">
      <t>ヨテイ</t>
    </rPh>
    <rPh sb="30" eb="35">
      <t>ニュウインキホンリョウ</t>
    </rPh>
    <rPh sb="36" eb="38">
      <t>サンテイ</t>
    </rPh>
    <rPh sb="38" eb="40">
      <t>キソ</t>
    </rPh>
    <rPh sb="43" eb="45">
      <t>ハイチ</t>
    </rPh>
    <rPh sb="45" eb="47">
      <t>ワリアイ</t>
    </rPh>
    <rPh sb="47" eb="48">
      <t>トウ</t>
    </rPh>
    <rPh sb="49" eb="50">
      <t>モト</t>
    </rPh>
    <rPh sb="52" eb="54">
      <t>ニュウリョク</t>
    </rPh>
    <phoneticPr fontId="9"/>
  </si>
  <si>
    <t>【入院患者受入実績】※当該症状を有する患者が多床室にいる場合は当該室内の患者全員を計上してください。</t>
    <rPh sb="1" eb="5">
      <t>ニュウインカンジャ</t>
    </rPh>
    <rPh sb="5" eb="7">
      <t>ウケイレ</t>
    </rPh>
    <rPh sb="7" eb="9">
      <t>ジッセキ</t>
    </rPh>
    <rPh sb="11" eb="13">
      <t>トウガイ</t>
    </rPh>
    <rPh sb="13" eb="15">
      <t>ショウジョウ</t>
    </rPh>
    <rPh sb="16" eb="17">
      <t>ユウ</t>
    </rPh>
    <rPh sb="19" eb="21">
      <t>カンジャ</t>
    </rPh>
    <rPh sb="22" eb="25">
      <t>タショウシツ</t>
    </rPh>
    <rPh sb="28" eb="30">
      <t>バアイ</t>
    </rPh>
    <rPh sb="31" eb="35">
      <t>トウガイシツナイ</t>
    </rPh>
    <rPh sb="36" eb="38">
      <t>カンジャ</t>
    </rPh>
    <rPh sb="38" eb="40">
      <t>ゼンイン</t>
    </rPh>
    <rPh sb="41" eb="43">
      <t>ケイジョウ</t>
    </rPh>
    <phoneticPr fontId="9"/>
  </si>
  <si>
    <r>
      <t>氏名（員数の適切な算出のため１つの欄に氏名いずれも入力するようにしてください。</t>
    </r>
    <r>
      <rPr>
        <b/>
        <u/>
        <sz val="11"/>
        <color rgb="FFFF0000"/>
        <rFont val="Yu Gothic"/>
        <family val="3"/>
        <charset val="128"/>
        <scheme val="minor"/>
      </rPr>
      <t>姓と名を別欄に入力しないようにすること。</t>
    </r>
    <r>
      <rPr>
        <b/>
        <sz val="11"/>
        <color theme="1"/>
        <rFont val="Yu Gothic"/>
        <family val="3"/>
        <charset val="128"/>
        <scheme val="minor"/>
      </rPr>
      <t>）</t>
    </r>
    <rPh sb="0" eb="2">
      <t>シメイ</t>
    </rPh>
    <rPh sb="3" eb="5">
      <t>インスウ</t>
    </rPh>
    <rPh sb="6" eb="8">
      <t>テキセツ</t>
    </rPh>
    <rPh sb="9" eb="11">
      <t>サンシュツ</t>
    </rPh>
    <rPh sb="17" eb="18">
      <t>ラン</t>
    </rPh>
    <rPh sb="19" eb="21">
      <t>シメイ</t>
    </rPh>
    <rPh sb="25" eb="27">
      <t>ニュウリョク</t>
    </rPh>
    <rPh sb="39" eb="40">
      <t>セイ</t>
    </rPh>
    <rPh sb="41" eb="42">
      <t>メイ</t>
    </rPh>
    <rPh sb="43" eb="45">
      <t>ベツラン</t>
    </rPh>
    <rPh sb="46" eb="48">
      <t>ニュウリョク</t>
    </rPh>
    <phoneticPr fontId="13"/>
  </si>
  <si>
    <t>合計</t>
    <rPh sb="0" eb="1">
      <t>ゴウ</t>
    </rPh>
    <rPh sb="1" eb="2">
      <t>ケイ</t>
    </rPh>
    <phoneticPr fontId="13"/>
  </si>
  <si>
    <t>平均</t>
    <rPh sb="0" eb="2">
      <t>ヘイキン</t>
    </rPh>
    <phoneticPr fontId="13"/>
  </si>
  <si>
    <t>合計</t>
    <rPh sb="0" eb="2">
      <t>ゴウケイ</t>
    </rPh>
    <phoneticPr fontId="9"/>
  </si>
  <si>
    <t>平均</t>
    <rPh sb="0" eb="2">
      <t>ヘイキン</t>
    </rPh>
    <phoneticPr fontId="9"/>
  </si>
  <si>
    <t>コロナ入院患者数</t>
    <rPh sb="3" eb="8">
      <t>ニュウインカンジャスウ</t>
    </rPh>
    <phoneticPr fontId="9"/>
  </si>
  <si>
    <t>稼働日数</t>
    <rPh sb="0" eb="4">
      <t>カドウニッスウ</t>
    </rPh>
    <phoneticPr fontId="9"/>
  </si>
  <si>
    <t>－</t>
    <phoneticPr fontId="9"/>
  </si>
  <si>
    <t>○○　○○</t>
    <phoneticPr fontId="13"/>
  </si>
  <si>
    <t>○○　○○</t>
    <phoneticPr fontId="9"/>
  </si>
  <si>
    <t>平均対応員数/訪室１回</t>
    <rPh sb="0" eb="2">
      <t>ヘイキン</t>
    </rPh>
    <rPh sb="2" eb="4">
      <t>タイオウ</t>
    </rPh>
    <rPh sb="4" eb="6">
      <t>インスウ</t>
    </rPh>
    <rPh sb="7" eb="9">
      <t>ホウシツ</t>
    </rPh>
    <rPh sb="10" eb="11">
      <t>カイ</t>
    </rPh>
    <phoneticPr fontId="13"/>
  </si>
  <si>
    <t>○個人防護具の補助基準額は、以下により算定されます。</t>
    <rPh sb="1" eb="3">
      <t>コジン</t>
    </rPh>
    <rPh sb="3" eb="5">
      <t>ボウゴ</t>
    </rPh>
    <rPh sb="5" eb="6">
      <t>グ</t>
    </rPh>
    <rPh sb="7" eb="9">
      <t>ホジョ</t>
    </rPh>
    <rPh sb="9" eb="11">
      <t>キジュン</t>
    </rPh>
    <rPh sb="11" eb="12">
      <t>ガク</t>
    </rPh>
    <rPh sb="14" eb="16">
      <t>イカ</t>
    </rPh>
    <rPh sb="19" eb="21">
      <t>サンテイ</t>
    </rPh>
    <phoneticPr fontId="13"/>
  </si>
  <si>
    <t>平均従事人数</t>
    <rPh sb="0" eb="2">
      <t>ヘイキン</t>
    </rPh>
    <rPh sb="2" eb="4">
      <t>ジュウジ</t>
    </rPh>
    <rPh sb="4" eb="6">
      <t>ニンズウ</t>
    </rPh>
    <phoneticPr fontId="13"/>
  </si>
  <si>
    <t>基準額算定員数</t>
    <rPh sb="0" eb="2">
      <t>キジュン</t>
    </rPh>
    <rPh sb="2" eb="3">
      <t>ガク</t>
    </rPh>
    <rPh sb="3" eb="5">
      <t>サンテイ</t>
    </rPh>
    <rPh sb="5" eb="7">
      <t>インスウ</t>
    </rPh>
    <phoneticPr fontId="13"/>
  </si>
  <si>
    <t>小区分</t>
    <rPh sb="0" eb="3">
      <t>ショウクブン</t>
    </rPh>
    <phoneticPr fontId="13"/>
  </si>
  <si>
    <t>商品名及び品番</t>
    <rPh sb="0" eb="3">
      <t>ショウヒンメイ</t>
    </rPh>
    <rPh sb="3" eb="4">
      <t>オヨ</t>
    </rPh>
    <rPh sb="5" eb="7">
      <t>ヒンバン</t>
    </rPh>
    <phoneticPr fontId="13"/>
  </si>
  <si>
    <t>箱数</t>
    <rPh sb="0" eb="2">
      <t>ハコスウ</t>
    </rPh>
    <phoneticPr fontId="13"/>
  </si>
  <si>
    <t>補助上限額(税込)</t>
    <rPh sb="0" eb="2">
      <t>ホジョ</t>
    </rPh>
    <rPh sb="2" eb="5">
      <t>ジョウゲンガク</t>
    </rPh>
    <rPh sb="6" eb="8">
      <t>ゼイコ</t>
    </rPh>
    <phoneticPr fontId="13"/>
  </si>
  <si>
    <t>補助額(税込)</t>
    <rPh sb="0" eb="3">
      <t>ホジョガク</t>
    </rPh>
    <rPh sb="4" eb="6">
      <t>ゼイコ</t>
    </rPh>
    <phoneticPr fontId="13"/>
  </si>
  <si>
    <t>購入個数</t>
    <rPh sb="0" eb="2">
      <t>コウニュウ</t>
    </rPh>
    <rPh sb="2" eb="4">
      <t>コスウ</t>
    </rPh>
    <phoneticPr fontId="13"/>
  </si>
  <si>
    <t>その他マスク</t>
    <rPh sb="2" eb="3">
      <t>タ</t>
    </rPh>
    <phoneticPr fontId="13"/>
  </si>
  <si>
    <t>ゴーグル</t>
  </si>
  <si>
    <t>①「基礎情報」シートの入力</t>
    <rPh sb="2" eb="4">
      <t>キソ</t>
    </rPh>
    <rPh sb="4" eb="6">
      <t>ジョウホウ</t>
    </rPh>
    <rPh sb="11" eb="13">
      <t>ニュウリョク</t>
    </rPh>
    <phoneticPr fontId="13"/>
  </si>
  <si>
    <t>大分類</t>
    <rPh sb="0" eb="1">
      <t>ダイ</t>
    </rPh>
    <rPh sb="1" eb="3">
      <t>ブンルイ</t>
    </rPh>
    <phoneticPr fontId="13"/>
  </si>
  <si>
    <t>小分類</t>
    <rPh sb="0" eb="3">
      <t>ショウブンルイ</t>
    </rPh>
    <phoneticPr fontId="13"/>
  </si>
  <si>
    <t>補助単価/ヶ</t>
    <rPh sb="0" eb="2">
      <t>ホジョ</t>
    </rPh>
    <rPh sb="2" eb="4">
      <t>タンカ</t>
    </rPh>
    <phoneticPr fontId="13"/>
  </si>
  <si>
    <t>購入量</t>
    <rPh sb="0" eb="3">
      <t>コウニュウリョウ</t>
    </rPh>
    <phoneticPr fontId="13"/>
  </si>
  <si>
    <t>使用見込</t>
    <rPh sb="0" eb="2">
      <t>シヨウ</t>
    </rPh>
    <rPh sb="2" eb="4">
      <t>ミコ</t>
    </rPh>
    <phoneticPr fontId="13"/>
  </si>
  <si>
    <t>差引</t>
    <rPh sb="0" eb="2">
      <t>サシヒキ</t>
    </rPh>
    <phoneticPr fontId="13"/>
  </si>
  <si>
    <t>使用数/患者</t>
    <rPh sb="0" eb="3">
      <t>シヨウスウ</t>
    </rPh>
    <rPh sb="4" eb="6">
      <t>カンジャ</t>
    </rPh>
    <phoneticPr fontId="13"/>
  </si>
  <si>
    <t>シールド付きマスク</t>
    <rPh sb="4" eb="5">
      <t>ツ</t>
    </rPh>
    <phoneticPr fontId="13"/>
  </si>
  <si>
    <t>N95マスク</t>
  </si>
  <si>
    <t>ハイラックマスク</t>
  </si>
  <si>
    <t>レンズ交換型</t>
    <rPh sb="3" eb="6">
      <t>コウカンガタ</t>
    </rPh>
    <phoneticPr fontId="13"/>
  </si>
  <si>
    <t>スペアレンズ</t>
  </si>
  <si>
    <t>アイソレーションガウン</t>
  </si>
  <si>
    <t>プラスチックガウン</t>
  </si>
  <si>
    <t>エプロン</t>
  </si>
  <si>
    <t>ニトリルグローブ</t>
  </si>
  <si>
    <t>プラスチックグローブ等</t>
    <rPh sb="10" eb="11">
      <t>トウ</t>
    </rPh>
    <phoneticPr fontId="13"/>
  </si>
  <si>
    <t>使い捨て一体型</t>
    <rPh sb="0" eb="1">
      <t>ツカ</t>
    </rPh>
    <rPh sb="2" eb="3">
      <t>ス</t>
    </rPh>
    <rPh sb="4" eb="7">
      <t>イッタイガタ</t>
    </rPh>
    <phoneticPr fontId="13"/>
  </si>
  <si>
    <t>フレーム</t>
  </si>
  <si>
    <t>※黄色セルを全て入力してください。配置数が職員数を上回る場合や配置割合に基づく勤務時間数を大きく上回ると赤色で表示されます。</t>
    <rPh sb="1" eb="3">
      <t>キイロ</t>
    </rPh>
    <rPh sb="6" eb="7">
      <t>スベ</t>
    </rPh>
    <rPh sb="8" eb="10">
      <t>ニュウリョク</t>
    </rPh>
    <rPh sb="17" eb="19">
      <t>ハイチ</t>
    </rPh>
    <rPh sb="19" eb="20">
      <t>スウ</t>
    </rPh>
    <rPh sb="21" eb="24">
      <t>ショクインスウ</t>
    </rPh>
    <rPh sb="25" eb="27">
      <t>ウワマワ</t>
    </rPh>
    <rPh sb="28" eb="30">
      <t>バアイ</t>
    </rPh>
    <rPh sb="31" eb="35">
      <t>ハイチワリアイ</t>
    </rPh>
    <rPh sb="36" eb="37">
      <t>モト</t>
    </rPh>
    <rPh sb="39" eb="44">
      <t>キンムジカンスウ</t>
    </rPh>
    <rPh sb="45" eb="46">
      <t>オオ</t>
    </rPh>
    <rPh sb="48" eb="50">
      <t>ウワマワ</t>
    </rPh>
    <rPh sb="52" eb="54">
      <t>アカイロ</t>
    </rPh>
    <rPh sb="55" eb="57">
      <t>ヒョウジ</t>
    </rPh>
    <phoneticPr fontId="13"/>
  </si>
  <si>
    <t>※黄色セルを全て入力してください。配置数が職員数を上回る場合や配置割合に基づく勤務時間数を大きく上回ると赤色で表示されます。</t>
    <phoneticPr fontId="9"/>
  </si>
  <si>
    <t>「入院医療体制に係る基礎情報」シートを入力し、病床稼働日数、平均従事人数（常勤換算）が正しく表示されているか確認してください。</t>
    <rPh sb="19" eb="21">
      <t>ニュウリョク</t>
    </rPh>
    <rPh sb="23" eb="25">
      <t>ビョウショウ</t>
    </rPh>
    <rPh sb="25" eb="27">
      <t>カドウ</t>
    </rPh>
    <rPh sb="27" eb="29">
      <t>ニッスウ</t>
    </rPh>
    <rPh sb="30" eb="32">
      <t>ヘイキン</t>
    </rPh>
    <rPh sb="32" eb="34">
      <t>ジュウジ</t>
    </rPh>
    <rPh sb="34" eb="35">
      <t>ジン</t>
    </rPh>
    <rPh sb="35" eb="36">
      <t>スウ</t>
    </rPh>
    <rPh sb="37" eb="41">
      <t>ジョウキンカンサン</t>
    </rPh>
    <rPh sb="43" eb="44">
      <t>タダ</t>
    </rPh>
    <rPh sb="46" eb="48">
      <t>ヒョウジ</t>
    </rPh>
    <rPh sb="54" eb="56">
      <t>カクニン</t>
    </rPh>
    <phoneticPr fontId="13"/>
  </si>
  <si>
    <t>（例）整備を行う病床は、一般の入院患者を受け入れるにあたり必要限度の調度は用意されている。
　　　しかし、これまでコロナ入院患者を受け入れてきた中で、○○の症状を有する患者が多く、○○がないことによりこれへの対応による負担が生じた。
　　　そのため、今後も受け入れを継続していくにあたり、受け入れを行う病床に○○を設置することとしたい。</t>
    <rPh sb="12" eb="14">
      <t>イッパン</t>
    </rPh>
    <rPh sb="15" eb="17">
      <t>ニュウイン</t>
    </rPh>
    <rPh sb="17" eb="19">
      <t>カンジャ</t>
    </rPh>
    <rPh sb="20" eb="21">
      <t>ウ</t>
    </rPh>
    <rPh sb="22" eb="23">
      <t>イ</t>
    </rPh>
    <rPh sb="29" eb="31">
      <t>ヒツヨウ</t>
    </rPh>
    <rPh sb="31" eb="33">
      <t>ゲンド</t>
    </rPh>
    <rPh sb="34" eb="36">
      <t>チョウド</t>
    </rPh>
    <rPh sb="37" eb="39">
      <t>ヨウイ</t>
    </rPh>
    <rPh sb="60" eb="62">
      <t>ニュウイン</t>
    </rPh>
    <rPh sb="62" eb="64">
      <t>カンジャ</t>
    </rPh>
    <rPh sb="65" eb="66">
      <t>ウ</t>
    </rPh>
    <rPh sb="67" eb="68">
      <t>イ</t>
    </rPh>
    <rPh sb="72" eb="73">
      <t>ナカ</t>
    </rPh>
    <rPh sb="78" eb="80">
      <t>ショウジョウ</t>
    </rPh>
    <rPh sb="81" eb="82">
      <t>ユウ</t>
    </rPh>
    <rPh sb="84" eb="86">
      <t>カンジャ</t>
    </rPh>
    <rPh sb="87" eb="88">
      <t>オオ</t>
    </rPh>
    <rPh sb="104" eb="106">
      <t>タイオウ</t>
    </rPh>
    <rPh sb="109" eb="111">
      <t>フタン</t>
    </rPh>
    <rPh sb="112" eb="113">
      <t>ショウ</t>
    </rPh>
    <rPh sb="125" eb="127">
      <t>コンゴ</t>
    </rPh>
    <rPh sb="128" eb="129">
      <t>ウ</t>
    </rPh>
    <rPh sb="130" eb="131">
      <t>イ</t>
    </rPh>
    <rPh sb="133" eb="135">
      <t>ケイゾク</t>
    </rPh>
    <rPh sb="144" eb="145">
      <t>ウ</t>
    </rPh>
    <rPh sb="146" eb="147">
      <t>イ</t>
    </rPh>
    <rPh sb="149" eb="150">
      <t>オコナ</t>
    </rPh>
    <rPh sb="151" eb="153">
      <t>ビョウショウ</t>
    </rPh>
    <rPh sb="157" eb="159">
      <t>セッチ</t>
    </rPh>
    <phoneticPr fontId="9"/>
  </si>
  <si>
    <t>（例）当院は主として特に重篤な呼吸器不全等の症状を呈する患者の受け入れを行っている。
　　　現行株は毒性が過去のものに比較し弱まっているとはいえ、当院に搬送される患者の多くが高齢者及びコロナ感染が重態化を引き起こしかねない
　　　ステージ○以上のがん患者等で占められている。
　　　当院の近傍にはに受入可能な入院医療機関がなく、既存のECMOでは台数が足りず、遠隔地の入院医療機関への搬送の最中に死亡するケースも生じた。
　　　（該当ケースの日付はじめ経緯については別紙のとおり。）
　　　ついてはこれまで生じた受け入れを断らざるを得なかったケース実績を踏まえ、○台を新たに未整備の確保病床に整備することとしたい。</t>
    <rPh sb="1" eb="2">
      <t>レイ</t>
    </rPh>
    <rPh sb="3" eb="5">
      <t>トウイン</t>
    </rPh>
    <rPh sb="6" eb="7">
      <t>シュ</t>
    </rPh>
    <rPh sb="10" eb="11">
      <t>トク</t>
    </rPh>
    <rPh sb="12" eb="14">
      <t>ジュウトク</t>
    </rPh>
    <rPh sb="15" eb="18">
      <t>コキュウキ</t>
    </rPh>
    <rPh sb="18" eb="20">
      <t>フゼン</t>
    </rPh>
    <rPh sb="20" eb="21">
      <t>トウ</t>
    </rPh>
    <rPh sb="22" eb="24">
      <t>ショウジョウ</t>
    </rPh>
    <rPh sb="25" eb="26">
      <t>テイ</t>
    </rPh>
    <rPh sb="28" eb="30">
      <t>カンジャ</t>
    </rPh>
    <rPh sb="31" eb="32">
      <t>ウ</t>
    </rPh>
    <rPh sb="33" eb="34">
      <t>イ</t>
    </rPh>
    <rPh sb="36" eb="37">
      <t>オコナ</t>
    </rPh>
    <rPh sb="46" eb="48">
      <t>ゲンコウ</t>
    </rPh>
    <rPh sb="48" eb="49">
      <t>カブ</t>
    </rPh>
    <rPh sb="50" eb="52">
      <t>ドクセイ</t>
    </rPh>
    <rPh sb="53" eb="55">
      <t>カコ</t>
    </rPh>
    <rPh sb="59" eb="61">
      <t>ヒカク</t>
    </rPh>
    <rPh sb="62" eb="63">
      <t>ヨワ</t>
    </rPh>
    <rPh sb="73" eb="75">
      <t>トウイン</t>
    </rPh>
    <rPh sb="76" eb="78">
      <t>ハンソウ</t>
    </rPh>
    <rPh sb="81" eb="83">
      <t>カンジャ</t>
    </rPh>
    <rPh sb="84" eb="85">
      <t>オオ</t>
    </rPh>
    <rPh sb="87" eb="90">
      <t>コウレイシャ</t>
    </rPh>
    <rPh sb="90" eb="91">
      <t>オヨ</t>
    </rPh>
    <rPh sb="95" eb="97">
      <t>カンセン</t>
    </rPh>
    <rPh sb="98" eb="100">
      <t>ジュウタイ</t>
    </rPh>
    <rPh sb="100" eb="101">
      <t>カ</t>
    </rPh>
    <rPh sb="102" eb="103">
      <t>ヒ</t>
    </rPh>
    <rPh sb="104" eb="105">
      <t>オ</t>
    </rPh>
    <rPh sb="120" eb="122">
      <t>イジョウ</t>
    </rPh>
    <rPh sb="125" eb="127">
      <t>カンジャ</t>
    </rPh>
    <rPh sb="127" eb="128">
      <t>トウ</t>
    </rPh>
    <rPh sb="129" eb="130">
      <t>シ</t>
    </rPh>
    <rPh sb="141" eb="143">
      <t>トウイン</t>
    </rPh>
    <rPh sb="144" eb="146">
      <t>キンボウ</t>
    </rPh>
    <rPh sb="149" eb="151">
      <t>ウケイレ</t>
    </rPh>
    <rPh sb="151" eb="153">
      <t>カノウ</t>
    </rPh>
    <rPh sb="154" eb="160">
      <t>ニュウインイリョウキカン</t>
    </rPh>
    <rPh sb="164" eb="166">
      <t>キソン</t>
    </rPh>
    <rPh sb="173" eb="175">
      <t>ダイスウ</t>
    </rPh>
    <rPh sb="176" eb="177">
      <t>タ</t>
    </rPh>
    <rPh sb="180" eb="182">
      <t>エンカク</t>
    </rPh>
    <rPh sb="182" eb="183">
      <t>チ</t>
    </rPh>
    <rPh sb="215" eb="217">
      <t>ガイトウ</t>
    </rPh>
    <rPh sb="221" eb="223">
      <t>ヒヅケ</t>
    </rPh>
    <rPh sb="226" eb="228">
      <t>ケイイ</t>
    </rPh>
    <rPh sb="233" eb="235">
      <t>ベッシ</t>
    </rPh>
    <rPh sb="253" eb="254">
      <t>ショウ</t>
    </rPh>
    <rPh sb="256" eb="257">
      <t>ウ</t>
    </rPh>
    <rPh sb="258" eb="259">
      <t>イ</t>
    </rPh>
    <rPh sb="261" eb="262">
      <t>コトワ</t>
    </rPh>
    <rPh sb="266" eb="267">
      <t>エ</t>
    </rPh>
    <rPh sb="274" eb="276">
      <t>ジッセキ</t>
    </rPh>
    <rPh sb="277" eb="278">
      <t>フ</t>
    </rPh>
    <rPh sb="282" eb="283">
      <t>ダイ</t>
    </rPh>
    <rPh sb="284" eb="285">
      <t>アラ</t>
    </rPh>
    <rPh sb="287" eb="290">
      <t>ミセイビ</t>
    </rPh>
    <rPh sb="291" eb="293">
      <t>カクホ</t>
    </rPh>
    <rPh sb="293" eb="295">
      <t>ビョウショウ</t>
    </rPh>
    <rPh sb="296" eb="298">
      <t>セイビ</t>
    </rPh>
    <phoneticPr fontId="9"/>
  </si>
  <si>
    <t>（例）当院では人工呼吸器での装着が必要な重症患者の受入を中心に行っており、超音波画像診断装置を用いた肺炎等の状態の確認が必要不可欠となっている。
　　　今年度に入りこれまで、1日あたり平均○人の患者に対して行う必要性があったが、当院が所在する地域における感染拡大が顕著であり受け入れ要請が
　　　既存機器でもってしては対応しきれず受け入れを断らざるを得ない状況が生じている。
　　　（既存の配備状況、受け入れ状況及び機器整備状況については別紙のとおり。）
　　　今後も同様の状況が生じることが見込まれるため、新たに○人への対応が可能となるよう、○台の整備を行いたい。</t>
    <rPh sb="3" eb="5">
      <t>トウイン</t>
    </rPh>
    <rPh sb="7" eb="12">
      <t>ジンコウコキュウキ</t>
    </rPh>
    <rPh sb="14" eb="16">
      <t>ソウチャク</t>
    </rPh>
    <rPh sb="17" eb="19">
      <t>ヒツヨウ</t>
    </rPh>
    <rPh sb="20" eb="22">
      <t>ジュウショウ</t>
    </rPh>
    <rPh sb="22" eb="24">
      <t>カンジャ</t>
    </rPh>
    <rPh sb="25" eb="27">
      <t>ウケイレ</t>
    </rPh>
    <rPh sb="28" eb="30">
      <t>チュウシン</t>
    </rPh>
    <rPh sb="31" eb="32">
      <t>オコナ</t>
    </rPh>
    <rPh sb="47" eb="48">
      <t>モチ</t>
    </rPh>
    <rPh sb="60" eb="65">
      <t>ヒツヨウフカケツ</t>
    </rPh>
    <rPh sb="76" eb="79">
      <t>コンネンド</t>
    </rPh>
    <rPh sb="80" eb="81">
      <t>ハイ</t>
    </rPh>
    <rPh sb="88" eb="89">
      <t>ニチ</t>
    </rPh>
    <rPh sb="92" eb="94">
      <t>ヘイキン</t>
    </rPh>
    <rPh sb="95" eb="96">
      <t>ニン</t>
    </rPh>
    <rPh sb="97" eb="99">
      <t>カンジャ</t>
    </rPh>
    <rPh sb="100" eb="101">
      <t>タイ</t>
    </rPh>
    <rPh sb="103" eb="104">
      <t>オコナ</t>
    </rPh>
    <rPh sb="105" eb="107">
      <t>ヒツヨウ</t>
    </rPh>
    <rPh sb="107" eb="108">
      <t>セイ</t>
    </rPh>
    <rPh sb="114" eb="116">
      <t>トウイン</t>
    </rPh>
    <rPh sb="117" eb="119">
      <t>ショザイ</t>
    </rPh>
    <rPh sb="121" eb="123">
      <t>チイキ</t>
    </rPh>
    <rPh sb="127" eb="129">
      <t>カンセン</t>
    </rPh>
    <rPh sb="129" eb="131">
      <t>カクダイ</t>
    </rPh>
    <rPh sb="132" eb="134">
      <t>ケンチョ</t>
    </rPh>
    <rPh sb="137" eb="138">
      <t>ウ</t>
    </rPh>
    <rPh sb="139" eb="140">
      <t>イ</t>
    </rPh>
    <rPh sb="141" eb="143">
      <t>ヨウセイ</t>
    </rPh>
    <rPh sb="148" eb="150">
      <t>キソン</t>
    </rPh>
    <rPh sb="150" eb="152">
      <t>キキ</t>
    </rPh>
    <rPh sb="159" eb="161">
      <t>タイオウ</t>
    </rPh>
    <rPh sb="165" eb="166">
      <t>ウ</t>
    </rPh>
    <rPh sb="167" eb="168">
      <t>イ</t>
    </rPh>
    <rPh sb="170" eb="171">
      <t>コトワ</t>
    </rPh>
    <rPh sb="175" eb="176">
      <t>エ</t>
    </rPh>
    <rPh sb="178" eb="180">
      <t>ジョウキョウ</t>
    </rPh>
    <rPh sb="181" eb="182">
      <t>ショウ</t>
    </rPh>
    <rPh sb="192" eb="194">
      <t>キソン</t>
    </rPh>
    <rPh sb="195" eb="197">
      <t>ハイビ</t>
    </rPh>
    <rPh sb="197" eb="199">
      <t>ジョウキョウ</t>
    </rPh>
    <rPh sb="200" eb="201">
      <t>ウ</t>
    </rPh>
    <rPh sb="202" eb="203">
      <t>イ</t>
    </rPh>
    <rPh sb="204" eb="206">
      <t>ジョウキョウ</t>
    </rPh>
    <rPh sb="206" eb="207">
      <t>オヨ</t>
    </rPh>
    <rPh sb="208" eb="210">
      <t>キキ</t>
    </rPh>
    <rPh sb="210" eb="212">
      <t>セイビ</t>
    </rPh>
    <rPh sb="212" eb="214">
      <t>ジョウキョウ</t>
    </rPh>
    <rPh sb="219" eb="221">
      <t>ベッシ</t>
    </rPh>
    <rPh sb="231" eb="233">
      <t>コンゴ</t>
    </rPh>
    <rPh sb="234" eb="236">
      <t>ドウヨウ</t>
    </rPh>
    <rPh sb="237" eb="239">
      <t>ジョウキョウ</t>
    </rPh>
    <rPh sb="240" eb="241">
      <t>ショウ</t>
    </rPh>
    <rPh sb="246" eb="248">
      <t>ミコ</t>
    </rPh>
    <rPh sb="254" eb="255">
      <t>アラ</t>
    </rPh>
    <rPh sb="257" eb="259">
      <t>マルニン</t>
    </rPh>
    <rPh sb="261" eb="263">
      <t>タイオウ</t>
    </rPh>
    <rPh sb="264" eb="266">
      <t>カノウ</t>
    </rPh>
    <rPh sb="273" eb="274">
      <t>ダイ</t>
    </rPh>
    <rPh sb="275" eb="277">
      <t>セイビ</t>
    </rPh>
    <rPh sb="278" eb="279">
      <t>オコナ</t>
    </rPh>
    <phoneticPr fontId="9"/>
  </si>
  <si>
    <t>（例）当院はこれまで主として呼吸器症状が比較的軽度な入院患者の受け入れを行ってきたが、近傍及び圏域内の入院医療機関が慢性的に逼迫している状況
　　　であり、医療機関間の連携協力のありかたについて話し合いの中で、受け入れ体制の強化が課題とされてきた。
　　　当院は受け入れのために確保している病床及び看護要員に一定の余裕があったことから、新たに呼吸器系の専門医を確保することができたため、
　　　重篤な肺炎症状を呈する患者の受け入れを今後積極的に行っていくこととした。
　　　ついては新たに１台を整備することとし、入院受入体制を確保することとしたい。</t>
    <rPh sb="3" eb="5">
      <t>トウイン</t>
    </rPh>
    <rPh sb="10" eb="11">
      <t>シュ</t>
    </rPh>
    <rPh sb="14" eb="17">
      <t>コキュウキ</t>
    </rPh>
    <rPh sb="17" eb="19">
      <t>ショウジョウ</t>
    </rPh>
    <rPh sb="20" eb="23">
      <t>ヒカクテキ</t>
    </rPh>
    <rPh sb="23" eb="25">
      <t>ケイド</t>
    </rPh>
    <rPh sb="26" eb="28">
      <t>ニュウイン</t>
    </rPh>
    <rPh sb="28" eb="30">
      <t>カンジャ</t>
    </rPh>
    <rPh sb="31" eb="32">
      <t>ウ</t>
    </rPh>
    <rPh sb="33" eb="34">
      <t>イ</t>
    </rPh>
    <rPh sb="36" eb="37">
      <t>オコナ</t>
    </rPh>
    <rPh sb="43" eb="45">
      <t>キンボウ</t>
    </rPh>
    <rPh sb="45" eb="46">
      <t>オヨ</t>
    </rPh>
    <rPh sb="47" eb="48">
      <t>ケン</t>
    </rPh>
    <rPh sb="48" eb="50">
      <t>イキナイ</t>
    </rPh>
    <rPh sb="51" eb="53">
      <t>ニュウイン</t>
    </rPh>
    <rPh sb="53" eb="55">
      <t>イリョウ</t>
    </rPh>
    <rPh sb="55" eb="57">
      <t>キカン</t>
    </rPh>
    <rPh sb="58" eb="60">
      <t>マンセイ</t>
    </rPh>
    <rPh sb="60" eb="61">
      <t>テキ</t>
    </rPh>
    <rPh sb="62" eb="64">
      <t>ヒッパク</t>
    </rPh>
    <rPh sb="68" eb="70">
      <t>ジョウキョウ</t>
    </rPh>
    <rPh sb="78" eb="80">
      <t>イリョウ</t>
    </rPh>
    <rPh sb="80" eb="82">
      <t>キカン</t>
    </rPh>
    <rPh sb="82" eb="83">
      <t>カン</t>
    </rPh>
    <rPh sb="84" eb="86">
      <t>レンケイ</t>
    </rPh>
    <rPh sb="86" eb="88">
      <t>キョウリョク</t>
    </rPh>
    <rPh sb="97" eb="98">
      <t>ハナ</t>
    </rPh>
    <rPh sb="99" eb="100">
      <t>ア</t>
    </rPh>
    <rPh sb="102" eb="103">
      <t>ナカ</t>
    </rPh>
    <rPh sb="105" eb="106">
      <t>ウ</t>
    </rPh>
    <rPh sb="107" eb="108">
      <t>イ</t>
    </rPh>
    <rPh sb="109" eb="111">
      <t>タイセイ</t>
    </rPh>
    <rPh sb="112" eb="114">
      <t>キョウカ</t>
    </rPh>
    <rPh sb="115" eb="117">
      <t>カダイ</t>
    </rPh>
    <rPh sb="128" eb="130">
      <t>トウイン</t>
    </rPh>
    <rPh sb="131" eb="132">
      <t>ウ</t>
    </rPh>
    <rPh sb="133" eb="134">
      <t>イ</t>
    </rPh>
    <rPh sb="139" eb="141">
      <t>カクホ</t>
    </rPh>
    <rPh sb="145" eb="147">
      <t>ビョウショウ</t>
    </rPh>
    <rPh sb="147" eb="148">
      <t>オヨ</t>
    </rPh>
    <rPh sb="149" eb="151">
      <t>カンゴ</t>
    </rPh>
    <rPh sb="151" eb="153">
      <t>ヨウイン</t>
    </rPh>
    <rPh sb="154" eb="156">
      <t>イッテイ</t>
    </rPh>
    <rPh sb="157" eb="159">
      <t>ヨユウ</t>
    </rPh>
    <rPh sb="168" eb="169">
      <t>アラ</t>
    </rPh>
    <rPh sb="171" eb="174">
      <t>コキュウキ</t>
    </rPh>
    <rPh sb="174" eb="175">
      <t>ケイ</t>
    </rPh>
    <rPh sb="176" eb="179">
      <t>センモンイ</t>
    </rPh>
    <rPh sb="180" eb="182">
      <t>カクホ</t>
    </rPh>
    <rPh sb="197" eb="199">
      <t>ジュウトク</t>
    </rPh>
    <rPh sb="200" eb="202">
      <t>ハイエン</t>
    </rPh>
    <rPh sb="202" eb="204">
      <t>ショウジョウ</t>
    </rPh>
    <rPh sb="205" eb="206">
      <t>テイ</t>
    </rPh>
    <rPh sb="208" eb="210">
      <t>カンジャ</t>
    </rPh>
    <rPh sb="211" eb="212">
      <t>ウ</t>
    </rPh>
    <rPh sb="213" eb="214">
      <t>イ</t>
    </rPh>
    <rPh sb="216" eb="218">
      <t>コンゴ</t>
    </rPh>
    <rPh sb="218" eb="221">
      <t>セッキョクテキ</t>
    </rPh>
    <rPh sb="222" eb="223">
      <t>オコナ</t>
    </rPh>
    <rPh sb="241" eb="242">
      <t>アラ</t>
    </rPh>
    <rPh sb="245" eb="246">
      <t>ダイ</t>
    </rPh>
    <rPh sb="247" eb="249">
      <t>セイビ</t>
    </rPh>
    <rPh sb="256" eb="258">
      <t>ニュウイン</t>
    </rPh>
    <rPh sb="258" eb="260">
      <t>ウケイ</t>
    </rPh>
    <rPh sb="260" eb="262">
      <t>タイセイ</t>
    </rPh>
    <rPh sb="263" eb="265">
      <t>カクホ</t>
    </rPh>
    <phoneticPr fontId="9"/>
  </si>
  <si>
    <t>（例）これまで確保病床○床に対し、生体情報モニタ○台で対応してきた。
　　　当院が所在する医療圏は確保病床自体が少なく、高齢者人口が多く一度罹患すると重症化するケースが少なくなく、今年度においてもこれまで受入対応
　　　ができず遠隔の医療機関への搬送を余儀なくされたケースがあった。（詳細別紙）
　　　ついては、今後継続的に不足することが見込まれる○台を本事業を活用し整備することとしたい。</t>
    <rPh sb="7" eb="11">
      <t>カクホビョウショウ</t>
    </rPh>
    <rPh sb="12" eb="13">
      <t>ショウ</t>
    </rPh>
    <rPh sb="14" eb="15">
      <t>タイ</t>
    </rPh>
    <rPh sb="17" eb="21">
      <t>セイタイジョウホウ</t>
    </rPh>
    <rPh sb="25" eb="26">
      <t>ダイ</t>
    </rPh>
    <rPh sb="27" eb="29">
      <t>タイオウ</t>
    </rPh>
    <rPh sb="38" eb="40">
      <t>トウイン</t>
    </rPh>
    <rPh sb="41" eb="43">
      <t>ショザイ</t>
    </rPh>
    <rPh sb="45" eb="47">
      <t>イリョウ</t>
    </rPh>
    <rPh sb="47" eb="48">
      <t>ケン</t>
    </rPh>
    <rPh sb="49" eb="51">
      <t>カクホ</t>
    </rPh>
    <rPh sb="51" eb="53">
      <t>ビョウショウ</t>
    </rPh>
    <rPh sb="53" eb="55">
      <t>ジタイ</t>
    </rPh>
    <rPh sb="56" eb="57">
      <t>スク</t>
    </rPh>
    <rPh sb="60" eb="63">
      <t>コウレイシャ</t>
    </rPh>
    <rPh sb="63" eb="65">
      <t>ジンコウ</t>
    </rPh>
    <rPh sb="66" eb="67">
      <t>オオ</t>
    </rPh>
    <rPh sb="68" eb="70">
      <t>イチド</t>
    </rPh>
    <rPh sb="70" eb="72">
      <t>リカン</t>
    </rPh>
    <rPh sb="75" eb="78">
      <t>ジュウショウカ</t>
    </rPh>
    <rPh sb="84" eb="85">
      <t>スク</t>
    </rPh>
    <rPh sb="90" eb="93">
      <t>コンネンド</t>
    </rPh>
    <rPh sb="102" eb="103">
      <t>ウ</t>
    </rPh>
    <rPh sb="103" eb="104">
      <t>イ</t>
    </rPh>
    <rPh sb="104" eb="106">
      <t>タイオウ</t>
    </rPh>
    <rPh sb="114" eb="116">
      <t>エンカク</t>
    </rPh>
    <rPh sb="117" eb="119">
      <t>イリョウ</t>
    </rPh>
    <rPh sb="119" eb="121">
      <t>キカン</t>
    </rPh>
    <rPh sb="123" eb="125">
      <t>ハンソウ</t>
    </rPh>
    <rPh sb="126" eb="128">
      <t>ヨギ</t>
    </rPh>
    <rPh sb="142" eb="144">
      <t>ショウサイ</t>
    </rPh>
    <rPh sb="144" eb="146">
      <t>ベッシ</t>
    </rPh>
    <rPh sb="156" eb="158">
      <t>コンゴ</t>
    </rPh>
    <rPh sb="158" eb="161">
      <t>ケイゾクテキ</t>
    </rPh>
    <rPh sb="162" eb="164">
      <t>フソク</t>
    </rPh>
    <rPh sb="169" eb="171">
      <t>ミコ</t>
    </rPh>
    <rPh sb="175" eb="176">
      <t>ダイ</t>
    </rPh>
    <rPh sb="177" eb="178">
      <t>ホン</t>
    </rPh>
    <rPh sb="178" eb="180">
      <t>ジギョウ</t>
    </rPh>
    <rPh sb="181" eb="183">
      <t>カツヨウ</t>
    </rPh>
    <rPh sb="184" eb="186">
      <t>セイビ</t>
    </rPh>
    <phoneticPr fontId="9"/>
  </si>
  <si>
    <t>（例）当院は重点医療機関として周産期妊婦の入院受け入れを行ってきたが、直近の感染再拡大により、当院が陽性妊婦の受け入れのため確保している
　　　病床数を超える入院受け入れ要請が生じ、近隣の医療機関に受け入れ協力をせざるを得ない状況が生じた。圏域内の一般病床を有する病院及び有床診療所
　　　に陽性妊婦の受入協力を打診したが、そもそも医療機関が少ないことも相まり、調整は不調に終わったケースが生じている。
　　　目下の感染拡大を前に、遠隔の医療機関への搬送及び容態悪化を避けるためにも自院での受け入れ体制の強化が喫緊の課題となっており、新たに○台の
　　　追加整備を行うこととしたい。
　　　（整備台数の検討にあたってのピーク時の陽性患者数の推移及び受け入れ要請を断らざるを得なかったケースの詳細については別紙のとおり。）</t>
    <rPh sb="15" eb="18">
      <t>シュウサンキ</t>
    </rPh>
    <rPh sb="18" eb="20">
      <t>ニンプ</t>
    </rPh>
    <rPh sb="35" eb="37">
      <t>チョッキン</t>
    </rPh>
    <rPh sb="38" eb="40">
      <t>カンセン</t>
    </rPh>
    <rPh sb="40" eb="43">
      <t>サイカクダイ</t>
    </rPh>
    <rPh sb="50" eb="52">
      <t>ヨウセイ</t>
    </rPh>
    <rPh sb="52" eb="54">
      <t>ニンプ</t>
    </rPh>
    <rPh sb="126" eb="128">
      <t>ビョウショウ</t>
    </rPh>
    <rPh sb="129" eb="130">
      <t>ユウ</t>
    </rPh>
    <rPh sb="132" eb="134">
      <t>ビョウイン</t>
    </rPh>
    <rPh sb="134" eb="135">
      <t>オヨ</t>
    </rPh>
    <rPh sb="136" eb="138">
      <t>ユウショウ</t>
    </rPh>
    <rPh sb="138" eb="141">
      <t>シンリョウジョ</t>
    </rPh>
    <rPh sb="146" eb="148">
      <t>ヨウセイ</t>
    </rPh>
    <rPh sb="148" eb="150">
      <t>ニンプ</t>
    </rPh>
    <rPh sb="151" eb="153">
      <t>ウケイレ</t>
    </rPh>
    <rPh sb="153" eb="155">
      <t>キョウリョク</t>
    </rPh>
    <rPh sb="156" eb="158">
      <t>ダシン</t>
    </rPh>
    <rPh sb="166" eb="168">
      <t>イリョウ</t>
    </rPh>
    <rPh sb="168" eb="170">
      <t>キカン</t>
    </rPh>
    <rPh sb="171" eb="172">
      <t>スク</t>
    </rPh>
    <rPh sb="177" eb="178">
      <t>アイ</t>
    </rPh>
    <rPh sb="181" eb="183">
      <t>チョウセイ</t>
    </rPh>
    <rPh sb="184" eb="186">
      <t>フチョウ</t>
    </rPh>
    <rPh sb="187" eb="188">
      <t>オ</t>
    </rPh>
    <rPh sb="195" eb="196">
      <t>ショウ</t>
    </rPh>
    <rPh sb="205" eb="207">
      <t>モッカ</t>
    </rPh>
    <rPh sb="208" eb="210">
      <t>カンセン</t>
    </rPh>
    <rPh sb="210" eb="212">
      <t>カクダイ</t>
    </rPh>
    <rPh sb="213" eb="214">
      <t>マエ</t>
    </rPh>
    <rPh sb="241" eb="243">
      <t>ジイン</t>
    </rPh>
    <rPh sb="245" eb="246">
      <t>ウ</t>
    </rPh>
    <rPh sb="247" eb="248">
      <t>イ</t>
    </rPh>
    <rPh sb="249" eb="251">
      <t>タイセイ</t>
    </rPh>
    <rPh sb="252" eb="254">
      <t>キョウカ</t>
    </rPh>
    <rPh sb="255" eb="257">
      <t>キッキン</t>
    </rPh>
    <rPh sb="258" eb="260">
      <t>カダイ</t>
    </rPh>
    <rPh sb="314" eb="316">
      <t>ヨウセイ</t>
    </rPh>
    <phoneticPr fontId="9"/>
  </si>
  <si>
    <t>（例）当院は重点医療機関として周産期妊婦の入院受け入れを行ってきたが、この度の第７波の感染拡大により、当院が陽性妊婦の受け入れのため確保している
　　　病床数を超える入院受け入れ要請が生じ、近隣の医療機関に受け入れ協力をせざるを得ない状況が生じた。圏域内の一般病床を有する病院及び有床診療所
　　　に陽性妊婦の受入協力を打診したが、そもそも医療機関が少ないことも相まり、調整は不調に終わったケースが生じている。
　　　目下の感染拡大を前に、遠隔の医療機関への搬送及び容態悪化を避けるためにも自院での受け入れ体制の強化が喫緊の課題となっており、分娩監視装置
　　　の追加とともに新生児用のモニタ設備を新たに○台の追加整備を行うこととしたい。（整備台数の検討にあたってのピーク時の陽性患者数の推移及び
　　　受け入れ要請を断らざるを得なかったケースの詳細については別紙のとおり。）</t>
    <rPh sb="54" eb="56">
      <t>ヨウセイ</t>
    </rPh>
    <rPh sb="56" eb="58">
      <t>ニンプ</t>
    </rPh>
    <rPh sb="199" eb="200">
      <t>ショウ</t>
    </rPh>
    <rPh sb="209" eb="211">
      <t>モッカ</t>
    </rPh>
    <rPh sb="271" eb="273">
      <t>ブンベン</t>
    </rPh>
    <rPh sb="273" eb="275">
      <t>カンシ</t>
    </rPh>
    <rPh sb="275" eb="277">
      <t>ソウチ</t>
    </rPh>
    <rPh sb="282" eb="284">
      <t>ツイカ</t>
    </rPh>
    <rPh sb="288" eb="291">
      <t>シンセイジ</t>
    </rPh>
    <rPh sb="291" eb="292">
      <t>ヨウ</t>
    </rPh>
    <rPh sb="296" eb="298">
      <t>セツビ</t>
    </rPh>
    <phoneticPr fontId="9"/>
  </si>
  <si>
    <t>個人防護具の申請においては「４．患者１人あたり対応人数及び品目毎の平均着脱使用枚数」に表示の各品目毎の使用数量を参照の上、
「個人防護具明細」シートに補助対象経費としての使用量を計上してください。（１箱未満の単位で未使用分が生じることは可。ただしそれを超えるとみなされる数量を計上の場合は、県から理由を確認させていただいた上、必要の際には計上から除外いただきます。）</t>
    <rPh sb="0" eb="2">
      <t>コジン</t>
    </rPh>
    <rPh sb="2" eb="4">
      <t>ボウゴ</t>
    </rPh>
    <rPh sb="4" eb="5">
      <t>グ</t>
    </rPh>
    <rPh sb="6" eb="8">
      <t>シンセイ</t>
    </rPh>
    <rPh sb="43" eb="45">
      <t>ヒョウジ</t>
    </rPh>
    <rPh sb="46" eb="49">
      <t>カクヒンモク</t>
    </rPh>
    <rPh sb="49" eb="50">
      <t>ゴト</t>
    </rPh>
    <rPh sb="51" eb="55">
      <t>シヨウスウリョウ</t>
    </rPh>
    <rPh sb="56" eb="58">
      <t>サンショウ</t>
    </rPh>
    <rPh sb="59" eb="60">
      <t>ウエ</t>
    </rPh>
    <rPh sb="63" eb="68">
      <t>コジンボウゴグ</t>
    </rPh>
    <rPh sb="68" eb="70">
      <t>メイサイ</t>
    </rPh>
    <rPh sb="75" eb="81">
      <t>ホジョタイショウケイヒ</t>
    </rPh>
    <rPh sb="85" eb="88">
      <t>シヨウリョウ</t>
    </rPh>
    <rPh sb="89" eb="91">
      <t>ケイジョウ</t>
    </rPh>
    <rPh sb="100" eb="101">
      <t>ハコ</t>
    </rPh>
    <rPh sb="101" eb="103">
      <t>ミマン</t>
    </rPh>
    <rPh sb="104" eb="106">
      <t>タンイ</t>
    </rPh>
    <rPh sb="107" eb="111">
      <t>ミシヨウブン</t>
    </rPh>
    <rPh sb="112" eb="113">
      <t>ショウ</t>
    </rPh>
    <rPh sb="118" eb="119">
      <t>カ</t>
    </rPh>
    <rPh sb="126" eb="127">
      <t>コ</t>
    </rPh>
    <rPh sb="138" eb="140">
      <t>ケイジョウ</t>
    </rPh>
    <rPh sb="141" eb="143">
      <t>バアイ</t>
    </rPh>
    <rPh sb="145" eb="146">
      <t>ケン</t>
    </rPh>
    <rPh sb="148" eb="150">
      <t>リユウ</t>
    </rPh>
    <rPh sb="151" eb="153">
      <t>カクニン</t>
    </rPh>
    <rPh sb="161" eb="162">
      <t>ウエ</t>
    </rPh>
    <rPh sb="163" eb="165">
      <t>ヒツヨウ</t>
    </rPh>
    <phoneticPr fontId="13"/>
  </si>
  <si>
    <t>　整備をリースにより行うか、購入により行うか記入してください。
　なお、購入により整備する場合は、必ずリースによる整備を検討し、購入による整備とせざるを得ないと判断した理由を以下の欄に記入してください。
（リースによる整備を検討していない及び、購入による整備とせざるを得ないとする理由が不十分と判断される場合には公費による整備に親和しないことから、交付しないこととする場合があります。）</t>
    <phoneticPr fontId="9"/>
  </si>
  <si>
    <t>（例）当院は高齢者人口を多く抱える地域に立地し、付近に高齢者施設が複数あることからこれまで、主として高齢患者を多く受け入れる傾向があった。
　　　受入患者には認知症等の老年性の精神症状を呈する者を少なからずおり、その行動特性からゾーニングは難しく、フロア全体をレッドゾーンとして取り
　　　扱わざるを得ず、職員は常にPPEを着用した状態で支援に従事せざるを得ない状況であった。
　　　一方で行動症状を伴わない患者も一定数いること及び、当院の確保病床は２つのフロアに分かれており、一方については全室個室でありかつトイレ・
　　　洗面も備わっていることから当該室を陰圧化し、行動症状が特段見られない患者の受け入れに供することによってフロア内をゾーニングし職員負担の
　　　軽減に繋がるのではと考えた。
　　　ついては、当該フロアの○室の内、受入を行うために供用予定の○室について陰圧機器を設置することで院内感染防止及び職員の安全確保を図ることと
　　　したい。</t>
    <rPh sb="1" eb="2">
      <t>レイ</t>
    </rPh>
    <rPh sb="368" eb="370">
      <t>ウケイレ</t>
    </rPh>
    <rPh sb="371" eb="372">
      <t>オコナ</t>
    </rPh>
    <rPh sb="376" eb="378">
      <t>キョウヨウ</t>
    </rPh>
    <rPh sb="378" eb="380">
      <t>ヨテイ</t>
    </rPh>
    <rPh sb="382" eb="383">
      <t>シツ</t>
    </rPh>
    <rPh sb="387" eb="389">
      <t>インアツ</t>
    </rPh>
    <rPh sb="389" eb="391">
      <t>キキ</t>
    </rPh>
    <rPh sb="392" eb="394">
      <t>セッチ</t>
    </rPh>
    <phoneticPr fontId="9"/>
  </si>
  <si>
    <t>（例）これまで経過観察のための診療は検査機器が配備されている外来棟の一室で行っていたが、建物の構造上、一般患者との動線分けに限界があり、院内
　　　感染のおそれがこれまであったことから、新たにコロナ病棟のための機器一式を整備の上、当該病棟内の倉庫スペースを改修して診察スペースを確保
　　　した。
　　　患者の中には中等症以上であること及び、基礎疾患も相まって座位の保持が難しい者も一定数いることから、臥位での検査を行うため簡易ベッドを
　　　整備することとしたい。</t>
    <rPh sb="1" eb="2">
      <t>レイ</t>
    </rPh>
    <rPh sb="7" eb="9">
      <t>ケイカ</t>
    </rPh>
    <rPh sb="9" eb="11">
      <t>カンサツ</t>
    </rPh>
    <rPh sb="15" eb="17">
      <t>シンリョウ</t>
    </rPh>
    <rPh sb="18" eb="22">
      <t>ケンサキキ</t>
    </rPh>
    <rPh sb="23" eb="25">
      <t>ハイビ</t>
    </rPh>
    <rPh sb="34" eb="36">
      <t>イッシツ</t>
    </rPh>
    <rPh sb="37" eb="38">
      <t>オコナ</t>
    </rPh>
    <rPh sb="44" eb="46">
      <t>タテモノ</t>
    </rPh>
    <rPh sb="47" eb="49">
      <t>コウゾウ</t>
    </rPh>
    <rPh sb="49" eb="50">
      <t>ジョウ</t>
    </rPh>
    <rPh sb="51" eb="53">
      <t>イッパン</t>
    </rPh>
    <rPh sb="53" eb="55">
      <t>カンジャ</t>
    </rPh>
    <rPh sb="57" eb="59">
      <t>ドウセン</t>
    </rPh>
    <rPh sb="59" eb="60">
      <t>ワ</t>
    </rPh>
    <rPh sb="62" eb="64">
      <t>ゲンカイ</t>
    </rPh>
    <rPh sb="68" eb="70">
      <t>インナイ</t>
    </rPh>
    <rPh sb="74" eb="76">
      <t>カンセン</t>
    </rPh>
    <rPh sb="93" eb="94">
      <t>アラ</t>
    </rPh>
    <rPh sb="99" eb="101">
      <t>ビョウトウ</t>
    </rPh>
    <rPh sb="105" eb="107">
      <t>キキ</t>
    </rPh>
    <rPh sb="107" eb="109">
      <t>イッシキ</t>
    </rPh>
    <rPh sb="110" eb="112">
      <t>セイビ</t>
    </rPh>
    <rPh sb="113" eb="114">
      <t>ウエ</t>
    </rPh>
    <rPh sb="115" eb="117">
      <t>トウガイ</t>
    </rPh>
    <rPh sb="117" eb="119">
      <t>ビョウトウ</t>
    </rPh>
    <rPh sb="119" eb="120">
      <t>ナイ</t>
    </rPh>
    <rPh sb="121" eb="123">
      <t>ソウコ</t>
    </rPh>
    <rPh sb="128" eb="130">
      <t>カイシュウ</t>
    </rPh>
    <rPh sb="132" eb="134">
      <t>シンサツ</t>
    </rPh>
    <rPh sb="139" eb="141">
      <t>カクホ</t>
    </rPh>
    <rPh sb="152" eb="154">
      <t>カンジャ</t>
    </rPh>
    <rPh sb="155" eb="156">
      <t>ナカ</t>
    </rPh>
    <rPh sb="158" eb="160">
      <t>チュウトウ</t>
    </rPh>
    <rPh sb="160" eb="161">
      <t>ショウ</t>
    </rPh>
    <rPh sb="161" eb="163">
      <t>イジョウ</t>
    </rPh>
    <rPh sb="168" eb="169">
      <t>オヨ</t>
    </rPh>
    <rPh sb="171" eb="173">
      <t>キソ</t>
    </rPh>
    <rPh sb="173" eb="175">
      <t>シッカン</t>
    </rPh>
    <rPh sb="176" eb="177">
      <t>アイ</t>
    </rPh>
    <rPh sb="180" eb="182">
      <t>ザイ</t>
    </rPh>
    <rPh sb="183" eb="185">
      <t>ホジ</t>
    </rPh>
    <rPh sb="186" eb="187">
      <t>ムズカ</t>
    </rPh>
    <rPh sb="189" eb="190">
      <t>モノ</t>
    </rPh>
    <rPh sb="191" eb="194">
      <t>イッテイスウ</t>
    </rPh>
    <rPh sb="201" eb="203">
      <t>ガイ</t>
    </rPh>
    <rPh sb="205" eb="207">
      <t>ケンサ</t>
    </rPh>
    <rPh sb="208" eb="209">
      <t>オコナ</t>
    </rPh>
    <rPh sb="212" eb="214">
      <t>カンイ</t>
    </rPh>
    <rPh sb="222" eb="224">
      <t>セイビ</t>
    </rPh>
    <phoneticPr fontId="9"/>
  </si>
  <si>
    <t>（例）本院が所在する医療圏は確保病床自体が少なく、都市部から遠隔地であることから、受入対応が難しい際の隣接圏域への搬送に時間を要する事態が生じた
　　　ケースがある。
　　　感染ピークの度に圏域内の確保病床の逼迫が生じたことから、受入可能数を増やす必要性について圏域内の関係医療機関の間で問題共有されていたところ
　　　である。
　　　このことから、本院として今後人員体制を拡充し、入院要請を断ることがないよう○床分の病床を追加で確保するための整備を行うこととしたい。</t>
    <rPh sb="1" eb="2">
      <t>レイ</t>
    </rPh>
    <rPh sb="3" eb="5">
      <t>ホンイン</t>
    </rPh>
    <rPh sb="6" eb="8">
      <t>ショザイ</t>
    </rPh>
    <rPh sb="10" eb="12">
      <t>イリョウ</t>
    </rPh>
    <rPh sb="12" eb="13">
      <t>ケン</t>
    </rPh>
    <rPh sb="14" eb="16">
      <t>カクホ</t>
    </rPh>
    <rPh sb="16" eb="18">
      <t>ビョウショウ</t>
    </rPh>
    <rPh sb="18" eb="20">
      <t>ジタイ</t>
    </rPh>
    <rPh sb="21" eb="22">
      <t>スク</t>
    </rPh>
    <rPh sb="25" eb="28">
      <t>トシブ</t>
    </rPh>
    <rPh sb="30" eb="32">
      <t>エンカク</t>
    </rPh>
    <rPh sb="32" eb="33">
      <t>チ</t>
    </rPh>
    <rPh sb="41" eb="43">
      <t>ウケイレ</t>
    </rPh>
    <rPh sb="43" eb="45">
      <t>タイオウ</t>
    </rPh>
    <rPh sb="46" eb="47">
      <t>ムズカ</t>
    </rPh>
    <rPh sb="49" eb="50">
      <t>サイ</t>
    </rPh>
    <rPh sb="51" eb="53">
      <t>リンセツ</t>
    </rPh>
    <rPh sb="53" eb="55">
      <t>ケンイキ</t>
    </rPh>
    <rPh sb="57" eb="59">
      <t>ハンソウ</t>
    </rPh>
    <rPh sb="60" eb="62">
      <t>ジカン</t>
    </rPh>
    <rPh sb="63" eb="64">
      <t>ヨウ</t>
    </rPh>
    <rPh sb="66" eb="68">
      <t>ジタイ</t>
    </rPh>
    <rPh sb="69" eb="70">
      <t>ショウ</t>
    </rPh>
    <rPh sb="87" eb="89">
      <t>カンセン</t>
    </rPh>
    <rPh sb="93" eb="94">
      <t>タビ</t>
    </rPh>
    <rPh sb="95" eb="96">
      <t>ケン</t>
    </rPh>
    <rPh sb="96" eb="98">
      <t>イキナイ</t>
    </rPh>
    <rPh sb="99" eb="101">
      <t>カクホ</t>
    </rPh>
    <rPh sb="101" eb="103">
      <t>ビョウショウ</t>
    </rPh>
    <rPh sb="104" eb="106">
      <t>ヒッパク</t>
    </rPh>
    <rPh sb="107" eb="108">
      <t>ショウ</t>
    </rPh>
    <rPh sb="115" eb="117">
      <t>ウケイレ</t>
    </rPh>
    <rPh sb="117" eb="119">
      <t>カノウ</t>
    </rPh>
    <rPh sb="119" eb="120">
      <t>スウ</t>
    </rPh>
    <rPh sb="121" eb="122">
      <t>フ</t>
    </rPh>
    <rPh sb="142" eb="143">
      <t>アイダ</t>
    </rPh>
    <rPh sb="144" eb="146">
      <t>モンダイ</t>
    </rPh>
    <rPh sb="146" eb="148">
      <t>キョウユウ</t>
    </rPh>
    <rPh sb="175" eb="177">
      <t>ホンイン</t>
    </rPh>
    <rPh sb="180" eb="182">
      <t>コンゴ</t>
    </rPh>
    <rPh sb="182" eb="184">
      <t>ジンイン</t>
    </rPh>
    <rPh sb="184" eb="186">
      <t>タイセイ</t>
    </rPh>
    <rPh sb="187" eb="189">
      <t>カクジュウ</t>
    </rPh>
    <rPh sb="191" eb="193">
      <t>ニュウイン</t>
    </rPh>
    <rPh sb="193" eb="195">
      <t>ヨウセイ</t>
    </rPh>
    <rPh sb="196" eb="197">
      <t>コトワ</t>
    </rPh>
    <rPh sb="206" eb="207">
      <t>ユカ</t>
    </rPh>
    <rPh sb="207" eb="208">
      <t>ブン</t>
    </rPh>
    <rPh sb="209" eb="211">
      <t>ビョウショウ</t>
    </rPh>
    <rPh sb="212" eb="214">
      <t>ツイカ</t>
    </rPh>
    <rPh sb="215" eb="217">
      <t>カクホ</t>
    </rPh>
    <rPh sb="222" eb="224">
      <t>セイビ</t>
    </rPh>
    <rPh sb="225" eb="226">
      <t>オコナ</t>
    </rPh>
    <phoneticPr fontId="9"/>
  </si>
  <si>
    <t>（例）当院は透析患者の入院受け入れも行っており、これまで透析患者の病床をコロナ病床に転換して対応を行ってきた。
　　　今年度に入りこれまで、当院が透析患者の受け入れのため確保している病床数を超える入院受け入れ要請が生じ、透析専門の有床診療所に受け入れ協力
　　　をせざるを得ない状況が生じ、診療所でクラスターが発生、その際、遠隔の医療機関への搬送事例が生じたことから、こうした事態を未然に防ぐため、
　　　新たに○台の追加整備を行うこととしたい。
　　　（整備台数の検討にあたってのピーク時の陽性患者数の推移及び受け入れ要請を断らざるを得なかったケースの詳細については別紙のとおり。）</t>
    <rPh sb="1" eb="2">
      <t>レイ</t>
    </rPh>
    <rPh sb="6" eb="8">
      <t>トウセキ</t>
    </rPh>
    <rPh sb="8" eb="10">
      <t>カンジャ</t>
    </rPh>
    <rPh sb="11" eb="13">
      <t>ニュウイン</t>
    </rPh>
    <rPh sb="13" eb="14">
      <t>ウ</t>
    </rPh>
    <rPh sb="15" eb="16">
      <t>イ</t>
    </rPh>
    <rPh sb="18" eb="19">
      <t>オコナ</t>
    </rPh>
    <rPh sb="28" eb="30">
      <t>トウセキ</t>
    </rPh>
    <rPh sb="30" eb="32">
      <t>カンジャ</t>
    </rPh>
    <rPh sb="33" eb="35">
      <t>ビョウショウ</t>
    </rPh>
    <rPh sb="39" eb="41">
      <t>ビョウショウ</t>
    </rPh>
    <rPh sb="42" eb="44">
      <t>テンカン</t>
    </rPh>
    <rPh sb="46" eb="48">
      <t>タイオウ</t>
    </rPh>
    <rPh sb="49" eb="50">
      <t>オコナ</t>
    </rPh>
    <rPh sb="59" eb="62">
      <t>コンネンド</t>
    </rPh>
    <rPh sb="63" eb="64">
      <t>ハイ</t>
    </rPh>
    <rPh sb="70" eb="72">
      <t>トウイン</t>
    </rPh>
    <rPh sb="73" eb="75">
      <t>トウセキ</t>
    </rPh>
    <rPh sb="75" eb="77">
      <t>カンジャ</t>
    </rPh>
    <rPh sb="78" eb="79">
      <t>ウ</t>
    </rPh>
    <rPh sb="80" eb="81">
      <t>イ</t>
    </rPh>
    <rPh sb="85" eb="87">
      <t>カクホ</t>
    </rPh>
    <rPh sb="91" eb="93">
      <t>ビョウショウ</t>
    </rPh>
    <rPh sb="93" eb="94">
      <t>スウ</t>
    </rPh>
    <rPh sb="95" eb="96">
      <t>コ</t>
    </rPh>
    <rPh sb="98" eb="100">
      <t>ニュウイン</t>
    </rPh>
    <rPh sb="100" eb="101">
      <t>ウ</t>
    </rPh>
    <rPh sb="102" eb="103">
      <t>イ</t>
    </rPh>
    <rPh sb="104" eb="106">
      <t>ヨウセイ</t>
    </rPh>
    <rPh sb="107" eb="108">
      <t>ショウ</t>
    </rPh>
    <rPh sb="121" eb="122">
      <t>ウ</t>
    </rPh>
    <rPh sb="123" eb="124">
      <t>イ</t>
    </rPh>
    <rPh sb="125" eb="127">
      <t>キョウリョク</t>
    </rPh>
    <rPh sb="136" eb="137">
      <t>エ</t>
    </rPh>
    <rPh sb="139" eb="141">
      <t>ジョウキョウ</t>
    </rPh>
    <rPh sb="142" eb="143">
      <t>ショウ</t>
    </rPh>
    <rPh sb="145" eb="148">
      <t>シンリョウジョ</t>
    </rPh>
    <rPh sb="155" eb="157">
      <t>ハッセイ</t>
    </rPh>
    <rPh sb="160" eb="161">
      <t>サイ</t>
    </rPh>
    <rPh sb="162" eb="164">
      <t>エンカク</t>
    </rPh>
    <rPh sb="165" eb="167">
      <t>イリョウ</t>
    </rPh>
    <rPh sb="167" eb="169">
      <t>キカン</t>
    </rPh>
    <rPh sb="171" eb="173">
      <t>ハンソウ</t>
    </rPh>
    <rPh sb="173" eb="175">
      <t>ジレイ</t>
    </rPh>
    <rPh sb="176" eb="177">
      <t>ショウ</t>
    </rPh>
    <rPh sb="188" eb="190">
      <t>ジタイ</t>
    </rPh>
    <rPh sb="191" eb="193">
      <t>ミゼン</t>
    </rPh>
    <rPh sb="194" eb="195">
      <t>フセ</t>
    </rPh>
    <rPh sb="203" eb="204">
      <t>アラ</t>
    </rPh>
    <rPh sb="207" eb="208">
      <t>ダイ</t>
    </rPh>
    <rPh sb="209" eb="211">
      <t>ツイカ</t>
    </rPh>
    <rPh sb="211" eb="213">
      <t>セイビ</t>
    </rPh>
    <rPh sb="214" eb="215">
      <t>オコナ</t>
    </rPh>
    <rPh sb="228" eb="230">
      <t>セイビ</t>
    </rPh>
    <rPh sb="230" eb="232">
      <t>ダイスウ</t>
    </rPh>
    <rPh sb="233" eb="235">
      <t>ケントウ</t>
    </rPh>
    <rPh sb="244" eb="245">
      <t>ジ</t>
    </rPh>
    <rPh sb="246" eb="248">
      <t>ヨウセイ</t>
    </rPh>
    <rPh sb="248" eb="250">
      <t>カンジャ</t>
    </rPh>
    <rPh sb="250" eb="251">
      <t>スウ</t>
    </rPh>
    <rPh sb="252" eb="254">
      <t>スイイ</t>
    </rPh>
    <rPh sb="254" eb="255">
      <t>オヨ</t>
    </rPh>
    <rPh sb="256" eb="257">
      <t>ウ</t>
    </rPh>
    <rPh sb="258" eb="259">
      <t>イ</t>
    </rPh>
    <rPh sb="260" eb="262">
      <t>ヨウセイ</t>
    </rPh>
    <rPh sb="263" eb="264">
      <t>コトワ</t>
    </rPh>
    <rPh sb="268" eb="269">
      <t>エ</t>
    </rPh>
    <rPh sb="277" eb="279">
      <t>ショウサイ</t>
    </rPh>
    <rPh sb="284" eb="286">
      <t>ベッシ</t>
    </rPh>
    <phoneticPr fontId="9"/>
  </si>
  <si>
    <t>（例）当院は総合病院として１病棟を重点病床として指定を受けているが、入院患者の肺炎・消化器症状を撮影するためのCT撮影装置は確保病床とは別棟に
　　　ある撮影室までの移動を要した。移動にあたっては隔離搬送用のストレッチャーを使用していたが、別棟への移動の負担及び一般入院患者からの院内
　　　感染への懸念の声が上がっているのも事実としてあるため、CT室を新たに重点病床病棟に新設し、コロナ専用CT撮影機を配備することとしたい。</t>
    <rPh sb="1" eb="2">
      <t>レイ</t>
    </rPh>
    <rPh sb="3" eb="5">
      <t>トウイン</t>
    </rPh>
    <rPh sb="6" eb="8">
      <t>ソウゴウ</t>
    </rPh>
    <rPh sb="8" eb="10">
      <t>ビョウイン</t>
    </rPh>
    <rPh sb="14" eb="16">
      <t>ビョウトウ</t>
    </rPh>
    <rPh sb="17" eb="19">
      <t>ジュウテン</t>
    </rPh>
    <rPh sb="19" eb="21">
      <t>ビョウショウ</t>
    </rPh>
    <rPh sb="24" eb="26">
      <t>シテイ</t>
    </rPh>
    <rPh sb="27" eb="28">
      <t>ウ</t>
    </rPh>
    <rPh sb="34" eb="36">
      <t>ニュウイン</t>
    </rPh>
    <rPh sb="36" eb="38">
      <t>カンジャ</t>
    </rPh>
    <rPh sb="39" eb="41">
      <t>ハイエン</t>
    </rPh>
    <rPh sb="42" eb="45">
      <t>ショウカキ</t>
    </rPh>
    <rPh sb="45" eb="47">
      <t>ショウジョウ</t>
    </rPh>
    <rPh sb="48" eb="50">
      <t>サツエイ</t>
    </rPh>
    <rPh sb="57" eb="59">
      <t>サツエイ</t>
    </rPh>
    <rPh sb="59" eb="61">
      <t>ソウチ</t>
    </rPh>
    <rPh sb="62" eb="64">
      <t>カクホ</t>
    </rPh>
    <rPh sb="64" eb="66">
      <t>ビョウショウ</t>
    </rPh>
    <rPh sb="175" eb="176">
      <t>シツ</t>
    </rPh>
    <rPh sb="177" eb="178">
      <t>アラ</t>
    </rPh>
    <rPh sb="180" eb="182">
      <t>ジュウテン</t>
    </rPh>
    <rPh sb="182" eb="184">
      <t>ビョウショウ</t>
    </rPh>
    <rPh sb="184" eb="186">
      <t>ビョウトウ</t>
    </rPh>
    <rPh sb="187" eb="189">
      <t>シンセツ</t>
    </rPh>
    <rPh sb="194" eb="196">
      <t>センヨウ</t>
    </rPh>
    <rPh sb="198" eb="201">
      <t>サツエイキ</t>
    </rPh>
    <rPh sb="202" eb="204">
      <t>ハイビ</t>
    </rPh>
    <phoneticPr fontId="9"/>
  </si>
  <si>
    <t>別紙</t>
    <rPh sb="0" eb="2">
      <t>ベッシ</t>
    </rPh>
    <phoneticPr fontId="9"/>
  </si>
  <si>
    <t>（１）経費所要額内訳書（別紙）</t>
    <rPh sb="3" eb="5">
      <t>ケイヒ</t>
    </rPh>
    <rPh sb="5" eb="7">
      <t>ショヨウ</t>
    </rPh>
    <rPh sb="7" eb="8">
      <t>ガク</t>
    </rPh>
    <rPh sb="8" eb="11">
      <t>ウチワケショ</t>
    </rPh>
    <rPh sb="12" eb="14">
      <t>ベッシ</t>
    </rPh>
    <phoneticPr fontId="9"/>
  </si>
  <si>
    <t>（２）申請書の付属書類（整備に関係する設備に係る明細書）</t>
    <rPh sb="3" eb="6">
      <t>シンセイショ</t>
    </rPh>
    <rPh sb="7" eb="11">
      <t>フゾクショルイ</t>
    </rPh>
    <rPh sb="12" eb="14">
      <t>セイビ</t>
    </rPh>
    <rPh sb="15" eb="17">
      <t>カンケイ</t>
    </rPh>
    <rPh sb="19" eb="21">
      <t>セツビ</t>
    </rPh>
    <rPh sb="22" eb="23">
      <t>カカ</t>
    </rPh>
    <rPh sb="24" eb="27">
      <t>メイサイショ</t>
    </rPh>
    <phoneticPr fontId="9"/>
  </si>
  <si>
    <t>別添のとおり</t>
    <rPh sb="0" eb="2">
      <t>ベッテン</t>
    </rPh>
    <phoneticPr fontId="9"/>
  </si>
  <si>
    <t>新型コロナウイルス感染症入院患者への入院医療の提供を行うために整備するものであること。</t>
    <rPh sb="0" eb="2">
      <t>シンガタ</t>
    </rPh>
    <rPh sb="9" eb="12">
      <t>カンセンショウ</t>
    </rPh>
    <rPh sb="12" eb="14">
      <t>ニュウイン</t>
    </rPh>
    <rPh sb="14" eb="16">
      <t>カンジャ</t>
    </rPh>
    <rPh sb="18" eb="20">
      <t>ニュウイン</t>
    </rPh>
    <rPh sb="20" eb="22">
      <t>イリョウ</t>
    </rPh>
    <rPh sb="23" eb="25">
      <t>テイキョウ</t>
    </rPh>
    <rPh sb="26" eb="27">
      <t>オコナ</t>
    </rPh>
    <phoneticPr fontId="13"/>
  </si>
  <si>
    <t>空気清浄機の設置に伴い、院内感染防止のための陰圧環境を確保していること。</t>
    <rPh sb="0" eb="2">
      <t>クウキ</t>
    </rPh>
    <rPh sb="2" eb="5">
      <t>セイジョウキ</t>
    </rPh>
    <rPh sb="6" eb="8">
      <t>セッチ</t>
    </rPh>
    <rPh sb="9" eb="10">
      <t>トモナ</t>
    </rPh>
    <rPh sb="12" eb="14">
      <t>インナイ</t>
    </rPh>
    <rPh sb="14" eb="16">
      <t>カンセン</t>
    </rPh>
    <rPh sb="16" eb="18">
      <t>ボウシ</t>
    </rPh>
    <rPh sb="22" eb="24">
      <t>インアツ</t>
    </rPh>
    <rPh sb="24" eb="26">
      <t>カンキョウ</t>
    </rPh>
    <rPh sb="27" eb="29">
      <t>カクホ</t>
    </rPh>
    <phoneticPr fontId="13"/>
  </si>
  <si>
    <t>補助上限額は１施設あたり905,000円。（簡易陰圧装置に付帯する場合、当該内訳経費の合計に対して適用されます。）</t>
    <rPh sb="0" eb="2">
      <t>ホジョ</t>
    </rPh>
    <rPh sb="2" eb="5">
      <t>ジョウゲンガク</t>
    </rPh>
    <rPh sb="7" eb="9">
      <t>シセツ</t>
    </rPh>
    <rPh sb="19" eb="20">
      <t>エン</t>
    </rPh>
    <rPh sb="22" eb="24">
      <t>カンイ</t>
    </rPh>
    <rPh sb="24" eb="26">
      <t>インアツ</t>
    </rPh>
    <rPh sb="26" eb="28">
      <t>ソウチ</t>
    </rPh>
    <rPh sb="29" eb="31">
      <t>フタイ</t>
    </rPh>
    <rPh sb="33" eb="35">
      <t>バアイ</t>
    </rPh>
    <rPh sb="36" eb="38">
      <t>トウガイ</t>
    </rPh>
    <rPh sb="38" eb="40">
      <t>ウチワケ</t>
    </rPh>
    <rPh sb="40" eb="42">
      <t>ケイヒ</t>
    </rPh>
    <rPh sb="43" eb="45">
      <t>ゴウケイ</t>
    </rPh>
    <rPh sb="46" eb="47">
      <t>タイ</t>
    </rPh>
    <rPh sb="49" eb="51">
      <t>テキヨウ</t>
    </rPh>
    <phoneticPr fontId="13"/>
  </si>
  <si>
    <t>共用部分</t>
    <rPh sb="0" eb="4">
      <t>キョウヨウブブン</t>
    </rPh>
    <phoneticPr fontId="13"/>
  </si>
  <si>
    <t>病床及び共用部分、あるいはその他</t>
    <rPh sb="0" eb="2">
      <t>ビョウショウ</t>
    </rPh>
    <rPh sb="2" eb="3">
      <t>オヨ</t>
    </rPh>
    <rPh sb="4" eb="8">
      <t>キョウヨウブブン</t>
    </rPh>
    <rPh sb="15" eb="16">
      <t>タ</t>
    </rPh>
    <phoneticPr fontId="9"/>
  </si>
  <si>
    <t>付帯工事費</t>
    <rPh sb="0" eb="5">
      <t>フタイコウジヒ</t>
    </rPh>
    <phoneticPr fontId="9"/>
  </si>
  <si>
    <t>付属備品</t>
    <rPh sb="0" eb="2">
      <t>フゾク</t>
    </rPh>
    <rPh sb="2" eb="4">
      <t>ビヒン</t>
    </rPh>
    <phoneticPr fontId="13"/>
  </si>
  <si>
    <t>新型コロナウイルス感染症入院患者への入院医療の提供を行うために整備するものであること。
（患者移動を目的としたストレッチャー等は補助対象外）</t>
    <rPh sb="26" eb="27">
      <t>オコナ</t>
    </rPh>
    <rPh sb="45" eb="47">
      <t>カンジャ</t>
    </rPh>
    <rPh sb="47" eb="49">
      <t>イドウ</t>
    </rPh>
    <rPh sb="50" eb="52">
      <t>モクテキ</t>
    </rPh>
    <rPh sb="62" eb="63">
      <t>トウ</t>
    </rPh>
    <rPh sb="64" eb="66">
      <t>ホジョ</t>
    </rPh>
    <rPh sb="66" eb="69">
      <t>タイショウガイ</t>
    </rPh>
    <phoneticPr fontId="13"/>
  </si>
  <si>
    <t>番号</t>
    <rPh sb="0" eb="2">
      <t>バンゴウ</t>
    </rPh>
    <phoneticPr fontId="9"/>
  </si>
  <si>
    <t>確認の点</t>
    <rPh sb="0" eb="2">
      <t>カクニン</t>
    </rPh>
    <rPh sb="3" eb="4">
      <t>テン</t>
    </rPh>
    <phoneticPr fontId="9"/>
  </si>
  <si>
    <t>回答</t>
    <rPh sb="0" eb="2">
      <t>カイトウ</t>
    </rPh>
    <phoneticPr fontId="9"/>
  </si>
  <si>
    <t>再確認の点</t>
    <rPh sb="0" eb="1">
      <t>サイ</t>
    </rPh>
    <rPh sb="1" eb="3">
      <t>カクニン</t>
    </rPh>
    <rPh sb="4" eb="5">
      <t>テン</t>
    </rPh>
    <phoneticPr fontId="9"/>
  </si>
  <si>
    <t>再回答</t>
    <rPh sb="0" eb="1">
      <t>サイ</t>
    </rPh>
    <rPh sb="1" eb="3">
      <t>カイトウ</t>
    </rPh>
    <phoneticPr fontId="9"/>
  </si>
  <si>
    <t>←医師の員数が書ききれない場合はこちらに入力</t>
    <rPh sb="1" eb="3">
      <t>イシ</t>
    </rPh>
    <rPh sb="4" eb="6">
      <t>インスウ</t>
    </rPh>
    <rPh sb="7" eb="8">
      <t>カ</t>
    </rPh>
    <rPh sb="13" eb="15">
      <t>バアイ</t>
    </rPh>
    <rPh sb="20" eb="22">
      <t>ニュウリョク</t>
    </rPh>
    <phoneticPr fontId="9"/>
  </si>
  <si>
    <t>看護要員</t>
    <rPh sb="0" eb="2">
      <t>カンゴ</t>
    </rPh>
    <rPh sb="2" eb="4">
      <t>ヨウイン</t>
    </rPh>
    <phoneticPr fontId="13"/>
  </si>
  <si>
    <t>医師
看護要員</t>
    <rPh sb="0" eb="2">
      <t>イシ</t>
    </rPh>
    <rPh sb="3" eb="5">
      <t>カンゴ</t>
    </rPh>
    <rPh sb="5" eb="7">
      <t>ヨウイン</t>
    </rPh>
    <phoneticPr fontId="13"/>
  </si>
  <si>
    <t>看護要員</t>
    <phoneticPr fontId="13"/>
  </si>
  <si>
    <t>←看護要員の員数が書ききれない場合はこちらに入力</t>
    <rPh sb="6" eb="8">
      <t>インスウ</t>
    </rPh>
    <rPh sb="9" eb="10">
      <t>カ</t>
    </rPh>
    <rPh sb="15" eb="17">
      <t>バアイ</t>
    </rPh>
    <rPh sb="22" eb="24">
      <t>ニュウリョク</t>
    </rPh>
    <phoneticPr fontId="9"/>
  </si>
  <si>
    <t>医師
看護要員</t>
    <rPh sb="0" eb="2">
      <t>イシ</t>
    </rPh>
    <phoneticPr fontId="13"/>
  </si>
  <si>
    <t>看護要員</t>
    <phoneticPr fontId="9"/>
  </si>
  <si>
    <t>「２．職員情報」に入力した看護要員の人数の範囲内の平均配置数を入力してください。</t>
    <rPh sb="3" eb="5">
      <t>ショクイン</t>
    </rPh>
    <rPh sb="5" eb="7">
      <t>ジョウホウ</t>
    </rPh>
    <rPh sb="9" eb="11">
      <t>ニュウリョク</t>
    </rPh>
    <rPh sb="18" eb="20">
      <t>ニンズウ</t>
    </rPh>
    <rPh sb="21" eb="24">
      <t>ハンイナイ</t>
    </rPh>
    <rPh sb="25" eb="27">
      <t>ヘイキン</t>
    </rPh>
    <rPh sb="27" eb="29">
      <t>ハイチ</t>
    </rPh>
    <rPh sb="29" eb="30">
      <t>スウ</t>
    </rPh>
    <rPh sb="31" eb="33">
      <t>ニュウリョク</t>
    </rPh>
    <phoneticPr fontId="13"/>
  </si>
  <si>
    <t>当該月の診療時間数の合計を看護要員の平均配置員数で乗じた最大勤務時間数が自動で表示されます。</t>
    <rPh sb="0" eb="3">
      <t>トウガイツキ</t>
    </rPh>
    <rPh sb="4" eb="9">
      <t>シンリョウジカンスウ</t>
    </rPh>
    <rPh sb="10" eb="12">
      <t>ゴウケイ</t>
    </rPh>
    <rPh sb="18" eb="20">
      <t>ヘイキン</t>
    </rPh>
    <rPh sb="20" eb="22">
      <t>ハイチ</t>
    </rPh>
    <rPh sb="22" eb="24">
      <t>インスウ</t>
    </rPh>
    <rPh sb="25" eb="26">
      <t>ジョウ</t>
    </rPh>
    <rPh sb="28" eb="30">
      <t>サイダイ</t>
    </rPh>
    <rPh sb="30" eb="35">
      <t>キンムジカンスウ</t>
    </rPh>
    <rPh sb="36" eb="38">
      <t>ジドウ</t>
    </rPh>
    <rPh sb="39" eb="41">
      <t>ヒョウジ</t>
    </rPh>
    <phoneticPr fontId="13"/>
  </si>
  <si>
    <t>患者１名あたり平均対応員数＊品目毎の医師・看護要員の合計使用数＊前頁「３」で入力の外来患者数の数値が自動で表示されます。（「３」に入力不備があると「－」と表示されます。）</t>
    <rPh sb="0" eb="2">
      <t>カンジャ</t>
    </rPh>
    <rPh sb="3" eb="4">
      <t>メイ</t>
    </rPh>
    <rPh sb="7" eb="11">
      <t>ヘイキンタイオウ</t>
    </rPh>
    <rPh sb="11" eb="13">
      <t>インスウ</t>
    </rPh>
    <rPh sb="14" eb="16">
      <t>ヒンモク</t>
    </rPh>
    <rPh sb="16" eb="17">
      <t>ゴト</t>
    </rPh>
    <rPh sb="18" eb="20">
      <t>イシ</t>
    </rPh>
    <rPh sb="26" eb="28">
      <t>ゴウケイ</t>
    </rPh>
    <rPh sb="28" eb="31">
      <t>シヨウスウ</t>
    </rPh>
    <rPh sb="32" eb="33">
      <t>マエ</t>
    </rPh>
    <rPh sb="33" eb="34">
      <t>ページ</t>
    </rPh>
    <rPh sb="38" eb="40">
      <t>ニュウリョク</t>
    </rPh>
    <rPh sb="41" eb="43">
      <t>ガイライ</t>
    </rPh>
    <rPh sb="43" eb="45">
      <t>カンジャ</t>
    </rPh>
    <rPh sb="45" eb="46">
      <t>スウ</t>
    </rPh>
    <rPh sb="47" eb="49">
      <t>スウチ</t>
    </rPh>
    <rPh sb="50" eb="52">
      <t>ジドウ</t>
    </rPh>
    <rPh sb="53" eb="55">
      <t>ヒョウジ</t>
    </rPh>
    <rPh sb="65" eb="67">
      <t>ニュウリョク</t>
    </rPh>
    <rPh sb="67" eb="69">
      <t>フビ</t>
    </rPh>
    <rPh sb="77" eb="79">
      <t>ヒョウジ</t>
    </rPh>
    <phoneticPr fontId="13"/>
  </si>
  <si>
    <t>振込先通帳写し　貼り付け用台紙
令和５年度　新型コロナウイルス感染症患者等入院医療機関設備整備費補助金</t>
    <rPh sb="0" eb="3">
      <t>フリコミサキ</t>
    </rPh>
    <rPh sb="3" eb="5">
      <t>ツウチョウ</t>
    </rPh>
    <rPh sb="5" eb="6">
      <t>ウツ</t>
    </rPh>
    <rPh sb="8" eb="9">
      <t>ハ</t>
    </rPh>
    <rPh sb="10" eb="11">
      <t>ツ</t>
    </rPh>
    <rPh sb="12" eb="13">
      <t>ヨウ</t>
    </rPh>
    <rPh sb="13" eb="15">
      <t>ダイシ</t>
    </rPh>
    <phoneticPr fontId="9"/>
  </si>
  <si>
    <t>－</t>
    <phoneticPr fontId="9"/>
  </si>
  <si>
    <t>あ</t>
    <phoneticPr fontId="9"/>
  </si>
  <si>
    <t>設備</t>
  </si>
  <si>
    <t>備品</t>
  </si>
  <si>
    <t>い</t>
    <phoneticPr fontId="9"/>
  </si>
  <si>
    <t>う</t>
    <phoneticPr fontId="9"/>
  </si>
  <si>
    <t>補助対象</t>
  </si>
  <si>
    <t>補助対象外</t>
  </si>
  <si>
    <t>あ</t>
    <phoneticPr fontId="9"/>
  </si>
  <si>
    <t>あ</t>
    <phoneticPr fontId="9"/>
  </si>
  <si>
    <t>所要額計：</t>
    <rPh sb="0" eb="3">
      <t>ショヨウガク</t>
    </rPh>
    <rPh sb="3" eb="4">
      <t>ケイ</t>
    </rPh>
    <phoneticPr fontId="9"/>
  </si>
  <si>
    <t>消耗品</t>
    <rPh sb="0" eb="3">
      <t>ショウモウヒン</t>
    </rPh>
    <phoneticPr fontId="9"/>
  </si>
  <si>
    <t>備品</t>
    <rPh sb="0" eb="2">
      <t>ビヒン</t>
    </rPh>
    <phoneticPr fontId="9"/>
  </si>
  <si>
    <t>委託料</t>
    <rPh sb="0" eb="3">
      <t>イタクリョウ</t>
    </rPh>
    <phoneticPr fontId="9"/>
  </si>
  <si>
    <t>人件費</t>
    <rPh sb="0" eb="3">
      <t>ジンケンヒ</t>
    </rPh>
    <phoneticPr fontId="9"/>
  </si>
  <si>
    <t>その他</t>
    <rPh sb="2" eb="3">
      <t>タ</t>
    </rPh>
    <phoneticPr fontId="9"/>
  </si>
  <si>
    <t>（例）当院は確保病床数が○○床と多いこと、入院患者の多くがコロナ罹患以前より移動の際の身体介助あるいは体位変換を必要とする高齢者であり、
　　　入院支援を行う医療スタッフへの負担の状態化が問題となっていた。
　　　上記対応に加えて、飛沫や吐瀉物の消毒作業が大きな負担となっており、これを軽減する上で装置の配備が有効であると判断したことから、
　　　本補助金を活用し消毒用照射装置を新たに○台整備することとしたい。</t>
    <rPh sb="1" eb="2">
      <t>レイ</t>
    </rPh>
    <rPh sb="3" eb="5">
      <t>トウイン</t>
    </rPh>
    <rPh sb="6" eb="8">
      <t>カクホ</t>
    </rPh>
    <rPh sb="8" eb="10">
      <t>ビョウショウ</t>
    </rPh>
    <rPh sb="10" eb="11">
      <t>スウ</t>
    </rPh>
    <rPh sb="14" eb="15">
      <t>ユカ</t>
    </rPh>
    <rPh sb="16" eb="17">
      <t>オオ</t>
    </rPh>
    <rPh sb="21" eb="23">
      <t>ニュウイン</t>
    </rPh>
    <rPh sb="23" eb="25">
      <t>カンジャ</t>
    </rPh>
    <rPh sb="26" eb="27">
      <t>オオ</t>
    </rPh>
    <rPh sb="32" eb="34">
      <t>リカン</t>
    </rPh>
    <rPh sb="34" eb="36">
      <t>イゼン</t>
    </rPh>
    <rPh sb="38" eb="40">
      <t>イドウ</t>
    </rPh>
    <rPh sb="41" eb="42">
      <t>サイ</t>
    </rPh>
    <rPh sb="43" eb="45">
      <t>シンタイ</t>
    </rPh>
    <rPh sb="45" eb="47">
      <t>カイジョ</t>
    </rPh>
    <rPh sb="51" eb="55">
      <t>タイイヘンカン</t>
    </rPh>
    <rPh sb="56" eb="58">
      <t>ヒツヨウ</t>
    </rPh>
    <rPh sb="72" eb="74">
      <t>ニュウイン</t>
    </rPh>
    <rPh sb="74" eb="76">
      <t>シエン</t>
    </rPh>
    <rPh sb="77" eb="78">
      <t>オコナ</t>
    </rPh>
    <rPh sb="79" eb="81">
      <t>イリョウ</t>
    </rPh>
    <rPh sb="87" eb="89">
      <t>フタン</t>
    </rPh>
    <rPh sb="90" eb="92">
      <t>ジョウタイ</t>
    </rPh>
    <rPh sb="92" eb="93">
      <t>カ</t>
    </rPh>
    <rPh sb="94" eb="96">
      <t>モンダイ</t>
    </rPh>
    <rPh sb="107" eb="109">
      <t>ジョウキ</t>
    </rPh>
    <rPh sb="109" eb="111">
      <t>タイオウ</t>
    </rPh>
    <rPh sb="112" eb="113">
      <t>クワ</t>
    </rPh>
    <rPh sb="116" eb="118">
      <t>ヒマツ</t>
    </rPh>
    <rPh sb="119" eb="121">
      <t>トシャ</t>
    </rPh>
    <rPh sb="121" eb="122">
      <t>ブツ</t>
    </rPh>
    <rPh sb="123" eb="125">
      <t>ショウドク</t>
    </rPh>
    <rPh sb="125" eb="127">
      <t>サギョウ</t>
    </rPh>
    <rPh sb="128" eb="129">
      <t>オオ</t>
    </rPh>
    <rPh sb="131" eb="133">
      <t>フタン</t>
    </rPh>
    <rPh sb="143" eb="145">
      <t>ケイゲン</t>
    </rPh>
    <rPh sb="147" eb="148">
      <t>ウエ</t>
    </rPh>
    <rPh sb="149" eb="151">
      <t>ソウチ</t>
    </rPh>
    <rPh sb="152" eb="154">
      <t>ハイビ</t>
    </rPh>
    <rPh sb="155" eb="157">
      <t>ユウコウ</t>
    </rPh>
    <rPh sb="161" eb="163">
      <t>ハンダン</t>
    </rPh>
    <rPh sb="174" eb="175">
      <t>ホン</t>
    </rPh>
    <rPh sb="175" eb="178">
      <t>ホジョキン</t>
    </rPh>
    <rPh sb="179" eb="181">
      <t>カツヨウ</t>
    </rPh>
    <rPh sb="182" eb="185">
      <t>ショウドクヨウ</t>
    </rPh>
    <rPh sb="185" eb="187">
      <t>ショウシャ</t>
    </rPh>
    <rPh sb="187" eb="189">
      <t>ソウチ</t>
    </rPh>
    <rPh sb="190" eb="191">
      <t>アラ</t>
    </rPh>
    <phoneticPr fontId="9"/>
  </si>
  <si>
    <t>ガウン</t>
  </si>
  <si>
    <t>グローブ</t>
  </si>
  <si>
    <t>キャップ</t>
  </si>
  <si>
    <t>リユーサブルゴーグル</t>
    <phoneticPr fontId="13"/>
  </si>
  <si>
    <t>リユーサブルシールド</t>
    <phoneticPr fontId="13"/>
  </si>
  <si>
    <t>←入力不要です。</t>
    <rPh sb="1" eb="5">
      <t>ニュウリョクフヨウ</t>
    </rPh>
    <phoneticPr fontId="13"/>
  </si>
  <si>
    <t>空気清浄機</t>
    <rPh sb="0" eb="5">
      <t>クウキセイジョウキ</t>
    </rPh>
    <phoneticPr fontId="8"/>
  </si>
  <si>
    <t>パーテーション</t>
    <phoneticPr fontId="8"/>
  </si>
  <si>
    <t>申立事項</t>
    <rPh sb="0" eb="2">
      <t>モウシタテ</t>
    </rPh>
    <rPh sb="2" eb="4">
      <t>ジコウ</t>
    </rPh>
    <phoneticPr fontId="9"/>
  </si>
  <si>
    <t>体制情報</t>
    <rPh sb="0" eb="4">
      <t>タイセイジョウホウ</t>
    </rPh>
    <phoneticPr fontId="9"/>
  </si>
  <si>
    <t>（参考書式）</t>
    <rPh sb="1" eb="5">
      <t>サンコウショシキ</t>
    </rPh>
    <phoneticPr fontId="9"/>
  </si>
  <si>
    <t>消毒経費の内の人件費に係る所要額算定書</t>
    <rPh sb="0" eb="2">
      <t>ショウドク</t>
    </rPh>
    <rPh sb="2" eb="4">
      <t>ケイヒ</t>
    </rPh>
    <rPh sb="5" eb="6">
      <t>ウチ</t>
    </rPh>
    <rPh sb="7" eb="10">
      <t>ジンケンヒ</t>
    </rPh>
    <rPh sb="11" eb="12">
      <t>カカ</t>
    </rPh>
    <rPh sb="13" eb="16">
      <t>ショヨウガク</t>
    </rPh>
    <rPh sb="16" eb="18">
      <t>サンテイ</t>
    </rPh>
    <rPh sb="18" eb="19">
      <t>ショ</t>
    </rPh>
    <phoneticPr fontId="9"/>
  </si>
  <si>
    <t>消毒経費として人件費を費用計上する場合の算定のありかたの一例として当該書式をお示しします。
なお、厳密な人件費の算定が可能な場合は当該書式によらず、ご準備いただいた算定書類をご提出いただくことも可能です。</t>
    <rPh sb="0" eb="2">
      <t>ショウドク</t>
    </rPh>
    <rPh sb="2" eb="4">
      <t>ケイヒ</t>
    </rPh>
    <rPh sb="7" eb="10">
      <t>ジンケンヒ</t>
    </rPh>
    <rPh sb="11" eb="15">
      <t>ヒヨウケイジョウ</t>
    </rPh>
    <rPh sb="17" eb="19">
      <t>バアイ</t>
    </rPh>
    <rPh sb="20" eb="22">
      <t>サンテイ</t>
    </rPh>
    <rPh sb="28" eb="30">
      <t>イチレイ</t>
    </rPh>
    <rPh sb="33" eb="35">
      <t>トウガイ</t>
    </rPh>
    <rPh sb="35" eb="37">
      <t>ショシキ</t>
    </rPh>
    <rPh sb="39" eb="40">
      <t>シメ</t>
    </rPh>
    <rPh sb="49" eb="51">
      <t>ゲンミツ</t>
    </rPh>
    <rPh sb="52" eb="55">
      <t>ジンケンヒ</t>
    </rPh>
    <rPh sb="56" eb="58">
      <t>サンテイ</t>
    </rPh>
    <rPh sb="59" eb="61">
      <t>カノウ</t>
    </rPh>
    <rPh sb="62" eb="64">
      <t>バアイ</t>
    </rPh>
    <rPh sb="65" eb="67">
      <t>トウガイ</t>
    </rPh>
    <rPh sb="67" eb="69">
      <t>ショシキ</t>
    </rPh>
    <rPh sb="75" eb="77">
      <t>ジュンビ</t>
    </rPh>
    <rPh sb="82" eb="84">
      <t>サンテイ</t>
    </rPh>
    <rPh sb="84" eb="86">
      <t>ショルイ</t>
    </rPh>
    <rPh sb="88" eb="90">
      <t>テイシュツ</t>
    </rPh>
    <rPh sb="97" eb="99">
      <t>カノウ</t>
    </rPh>
    <phoneticPr fontId="9"/>
  </si>
  <si>
    <t>職種</t>
    <rPh sb="0" eb="2">
      <t>ショクシュ</t>
    </rPh>
    <phoneticPr fontId="9"/>
  </si>
  <si>
    <t>雇用契約書（労働条件通知書）情報</t>
    <rPh sb="0" eb="5">
      <t>コヨウケイヤクショ</t>
    </rPh>
    <rPh sb="6" eb="10">
      <t>ロウドウジョウケン</t>
    </rPh>
    <rPh sb="10" eb="13">
      <t>ツウチショ</t>
    </rPh>
    <rPh sb="14" eb="16">
      <t>ジョウホウ</t>
    </rPh>
    <phoneticPr fontId="9"/>
  </si>
  <si>
    <t>平均時給額</t>
    <rPh sb="0" eb="2">
      <t>ヘイキン</t>
    </rPh>
    <rPh sb="2" eb="5">
      <t>ジキュウガク</t>
    </rPh>
    <phoneticPr fontId="9"/>
  </si>
  <si>
    <t>月例給の場合</t>
    <rPh sb="0" eb="2">
      <t>ゲツレイ</t>
    </rPh>
    <rPh sb="2" eb="3">
      <t>キュウ</t>
    </rPh>
    <rPh sb="4" eb="6">
      <t>バアイ</t>
    </rPh>
    <phoneticPr fontId="9"/>
  </si>
  <si>
    <t>時給雇用の場合</t>
    <rPh sb="0" eb="2">
      <t>ジキュウ</t>
    </rPh>
    <rPh sb="2" eb="4">
      <t>コヨウ</t>
    </rPh>
    <rPh sb="5" eb="7">
      <t>バアイ</t>
    </rPh>
    <phoneticPr fontId="9"/>
  </si>
  <si>
    <t>給与月額</t>
    <rPh sb="0" eb="2">
      <t>キュウヨ</t>
    </rPh>
    <rPh sb="2" eb="4">
      <t>ゲツガク</t>
    </rPh>
    <phoneticPr fontId="9"/>
  </si>
  <si>
    <t>労働時間/月</t>
    <rPh sb="0" eb="2">
      <t>ロウドウ</t>
    </rPh>
    <rPh sb="2" eb="4">
      <t>ジカン</t>
    </rPh>
    <rPh sb="5" eb="6">
      <t>ツキ</t>
    </rPh>
    <phoneticPr fontId="9"/>
  </si>
  <si>
    <t>時給換算額</t>
    <rPh sb="0" eb="2">
      <t>ジキュウ</t>
    </rPh>
    <rPh sb="2" eb="4">
      <t>カンサン</t>
    </rPh>
    <rPh sb="4" eb="5">
      <t>ガク</t>
    </rPh>
    <phoneticPr fontId="9"/>
  </si>
  <si>
    <t>時給額</t>
    <rPh sb="0" eb="3">
      <t>ジキュウガク</t>
    </rPh>
    <phoneticPr fontId="9"/>
  </si>
  <si>
    <t>職員１</t>
    <rPh sb="0" eb="2">
      <t>ショクイン</t>
    </rPh>
    <phoneticPr fontId="9"/>
  </si>
  <si>
    <t>職員２</t>
    <rPh sb="0" eb="2">
      <t>ショクイン</t>
    </rPh>
    <phoneticPr fontId="9"/>
  </si>
  <si>
    <t>看護師</t>
    <rPh sb="0" eb="3">
      <t>カンゴシ</t>
    </rPh>
    <phoneticPr fontId="9"/>
  </si>
  <si>
    <t>職員３</t>
    <rPh sb="0" eb="2">
      <t>ショクイン</t>
    </rPh>
    <phoneticPr fontId="9"/>
  </si>
  <si>
    <t>職員４</t>
    <rPh sb="0" eb="2">
      <t>ショクイン</t>
    </rPh>
    <phoneticPr fontId="9"/>
  </si>
  <si>
    <t>職員５</t>
    <rPh sb="0" eb="2">
      <t>ショクイン</t>
    </rPh>
    <phoneticPr fontId="9"/>
  </si>
  <si>
    <t>職員６</t>
    <rPh sb="0" eb="2">
      <t>ショクイン</t>
    </rPh>
    <phoneticPr fontId="9"/>
  </si>
  <si>
    <t>職員７</t>
    <rPh sb="0" eb="2">
      <t>ショクイン</t>
    </rPh>
    <phoneticPr fontId="9"/>
  </si>
  <si>
    <t>職員８</t>
    <rPh sb="0" eb="2">
      <t>ショクイン</t>
    </rPh>
    <phoneticPr fontId="9"/>
  </si>
  <si>
    <t>職員９</t>
    <rPh sb="0" eb="2">
      <t>ショクイン</t>
    </rPh>
    <phoneticPr fontId="9"/>
  </si>
  <si>
    <t>職員１０</t>
    <rPh sb="0" eb="2">
      <t>ショクイン</t>
    </rPh>
    <phoneticPr fontId="9"/>
  </si>
  <si>
    <t>職員１１</t>
    <rPh sb="0" eb="2">
      <t>ショクイン</t>
    </rPh>
    <phoneticPr fontId="9"/>
  </si>
  <si>
    <t>職員１２</t>
    <rPh sb="0" eb="2">
      <t>ショクイン</t>
    </rPh>
    <phoneticPr fontId="9"/>
  </si>
  <si>
    <t>職員１３</t>
    <rPh sb="0" eb="2">
      <t>ショクイン</t>
    </rPh>
    <phoneticPr fontId="9"/>
  </si>
  <si>
    <t>職員１４</t>
    <rPh sb="0" eb="2">
      <t>ショクイン</t>
    </rPh>
    <phoneticPr fontId="9"/>
  </si>
  <si>
    <t>職員１５</t>
    <rPh sb="0" eb="2">
      <t>ショクイン</t>
    </rPh>
    <phoneticPr fontId="9"/>
  </si>
  <si>
    <t>清掃箇所</t>
    <rPh sb="0" eb="2">
      <t>セイソウ</t>
    </rPh>
    <rPh sb="2" eb="4">
      <t>カショ</t>
    </rPh>
    <phoneticPr fontId="9"/>
  </si>
  <si>
    <t>個所数</t>
    <rPh sb="0" eb="3">
      <t>カショスウ</t>
    </rPh>
    <phoneticPr fontId="9"/>
  </si>
  <si>
    <t>→</t>
    <phoneticPr fontId="9"/>
  </si>
  <si>
    <t>（分単位で入力してください。）</t>
    <rPh sb="1" eb="4">
      <t>フンタンイ</t>
    </rPh>
    <rPh sb="5" eb="7">
      <t>ニュウリョク</t>
    </rPh>
    <phoneticPr fontId="9"/>
  </si>
  <si>
    <t>３．消毒経費実発生（見込）額</t>
    <rPh sb="2" eb="4">
      <t>ショウドク</t>
    </rPh>
    <rPh sb="4" eb="6">
      <t>ケイヒ</t>
    </rPh>
    <rPh sb="6" eb="7">
      <t>ジツ</t>
    </rPh>
    <rPh sb="7" eb="9">
      <t>ハッセイ</t>
    </rPh>
    <rPh sb="10" eb="12">
      <t>ミコミ</t>
    </rPh>
    <rPh sb="13" eb="14">
      <t>ガク</t>
    </rPh>
    <phoneticPr fontId="9"/>
  </si>
  <si>
    <t>所要時間/回</t>
    <rPh sb="0" eb="4">
      <t>ショヨウジカン</t>
    </rPh>
    <rPh sb="5" eb="6">
      <t>カイ</t>
    </rPh>
    <phoneticPr fontId="9"/>
  </si>
  <si>
    <t>作業回数</t>
    <rPh sb="0" eb="4">
      <t>サギョウカイスウ</t>
    </rPh>
    <phoneticPr fontId="9"/>
  </si>
  <si>
    <t>人件費所要（見込）額</t>
    <rPh sb="0" eb="3">
      <t>ジンケンヒ</t>
    </rPh>
    <rPh sb="3" eb="5">
      <t>ショヨウ</t>
    </rPh>
    <rPh sb="6" eb="8">
      <t>ミコミ</t>
    </rPh>
    <rPh sb="9" eb="10">
      <t>ガク</t>
    </rPh>
    <phoneticPr fontId="9"/>
  </si>
  <si>
    <t>×</t>
    <phoneticPr fontId="9"/>
  </si>
  <si>
    <t>÷</t>
    <phoneticPr fontId="9"/>
  </si>
  <si>
    <t>＝</t>
    <phoneticPr fontId="9"/>
  </si>
  <si>
    <t>基礎情報</t>
    <rPh sb="0" eb="4">
      <t>キソジョウホウ</t>
    </rPh>
    <phoneticPr fontId="9"/>
  </si>
  <si>
    <t>交付申請（２次）</t>
    <rPh sb="0" eb="2">
      <t>コウフ</t>
    </rPh>
    <rPh sb="2" eb="4">
      <t>シンセイ</t>
    </rPh>
    <rPh sb="6" eb="7">
      <t>ジ</t>
    </rPh>
    <phoneticPr fontId="9"/>
  </si>
  <si>
    <t>実績報告（１次）</t>
    <rPh sb="0" eb="2">
      <t>ジッセキ</t>
    </rPh>
    <rPh sb="2" eb="4">
      <t>ホウコク</t>
    </rPh>
    <rPh sb="6" eb="7">
      <t>ジ</t>
    </rPh>
    <phoneticPr fontId="9"/>
  </si>
  <si>
    <t>実績報告（２次）</t>
    <rPh sb="0" eb="2">
      <t>ジッセキ</t>
    </rPh>
    <rPh sb="2" eb="4">
      <t>ホウコク</t>
    </rPh>
    <rPh sb="6" eb="7">
      <t>ジ</t>
    </rPh>
    <phoneticPr fontId="9"/>
  </si>
  <si>
    <t>（４）その他参考となる書類</t>
    <phoneticPr fontId="9"/>
  </si>
  <si>
    <t>○同じく個人防護具に係り、入力いただいた職員配置数、月毎の患者数に基づく平均患者数、平均訪室回数及び各品目の着脱使用回数に基づく１日あたり使用量と、納品日毎の在庫数量差引による総使用量と比較し、計上されている使用数が著しく多い場合、計上の理由について県から問合せの上、公費補助整備に親和しないと判断される過剰分については計上から除外いただきます。</t>
    <rPh sb="1" eb="2">
      <t>オナ</t>
    </rPh>
    <rPh sb="4" eb="9">
      <t>コジンボウゴグ</t>
    </rPh>
    <rPh sb="10" eb="11">
      <t>カカ</t>
    </rPh>
    <rPh sb="13" eb="15">
      <t>ニュウリョク</t>
    </rPh>
    <rPh sb="20" eb="25">
      <t>ショクインハイチスウ</t>
    </rPh>
    <rPh sb="26" eb="27">
      <t>ツキ</t>
    </rPh>
    <rPh sb="27" eb="28">
      <t>ゴト</t>
    </rPh>
    <rPh sb="29" eb="32">
      <t>カンジャスウ</t>
    </rPh>
    <rPh sb="33" eb="34">
      <t>モト</t>
    </rPh>
    <rPh sb="36" eb="38">
      <t>ヘイキン</t>
    </rPh>
    <rPh sb="38" eb="41">
      <t>カンジャスウ</t>
    </rPh>
    <rPh sb="42" eb="44">
      <t>ヘイキン</t>
    </rPh>
    <rPh sb="44" eb="45">
      <t>ホウ</t>
    </rPh>
    <rPh sb="45" eb="46">
      <t>シツ</t>
    </rPh>
    <rPh sb="46" eb="48">
      <t>カイスウ</t>
    </rPh>
    <rPh sb="48" eb="49">
      <t>オヨ</t>
    </rPh>
    <rPh sb="50" eb="53">
      <t>カクヒンモク</t>
    </rPh>
    <rPh sb="54" eb="56">
      <t>チャクダツ</t>
    </rPh>
    <rPh sb="56" eb="58">
      <t>シヨウ</t>
    </rPh>
    <rPh sb="58" eb="60">
      <t>カイスウ</t>
    </rPh>
    <rPh sb="61" eb="62">
      <t>モト</t>
    </rPh>
    <rPh sb="65" eb="66">
      <t>ニチ</t>
    </rPh>
    <rPh sb="74" eb="76">
      <t>ノウヒン</t>
    </rPh>
    <rPh sb="76" eb="77">
      <t>ビ</t>
    </rPh>
    <rPh sb="77" eb="78">
      <t>ゴト</t>
    </rPh>
    <rPh sb="79" eb="81">
      <t>ザイコ</t>
    </rPh>
    <rPh sb="81" eb="83">
      <t>スウリョウ</t>
    </rPh>
    <rPh sb="83" eb="84">
      <t>サ</t>
    </rPh>
    <rPh sb="84" eb="85">
      <t>ヒ</t>
    </rPh>
    <rPh sb="88" eb="89">
      <t>ソウ</t>
    </rPh>
    <rPh sb="89" eb="91">
      <t>シヨウ</t>
    </rPh>
    <rPh sb="91" eb="92">
      <t>リョウ</t>
    </rPh>
    <rPh sb="93" eb="95">
      <t>ヒカク</t>
    </rPh>
    <rPh sb="97" eb="102">
      <t>コジンボウゴグ</t>
    </rPh>
    <rPh sb="102" eb="103">
      <t>オヨ</t>
    </rPh>
    <rPh sb="104" eb="106">
      <t>ケイジョウ</t>
    </rPh>
    <rPh sb="111" eb="114">
      <t>シヨウスウ</t>
    </rPh>
    <rPh sb="115" eb="116">
      <t>イチジル</t>
    </rPh>
    <rPh sb="118" eb="119">
      <t>オオ</t>
    </rPh>
    <rPh sb="120" eb="122">
      <t>バアイ</t>
    </rPh>
    <rPh sb="123" eb="125">
      <t>ケイジョウ</t>
    </rPh>
    <rPh sb="126" eb="128">
      <t>リユウ</t>
    </rPh>
    <rPh sb="132" eb="133">
      <t>ケン</t>
    </rPh>
    <rPh sb="135" eb="137">
      <t>トイアワ</t>
    </rPh>
    <rPh sb="139" eb="140">
      <t>ウエ</t>
    </rPh>
    <rPh sb="141" eb="143">
      <t>コウヒ</t>
    </rPh>
    <rPh sb="143" eb="145">
      <t>ホジョ</t>
    </rPh>
    <rPh sb="145" eb="147">
      <t>セイビ</t>
    </rPh>
    <rPh sb="148" eb="150">
      <t>シンワ</t>
    </rPh>
    <rPh sb="154" eb="156">
      <t>ハンダン</t>
    </rPh>
    <rPh sb="159" eb="161">
      <t>カジョウ</t>
    </rPh>
    <rPh sb="161" eb="162">
      <t>ブン</t>
    </rPh>
    <rPh sb="167" eb="169">
      <t>ケイジョウ</t>
    </rPh>
    <rPh sb="171" eb="173">
      <t>ジョガイ</t>
    </rPh>
    <phoneticPr fontId="9"/>
  </si>
  <si>
    <t>総品目最終納品日</t>
    <rPh sb="0" eb="1">
      <t>ソウ</t>
    </rPh>
    <rPh sb="1" eb="3">
      <t>ヒンモク</t>
    </rPh>
    <rPh sb="3" eb="5">
      <t>サイシュウ</t>
    </rPh>
    <rPh sb="5" eb="8">
      <t>ノウヒンビ</t>
    </rPh>
    <phoneticPr fontId="9"/>
  </si>
  <si>
    <t>年</t>
    <rPh sb="0" eb="1">
      <t>ネン</t>
    </rPh>
    <phoneticPr fontId="9"/>
  </si>
  <si>
    <t>月</t>
    <rPh sb="0" eb="1">
      <t>ツキ</t>
    </rPh>
    <phoneticPr fontId="9"/>
  </si>
  <si>
    <t>日</t>
    <rPh sb="0" eb="1">
      <t>ニチ</t>
    </rPh>
    <phoneticPr fontId="9"/>
  </si>
  <si>
    <t>納品年</t>
    <rPh sb="0" eb="2">
      <t>ノウヒン</t>
    </rPh>
    <rPh sb="2" eb="3">
      <t>ネン</t>
    </rPh>
    <phoneticPr fontId="9"/>
  </si>
  <si>
    <t>納品月</t>
    <rPh sb="0" eb="2">
      <t>ノウヒン</t>
    </rPh>
    <rPh sb="2" eb="3">
      <t>ツキ</t>
    </rPh>
    <phoneticPr fontId="9"/>
  </si>
  <si>
    <t>納品日</t>
    <rPh sb="0" eb="2">
      <t>ノウヒン</t>
    </rPh>
    <rPh sb="2" eb="3">
      <t>ニチ</t>
    </rPh>
    <phoneticPr fontId="9"/>
  </si>
  <si>
    <t>空気清浄機</t>
    <rPh sb="0" eb="5">
      <t>クウキセイジョウキ</t>
    </rPh>
    <phoneticPr fontId="9"/>
  </si>
  <si>
    <t>パーテーション</t>
    <phoneticPr fontId="9"/>
  </si>
  <si>
    <t>令和</t>
    <rPh sb="0" eb="2">
      <t>レイワ</t>
    </rPh>
    <phoneticPr fontId="9"/>
  </si>
  <si>
    <t>年</t>
    <rPh sb="0" eb="1">
      <t>ネン</t>
    </rPh>
    <phoneticPr fontId="9"/>
  </si>
  <si>
    <t>月</t>
    <rPh sb="0" eb="1">
      <t>ガツ</t>
    </rPh>
    <phoneticPr fontId="9"/>
  </si>
  <si>
    <t>日</t>
    <rPh sb="0" eb="1">
      <t>ニチ</t>
    </rPh>
    <phoneticPr fontId="9"/>
  </si>
  <si>
    <t>（３）経費内訳</t>
    <rPh sb="3" eb="5">
      <t>ケイヒ</t>
    </rPh>
    <rPh sb="5" eb="7">
      <t>ウチワケ</t>
    </rPh>
    <phoneticPr fontId="13"/>
  </si>
  <si>
    <t>（１）</t>
    <phoneticPr fontId="9"/>
  </si>
  <si>
    <t>（２）</t>
  </si>
  <si>
    <t>（３）</t>
  </si>
  <si>
    <t>（２）経費内訳</t>
    <phoneticPr fontId="13"/>
  </si>
  <si>
    <t>ー</t>
    <phoneticPr fontId="9"/>
  </si>
  <si>
    <t>納　品
年　月　日</t>
    <rPh sb="0" eb="1">
      <t>オサメ</t>
    </rPh>
    <rPh sb="2" eb="3">
      <t>ヒン</t>
    </rPh>
    <rPh sb="4" eb="5">
      <t>ネン</t>
    </rPh>
    <rPh sb="6" eb="7">
      <t>ツキ</t>
    </rPh>
    <rPh sb="8" eb="9">
      <t>ヒ</t>
    </rPh>
    <phoneticPr fontId="9"/>
  </si>
  <si>
    <t>納品</t>
    <rPh sb="0" eb="2">
      <t>ノウヒン</t>
    </rPh>
    <phoneticPr fontId="9"/>
  </si>
  <si>
    <t>フェイスシールド</t>
  </si>
  <si>
    <t>フェイスシールド</t>
    <phoneticPr fontId="13"/>
  </si>
  <si>
    <t>フェイスシールド</t>
    <phoneticPr fontId="9"/>
  </si>
  <si>
    <t>リユーサブルシールド</t>
  </si>
  <si>
    <t>内容量</t>
    <rPh sb="0" eb="3">
      <t>ナイヨウリョウ</t>
    </rPh>
    <phoneticPr fontId="13"/>
  </si>
  <si>
    <t>※県記入欄
（購入数量）</t>
    <rPh sb="1" eb="2">
      <t>ケン</t>
    </rPh>
    <rPh sb="2" eb="4">
      <t>キニュウ</t>
    </rPh>
    <rPh sb="4" eb="5">
      <t>ラン</t>
    </rPh>
    <rPh sb="7" eb="9">
      <t>コウニュウ</t>
    </rPh>
    <rPh sb="9" eb="11">
      <t>スウリョウ</t>
    </rPh>
    <phoneticPr fontId="13"/>
  </si>
  <si>
    <t>使用数計</t>
    <rPh sb="0" eb="3">
      <t>シヨウスウ</t>
    </rPh>
    <rPh sb="3" eb="4">
      <t>ケイ</t>
    </rPh>
    <phoneticPr fontId="13"/>
  </si>
  <si>
    <t>患者人数</t>
    <rPh sb="0" eb="4">
      <t>カンジャニンズウ</t>
    </rPh>
    <phoneticPr fontId="13"/>
  </si>
  <si>
    <t>N95マスク・ハイラックマスク</t>
    <phoneticPr fontId="13"/>
  </si>
  <si>
    <t>リユーサブルゴーグル</t>
  </si>
  <si>
    <t>消耗品増減差引簿</t>
    <rPh sb="0" eb="3">
      <t>ショウモウヒン</t>
    </rPh>
    <rPh sb="3" eb="5">
      <t>ゾウゲン</t>
    </rPh>
    <rPh sb="5" eb="8">
      <t>サシヒキボ</t>
    </rPh>
    <phoneticPr fontId="13"/>
  </si>
  <si>
    <t>患者1人</t>
    <rPh sb="0" eb="2">
      <t>カンジャ</t>
    </rPh>
    <rPh sb="3" eb="4">
      <t>ニン</t>
    </rPh>
    <phoneticPr fontId="13"/>
  </si>
  <si>
    <t>使用数
/患者１人１日</t>
    <rPh sb="0" eb="2">
      <t>シヨウ</t>
    </rPh>
    <rPh sb="2" eb="3">
      <t>スウ</t>
    </rPh>
    <rPh sb="5" eb="7">
      <t>カンジャ</t>
    </rPh>
    <rPh sb="8" eb="9">
      <t>ニン</t>
    </rPh>
    <rPh sb="10" eb="11">
      <t>ニチ</t>
    </rPh>
    <phoneticPr fontId="13"/>
  </si>
  <si>
    <t>識別番号</t>
    <rPh sb="0" eb="2">
      <t>シキベツ</t>
    </rPh>
    <rPh sb="2" eb="4">
      <t>バンゴウ</t>
    </rPh>
    <phoneticPr fontId="9"/>
  </si>
  <si>
    <t>有咳症状者数</t>
    <rPh sb="0" eb="1">
      <t>ユウ</t>
    </rPh>
    <rPh sb="1" eb="2">
      <t>セキ</t>
    </rPh>
    <rPh sb="2" eb="4">
      <t>ショウジョウ</t>
    </rPh>
    <rPh sb="4" eb="5">
      <t>シャ</t>
    </rPh>
    <rPh sb="5" eb="6">
      <t>スウ</t>
    </rPh>
    <phoneticPr fontId="9"/>
  </si>
  <si>
    <t>（１）整備を行う対象病床数</t>
    <rPh sb="3" eb="5">
      <t>セイビ</t>
    </rPh>
    <rPh sb="6" eb="7">
      <t>オコナ</t>
    </rPh>
    <rPh sb="8" eb="10">
      <t>タイショウ</t>
    </rPh>
    <rPh sb="10" eb="13">
      <t>ビョウショウスウ</t>
    </rPh>
    <phoneticPr fontId="9"/>
  </si>
  <si>
    <t>段階0</t>
    <rPh sb="0" eb="2">
      <t>ダンカイ</t>
    </rPh>
    <phoneticPr fontId="9"/>
  </si>
  <si>
    <t>段階1</t>
    <rPh sb="0" eb="2">
      <t>ダンカイ</t>
    </rPh>
    <phoneticPr fontId="9"/>
  </si>
  <si>
    <t>段階2</t>
    <rPh sb="0" eb="2">
      <t>ダンカイ</t>
    </rPh>
    <phoneticPr fontId="9"/>
  </si>
  <si>
    <t>適切に入力がされました。</t>
    <phoneticPr fontId="9"/>
  </si>
  <si>
    <t>設備整備を行う病床数</t>
    <rPh sb="0" eb="2">
      <t>セツビ</t>
    </rPh>
    <rPh sb="2" eb="4">
      <t>セイビ</t>
    </rPh>
    <rPh sb="5" eb="6">
      <t>オコナ</t>
    </rPh>
    <rPh sb="7" eb="10">
      <t>ビョウショウスウ</t>
    </rPh>
    <phoneticPr fontId="9"/>
  </si>
  <si>
    <t>超音波画像診断装置</t>
  </si>
  <si>
    <t>血液浄化装置</t>
  </si>
  <si>
    <t>気管支鏡</t>
  </si>
  <si>
    <t>CT撮影装置</t>
  </si>
  <si>
    <t>生体情報モニタ</t>
  </si>
  <si>
    <t>分娩監視装置</t>
  </si>
  <si>
    <t>新生児モニタ</t>
  </si>
  <si>
    <t>○</t>
    <phoneticPr fontId="9"/>
  </si>
  <si>
    <t>手続</t>
    <rPh sb="0" eb="2">
      <t>テツヅキ</t>
    </rPh>
    <phoneticPr fontId="9"/>
  </si>
  <si>
    <t>始</t>
    <rPh sb="0" eb="1">
      <t>ハジ</t>
    </rPh>
    <phoneticPr fontId="9"/>
  </si>
  <si>
    <t>終</t>
    <rPh sb="0" eb="1">
      <t>オ</t>
    </rPh>
    <phoneticPr fontId="9"/>
  </si>
  <si>
    <t>－</t>
    <phoneticPr fontId="9"/>
  </si>
  <si>
    <t>口座番号</t>
    <phoneticPr fontId="9"/>
  </si>
  <si>
    <t>E</t>
    <phoneticPr fontId="9"/>
  </si>
  <si>
    <t>F</t>
    <phoneticPr fontId="9"/>
  </si>
  <si>
    <t>G</t>
    <phoneticPr fontId="9"/>
  </si>
  <si>
    <t>県補助額
(G)(1)×10/10
(G)(2)×1/2
(H)</t>
    <phoneticPr fontId="13"/>
  </si>
  <si>
    <t>補助対象
使用量</t>
    <rPh sb="0" eb="4">
      <t>ホジョタイショウ</t>
    </rPh>
    <rPh sb="5" eb="8">
      <t>シヨウリョウ</t>
    </rPh>
    <phoneticPr fontId="9"/>
  </si>
  <si>
    <t>（２）この度、新たに整備を行う必要が生じた理由（フロア毎の対応から病室毎の対応への移行の計画内容）を詳しく記入してください。</t>
    <rPh sb="5" eb="6">
      <t>タビ</t>
    </rPh>
    <rPh sb="7" eb="8">
      <t>アラ</t>
    </rPh>
    <rPh sb="10" eb="12">
      <t>セイビ</t>
    </rPh>
    <rPh sb="13" eb="14">
      <t>オコナ</t>
    </rPh>
    <rPh sb="15" eb="17">
      <t>ヒツヨウ</t>
    </rPh>
    <rPh sb="18" eb="19">
      <t>ショウ</t>
    </rPh>
    <rPh sb="21" eb="23">
      <t>リユウ</t>
    </rPh>
    <rPh sb="27" eb="28">
      <t>ゴト</t>
    </rPh>
    <rPh sb="29" eb="31">
      <t>タイオウ</t>
    </rPh>
    <rPh sb="33" eb="35">
      <t>ビョウシツ</t>
    </rPh>
    <rPh sb="35" eb="36">
      <t>ゴト</t>
    </rPh>
    <rPh sb="37" eb="39">
      <t>タイオウ</t>
    </rPh>
    <rPh sb="41" eb="43">
      <t>イコウ</t>
    </rPh>
    <rPh sb="44" eb="46">
      <t>ケイカク</t>
    </rPh>
    <rPh sb="46" eb="48">
      <t>ナイヨウ</t>
    </rPh>
    <rPh sb="50" eb="51">
      <t>クワ</t>
    </rPh>
    <rPh sb="53" eb="55">
      <t>キニュウ</t>
    </rPh>
    <phoneticPr fontId="9"/>
  </si>
  <si>
    <t>マスク（その他・シールド付）</t>
    <rPh sb="6" eb="7">
      <t>タ</t>
    </rPh>
    <rPh sb="12" eb="13">
      <t>ツ</t>
    </rPh>
    <phoneticPr fontId="13"/>
  </si>
  <si>
    <t>マスク（ハイラック）</t>
    <phoneticPr fontId="13"/>
  </si>
  <si>
    <t>ゴーグル（リユーサブル）</t>
    <phoneticPr fontId="13"/>
  </si>
  <si>
    <t>ゴーグル（レンズ交換型）</t>
    <rPh sb="8" eb="11">
      <t>コウカンガタ</t>
    </rPh>
    <phoneticPr fontId="13"/>
  </si>
  <si>
    <t>ゴーグル（交換用レンズ）</t>
    <rPh sb="5" eb="7">
      <t>コウカン</t>
    </rPh>
    <rPh sb="7" eb="8">
      <t>ヨウ</t>
    </rPh>
    <phoneticPr fontId="13"/>
  </si>
  <si>
    <t>フェイスシールド（使い捨て一体型）</t>
    <rPh sb="9" eb="10">
      <t>ツカ</t>
    </rPh>
    <rPh sb="11" eb="12">
      <t>ス</t>
    </rPh>
    <rPh sb="13" eb="16">
      <t>イッタイガタ</t>
    </rPh>
    <phoneticPr fontId="13"/>
  </si>
  <si>
    <t>フェイスシールド（フレーム）</t>
    <phoneticPr fontId="13"/>
  </si>
  <si>
    <t>フェイスシールド（交換用シールド）</t>
    <rPh sb="9" eb="11">
      <t>コウカン</t>
    </rPh>
    <rPh sb="11" eb="12">
      <t>ヨウ</t>
    </rPh>
    <phoneticPr fontId="13"/>
  </si>
  <si>
    <t>フェイスシールド（リユーサブル）</t>
    <phoneticPr fontId="13"/>
  </si>
  <si>
    <t>総使用見込量
（単純試算）</t>
    <rPh sb="0" eb="1">
      <t>ソウ</t>
    </rPh>
    <rPh sb="1" eb="3">
      <t>シヨウ</t>
    </rPh>
    <rPh sb="3" eb="5">
      <t>ミコ</t>
    </rPh>
    <rPh sb="5" eb="6">
      <t>リョウ</t>
    </rPh>
    <rPh sb="8" eb="12">
      <t>タンジュンシサン</t>
    </rPh>
    <phoneticPr fontId="9"/>
  </si>
  <si>
    <t>使用数
/職員1人1回</t>
    <rPh sb="0" eb="2">
      <t>シヨウ</t>
    </rPh>
    <rPh sb="2" eb="3">
      <t>スウ</t>
    </rPh>
    <rPh sb="5" eb="7">
      <t>ショクイン</t>
    </rPh>
    <rPh sb="8" eb="9">
      <t>ニン</t>
    </rPh>
    <rPh sb="10" eb="11">
      <t>カイ</t>
    </rPh>
    <phoneticPr fontId="13"/>
  </si>
  <si>
    <t>通期補助対象使用量</t>
    <rPh sb="0" eb="2">
      <t>ツウキ</t>
    </rPh>
    <rPh sb="2" eb="6">
      <t>ホジョタイショウ</t>
    </rPh>
    <rPh sb="6" eb="9">
      <t>シヨウリョウ</t>
    </rPh>
    <phoneticPr fontId="9"/>
  </si>
  <si>
    <t>期間内購入量</t>
    <rPh sb="0" eb="3">
      <t>キカンナイ</t>
    </rPh>
    <rPh sb="3" eb="6">
      <t>コウニュウリョウ</t>
    </rPh>
    <phoneticPr fontId="9"/>
  </si>
  <si>
    <t>期首備蓄＆国配布分</t>
    <rPh sb="0" eb="2">
      <t>キシュ</t>
    </rPh>
    <rPh sb="2" eb="4">
      <t>ビチク</t>
    </rPh>
    <rPh sb="5" eb="6">
      <t>クニ</t>
    </rPh>
    <rPh sb="6" eb="9">
      <t>ハイフブン</t>
    </rPh>
    <phoneticPr fontId="9"/>
  </si>
  <si>
    <t>空気清浄機</t>
    <rPh sb="0" eb="5">
      <t>クウキセイジョウキ</t>
    </rPh>
    <phoneticPr fontId="7"/>
  </si>
  <si>
    <t>パーテーション</t>
    <phoneticPr fontId="7"/>
  </si>
  <si>
    <t>上半期</t>
    <rPh sb="0" eb="3">
      <t>カミハンキ</t>
    </rPh>
    <phoneticPr fontId="9"/>
  </si>
  <si>
    <t>交付申請兼実績報告</t>
    <rPh sb="0" eb="9">
      <t>コウフシンセイケンジッセキホウコク</t>
    </rPh>
    <phoneticPr fontId="9"/>
  </si>
  <si>
    <t>交付申請</t>
    <rPh sb="0" eb="4">
      <t>コウフシンセイ</t>
    </rPh>
    <phoneticPr fontId="9"/>
  </si>
  <si>
    <t>変更交付</t>
    <rPh sb="0" eb="4">
      <t>ヘンコウコウフ</t>
    </rPh>
    <phoneticPr fontId="9"/>
  </si>
  <si>
    <t>実績報告</t>
    <rPh sb="0" eb="4">
      <t>ジッセキホウコク</t>
    </rPh>
    <phoneticPr fontId="9"/>
  </si>
  <si>
    <t>下半期</t>
    <rPh sb="0" eb="3">
      <t>シモハンキ</t>
    </rPh>
    <phoneticPr fontId="9"/>
  </si>
  <si>
    <t>表紙</t>
    <rPh sb="0" eb="2">
      <t>ヒョウシ</t>
    </rPh>
    <phoneticPr fontId="9"/>
  </si>
  <si>
    <t>経費書</t>
    <rPh sb="0" eb="3">
      <t>ケイヒショ</t>
    </rPh>
    <phoneticPr fontId="9"/>
  </si>
  <si>
    <t>額内訳書</t>
    <rPh sb="0" eb="1">
      <t>ガク</t>
    </rPh>
    <rPh sb="1" eb="4">
      <t>ウチワケショ</t>
    </rPh>
    <phoneticPr fontId="9"/>
  </si>
  <si>
    <t>様式１</t>
    <rPh sb="0" eb="2">
      <t>ヨウシキ</t>
    </rPh>
    <phoneticPr fontId="9"/>
  </si>
  <si>
    <t>様式１－１</t>
    <phoneticPr fontId="9"/>
  </si>
  <si>
    <t>様式１－２</t>
    <phoneticPr fontId="9"/>
  </si>
  <si>
    <t>様式１－３</t>
  </si>
  <si>
    <t>様式１－４</t>
    <phoneticPr fontId="9"/>
  </si>
  <si>
    <t>歳入歳出</t>
    <rPh sb="0" eb="4">
      <t>サイニュウサイシュツ</t>
    </rPh>
    <phoneticPr fontId="9"/>
  </si>
  <si>
    <t>様式２－３</t>
    <rPh sb="0" eb="2">
      <t>ヨウシキ</t>
    </rPh>
    <phoneticPr fontId="9"/>
  </si>
  <si>
    <t>様式２</t>
    <rPh sb="0" eb="2">
      <t>ヨウシキ</t>
    </rPh>
    <phoneticPr fontId="9"/>
  </si>
  <si>
    <t>様式３</t>
    <rPh sb="0" eb="2">
      <t>ヨウシキ</t>
    </rPh>
    <phoneticPr fontId="9"/>
  </si>
  <si>
    <t>様式４</t>
    <rPh sb="0" eb="2">
      <t>ヨウシキ</t>
    </rPh>
    <phoneticPr fontId="9"/>
  </si>
  <si>
    <t>様式２－１</t>
    <phoneticPr fontId="9"/>
  </si>
  <si>
    <t>様式２－２</t>
    <phoneticPr fontId="9"/>
  </si>
  <si>
    <t>様式１－５</t>
    <phoneticPr fontId="9"/>
  </si>
  <si>
    <t>様式２－４</t>
    <phoneticPr fontId="9"/>
  </si>
  <si>
    <t>様式２－５</t>
  </si>
  <si>
    <t>期首備蓄分（国からの配布分を含む）</t>
    <rPh sb="0" eb="2">
      <t>キシュ</t>
    </rPh>
    <rPh sb="2" eb="5">
      <t>ビチクブン</t>
    </rPh>
    <rPh sb="6" eb="7">
      <t>クニ</t>
    </rPh>
    <rPh sb="10" eb="12">
      <t>ハイフ</t>
    </rPh>
    <rPh sb="12" eb="13">
      <t>ブン</t>
    </rPh>
    <rPh sb="14" eb="15">
      <t>フク</t>
    </rPh>
    <phoneticPr fontId="9"/>
  </si>
  <si>
    <t>所在地（愛知県以下を入力）</t>
    <rPh sb="0" eb="3">
      <t>ショザイチ</t>
    </rPh>
    <rPh sb="4" eb="7">
      <t>アイチケン</t>
    </rPh>
    <rPh sb="7" eb="9">
      <t>イカ</t>
    </rPh>
    <rPh sb="10" eb="12">
      <t>ニュウリョク</t>
    </rPh>
    <phoneticPr fontId="13"/>
  </si>
  <si>
    <t>施設所在地（愛知県以下を入力）</t>
    <rPh sb="0" eb="5">
      <t>シセツショザイチ</t>
    </rPh>
    <phoneticPr fontId="13"/>
  </si>
  <si>
    <t>入力必須</t>
    <rPh sb="0" eb="2">
      <t>ニュウリョク</t>
    </rPh>
    <rPh sb="2" eb="4">
      <t>ヒッス</t>
    </rPh>
    <phoneticPr fontId="13"/>
  </si>
  <si>
    <t>個人防護具の申請を行う際は入力必須</t>
    <rPh sb="0" eb="2">
      <t>コジン</t>
    </rPh>
    <rPh sb="2" eb="4">
      <t>ボウゴ</t>
    </rPh>
    <rPh sb="4" eb="5">
      <t>グ</t>
    </rPh>
    <rPh sb="6" eb="8">
      <t>シンセイ</t>
    </rPh>
    <rPh sb="9" eb="10">
      <t>オコナ</t>
    </rPh>
    <rPh sb="11" eb="12">
      <t>サイ</t>
    </rPh>
    <rPh sb="13" eb="15">
      <t>ニュウリョク</t>
    </rPh>
    <rPh sb="15" eb="17">
      <t>ヒッス</t>
    </rPh>
    <phoneticPr fontId="13"/>
  </si>
  <si>
    <t>内、有咳症状者数</t>
    <rPh sb="0" eb="1">
      <t>ウチ</t>
    </rPh>
    <rPh sb="3" eb="4">
      <t>セキ</t>
    </rPh>
    <rPh sb="4" eb="6">
      <t>ショウジョウ</t>
    </rPh>
    <rPh sb="6" eb="7">
      <t>シャ</t>
    </rPh>
    <rPh sb="7" eb="8">
      <t>スウ</t>
    </rPh>
    <phoneticPr fontId="9"/>
  </si>
  <si>
    <t>段階</t>
    <rPh sb="0" eb="2">
      <t>ダンカイ</t>
    </rPh>
    <phoneticPr fontId="9"/>
  </si>
  <si>
    <t>－</t>
    <phoneticPr fontId="9"/>
  </si>
  <si>
    <t>←こちらに税込の単価を入力すると下段に
税抜の額が自動で表示されます。</t>
    <phoneticPr fontId="13"/>
  </si>
  <si>
    <t>初度設備</t>
    <rPh sb="0" eb="4">
      <t>ショドセツビ</t>
    </rPh>
    <phoneticPr fontId="9"/>
  </si>
  <si>
    <t>消毒</t>
    <rPh sb="0" eb="2">
      <t>ショウドク</t>
    </rPh>
    <phoneticPr fontId="7"/>
  </si>
  <si>
    <t>VLOOKUP(A36,'[超最新☆【集計】過去交付実績 .xlsm]R5入院申請'!$M$5:$AR$57,12,FALSE)</t>
    <phoneticPr fontId="9"/>
  </si>
  <si>
    <t>VLOOKUP(A36,'[超最新☆【集計】過去交付実績 .xlsm]R5入院申請'!$M$5:$AR$57,18,FALSE)</t>
    <phoneticPr fontId="9"/>
  </si>
  <si>
    <t>VLOOKUP(A36,'[超最新☆【集計】過去交付実績 .xlsm]R5入院申請'!$M$5:$AR$57,20,FALSE)</t>
    <phoneticPr fontId="9"/>
  </si>
  <si>
    <t>VLOOKUP(A36,'[超最新☆【集計】過去交付実績 .xlsm]R5入院申請'!$M$5:$AW$57,34,FALSE)</t>
    <phoneticPr fontId="9"/>
  </si>
  <si>
    <t>VLOOKUP(A36,'[超最新☆【集計】過去交付実績 .xlsm]R5入院申請'!$M$5:$AW$57,36,FALSE)</t>
    <phoneticPr fontId="9"/>
  </si>
  <si>
    <t>VLOOKUP(A36,'[超最新☆【集計】過去交付実績 .xlsm]R5入院申請'!$M$5:$AW$57,37,FALSE)</t>
    <phoneticPr fontId="9"/>
  </si>
  <si>
    <t>高蔵寺中央支店</t>
  </si>
  <si>
    <t>岡崎支店</t>
  </si>
  <si>
    <t>東支店</t>
  </si>
  <si>
    <t>名古屋駅前支店</t>
  </si>
  <si>
    <t>岩田支店</t>
  </si>
  <si>
    <t>上前津支店</t>
  </si>
  <si>
    <t>鳴海支店</t>
  </si>
  <si>
    <t>十六銀行</t>
  </si>
  <si>
    <t>一宮支店</t>
  </si>
  <si>
    <t>交付申請兼実績報告（２次）</t>
  </si>
  <si>
    <t>稼働日数</t>
    <rPh sb="0" eb="2">
      <t>カドウ</t>
    </rPh>
    <rPh sb="2" eb="4">
      <t>ニッスウ</t>
    </rPh>
    <phoneticPr fontId="13"/>
  </si>
  <si>
    <t>当院は高齢者人口を多く抱える地域に立地し、付近に高齢者施設が複数あることからこれまで、主として高齢患者を多く受け入れる傾向があった。
　　　受入患者には認知症等の老年性の精神症状を呈する者を少なからずおり、その行動特性からゾーニングは難しく、フロア全体をレッドゾーンとして取り
　　　扱わざるを得ず、職員は常にPPEを着用した状態で支援に従事せざるを得ない状況であった。
　　　一方で行動症状を伴わない患者も一定数いること及び、当院の確保病床は２つのフロアに分かれており、一方については全室個室でありかつトイレ・
　　　洗面も備わっていることから当該室を陰圧化し、行動症状が特段見られない患者の受け入れに供することによってフロア内をゾーニングし職員負担の
　　　軽減に繋がるのではと考えた。
　　　ついては、当該フロアの○室の内、受入を行うために供用予定の○室について陰圧機器を設置することで院内感染防止及び職員の安全確保を図ることと
　　　したい。</t>
    <phoneticPr fontId="9"/>
  </si>
  <si>
    <t>リースによる整備納入が行える業者がいなかったため。</t>
    <phoneticPr fontId="9"/>
  </si>
  <si>
    <t>モード切替</t>
    <rPh sb="3" eb="5">
      <t>キリカエ</t>
    </rPh>
    <phoneticPr fontId="9"/>
  </si>
  <si>
    <t>引き上げなし</t>
    <rPh sb="0" eb="1">
      <t>ヒ</t>
    </rPh>
    <rPh sb="2" eb="3">
      <t>ア</t>
    </rPh>
    <phoneticPr fontId="9"/>
  </si>
  <si>
    <t>引き上げあり</t>
    <rPh sb="0" eb="1">
      <t>ヒ</t>
    </rPh>
    <rPh sb="2" eb="3">
      <t>ア</t>
    </rPh>
    <phoneticPr fontId="9"/>
  </si>
  <si>
    <t>←3/26に段階が引き上げられた場合、こちらで「引き上げあり」を選択すると、2/26-3/31までの入力欄のグレーアウトが解消されます。</t>
    <rPh sb="6" eb="8">
      <t>ダンカイ</t>
    </rPh>
    <rPh sb="9" eb="10">
      <t>ヒ</t>
    </rPh>
    <rPh sb="11" eb="12">
      <t>ア</t>
    </rPh>
    <rPh sb="16" eb="18">
      <t>バアイ</t>
    </rPh>
    <rPh sb="24" eb="25">
      <t>ヒ</t>
    </rPh>
    <rPh sb="26" eb="27">
      <t>ア</t>
    </rPh>
    <rPh sb="32" eb="34">
      <t>センタク</t>
    </rPh>
    <rPh sb="50" eb="53">
      <t>ニュウリョクラン</t>
    </rPh>
    <rPh sb="61" eb="63">
      <t>カイショウ</t>
    </rPh>
    <phoneticPr fontId="9"/>
  </si>
  <si>
    <t xml:space="preserve">
本枠内に振込先口座の通帳の表紙見開きの写しを貼り付けしてください。
挙証資料（品目に係る納品書あるいは領収書）とともに
愛知県感染症対策課助成グループへ郵送してください。
（封筒余白に「コロナ入院補助金申請」と朱書すること。）
</t>
    <rPh sb="45" eb="48">
      <t>ノウヒンショ</t>
    </rPh>
    <rPh sb="52" eb="55">
      <t>リョウシュウショ</t>
    </rPh>
    <rPh sb="97" eb="99">
      <t>ニュウイン</t>
    </rPh>
    <rPh sb="102" eb="104">
      <t>シンセイ</t>
    </rPh>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</si>
</sst>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5">
    <numFmt numFmtId="176" formatCode="#,##0&quot;円&quot;"/>
    <numFmt numFmtId="177" formatCode="#,##0&quot;床&quot;"/>
    <numFmt numFmtId="178" formatCode="#,##0_ "/>
    <numFmt numFmtId="179" formatCode="[$-411]ggge&quot;年&quot;m&quot;月&quot;d&quot;日&quot;;@"/>
    <numFmt numFmtId="180" formatCode="0_);[Red]\(0\)"/>
    <numFmt numFmtId="181" formatCode="\4&quot;感&quot;&quot;対&quot;&quot;第1411－&quot;0&quot;号&quot;\ "/>
    <numFmt numFmtId="182" formatCode="#,##0&quot;円&quot;\ "/>
    <numFmt numFmtId="183" formatCode="&quot;診&quot;&quot;検&quot;&quot;第&quot;0&quot;号&quot;"/>
    <numFmt numFmtId="184" formatCode="#,##0&quot;日&quot;"/>
    <numFmt numFmtId="185" formatCode="#,##0&quot;人&quot;"/>
    <numFmt numFmtId="186" formatCode="#,##0.00&quot;円&quot;"/>
    <numFmt numFmtId="187" formatCode="#,##0&quot;行&quot;&quot;目&quot;"/>
    <numFmt numFmtId="188" formatCode="#,##0.0&quot;枚&quot;"/>
    <numFmt numFmtId="189" formatCode="#,##0.0&quot;着&quot;"/>
    <numFmt numFmtId="190" formatCode="#,##0.0&quot;個&quot;"/>
    <numFmt numFmtId="191" formatCode="#,##0&quot;式&quot;"/>
    <numFmt numFmtId="192" formatCode="#,##0&quot;台&quot;"/>
    <numFmt numFmtId="193" formatCode="&quot;延&quot;&quot;べ&quot;#,##0&quot;人&quot;"/>
    <numFmt numFmtId="194" formatCode="#,##0&quot;円&quot;;[Red]\(#,##0\)&quot;円&quot;"/>
    <numFmt numFmtId="195" formatCode="\(#,##0&quot;円&quot;\)"/>
    <numFmt numFmtId="196" formatCode="&quot;@&quot;#,##0&quot;円&quot;"/>
    <numFmt numFmtId="197" formatCode="&quot;¥&quot;#,##0&quot;円&quot;"/>
    <numFmt numFmtId="198" formatCode="#,##0_);[Red]\(#,##0\)"/>
    <numFmt numFmtId="199" formatCode="&quot;金&quot;#,##0&quot;円&quot;"/>
    <numFmt numFmtId="200" formatCode="&quot;金&quot;#,##0&quot;円&quot;;&quot;金&quot;&quot;△ &quot;#,##0&quot;円&quot;"/>
    <numFmt numFmtId="201" formatCode="&quot;入&quot;&quot;院&quot;&quot;第&quot;0&quot;号&quot;"/>
    <numFmt numFmtId="202" formatCode="yyyy&quot;年&quot;m&quot;月&quot;d&quot;日&quot;;@"/>
    <numFmt numFmtId="203" formatCode="&quot;【&quot;#,##0&quot;円&quot;&quot;】&quot;"/>
    <numFmt numFmtId="204" formatCode="[h]:mm"/>
    <numFmt numFmtId="205" formatCode="#,##0.0&quot;時&quot;&quot;間&quot;"/>
    <numFmt numFmtId="206" formatCode="0&quot;円&quot;"/>
    <numFmt numFmtId="207" formatCode="&quot;計&quot;#,##0&quot;日&quot;"/>
    <numFmt numFmtId="208" formatCode="&quot;計&quot;#,##0.0&quot;人&quot;"/>
    <numFmt numFmtId="209" formatCode="#,##0.0"/>
    <numFmt numFmtId="210" formatCode="#,##0&quot;時&quot;&quot;間&quot;"/>
    <numFmt numFmtId="211" formatCode="#,##0.00&quot;人/日&quot;"/>
    <numFmt numFmtId="212" formatCode="0.00&quot;時間/日&quot;"/>
    <numFmt numFmtId="213" formatCode="#,##0&quot;箱&quot;"/>
    <numFmt numFmtId="214" formatCode="#,##0&quot;個&quot;"/>
    <numFmt numFmtId="215" formatCode="#,##0.00&quot;枚&quot;"/>
    <numFmt numFmtId="216" formatCode="0.00&quot;着&quot;"/>
    <numFmt numFmtId="217" formatCode="#,##0.00&quot;個&quot;"/>
    <numFmt numFmtId="218" formatCode="#,##0.00&quot;人&quot;"/>
    <numFmt numFmtId="219" formatCode="&quot;平均&quot;#,##0.00&quot;人/日&quot;"/>
    <numFmt numFmtId="220" formatCode="&quot;平&quot;&quot;均&quot;#,##0.00&quot;人/日&quot;"/>
    <numFmt numFmtId="221" formatCode="0.00&quot;時&quot;&quot;間/月&quot;"/>
    <numFmt numFmtId="222" formatCode="&quot;平&quot;&quot;均&quot;#,##0.00&quot;時間/月&quot;"/>
    <numFmt numFmtId="223" formatCode="0_ "/>
    <numFmt numFmtId="224" formatCode="#,##0.0&quot;円&quot;"/>
    <numFmt numFmtId="225" formatCode="#,##0.0&quot;人&quot;"/>
    <numFmt numFmtId="226" formatCode="#,##0.0&quot;人/日&quot;"/>
    <numFmt numFmtId="227" formatCode="#,##0.0&quot;時間/日&quot;"/>
    <numFmt numFmtId="228" formatCode="#,##0.00&quot;回&quot;&quot;/１日１人&quot;"/>
    <numFmt numFmtId="229" formatCode="#,##0.00&quot;人/１人１回&quot;"/>
    <numFmt numFmtId="230" formatCode="&quot;延&quot;&quot;べ&quot;#,##0.00&quot;人/１人１日&quot;"/>
    <numFmt numFmtId="231" formatCode="0.00&quot;人/１人１日&quot;"/>
    <numFmt numFmtId="232" formatCode="0.00&quot;枚/１人１回&quot;"/>
    <numFmt numFmtId="233" formatCode="0.00&quot;個/１人１回&quot;"/>
    <numFmt numFmtId="234" formatCode="0.00&quot;着/１人１回&quot;"/>
    <numFmt numFmtId="235" formatCode="0.0&quot;時&quot;&quot;間/月&quot;"/>
    <numFmt numFmtId="236" formatCode="#,##0.0&quot;時間/月&quot;"/>
    <numFmt numFmtId="237" formatCode="0.0&quot;時間/日&quot;"/>
    <numFmt numFmtId="238" formatCode="#,##0&quot;日&quot;&quot;稼&quot;&quot;働&quot;"/>
    <numFmt numFmtId="239" formatCode="#,##0&quot;施設&quot;"/>
    <numFmt numFmtId="240" formatCode="0.0&quot;人/日&quot;"/>
    <numFmt numFmtId="241" formatCode="#,##0&quot;ヶ&quot;"/>
    <numFmt numFmtId="242" formatCode="#,##0&quot;枚&quot;"/>
    <numFmt numFmtId="243" formatCode="#,##0.0&quot;枚&quot;;&quot;△ &quot;#,##0.0&quot;枚&quot;"/>
    <numFmt numFmtId="244" formatCode="#,##0.0&quot;個&quot;;&quot;△ &quot;#,##0.0&quot;個&quot;"/>
    <numFmt numFmtId="245" formatCode="#,##0&quot;着&quot;"/>
    <numFmt numFmtId="246" formatCode="#,##0.0&quot;着&quot;;&quot;△ &quot;#,##0.0&quot;着&quot;"/>
    <numFmt numFmtId="247" formatCode="#,##0&quot;時間&quot;"/>
    <numFmt numFmtId="248" formatCode="#,##0&quot;か&quot;&quot;所&quot;"/>
    <numFmt numFmtId="249" formatCode="#,##0&quot;分&quot;"/>
    <numFmt numFmtId="250" formatCode="#,##0&quot;回&quot;"/>
    <numFmt numFmtId="251" formatCode="d"/>
    <numFmt numFmtId="252" formatCode="0&quot;月&quot;"/>
    <numFmt numFmtId="253" formatCode="yyyy/m/d;@"/>
    <numFmt numFmtId="254" formatCode="m/d;@"/>
    <numFmt numFmtId="255" formatCode="#,##0.0_);[Red]\(#,##0.0\)"/>
    <numFmt numFmtId="256" formatCode="0.00&quot;枚/１人１日&quot;"/>
    <numFmt numFmtId="257" formatCode="&quot;段&quot;&quot;階&quot;0"/>
    <numFmt numFmtId="258" formatCode="#,##0&quot;日間&quot;"/>
    <numFmt numFmtId="259" formatCode="#,##0.000_);[Red]\(#,##0.000\)"/>
    <numFmt numFmtId="260" formatCode="#,##0.0_ "/>
  </numFmts>
  <fonts count="76">
    <font>
      <sz val="11"/>
      <color theme="1"/>
      <name val="Yu Gothic"/>
      <family val="2"/>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scheme val="minor"/>
    </font>
    <font>
      <sz val="6"/>
      <name val="Yu Gothic"/>
      <family val="3"/>
      <charset val="128"/>
      <scheme val="minor"/>
    </font>
    <font>
      <b/>
      <sz val="11"/>
      <color theme="1"/>
      <name val="Yu Gothic"/>
      <family val="3"/>
      <charset val="128"/>
      <scheme val="minor"/>
    </font>
    <font>
      <b/>
      <sz val="12"/>
      <color theme="1"/>
      <name val="Yu Gothic"/>
      <family val="3"/>
      <charset val="128"/>
      <scheme val="minor"/>
    </font>
    <font>
      <b/>
      <sz val="10"/>
      <color theme="1"/>
      <name val="Yu Gothic"/>
      <family val="3"/>
      <charset val="128"/>
      <scheme val="minor"/>
    </font>
    <font>
      <sz val="6"/>
      <name val="Yu Gothic"/>
      <family val="2"/>
      <charset val="128"/>
      <scheme val="minor"/>
    </font>
    <font>
      <sz val="12"/>
      <color theme="1"/>
      <name val="Yu Gothic"/>
      <family val="3"/>
      <charset val="128"/>
      <scheme val="minor"/>
    </font>
    <font>
      <b/>
      <sz val="14"/>
      <color theme="1"/>
      <name val="Yu Gothic"/>
      <family val="3"/>
      <charset val="128"/>
      <scheme val="minor"/>
    </font>
    <font>
      <b/>
      <sz val="18"/>
      <color theme="1"/>
      <name val="Yu Gothic"/>
      <family val="3"/>
      <charset val="128"/>
      <scheme val="minor"/>
    </font>
    <font>
      <b/>
      <sz val="13"/>
      <color theme="1"/>
      <name val="Yu Gothic"/>
      <family val="3"/>
      <charset val="128"/>
      <scheme val="minor"/>
    </font>
    <font>
      <sz val="14"/>
      <color theme="1"/>
      <name val="Yu Gothic"/>
      <family val="3"/>
      <charset val="128"/>
      <scheme val="minor"/>
    </font>
    <font>
      <sz val="10"/>
      <color theme="1"/>
      <name val="Yu Gothic"/>
      <family val="3"/>
      <charset val="128"/>
      <scheme val="minor"/>
    </font>
    <font>
      <b/>
      <sz val="10"/>
      <name val="Yu Gothic"/>
      <family val="3"/>
      <charset val="128"/>
      <scheme val="minor"/>
    </font>
    <font>
      <sz val="11"/>
      <color theme="1"/>
      <name val="Yu Gothic"/>
      <family val="3"/>
      <charset val="128"/>
      <scheme val="minor"/>
    </font>
    <font>
      <b/>
      <sz val="11"/>
      <name val="Yu Gothic"/>
      <family val="3"/>
      <charset val="128"/>
      <scheme val="minor"/>
    </font>
    <font>
      <b/>
      <u/>
      <sz val="12"/>
      <color rgb="FFFF0000"/>
      <name val="Yu Gothic"/>
      <family val="3"/>
      <charset val="128"/>
      <scheme val="minor"/>
    </font>
    <font>
      <u/>
      <sz val="11"/>
      <color theme="10"/>
      <name val="Yu Gothic"/>
      <family val="2"/>
      <charset val="128"/>
      <scheme val="minor"/>
    </font>
    <font>
      <b/>
      <sz val="10"/>
      <color rgb="FFFF0000"/>
      <name val="Yu Gothic"/>
      <family val="3"/>
      <charset val="128"/>
      <scheme val="minor"/>
    </font>
    <font>
      <sz val="10"/>
      <color rgb="FFFF0000"/>
      <name val="Yu Gothic"/>
      <family val="3"/>
      <charset val="128"/>
      <scheme val="minor"/>
    </font>
    <font>
      <b/>
      <sz val="8"/>
      <color theme="1"/>
      <name val="Yu Gothic"/>
      <family val="3"/>
      <charset val="128"/>
      <scheme val="minor"/>
    </font>
    <font>
      <sz val="8"/>
      <color theme="1"/>
      <name val="Yu Gothic"/>
      <family val="3"/>
      <charset val="128"/>
      <scheme val="minor"/>
    </font>
    <font>
      <b/>
      <sz val="6"/>
      <color theme="1"/>
      <name val="Yu Gothic"/>
      <family val="3"/>
      <charset val="128"/>
      <scheme val="minor"/>
    </font>
    <font>
      <b/>
      <sz val="12"/>
      <name val="Yu Gothic"/>
      <family val="3"/>
      <charset val="128"/>
      <scheme val="minor"/>
    </font>
    <font>
      <b/>
      <sz val="9"/>
      <color indexed="81"/>
      <name val="MS P ゴシック"/>
      <family val="3"/>
      <charset val="128"/>
    </font>
    <font>
      <b/>
      <u/>
      <sz val="11"/>
      <color rgb="FFFF0000"/>
      <name val="Yu Gothic"/>
      <family val="3"/>
      <charset val="128"/>
      <scheme val="minor"/>
    </font>
    <font>
      <b/>
      <sz val="10"/>
      <color rgb="FFFFFF00"/>
      <name val="Yu Gothic"/>
      <family val="3"/>
      <charset val="128"/>
      <scheme val="minor"/>
    </font>
    <font>
      <b/>
      <sz val="22"/>
      <color theme="1"/>
      <name val="Yu Gothic"/>
      <family val="3"/>
      <charset val="128"/>
      <scheme val="minor"/>
    </font>
    <font>
      <sz val="22"/>
      <color theme="1"/>
      <name val="Yu Gothic"/>
      <family val="3"/>
      <charset val="128"/>
      <scheme val="minor"/>
    </font>
    <font>
      <b/>
      <sz val="36"/>
      <color theme="1"/>
      <name val="Yu Gothic"/>
      <family val="3"/>
      <charset val="128"/>
      <scheme val="minor"/>
    </font>
    <font>
      <sz val="36"/>
      <color theme="1"/>
      <name val="Yu Gothic"/>
      <family val="3"/>
      <charset val="128"/>
      <scheme val="minor"/>
    </font>
    <font>
      <b/>
      <sz val="12"/>
      <color rgb="FFFF0000"/>
      <name val="Yu Gothic"/>
      <family val="3"/>
      <charset val="128"/>
      <scheme val="minor"/>
    </font>
    <font>
      <b/>
      <sz val="16"/>
      <color theme="1"/>
      <name val="Yu Gothic"/>
      <family val="3"/>
      <charset val="128"/>
      <scheme val="minor"/>
    </font>
    <font>
      <b/>
      <u/>
      <sz val="11"/>
      <color theme="10"/>
      <name val="Yu Gothic"/>
      <family val="3"/>
      <charset val="128"/>
      <scheme val="minor"/>
    </font>
    <font>
      <b/>
      <sz val="14"/>
      <name val="Yu Gothic"/>
      <family val="3"/>
      <charset val="128"/>
      <scheme val="minor"/>
    </font>
    <font>
      <sz val="6"/>
      <name val="ＭＳ Ｐゴシック"/>
      <family val="3"/>
      <charset val="128"/>
    </font>
    <font>
      <b/>
      <sz val="14"/>
      <color rgb="FFFF0000"/>
      <name val="Yu Gothic"/>
      <family val="3"/>
      <charset val="128"/>
      <scheme val="minor"/>
    </font>
    <font>
      <b/>
      <sz val="11"/>
      <color rgb="FFFF0000"/>
      <name val="Yu Gothic"/>
      <family val="3"/>
      <charset val="128"/>
      <scheme val="minor"/>
    </font>
    <font>
      <sz val="11"/>
      <name val="ＭＳ Ｐゴシック"/>
      <family val="3"/>
      <charset val="128"/>
    </font>
    <font>
      <b/>
      <sz val="18"/>
      <color theme="1"/>
      <name val="ＭＳ ゴシック"/>
      <family val="3"/>
      <charset val="128"/>
    </font>
    <font>
      <b/>
      <sz val="11"/>
      <color theme="1"/>
      <name val="Yu Gothic"/>
      <family val="2"/>
      <scheme val="minor"/>
    </font>
    <font>
      <b/>
      <u/>
      <sz val="14"/>
      <color rgb="FFFF0000"/>
      <name val="Yu Gothic"/>
      <family val="3"/>
      <charset val="128"/>
      <scheme val="minor"/>
    </font>
    <font>
      <sz val="14"/>
      <color rgb="FFFF0000"/>
      <name val="Yu Gothic"/>
      <family val="3"/>
      <charset val="128"/>
      <scheme val="minor"/>
    </font>
    <font>
      <sz val="11"/>
      <color rgb="FFFF0000"/>
      <name val="Yu Gothic"/>
      <family val="3"/>
      <charset val="128"/>
      <scheme val="minor"/>
    </font>
    <font>
      <b/>
      <sz val="11"/>
      <color theme="0"/>
      <name val="Yu Gothic"/>
      <family val="2"/>
      <scheme val="minor"/>
    </font>
    <font>
      <b/>
      <sz val="11"/>
      <color theme="0"/>
      <name val="Yu Gothic"/>
      <family val="3"/>
      <charset val="128"/>
      <scheme val="minor"/>
    </font>
    <font>
      <b/>
      <sz val="14"/>
      <color theme="1"/>
      <name val="Yu Gothic"/>
      <family val="2"/>
      <scheme val="minor"/>
    </font>
    <font>
      <b/>
      <sz val="16"/>
      <color theme="1"/>
      <name val="Yu Gothic"/>
      <family val="2"/>
      <scheme val="minor"/>
    </font>
    <font>
      <b/>
      <sz val="16"/>
      <color rgb="FFFF0000"/>
      <name val="Yu Gothic"/>
      <family val="3"/>
      <charset val="128"/>
      <scheme val="minor"/>
    </font>
    <font>
      <sz val="16"/>
      <color rgb="FFFF0000"/>
      <name val="Yu Gothic"/>
      <family val="3"/>
      <charset val="128"/>
      <scheme val="minor"/>
    </font>
    <font>
      <b/>
      <sz val="12"/>
      <color theme="1"/>
      <name val="Yu Gothic"/>
      <family val="2"/>
      <scheme val="minor"/>
    </font>
    <font>
      <sz val="12"/>
      <color theme="1"/>
      <name val="Yu Gothic"/>
      <family val="2"/>
      <scheme val="minor"/>
    </font>
    <font>
      <sz val="14"/>
      <color theme="1"/>
      <name val="Yu Gothic"/>
      <family val="2"/>
      <scheme val="minor"/>
    </font>
    <font>
      <sz val="6"/>
      <color theme="1"/>
      <name val="Yu Gothic"/>
      <family val="3"/>
      <charset val="128"/>
      <scheme val="minor"/>
    </font>
    <font>
      <sz val="18"/>
      <color theme="1"/>
      <name val="Yu Gothic"/>
      <family val="3"/>
      <charset val="128"/>
      <scheme val="minor"/>
    </font>
    <font>
      <b/>
      <sz val="11"/>
      <color theme="1"/>
      <name val="游ゴシック"/>
      <family val="3"/>
      <charset val="128"/>
    </font>
    <font>
      <b/>
      <sz val="12"/>
      <color rgb="FFFFFF00"/>
      <name val="Yu Gothic"/>
      <family val="3"/>
      <charset val="128"/>
      <scheme val="minor"/>
    </font>
    <font>
      <b/>
      <sz val="12"/>
      <color rgb="FF444444"/>
      <name val="Yu Gothic"/>
      <family val="3"/>
      <charset val="128"/>
      <scheme val="minor"/>
    </font>
    <font>
      <sz val="16"/>
      <color theme="1"/>
      <name val="Yu Gothic"/>
      <family val="3"/>
      <charset val="128"/>
      <scheme val="minor"/>
    </font>
    <font>
      <b/>
      <sz val="10.5"/>
      <name val="Yu Gothic"/>
      <family val="3"/>
      <charset val="128"/>
      <scheme val="minor"/>
    </font>
    <font>
      <b/>
      <sz val="9"/>
      <color theme="1"/>
      <name val="Yu Gothic"/>
      <family val="3"/>
      <charset val="128"/>
      <scheme val="minor"/>
    </font>
    <font>
      <b/>
      <u/>
      <sz val="11"/>
      <color theme="1"/>
      <name val="Yu Gothic"/>
      <family val="3"/>
      <charset val="128"/>
      <scheme val="minor"/>
    </font>
    <font>
      <b/>
      <sz val="11"/>
      <color rgb="FFFF0000"/>
      <name val="Yu Gothic"/>
      <family val="2"/>
      <scheme val="minor"/>
    </font>
    <font>
      <b/>
      <u/>
      <sz val="10"/>
      <color theme="1"/>
      <name val="Yu Gothic"/>
      <family val="3"/>
      <charset val="128"/>
      <scheme val="minor"/>
    </font>
    <font>
      <u/>
      <sz val="11"/>
      <color theme="1"/>
      <name val="Yu Gothic"/>
      <family val="3"/>
      <charset val="128"/>
      <scheme val="minor"/>
    </font>
    <font>
      <b/>
      <sz val="6"/>
      <name val="Yu Gothic"/>
      <family val="3"/>
      <charset val="128"/>
      <scheme val="minor"/>
    </font>
    <font>
      <b/>
      <sz val="6"/>
      <color rgb="FFFF0000"/>
      <name val="Yu Gothic"/>
      <family val="3"/>
      <charset val="128"/>
      <scheme val="minor"/>
    </font>
    <font>
      <b/>
      <sz val="6"/>
      <color theme="5" tint="0.79998168889431442"/>
      <name val="Yu Gothic"/>
      <family val="3"/>
      <charset val="128"/>
      <scheme val="minor"/>
    </font>
    <font>
      <b/>
      <sz val="10"/>
      <color theme="1"/>
      <name val="Yu Gothic"/>
      <family val="2"/>
      <scheme val="minor"/>
    </font>
  </fonts>
  <fills count="11">
    <fill>
      <patternFill patternType="none"/>
    </fill>
    <fill>
      <patternFill patternType="gray125"/>
    </fill>
    <fill>
      <patternFill patternType="solid">
        <fgColor theme="7" tint="0.79998168889431442"/>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6"/>
        <bgColor indexed="64"/>
      </patternFill>
    </fill>
    <fill>
      <patternFill patternType="solid">
        <fgColor rgb="FFFFFF00"/>
        <bgColor indexed="64"/>
      </patternFill>
    </fill>
    <fill>
      <patternFill patternType="solid">
        <fgColor theme="5" tint="0.79998168889431442"/>
        <bgColor indexed="64"/>
      </patternFill>
    </fill>
    <fill>
      <patternFill patternType="solid">
        <fgColor rgb="FFFFC000"/>
        <bgColor indexed="64"/>
      </patternFill>
    </fill>
  </fills>
  <borders count="22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style="thin">
        <color auto="1"/>
      </right>
      <top style="double">
        <color auto="1"/>
      </top>
      <bottom style="thin">
        <color auto="1"/>
      </bottom>
      <diagonal/>
    </border>
    <border>
      <left style="thin">
        <color auto="1"/>
      </left>
      <right style="thin">
        <color auto="1"/>
      </right>
      <top style="double">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indexed="64"/>
      </right>
      <top/>
      <bottom/>
      <diagonal/>
    </border>
    <border>
      <left style="thin">
        <color indexed="64"/>
      </left>
      <right style="hair">
        <color auto="1"/>
      </right>
      <top style="thin">
        <color indexed="64"/>
      </top>
      <bottom style="thin">
        <color indexed="64"/>
      </bottom>
      <diagonal/>
    </border>
    <border>
      <left style="hair">
        <color auto="1"/>
      </left>
      <right style="hair">
        <color auto="1"/>
      </right>
      <top style="thin">
        <color indexed="64"/>
      </top>
      <bottom style="thin">
        <color indexed="64"/>
      </bottom>
      <diagonal/>
    </border>
    <border>
      <left style="hair">
        <color auto="1"/>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hair">
        <color indexed="64"/>
      </bottom>
      <diagonal/>
    </border>
    <border>
      <left style="hair">
        <color indexed="64"/>
      </left>
      <right style="hair">
        <color indexed="64"/>
      </right>
      <top style="medium">
        <color indexed="64"/>
      </top>
      <bottom/>
      <diagonal/>
    </border>
    <border>
      <left style="thin">
        <color indexed="64"/>
      </left>
      <right style="thin">
        <color indexed="64"/>
      </right>
      <top style="thin">
        <color indexed="64"/>
      </top>
      <bottom style="hair">
        <color indexed="64"/>
      </bottom>
      <diagonal/>
    </border>
    <border>
      <left style="medium">
        <color indexed="64"/>
      </left>
      <right style="thin">
        <color indexed="64"/>
      </right>
      <top/>
      <bottom/>
      <diagonal/>
    </border>
    <border>
      <left style="thin">
        <color indexed="64"/>
      </left>
      <right style="hair">
        <color auto="1"/>
      </right>
      <top style="thin">
        <color indexed="64"/>
      </top>
      <bottom/>
      <diagonal/>
    </border>
    <border>
      <left style="hair">
        <color auto="1"/>
      </left>
      <right style="hair">
        <color auto="1"/>
      </right>
      <top style="thin">
        <color indexed="64"/>
      </top>
      <bottom/>
      <diagonal/>
    </border>
    <border>
      <left style="hair">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medium">
        <color auto="1"/>
      </left>
      <right/>
      <top/>
      <bottom/>
      <diagonal/>
    </border>
    <border>
      <left style="thin">
        <color indexed="64"/>
      </left>
      <right/>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diagonal/>
    </border>
    <border>
      <left style="thin">
        <color indexed="64"/>
      </left>
      <right style="medium">
        <color indexed="64"/>
      </right>
      <top style="double">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style="hair">
        <color auto="1"/>
      </left>
      <right style="thin">
        <color indexed="64"/>
      </right>
      <top style="thin">
        <color indexed="64"/>
      </top>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right style="medium">
        <color auto="1"/>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double">
        <color indexed="64"/>
      </bottom>
      <diagonal/>
    </border>
    <border>
      <left style="thin">
        <color indexed="64"/>
      </left>
      <right/>
      <top style="double">
        <color indexed="64"/>
      </top>
      <bottom/>
      <diagonal/>
    </border>
    <border>
      <left/>
      <right style="thin">
        <color indexed="64"/>
      </right>
      <top style="double">
        <color indexed="64"/>
      </top>
      <bottom/>
      <diagonal/>
    </border>
    <border>
      <left/>
      <right/>
      <top style="double">
        <color indexed="64"/>
      </top>
      <bottom/>
      <diagonal/>
    </border>
    <border>
      <left style="double">
        <color rgb="FFFF0000"/>
      </left>
      <right/>
      <top style="double">
        <color rgb="FFFF0000"/>
      </top>
      <bottom/>
      <diagonal/>
    </border>
    <border>
      <left/>
      <right/>
      <top style="double">
        <color rgb="FFFF0000"/>
      </top>
      <bottom/>
      <diagonal/>
    </border>
    <border>
      <left/>
      <right style="double">
        <color rgb="FFFF0000"/>
      </right>
      <top style="double">
        <color rgb="FFFF0000"/>
      </top>
      <bottom/>
      <diagonal/>
    </border>
    <border>
      <left style="double">
        <color rgb="FFFF0000"/>
      </left>
      <right/>
      <top/>
      <bottom style="double">
        <color rgb="FFFF0000"/>
      </bottom>
      <diagonal/>
    </border>
    <border>
      <left/>
      <right/>
      <top/>
      <bottom style="double">
        <color rgb="FFFF0000"/>
      </bottom>
      <diagonal/>
    </border>
    <border>
      <left/>
      <right style="double">
        <color rgb="FFFF0000"/>
      </right>
      <top/>
      <bottom style="double">
        <color rgb="FFFF0000"/>
      </bottom>
      <diagonal/>
    </border>
    <border>
      <left style="double">
        <color rgb="FFFF0000"/>
      </left>
      <right style="double">
        <color rgb="FFFF0000"/>
      </right>
      <top style="double">
        <color rgb="FFFF0000"/>
      </top>
      <bottom style="thin">
        <color rgb="FFFF0000"/>
      </bottom>
      <diagonal/>
    </border>
    <border>
      <left style="double">
        <color indexed="64"/>
      </left>
      <right/>
      <top style="thin">
        <color indexed="64"/>
      </top>
      <bottom style="thin">
        <color indexed="64"/>
      </bottom>
      <diagonal/>
    </border>
    <border>
      <left style="double">
        <color rgb="FFFF0000"/>
      </left>
      <right style="double">
        <color rgb="FFFF0000"/>
      </right>
      <top style="thin">
        <color rgb="FFFF0000"/>
      </top>
      <bottom style="thin">
        <color rgb="FFFF0000"/>
      </bottom>
      <diagonal/>
    </border>
    <border>
      <left style="double">
        <color rgb="FFFF0000"/>
      </left>
      <right style="double">
        <color rgb="FFFF0000"/>
      </right>
      <top style="thin">
        <color rgb="FFFF0000"/>
      </top>
      <bottom style="double">
        <color rgb="FFFF0000"/>
      </bottom>
      <diagonal/>
    </border>
    <border>
      <left style="double">
        <color indexed="64"/>
      </left>
      <right/>
      <top style="medium">
        <color indexed="64"/>
      </top>
      <bottom style="medium">
        <color auto="1"/>
      </bottom>
      <diagonal/>
    </border>
    <border>
      <left style="double">
        <color rgb="FFFF0000"/>
      </left>
      <right/>
      <top style="double">
        <color rgb="FFFF0000"/>
      </top>
      <bottom style="thin">
        <color rgb="FFFF0000"/>
      </bottom>
      <diagonal/>
    </border>
    <border>
      <left/>
      <right style="double">
        <color rgb="FFFF0000"/>
      </right>
      <top style="double">
        <color rgb="FFFF0000"/>
      </top>
      <bottom style="thin">
        <color rgb="FFFF000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double">
        <color indexed="64"/>
      </left>
      <right/>
      <top style="medium">
        <color indexed="64"/>
      </top>
      <bottom/>
      <diagonal/>
    </border>
    <border>
      <left style="double">
        <color rgb="FFFF0000"/>
      </left>
      <right/>
      <top style="thin">
        <color rgb="FFFF0000"/>
      </top>
      <bottom/>
      <diagonal/>
    </border>
    <border>
      <left/>
      <right style="double">
        <color rgb="FFFF0000"/>
      </right>
      <top style="thin">
        <color rgb="FFFF0000"/>
      </top>
      <bottom/>
      <diagonal/>
    </border>
    <border>
      <left style="medium">
        <color indexed="64"/>
      </left>
      <right style="thin">
        <color indexed="64"/>
      </right>
      <top style="thin">
        <color indexed="64"/>
      </top>
      <bottom style="thin">
        <color indexed="64"/>
      </bottom>
      <diagonal/>
    </border>
    <border>
      <left style="double">
        <color indexed="64"/>
      </left>
      <right/>
      <top/>
      <bottom/>
      <diagonal/>
    </border>
    <border>
      <left style="double">
        <color rgb="FFFF0000"/>
      </left>
      <right/>
      <top/>
      <bottom/>
      <diagonal/>
    </border>
    <border>
      <left/>
      <right style="double">
        <color rgb="FFFF0000"/>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double">
        <color indexed="64"/>
      </left>
      <right/>
      <top/>
      <bottom style="medium">
        <color indexed="64"/>
      </bottom>
      <diagonal/>
    </border>
    <border>
      <left style="double">
        <color rgb="FFFF0000"/>
      </left>
      <right/>
      <top style="medium">
        <color rgb="FFFF0000"/>
      </top>
      <bottom/>
      <diagonal/>
    </border>
    <border>
      <left/>
      <right style="double">
        <color rgb="FFFF0000"/>
      </right>
      <top style="medium">
        <color rgb="FFFF0000"/>
      </top>
      <bottom/>
      <diagonal/>
    </border>
    <border>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double">
        <color indexed="64"/>
      </left>
      <right/>
      <top style="thin">
        <color indexed="64"/>
      </top>
      <bottom style="double">
        <color indexed="64"/>
      </bottom>
      <diagonal/>
    </border>
    <border>
      <left style="double">
        <color rgb="FFFF0000"/>
      </left>
      <right style="double">
        <color rgb="FFFF0000"/>
      </right>
      <top style="thin">
        <color rgb="FFFF0000"/>
      </top>
      <bottom/>
      <diagonal/>
    </border>
    <border>
      <left style="medium">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double">
        <color indexed="64"/>
      </left>
      <right/>
      <top style="double">
        <color indexed="64"/>
      </top>
      <bottom style="thin">
        <color indexed="64"/>
      </bottom>
      <diagonal/>
    </border>
    <border>
      <left style="double">
        <color rgb="FFFF0000"/>
      </left>
      <right style="double">
        <color rgb="FFFF0000"/>
      </right>
      <top style="double">
        <color rgb="FFFF0000"/>
      </top>
      <bottom/>
      <diagonal/>
    </border>
    <border>
      <left style="double">
        <color indexed="64"/>
      </left>
      <right/>
      <top style="thin">
        <color indexed="64"/>
      </top>
      <bottom/>
      <diagonal/>
    </border>
    <border>
      <left style="double">
        <color rgb="FFFF0000"/>
      </left>
      <right style="double">
        <color rgb="FFFF0000"/>
      </right>
      <top/>
      <bottom/>
      <diagonal/>
    </border>
    <border>
      <left style="thin">
        <color indexed="64"/>
      </left>
      <right style="double">
        <color indexed="64"/>
      </right>
      <top style="thin">
        <color indexed="64"/>
      </top>
      <bottom style="double">
        <color indexed="64"/>
      </bottom>
      <diagonal/>
    </border>
    <border>
      <left/>
      <right style="double">
        <color rgb="FFFF0000"/>
      </right>
      <top style="thin">
        <color indexed="64"/>
      </top>
      <bottom style="double">
        <color indexed="64"/>
      </bottom>
      <diagonal/>
    </border>
    <border>
      <left style="double">
        <color rgb="FFFF0000"/>
      </left>
      <right style="double">
        <color rgb="FFFF0000"/>
      </right>
      <top/>
      <bottom style="double">
        <color rgb="FFFF0000"/>
      </bottom>
      <diagonal/>
    </border>
    <border>
      <left/>
      <right style="medium">
        <color indexed="64"/>
      </right>
      <top style="thin">
        <color indexed="64"/>
      </top>
      <bottom style="double">
        <color indexed="64"/>
      </bottom>
      <diagonal/>
    </border>
    <border>
      <left style="thin">
        <color indexed="64"/>
      </left>
      <right style="medium">
        <color indexed="64"/>
      </right>
      <top style="thin">
        <color indexed="64"/>
      </top>
      <bottom style="medium">
        <color indexed="64"/>
      </bottom>
      <diagonal/>
    </border>
    <border>
      <left style="double">
        <color indexed="64"/>
      </left>
      <right/>
      <top style="thin">
        <color indexed="64"/>
      </top>
      <bottom style="medium">
        <color indexed="64"/>
      </bottom>
      <diagonal/>
    </border>
    <border>
      <left style="double">
        <color indexed="64"/>
      </left>
      <right/>
      <top style="double">
        <color indexed="64"/>
      </top>
      <bottom/>
      <diagonal/>
    </border>
    <border>
      <left/>
      <right style="double">
        <color auto="1"/>
      </right>
      <top style="double">
        <color auto="1"/>
      </top>
      <bottom/>
      <diagonal/>
    </border>
    <border>
      <left style="double">
        <color rgb="FFFF0000"/>
      </left>
      <right/>
      <top style="thin">
        <color rgb="FFFF0000"/>
      </top>
      <bottom style="thin">
        <color rgb="FFFF0000"/>
      </bottom>
      <diagonal/>
    </border>
    <border>
      <left/>
      <right style="double">
        <color rgb="FFFF0000"/>
      </right>
      <top style="thin">
        <color rgb="FFFF0000"/>
      </top>
      <bottom style="thin">
        <color rgb="FFFF0000"/>
      </bottom>
      <diagonal/>
    </border>
    <border>
      <left/>
      <right style="double">
        <color auto="1"/>
      </right>
      <top/>
      <bottom/>
      <diagonal/>
    </border>
    <border>
      <left style="double">
        <color rgb="FFFF0000"/>
      </left>
      <right/>
      <top style="thin">
        <color rgb="FFFF0000"/>
      </top>
      <bottom style="double">
        <color rgb="FFFF0000"/>
      </bottom>
      <diagonal/>
    </border>
    <border>
      <left/>
      <right style="double">
        <color rgb="FFFF0000"/>
      </right>
      <top style="thin">
        <color rgb="FFFF0000"/>
      </top>
      <bottom style="double">
        <color rgb="FFFF0000"/>
      </bottom>
      <diagonal/>
    </border>
    <border>
      <left style="double">
        <color indexed="64"/>
      </left>
      <right/>
      <top/>
      <bottom style="double">
        <color indexed="64"/>
      </bottom>
      <diagonal/>
    </border>
    <border>
      <left/>
      <right style="double">
        <color auto="1"/>
      </right>
      <top/>
      <bottom style="double">
        <color auto="1"/>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double">
        <color indexed="64"/>
      </right>
      <top style="medium">
        <color indexed="64"/>
      </top>
      <bottom style="medium">
        <color indexed="64"/>
      </bottom>
      <diagonal/>
    </border>
    <border>
      <left/>
      <right style="medium">
        <color indexed="64"/>
      </right>
      <top style="medium">
        <color indexed="64"/>
      </top>
      <bottom style="thin">
        <color indexed="64"/>
      </bottom>
      <diagonal/>
    </border>
    <border>
      <left style="medium">
        <color indexed="64"/>
      </left>
      <right/>
      <top style="double">
        <color indexed="64"/>
      </top>
      <bottom style="thin">
        <color indexed="64"/>
      </bottom>
      <diagonal/>
    </border>
    <border>
      <left/>
      <right style="medium">
        <color indexed="64"/>
      </right>
      <top style="double">
        <color indexed="64"/>
      </top>
      <bottom style="thin">
        <color indexed="64"/>
      </bottom>
      <diagonal/>
    </border>
    <border>
      <left/>
      <right style="medium">
        <color indexed="64"/>
      </right>
      <top style="thin">
        <color indexed="64"/>
      </top>
      <bottom style="thin">
        <color indexed="64"/>
      </bottom>
      <diagonal/>
    </border>
    <border>
      <left style="dashed">
        <color auto="1"/>
      </left>
      <right/>
      <top style="dashed">
        <color auto="1"/>
      </top>
      <bottom/>
      <diagonal/>
    </border>
    <border>
      <left/>
      <right/>
      <top style="dashed">
        <color auto="1"/>
      </top>
      <bottom/>
      <diagonal/>
    </border>
    <border>
      <left/>
      <right style="dashed">
        <color auto="1"/>
      </right>
      <top style="dashed">
        <color auto="1"/>
      </top>
      <bottom/>
      <diagonal/>
    </border>
    <border>
      <left style="dashed">
        <color auto="1"/>
      </left>
      <right/>
      <top/>
      <bottom/>
      <diagonal/>
    </border>
    <border>
      <left/>
      <right style="dashed">
        <color auto="1"/>
      </right>
      <top/>
      <bottom/>
      <diagonal/>
    </border>
    <border>
      <left style="dashed">
        <color auto="1"/>
      </left>
      <right/>
      <top/>
      <bottom style="dashed">
        <color auto="1"/>
      </bottom>
      <diagonal/>
    </border>
    <border>
      <left/>
      <right/>
      <top/>
      <bottom style="dashed">
        <color auto="1"/>
      </bottom>
      <diagonal/>
    </border>
    <border>
      <left/>
      <right style="dashed">
        <color auto="1"/>
      </right>
      <top/>
      <bottom style="dashed">
        <color auto="1"/>
      </bottom>
      <diagonal/>
    </border>
    <border>
      <left style="thin">
        <color indexed="64"/>
      </left>
      <right style="medium">
        <color indexed="64"/>
      </right>
      <top style="medium">
        <color indexed="64"/>
      </top>
      <bottom style="double">
        <color indexed="64"/>
      </bottom>
      <diagonal/>
    </border>
    <border>
      <left style="thin">
        <color auto="1"/>
      </left>
      <right/>
      <top style="double">
        <color auto="1"/>
      </top>
      <bottom style="double">
        <color auto="1"/>
      </bottom>
      <diagonal/>
    </border>
    <border>
      <left/>
      <right/>
      <top style="double">
        <color auto="1"/>
      </top>
      <bottom style="double">
        <color auto="1"/>
      </bottom>
      <diagonal/>
    </border>
    <border>
      <left/>
      <right style="medium">
        <color indexed="64"/>
      </right>
      <top style="double">
        <color auto="1"/>
      </top>
      <bottom style="double">
        <color auto="1"/>
      </bottom>
      <diagonal/>
    </border>
    <border>
      <left/>
      <right style="double">
        <color rgb="FFFF0000"/>
      </right>
      <top/>
      <bottom style="thin">
        <color auto="1"/>
      </bottom>
      <diagonal/>
    </border>
    <border>
      <left style="thin">
        <color auto="1"/>
      </left>
      <right style="double">
        <color rgb="FFFF0000"/>
      </right>
      <top style="thin">
        <color auto="1"/>
      </top>
      <bottom style="thin">
        <color auto="1"/>
      </bottom>
      <diagonal/>
    </border>
    <border>
      <left style="thin">
        <color auto="1"/>
      </left>
      <right/>
      <top style="double">
        <color rgb="FFFF0000"/>
      </top>
      <bottom/>
      <diagonal/>
    </border>
    <border>
      <left/>
      <right/>
      <top style="double">
        <color rgb="FFFF0000"/>
      </top>
      <bottom style="thin">
        <color rgb="FFFF0000"/>
      </bottom>
      <diagonal/>
    </border>
    <border>
      <left/>
      <right/>
      <top style="thin">
        <color rgb="FFFF0000"/>
      </top>
      <bottom style="thin">
        <color rgb="FFFF0000"/>
      </bottom>
      <diagonal/>
    </border>
    <border>
      <left/>
      <right/>
      <top style="thin">
        <color rgb="FFFF0000"/>
      </top>
      <bottom style="double">
        <color rgb="FFFF0000"/>
      </bottom>
      <diagonal/>
    </border>
    <border>
      <left/>
      <right style="double">
        <color rgb="FFFF0000"/>
      </right>
      <top style="thin">
        <color auto="1"/>
      </top>
      <bottom/>
      <diagonal/>
    </border>
    <border>
      <left/>
      <right style="thin">
        <color indexed="64"/>
      </right>
      <top style="double">
        <color indexed="64"/>
      </top>
      <bottom style="double">
        <color indexed="64"/>
      </bottom>
      <diagonal/>
    </border>
    <border>
      <left style="hair">
        <color auto="1"/>
      </left>
      <right style="hair">
        <color auto="1"/>
      </right>
      <top/>
      <bottom style="thin">
        <color auto="1"/>
      </bottom>
      <diagonal/>
    </border>
    <border>
      <left style="thin">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style="hair">
        <color auto="1"/>
      </right>
      <top/>
      <bottom style="thin">
        <color indexed="64"/>
      </bottom>
      <diagonal/>
    </border>
    <border>
      <left style="medium">
        <color indexed="64"/>
      </left>
      <right style="thin">
        <color indexed="64"/>
      </right>
      <top style="double">
        <color indexed="64"/>
      </top>
      <bottom style="medium">
        <color indexed="64"/>
      </bottom>
      <diagonal/>
    </border>
    <border>
      <left style="thin">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right style="double">
        <color rgb="FFFF0000"/>
      </right>
      <top style="medium">
        <color indexed="64"/>
      </top>
      <bottom/>
      <diagonal/>
    </border>
    <border>
      <left/>
      <right style="double">
        <color rgb="FFFF0000"/>
      </right>
      <top style="thin">
        <color indexed="64"/>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indexed="64"/>
      </left>
      <right/>
      <top style="double">
        <color indexed="64"/>
      </top>
      <bottom/>
      <diagonal/>
    </border>
    <border>
      <left/>
      <right style="medium">
        <color indexed="64"/>
      </right>
      <top style="double">
        <color indexed="64"/>
      </top>
      <bottom/>
      <diagonal/>
    </border>
    <border>
      <left style="hair">
        <color indexed="64"/>
      </left>
      <right style="medium">
        <color indexed="64"/>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double">
        <color indexed="64"/>
      </bottom>
      <diagonal/>
    </border>
    <border>
      <left style="medium">
        <color indexed="64"/>
      </left>
      <right/>
      <top style="medium">
        <color indexed="64"/>
      </top>
      <bottom style="thin">
        <color indexed="64"/>
      </bottom>
      <diagonal/>
    </border>
    <border>
      <left style="double">
        <color rgb="FFFF0000"/>
      </left>
      <right/>
      <top style="double">
        <color rgb="FFFF0000"/>
      </top>
      <bottom style="double">
        <color rgb="FFFF0000"/>
      </bottom>
      <diagonal/>
    </border>
    <border>
      <left/>
      <right/>
      <top style="double">
        <color rgb="FFFF0000"/>
      </top>
      <bottom style="double">
        <color rgb="FFFF0000"/>
      </bottom>
      <diagonal/>
    </border>
    <border>
      <left/>
      <right style="double">
        <color rgb="FFFF0000"/>
      </right>
      <top style="double">
        <color rgb="FFFF0000"/>
      </top>
      <bottom style="double">
        <color rgb="FFFF0000"/>
      </bottom>
      <diagonal/>
    </border>
    <border>
      <left/>
      <right style="thin">
        <color auto="1"/>
      </right>
      <top/>
      <bottom style="double">
        <color auto="1"/>
      </bottom>
      <diagonal/>
    </border>
    <border>
      <left/>
      <right style="thin">
        <color indexed="64"/>
      </right>
      <top/>
      <bottom style="medium">
        <color indexed="64"/>
      </bottom>
      <diagonal/>
    </border>
    <border>
      <left style="hair">
        <color auto="1"/>
      </left>
      <right/>
      <top style="thin">
        <color auto="1"/>
      </top>
      <bottom style="thin">
        <color auto="1"/>
      </bottom>
      <diagonal/>
    </border>
    <border>
      <left/>
      <right style="hair">
        <color auto="1"/>
      </right>
      <top style="thin">
        <color auto="1"/>
      </top>
      <bottom style="thin">
        <color auto="1"/>
      </bottom>
      <diagonal/>
    </border>
    <border>
      <left style="medium">
        <color auto="1"/>
      </left>
      <right/>
      <top style="double">
        <color indexed="64"/>
      </top>
      <bottom style="double">
        <color indexed="64"/>
      </bottom>
      <diagonal/>
    </border>
    <border>
      <left style="double">
        <color rgb="FFFF0000"/>
      </left>
      <right style="double">
        <color rgb="FFFF0000"/>
      </right>
      <top/>
      <bottom style="thin">
        <color rgb="FFFF0000"/>
      </bottom>
      <diagonal/>
    </border>
    <border>
      <left style="medium">
        <color indexed="64"/>
      </left>
      <right style="thin">
        <color indexed="64"/>
      </right>
      <top style="double">
        <color auto="1"/>
      </top>
      <bottom style="double">
        <color indexed="64"/>
      </bottom>
      <diagonal/>
    </border>
    <border>
      <left style="thin">
        <color indexed="64"/>
      </left>
      <right style="thin">
        <color indexed="64"/>
      </right>
      <top style="double">
        <color auto="1"/>
      </top>
      <bottom style="double">
        <color indexed="64"/>
      </bottom>
      <diagonal/>
    </border>
    <border>
      <left/>
      <right style="double">
        <color rgb="FFFF0000"/>
      </right>
      <top style="double">
        <color auto="1"/>
      </top>
      <bottom style="double">
        <color indexed="64"/>
      </bottom>
      <diagonal/>
    </border>
    <border>
      <left/>
      <right style="double">
        <color rgb="FFFF0000"/>
      </right>
      <top style="thin">
        <color auto="1"/>
      </top>
      <bottom style="medium">
        <color indexed="64"/>
      </bottom>
      <diagonal/>
    </border>
    <border>
      <left style="medium">
        <color rgb="FFFF0000"/>
      </left>
      <right style="thin">
        <color indexed="64"/>
      </right>
      <top style="medium">
        <color rgb="FFFF0000"/>
      </top>
      <bottom style="thin">
        <color indexed="64"/>
      </bottom>
      <diagonal/>
    </border>
    <border>
      <left style="thin">
        <color indexed="64"/>
      </left>
      <right/>
      <top style="medium">
        <color rgb="FFFF0000"/>
      </top>
      <bottom style="thin">
        <color indexed="64"/>
      </bottom>
      <diagonal/>
    </border>
    <border>
      <left/>
      <right/>
      <top style="medium">
        <color rgb="FFFF0000"/>
      </top>
      <bottom style="thin">
        <color indexed="64"/>
      </bottom>
      <diagonal/>
    </border>
    <border>
      <left/>
      <right style="thin">
        <color indexed="64"/>
      </right>
      <top style="medium">
        <color rgb="FFFF0000"/>
      </top>
      <bottom style="thin">
        <color indexed="64"/>
      </bottom>
      <diagonal/>
    </border>
    <border>
      <left style="thin">
        <color indexed="64"/>
      </left>
      <right style="thin">
        <color indexed="64"/>
      </right>
      <top style="medium">
        <color rgb="FFFF0000"/>
      </top>
      <bottom style="thin">
        <color indexed="64"/>
      </bottom>
      <diagonal/>
    </border>
    <border>
      <left style="thin">
        <color indexed="64"/>
      </left>
      <right style="medium">
        <color rgb="FFFF0000"/>
      </right>
      <top style="medium">
        <color rgb="FFFF0000"/>
      </top>
      <bottom style="thin">
        <color indexed="64"/>
      </bottom>
      <diagonal/>
    </border>
    <border>
      <left style="medium">
        <color rgb="FFFF0000"/>
      </left>
      <right style="thin">
        <color indexed="64"/>
      </right>
      <top style="thin">
        <color indexed="64"/>
      </top>
      <bottom style="thin">
        <color indexed="64"/>
      </bottom>
      <diagonal/>
    </border>
    <border>
      <left style="thin">
        <color indexed="64"/>
      </left>
      <right style="medium">
        <color rgb="FFFF0000"/>
      </right>
      <top style="thin">
        <color indexed="64"/>
      </top>
      <bottom style="thin">
        <color indexed="64"/>
      </bottom>
      <diagonal/>
    </border>
    <border>
      <left style="medium">
        <color rgb="FFFF0000"/>
      </left>
      <right style="thin">
        <color indexed="64"/>
      </right>
      <top style="thin">
        <color indexed="64"/>
      </top>
      <bottom style="medium">
        <color rgb="FFFF0000"/>
      </bottom>
      <diagonal/>
    </border>
    <border>
      <left style="thin">
        <color indexed="64"/>
      </left>
      <right/>
      <top style="thin">
        <color indexed="64"/>
      </top>
      <bottom style="medium">
        <color rgb="FFFF0000"/>
      </bottom>
      <diagonal/>
    </border>
    <border>
      <left/>
      <right/>
      <top style="thin">
        <color indexed="64"/>
      </top>
      <bottom style="medium">
        <color rgb="FFFF0000"/>
      </bottom>
      <diagonal/>
    </border>
    <border>
      <left/>
      <right style="thin">
        <color indexed="64"/>
      </right>
      <top style="thin">
        <color indexed="64"/>
      </top>
      <bottom style="medium">
        <color rgb="FFFF0000"/>
      </bottom>
      <diagonal/>
    </border>
    <border>
      <left style="thin">
        <color indexed="64"/>
      </left>
      <right style="thin">
        <color indexed="64"/>
      </right>
      <top style="thin">
        <color indexed="64"/>
      </top>
      <bottom style="medium">
        <color rgb="FFFF0000"/>
      </bottom>
      <diagonal/>
    </border>
    <border>
      <left style="thin">
        <color indexed="64"/>
      </left>
      <right style="medium">
        <color rgb="FFFF0000"/>
      </right>
      <top style="thin">
        <color indexed="64"/>
      </top>
      <bottom style="medium">
        <color rgb="FFFF0000"/>
      </bottom>
      <diagonal/>
    </border>
  </borders>
  <cellStyleXfs count="13">
    <xf numFmtId="0" fontId="0" fillId="0" borderId="0"/>
    <xf numFmtId="38" fontId="8" fillId="0" borderId="0" applyFont="0" applyFill="0" applyBorder="0" applyAlignment="0" applyProtection="0">
      <alignment vertical="center"/>
    </xf>
    <xf numFmtId="0" fontId="24" fillId="0" borderId="0" applyNumberFormat="0" applyFill="0" applyBorder="0" applyAlignment="0" applyProtection="0">
      <alignment vertical="center"/>
    </xf>
    <xf numFmtId="0" fontId="7" fillId="0" borderId="0">
      <alignment vertical="center"/>
    </xf>
    <xf numFmtId="0" fontId="6" fillId="0" borderId="0">
      <alignment vertical="center"/>
    </xf>
    <xf numFmtId="0" fontId="5" fillId="0" borderId="0">
      <alignment vertical="center"/>
    </xf>
    <xf numFmtId="38" fontId="5" fillId="0" borderId="0" applyFont="0" applyFill="0" applyBorder="0" applyAlignment="0" applyProtection="0">
      <alignment vertical="center"/>
    </xf>
    <xf numFmtId="0" fontId="45" fillId="0" borderId="0">
      <alignment vertical="center"/>
    </xf>
    <xf numFmtId="0" fontId="8" fillId="0" borderId="0"/>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2172">
    <xf numFmtId="0" fontId="0" fillId="0" borderId="0" xfId="0"/>
    <xf numFmtId="0" fontId="11" fillId="0" borderId="0" xfId="0" applyFont="1" applyAlignment="1">
      <alignment horizontal="center" vertical="center"/>
    </xf>
    <xf numFmtId="0" fontId="11" fillId="0" borderId="0" xfId="0" applyFont="1" applyAlignment="1">
      <alignment vertical="center"/>
    </xf>
    <xf numFmtId="0" fontId="10" fillId="3" borderId="1" xfId="0" applyFont="1" applyFill="1" applyBorder="1" applyAlignment="1" applyProtection="1">
      <alignment horizontal="center" vertical="center" shrinkToFit="1"/>
    </xf>
    <xf numFmtId="176" fontId="22" fillId="0" borderId="1" xfId="0" applyNumberFormat="1" applyFont="1" applyBorder="1" applyAlignment="1" applyProtection="1">
      <alignment vertical="center" shrinkToFit="1"/>
    </xf>
    <xf numFmtId="0" fontId="10" fillId="0" borderId="1" xfId="0" applyFont="1" applyBorder="1" applyAlignment="1" applyProtection="1">
      <alignment horizontal="center" vertical="center" shrinkToFit="1"/>
    </xf>
    <xf numFmtId="0" fontId="22" fillId="2" borderId="1" xfId="0" applyFont="1" applyFill="1" applyBorder="1" applyAlignment="1" applyProtection="1">
      <alignment horizontal="center" vertical="center" shrinkToFit="1"/>
      <protection locked="0"/>
    </xf>
    <xf numFmtId="3" fontId="10" fillId="2" borderId="1" xfId="0" applyNumberFormat="1" applyFont="1" applyFill="1" applyBorder="1" applyAlignment="1" applyProtection="1">
      <alignment horizontal="center" vertical="center" shrinkToFit="1"/>
      <protection locked="0"/>
    </xf>
    <xf numFmtId="176" fontId="10" fillId="2" borderId="1" xfId="0" applyNumberFormat="1" applyFont="1" applyFill="1" applyBorder="1" applyAlignment="1" applyProtection="1">
      <alignment horizontal="right" vertical="center" shrinkToFit="1"/>
      <protection locked="0"/>
    </xf>
    <xf numFmtId="176" fontId="22" fillId="2" borderId="1" xfId="0" applyNumberFormat="1" applyFont="1" applyFill="1" applyBorder="1" applyAlignment="1" applyProtection="1">
      <alignment horizontal="center" vertical="center" shrinkToFit="1"/>
      <protection locked="0"/>
    </xf>
    <xf numFmtId="0" fontId="10" fillId="2" borderId="1" xfId="0" applyFont="1" applyFill="1" applyBorder="1" applyAlignment="1" applyProtection="1">
      <alignment horizontal="left" vertical="center" shrinkToFit="1"/>
      <protection locked="0"/>
    </xf>
    <xf numFmtId="0" fontId="19" fillId="0" borderId="0" xfId="0" applyFont="1" applyAlignment="1">
      <alignment vertical="center" wrapText="1"/>
    </xf>
    <xf numFmtId="0" fontId="10" fillId="0" borderId="0" xfId="0" applyFont="1" applyAlignment="1" applyProtection="1">
      <alignment horizontal="center" vertical="center"/>
    </xf>
    <xf numFmtId="0" fontId="10" fillId="0" borderId="0" xfId="0" applyFont="1" applyAlignment="1" applyProtection="1">
      <alignment horizontal="center" vertical="center" wrapText="1"/>
    </xf>
    <xf numFmtId="0" fontId="10" fillId="0" borderId="0" xfId="0" applyFont="1" applyAlignment="1" applyProtection="1">
      <alignment horizontal="left" vertical="center"/>
    </xf>
    <xf numFmtId="176" fontId="10" fillId="0" borderId="1" xfId="0" applyNumberFormat="1" applyFont="1" applyFill="1" applyBorder="1" applyAlignment="1" applyProtection="1">
      <alignment horizontal="right" vertical="center" shrinkToFit="1"/>
    </xf>
    <xf numFmtId="0" fontId="29" fillId="0" borderId="1" xfId="0" applyFont="1" applyBorder="1" applyAlignment="1" applyProtection="1">
      <alignment vertical="center"/>
    </xf>
    <xf numFmtId="0" fontId="29" fillId="0" borderId="1" xfId="0" applyFont="1" applyBorder="1" applyAlignment="1" applyProtection="1">
      <alignment horizontal="center" vertical="center"/>
    </xf>
    <xf numFmtId="0" fontId="29" fillId="0" borderId="1" xfId="0" applyFont="1" applyBorder="1" applyAlignment="1" applyProtection="1">
      <alignment vertical="center" wrapText="1"/>
    </xf>
    <xf numFmtId="0" fontId="10" fillId="0" borderId="0" xfId="0" applyFont="1" applyAlignment="1" applyProtection="1">
      <alignment vertical="center"/>
    </xf>
    <xf numFmtId="0" fontId="29" fillId="0" borderId="0" xfId="0" applyFont="1"/>
    <xf numFmtId="0" fontId="29" fillId="0" borderId="0" xfId="0" applyFont="1" applyAlignment="1">
      <alignment vertical="center"/>
    </xf>
    <xf numFmtId="0" fontId="29" fillId="0" borderId="0" xfId="0" applyFont="1" applyAlignment="1">
      <alignment vertical="center" wrapText="1"/>
    </xf>
    <xf numFmtId="0" fontId="29" fillId="0" borderId="1" xfId="0" applyFont="1" applyBorder="1" applyAlignment="1">
      <alignment vertical="center" wrapText="1"/>
    </xf>
    <xf numFmtId="0" fontId="29" fillId="0" borderId="0" xfId="0" applyFont="1" applyAlignment="1">
      <alignment horizontal="center" vertical="center"/>
    </xf>
    <xf numFmtId="0" fontId="29" fillId="0" borderId="0" xfId="0" applyFont="1" applyBorder="1" applyAlignment="1">
      <alignment vertical="center" wrapText="1"/>
    </xf>
    <xf numFmtId="0" fontId="29" fillId="0" borderId="0" xfId="0" applyFont="1" applyBorder="1" applyAlignment="1">
      <alignment horizontal="left" vertical="center" wrapText="1" shrinkToFit="1"/>
    </xf>
    <xf numFmtId="0" fontId="29" fillId="0" borderId="1" xfId="0" applyFont="1" applyBorder="1" applyAlignment="1">
      <alignment horizontal="distributed" vertical="center"/>
    </xf>
    <xf numFmtId="0" fontId="29" fillId="0" borderId="1" xfId="0" applyFont="1" applyBorder="1" applyAlignment="1">
      <alignment horizontal="distributed" vertical="center" shrinkToFit="1"/>
    </xf>
    <xf numFmtId="0" fontId="29" fillId="0" borderId="1" xfId="0" applyFont="1" applyBorder="1" applyAlignment="1">
      <alignment horizontal="center" vertical="center"/>
    </xf>
    <xf numFmtId="14" fontId="29" fillId="0" borderId="1" xfId="0" applyNumberFormat="1" applyFont="1" applyBorder="1" applyAlignment="1">
      <alignment horizontal="center" vertical="center"/>
    </xf>
    <xf numFmtId="0" fontId="15" fillId="0" borderId="0" xfId="4" applyFont="1" applyProtection="1">
      <alignment vertical="center"/>
    </xf>
    <xf numFmtId="0" fontId="11" fillId="0" borderId="0" xfId="4" applyFont="1" applyProtection="1">
      <alignment vertical="center"/>
    </xf>
    <xf numFmtId="0" fontId="11" fillId="0" borderId="0" xfId="4" applyFont="1" applyAlignment="1" applyProtection="1">
      <alignment horizontal="center" vertical="center"/>
    </xf>
    <xf numFmtId="0" fontId="11" fillId="0" borderId="0" xfId="4" applyFont="1" applyBorder="1" applyAlignment="1" applyProtection="1">
      <alignment horizontal="center" vertical="center"/>
    </xf>
    <xf numFmtId="0" fontId="11" fillId="0" borderId="0" xfId="4" applyFont="1" applyBorder="1" applyProtection="1">
      <alignment vertical="center"/>
    </xf>
    <xf numFmtId="0" fontId="11" fillId="0" borderId="20" xfId="4" applyFont="1" applyBorder="1" applyAlignment="1" applyProtection="1">
      <alignment horizontal="center" vertical="center"/>
    </xf>
    <xf numFmtId="0" fontId="11" fillId="0" borderId="20" xfId="4" applyFont="1" applyBorder="1" applyAlignment="1" applyProtection="1">
      <alignment horizontal="right" vertical="center"/>
    </xf>
    <xf numFmtId="0" fontId="11" fillId="0" borderId="20" xfId="4" applyFont="1" applyBorder="1" applyAlignment="1" applyProtection="1">
      <alignment horizontal="right" vertical="center" wrapText="1"/>
    </xf>
    <xf numFmtId="0" fontId="11" fillId="0" borderId="22" xfId="4" applyFont="1" applyBorder="1" applyAlignment="1" applyProtection="1">
      <alignment horizontal="center" vertical="center" wrapText="1"/>
    </xf>
    <xf numFmtId="0" fontId="11" fillId="0" borderId="23" xfId="4" applyFont="1" applyFill="1" applyBorder="1" applyAlignment="1" applyProtection="1">
      <alignment horizontal="center" vertical="center" shrinkToFit="1"/>
    </xf>
    <xf numFmtId="0" fontId="11" fillId="0" borderId="6" xfId="4" applyFont="1" applyFill="1" applyBorder="1" applyAlignment="1" applyProtection="1">
      <alignment horizontal="center" vertical="center" shrinkToFit="1"/>
    </xf>
    <xf numFmtId="0" fontId="11" fillId="0" borderId="0" xfId="4" applyFont="1" applyFill="1" applyBorder="1" applyAlignment="1" applyProtection="1">
      <alignment horizontal="center" vertical="center"/>
    </xf>
    <xf numFmtId="0" fontId="11" fillId="0" borderId="1" xfId="4" applyFont="1" applyBorder="1" applyAlignment="1" applyProtection="1">
      <alignment horizontal="center" vertical="center" wrapText="1"/>
    </xf>
    <xf numFmtId="0" fontId="11" fillId="0" borderId="34" xfId="4" applyFont="1" applyBorder="1" applyAlignment="1" applyProtection="1">
      <alignment horizontal="center" vertical="center"/>
    </xf>
    <xf numFmtId="0" fontId="11" fillId="0" borderId="1" xfId="4" applyFont="1" applyFill="1" applyBorder="1" applyAlignment="1" applyProtection="1">
      <alignment horizontal="center" vertical="center" shrinkToFit="1"/>
    </xf>
    <xf numFmtId="0" fontId="11" fillId="0" borderId="40" xfId="4" applyFont="1" applyBorder="1" applyAlignment="1" applyProtection="1">
      <alignment horizontal="center" vertical="center" wrapText="1"/>
    </xf>
    <xf numFmtId="0" fontId="10" fillId="0" borderId="0" xfId="4" applyFont="1" applyProtection="1">
      <alignment vertical="center"/>
    </xf>
    <xf numFmtId="3" fontId="10" fillId="0" borderId="0" xfId="4" applyNumberFormat="1" applyFont="1" applyProtection="1">
      <alignment vertical="center"/>
    </xf>
    <xf numFmtId="0" fontId="10" fillId="0" borderId="0" xfId="4" applyFont="1" applyBorder="1" applyAlignment="1" applyProtection="1">
      <alignment vertical="center"/>
    </xf>
    <xf numFmtId="0" fontId="10" fillId="0" borderId="0" xfId="4" applyFont="1" applyBorder="1" applyProtection="1">
      <alignment vertical="center"/>
    </xf>
    <xf numFmtId="179" fontId="10" fillId="0" borderId="8" xfId="4" applyNumberFormat="1" applyFont="1" applyFill="1" applyBorder="1" applyAlignment="1" applyProtection="1">
      <alignment vertical="center"/>
    </xf>
    <xf numFmtId="0" fontId="10" fillId="0" borderId="1" xfId="4" applyFont="1" applyBorder="1" applyAlignment="1" applyProtection="1">
      <alignment horizontal="center" vertical="center" wrapText="1"/>
    </xf>
    <xf numFmtId="0" fontId="10" fillId="0" borderId="0" xfId="4" applyFont="1" applyAlignment="1" applyProtection="1">
      <alignment vertical="center"/>
    </xf>
    <xf numFmtId="3" fontId="10" fillId="0" borderId="0" xfId="4" applyNumberFormat="1" applyFont="1" applyAlignment="1" applyProtection="1">
      <alignment vertical="center"/>
    </xf>
    <xf numFmtId="0" fontId="10" fillId="0" borderId="6" xfId="4" applyFont="1" applyBorder="1" applyAlignment="1" applyProtection="1">
      <alignment vertical="center"/>
    </xf>
    <xf numFmtId="0" fontId="10" fillId="0" borderId="6" xfId="4" applyFont="1" applyBorder="1" applyAlignment="1" applyProtection="1">
      <alignment horizontal="right" vertical="center"/>
    </xf>
    <xf numFmtId="0" fontId="10" fillId="0" borderId="6" xfId="4" applyFont="1" applyBorder="1" applyAlignment="1" applyProtection="1">
      <alignment horizontal="center" vertical="center"/>
    </xf>
    <xf numFmtId="194" fontId="10" fillId="0" borderId="22" xfId="4" applyNumberFormat="1" applyFont="1" applyBorder="1" applyAlignment="1" applyProtection="1">
      <alignment vertical="top" shrinkToFit="1"/>
    </xf>
    <xf numFmtId="195" fontId="10" fillId="0" borderId="10" xfId="4" applyNumberFormat="1" applyFont="1" applyBorder="1" applyAlignment="1" applyProtection="1">
      <alignment vertical="top" shrinkToFit="1"/>
    </xf>
    <xf numFmtId="3" fontId="10" fillId="0" borderId="0" xfId="4" applyNumberFormat="1" applyFont="1" applyBorder="1" applyProtection="1">
      <alignment vertical="center"/>
    </xf>
    <xf numFmtId="194" fontId="10" fillId="0" borderId="6" xfId="4" applyNumberFormat="1" applyFont="1" applyBorder="1" applyAlignment="1" applyProtection="1">
      <alignment vertical="top" shrinkToFit="1"/>
    </xf>
    <xf numFmtId="0" fontId="29" fillId="0" borderId="0" xfId="0" applyFont="1" applyAlignment="1">
      <alignment horizontal="distributed"/>
    </xf>
    <xf numFmtId="0" fontId="29" fillId="0" borderId="0" xfId="0" applyFont="1" applyAlignment="1">
      <alignment horizontal="center"/>
    </xf>
    <xf numFmtId="0" fontId="29" fillId="0" borderId="1" xfId="0" applyFont="1" applyBorder="1" applyAlignment="1">
      <alignment horizontal="distributed"/>
    </xf>
    <xf numFmtId="0" fontId="29" fillId="0" borderId="1" xfId="0" applyFont="1" applyBorder="1"/>
    <xf numFmtId="0" fontId="29" fillId="0" borderId="1" xfId="0" applyFont="1" applyBorder="1" applyAlignment="1">
      <alignment horizontal="center"/>
    </xf>
    <xf numFmtId="176" fontId="29" fillId="0" borderId="1" xfId="0" applyNumberFormat="1" applyFont="1" applyBorder="1" applyAlignment="1">
      <alignment horizontal="right" shrinkToFit="1"/>
    </xf>
    <xf numFmtId="176" fontId="29" fillId="0" borderId="1" xfId="0" applyNumberFormat="1" applyFont="1" applyBorder="1" applyAlignment="1">
      <alignment horizontal="right"/>
    </xf>
    <xf numFmtId="0" fontId="11" fillId="0" borderId="25" xfId="4" applyFont="1" applyFill="1" applyBorder="1" applyAlignment="1" applyProtection="1">
      <alignment horizontal="center" vertical="center" shrinkToFit="1"/>
    </xf>
    <xf numFmtId="0" fontId="29" fillId="0" borderId="1" xfId="0" applyFont="1" applyBorder="1" applyAlignment="1">
      <alignment horizontal="centerContinuous"/>
    </xf>
    <xf numFmtId="0" fontId="10" fillId="0" borderId="0" xfId="5" applyFont="1" applyProtection="1">
      <alignment vertical="center"/>
    </xf>
    <xf numFmtId="0" fontId="10" fillId="0" borderId="0" xfId="5" applyFont="1" applyBorder="1" applyAlignment="1" applyProtection="1"/>
    <xf numFmtId="0" fontId="15" fillId="0" borderId="0" xfId="5" applyFont="1" applyBorder="1" applyAlignment="1" applyProtection="1">
      <alignment vertical="center"/>
    </xf>
    <xf numFmtId="0" fontId="15" fillId="0" borderId="0" xfId="5" applyFont="1" applyFill="1" applyBorder="1" applyAlignment="1" applyProtection="1">
      <alignment horizontal="center" vertical="center" shrinkToFit="1"/>
    </xf>
    <xf numFmtId="0" fontId="10" fillId="0" borderId="0" xfId="5" applyFont="1" applyBorder="1" applyAlignment="1" applyProtection="1">
      <alignment vertical="center"/>
    </xf>
    <xf numFmtId="0" fontId="10" fillId="0" borderId="0" xfId="5" applyFont="1" applyAlignment="1" applyProtection="1"/>
    <xf numFmtId="0" fontId="11" fillId="0" borderId="0" xfId="5" applyFont="1" applyAlignment="1" applyProtection="1">
      <alignment horizontal="center"/>
    </xf>
    <xf numFmtId="0" fontId="38" fillId="0" borderId="0" xfId="5" applyFont="1" applyAlignment="1" applyProtection="1">
      <alignment horizontal="left"/>
    </xf>
    <xf numFmtId="0" fontId="15" fillId="0" borderId="0" xfId="5" applyFont="1" applyAlignment="1" applyProtection="1"/>
    <xf numFmtId="0" fontId="30" fillId="0" borderId="1" xfId="5" applyFont="1" applyBorder="1" applyAlignment="1" applyProtection="1">
      <alignment horizontal="center"/>
    </xf>
    <xf numFmtId="0" fontId="30" fillId="0" borderId="1" xfId="5" applyFont="1" applyBorder="1" applyAlignment="1" applyProtection="1">
      <alignment horizontal="center" vertical="center"/>
    </xf>
    <xf numFmtId="0" fontId="30" fillId="0" borderId="1" xfId="5" applyFont="1" applyBorder="1" applyAlignment="1" applyProtection="1">
      <alignment horizontal="left" vertical="center" shrinkToFit="1"/>
    </xf>
    <xf numFmtId="0" fontId="22" fillId="0" borderId="1" xfId="5" applyFont="1" applyBorder="1" applyAlignment="1" applyProtection="1"/>
    <xf numFmtId="0" fontId="10" fillId="0" borderId="1" xfId="5" applyFont="1" applyBorder="1" applyAlignment="1" applyProtection="1"/>
    <xf numFmtId="0" fontId="43" fillId="0" borderId="0" xfId="5" applyFont="1" applyAlignment="1" applyProtection="1"/>
    <xf numFmtId="0" fontId="10" fillId="0" borderId="1" xfId="5" applyFont="1" applyBorder="1" applyAlignment="1" applyProtection="1">
      <alignment vertical="center"/>
    </xf>
    <xf numFmtId="0" fontId="15" fillId="0" borderId="3" xfId="5" applyFont="1" applyFill="1" applyBorder="1" applyAlignment="1" applyProtection="1">
      <alignment vertical="center" shrinkToFit="1"/>
    </xf>
    <xf numFmtId="0" fontId="41" fillId="0" borderId="17" xfId="5" applyFont="1" applyFill="1" applyBorder="1" applyAlignment="1" applyProtection="1">
      <alignment horizontal="center" vertical="center"/>
    </xf>
    <xf numFmtId="0" fontId="41" fillId="0" borderId="18" xfId="5" applyFont="1" applyFill="1" applyBorder="1" applyAlignment="1" applyProtection="1">
      <alignment horizontal="center" vertical="center"/>
    </xf>
    <xf numFmtId="0" fontId="41" fillId="0" borderId="19" xfId="5" applyFont="1" applyFill="1" applyBorder="1" applyAlignment="1" applyProtection="1">
      <alignment horizontal="center" vertical="center"/>
    </xf>
    <xf numFmtId="0" fontId="15" fillId="0" borderId="27" xfId="5" applyFont="1" applyFill="1" applyBorder="1" applyAlignment="1" applyProtection="1">
      <alignment horizontal="center" vertical="center" shrinkToFit="1"/>
    </xf>
    <xf numFmtId="0" fontId="15" fillId="0" borderId="28" xfId="5" applyFont="1" applyFill="1" applyBorder="1" applyAlignment="1" applyProtection="1">
      <alignment horizontal="center" vertical="center" shrinkToFit="1"/>
    </xf>
    <xf numFmtId="0" fontId="15" fillId="0" borderId="61" xfId="5" applyFont="1" applyFill="1" applyBorder="1" applyAlignment="1" applyProtection="1">
      <alignment horizontal="center" vertical="center" shrinkToFit="1"/>
    </xf>
    <xf numFmtId="0" fontId="29" fillId="0" borderId="15" xfId="0" applyFont="1" applyBorder="1" applyAlignment="1">
      <alignment vertical="center"/>
    </xf>
    <xf numFmtId="0" fontId="11" fillId="0" borderId="20" xfId="4" applyFont="1" applyBorder="1" applyAlignment="1" applyProtection="1">
      <alignment horizontal="center" vertical="center" wrapText="1"/>
    </xf>
    <xf numFmtId="196" fontId="29" fillId="0" borderId="1" xfId="0" applyNumberFormat="1" applyFont="1" applyBorder="1" applyAlignment="1">
      <alignment horizontal="center" shrinkToFit="1"/>
    </xf>
    <xf numFmtId="197" fontId="29" fillId="2" borderId="1" xfId="0" applyNumberFormat="1" applyFont="1" applyFill="1" applyBorder="1" applyAlignment="1">
      <alignment vertical="center"/>
    </xf>
    <xf numFmtId="0" fontId="29" fillId="0" borderId="1" xfId="0" applyFont="1" applyBorder="1" applyAlignment="1">
      <alignment horizontal="left" vertical="center" shrinkToFit="1"/>
    </xf>
    <xf numFmtId="196" fontId="29" fillId="0" borderId="1" xfId="0" applyNumberFormat="1" applyFont="1" applyBorder="1" applyAlignment="1">
      <alignment horizontal="right" vertical="center" shrinkToFit="1"/>
    </xf>
    <xf numFmtId="0" fontId="29" fillId="0" borderId="0" xfId="0" applyFont="1" applyAlignment="1">
      <alignment horizontal="left" vertical="center" shrinkToFit="1"/>
    </xf>
    <xf numFmtId="176" fontId="29" fillId="0" borderId="1" xfId="0" applyNumberFormat="1" applyFont="1" applyBorder="1"/>
    <xf numFmtId="0" fontId="29" fillId="0" borderId="1" xfId="0" applyFont="1" applyBorder="1" applyAlignment="1">
      <alignment shrinkToFit="1"/>
    </xf>
    <xf numFmtId="0" fontId="29" fillId="6" borderId="1" xfId="0" applyFont="1" applyFill="1" applyBorder="1" applyAlignment="1">
      <alignment horizontal="center"/>
    </xf>
    <xf numFmtId="0" fontId="29" fillId="0" borderId="1" xfId="0" applyFont="1" applyBorder="1" applyAlignment="1">
      <alignment horizontal="center" wrapText="1"/>
    </xf>
    <xf numFmtId="0" fontId="12" fillId="0" borderId="0" xfId="0" applyFont="1" applyAlignment="1" applyProtection="1">
      <alignment horizontal="center" vertical="center" wrapText="1"/>
    </xf>
    <xf numFmtId="0" fontId="19" fillId="0" borderId="1" xfId="0" applyFont="1" applyBorder="1" applyAlignment="1" applyProtection="1">
      <alignment horizontal="center" vertical="center" wrapText="1"/>
    </xf>
    <xf numFmtId="0" fontId="19" fillId="0" borderId="0" xfId="0" applyFont="1" applyBorder="1" applyAlignment="1" applyProtection="1">
      <alignment horizontal="left" vertical="center" wrapText="1" shrinkToFit="1"/>
    </xf>
    <xf numFmtId="0" fontId="12" fillId="0" borderId="19" xfId="0" applyFont="1" applyBorder="1" applyAlignment="1" applyProtection="1">
      <alignment horizontal="center" vertical="center" wrapText="1"/>
    </xf>
    <xf numFmtId="0" fontId="19" fillId="0" borderId="0" xfId="0" applyFont="1" applyAlignment="1" applyProtection="1">
      <alignment horizontal="center" vertical="center" wrapText="1"/>
    </xf>
    <xf numFmtId="0" fontId="19" fillId="0" borderId="0" xfId="0" applyFont="1" applyBorder="1" applyAlignment="1" applyProtection="1">
      <alignment horizontal="left" vertical="center" wrapText="1"/>
    </xf>
    <xf numFmtId="0" fontId="12" fillId="0" borderId="0" xfId="0" applyFont="1" applyFill="1" applyBorder="1" applyAlignment="1" applyProtection="1">
      <alignment vertical="top" wrapText="1" shrinkToFit="1"/>
    </xf>
    <xf numFmtId="0" fontId="19" fillId="0" borderId="0" xfId="0" applyFont="1" applyAlignment="1" applyProtection="1">
      <alignment horizontal="left" vertical="center" wrapText="1"/>
    </xf>
    <xf numFmtId="0" fontId="29" fillId="0" borderId="1" xfId="0" applyFont="1" applyBorder="1" applyAlignment="1">
      <alignment horizontal="right"/>
    </xf>
    <xf numFmtId="0" fontId="29" fillId="0" borderId="1" xfId="0" applyNumberFormat="1" applyFont="1" applyBorder="1"/>
    <xf numFmtId="0" fontId="29" fillId="0" borderId="1" xfId="0" applyFont="1" applyBorder="1" applyAlignment="1">
      <alignment horizontal="left"/>
    </xf>
    <xf numFmtId="176" fontId="10" fillId="0" borderId="6" xfId="4" applyNumberFormat="1" applyFont="1" applyBorder="1" applyAlignment="1" applyProtection="1">
      <alignment horizontal="center" vertical="center"/>
    </xf>
    <xf numFmtId="203" fontId="10" fillId="0" borderId="10" xfId="4" applyNumberFormat="1" applyFont="1" applyBorder="1" applyAlignment="1" applyProtection="1">
      <alignment horizontal="center" vertical="center"/>
    </xf>
    <xf numFmtId="0" fontId="11" fillId="0" borderId="31" xfId="4" applyFont="1" applyBorder="1" applyAlignment="1" applyProtection="1">
      <alignment horizontal="center" vertical="center" wrapText="1"/>
    </xf>
    <xf numFmtId="0" fontId="11" fillId="0" borderId="13" xfId="4" applyFont="1" applyBorder="1" applyAlignment="1" applyProtection="1">
      <alignment horizontal="center" vertical="center" wrapText="1"/>
    </xf>
    <xf numFmtId="0" fontId="11" fillId="0" borderId="6" xfId="4" applyFont="1" applyBorder="1" applyAlignment="1" applyProtection="1">
      <alignment horizontal="center" vertical="center" wrapText="1"/>
    </xf>
    <xf numFmtId="0" fontId="12" fillId="0" borderId="6" xfId="0" applyFont="1" applyBorder="1" applyAlignment="1" applyProtection="1">
      <alignment horizontal="center" vertical="center" wrapText="1" shrinkToFit="1"/>
    </xf>
    <xf numFmtId="0" fontId="22" fillId="2" borderId="1" xfId="9" applyFont="1" applyFill="1" applyBorder="1" applyAlignment="1" applyProtection="1">
      <alignment horizontal="center" vertical="center" shrinkToFit="1"/>
      <protection locked="0"/>
    </xf>
    <xf numFmtId="38" fontId="19" fillId="0" borderId="1" xfId="1" applyFont="1" applyBorder="1" applyAlignment="1" applyProtection="1">
      <alignment horizontal="center" vertical="center" wrapText="1"/>
    </xf>
    <xf numFmtId="0" fontId="19" fillId="0" borderId="1" xfId="0" applyFont="1" applyBorder="1" applyAlignment="1" applyProtection="1">
      <alignment vertical="center" wrapText="1"/>
      <protection locked="0"/>
    </xf>
    <xf numFmtId="0" fontId="60" fillId="0" borderId="0" xfId="0" applyFont="1" applyBorder="1" applyAlignment="1" applyProtection="1">
      <alignment horizontal="center" vertical="center" wrapText="1"/>
    </xf>
    <xf numFmtId="38" fontId="60" fillId="0" borderId="0" xfId="1" applyFont="1" applyBorder="1" applyAlignment="1" applyProtection="1">
      <alignment horizontal="center" vertical="center" wrapText="1"/>
    </xf>
    <xf numFmtId="0" fontId="29" fillId="0" borderId="1" xfId="0" applyFont="1" applyBorder="1" applyAlignment="1" applyProtection="1">
      <alignment vertical="center" wrapText="1" shrinkToFit="1"/>
    </xf>
    <xf numFmtId="0" fontId="60" fillId="0" borderId="0" xfId="0" applyFont="1" applyAlignment="1" applyProtection="1">
      <alignment horizontal="center" vertical="center" wrapText="1"/>
    </xf>
    <xf numFmtId="0" fontId="60" fillId="0" borderId="0" xfId="0" applyFont="1" applyAlignment="1" applyProtection="1">
      <alignment vertical="center" wrapText="1"/>
    </xf>
    <xf numFmtId="0" fontId="29" fillId="0" borderId="0" xfId="0" applyFont="1" applyAlignment="1" applyProtection="1">
      <alignment horizontal="center" vertical="center" wrapText="1"/>
    </xf>
    <xf numFmtId="176" fontId="11" fillId="0" borderId="24" xfId="4" applyNumberFormat="1" applyFont="1" applyFill="1" applyBorder="1" applyAlignment="1" applyProtection="1">
      <alignment horizontal="center" vertical="center" shrinkToFit="1"/>
    </xf>
    <xf numFmtId="176" fontId="11" fillId="0" borderId="17" xfId="4" applyNumberFormat="1" applyFont="1" applyFill="1" applyBorder="1" applyAlignment="1" applyProtection="1">
      <alignment horizontal="center" vertical="center" shrinkToFit="1"/>
    </xf>
    <xf numFmtId="176" fontId="11" fillId="0" borderId="18" xfId="4" applyNumberFormat="1" applyFont="1" applyFill="1" applyBorder="1" applyAlignment="1" applyProtection="1">
      <alignment horizontal="center" vertical="center" shrinkToFit="1"/>
    </xf>
    <xf numFmtId="176" fontId="11" fillId="0" borderId="29" xfId="4" applyNumberFormat="1" applyFont="1" applyFill="1" applyBorder="1" applyAlignment="1" applyProtection="1">
      <alignment horizontal="center" vertical="center" shrinkToFit="1"/>
    </xf>
    <xf numFmtId="176" fontId="11" fillId="0" borderId="41" xfId="4" applyNumberFormat="1" applyFont="1" applyFill="1" applyBorder="1" applyAlignment="1" applyProtection="1">
      <alignment horizontal="center" vertical="center" shrinkToFit="1"/>
    </xf>
    <xf numFmtId="176" fontId="11" fillId="0" borderId="42" xfId="4" applyNumberFormat="1" applyFont="1" applyFill="1" applyBorder="1" applyAlignment="1" applyProtection="1">
      <alignment horizontal="center" vertical="center" shrinkToFit="1"/>
    </xf>
    <xf numFmtId="176" fontId="11" fillId="0" borderId="23" xfId="4" applyNumberFormat="1" applyFont="1" applyFill="1" applyBorder="1" applyAlignment="1" applyProtection="1">
      <alignment vertical="center" shrinkToFit="1"/>
    </xf>
    <xf numFmtId="0" fontId="11" fillId="0" borderId="0" xfId="4" applyFont="1" applyAlignment="1" applyProtection="1">
      <alignment vertical="center"/>
    </xf>
    <xf numFmtId="192" fontId="11" fillId="0" borderId="25" xfId="4" applyNumberFormat="1" applyFont="1" applyFill="1" applyBorder="1" applyAlignment="1" applyProtection="1">
      <alignment vertical="center" wrapText="1"/>
    </xf>
    <xf numFmtId="176" fontId="11" fillId="0" borderId="25" xfId="4" applyNumberFormat="1" applyFont="1" applyFill="1" applyBorder="1" applyAlignment="1" applyProtection="1">
      <alignment vertical="center" shrinkToFit="1"/>
    </xf>
    <xf numFmtId="191" fontId="11" fillId="0" borderId="25" xfId="4" applyNumberFormat="1" applyFont="1" applyFill="1" applyBorder="1" applyAlignment="1" applyProtection="1">
      <alignment vertical="center" wrapText="1"/>
    </xf>
    <xf numFmtId="192" fontId="11" fillId="0" borderId="1" xfId="4" applyNumberFormat="1" applyFont="1" applyFill="1" applyBorder="1" applyAlignment="1" applyProtection="1">
      <alignment vertical="center" wrapText="1"/>
    </xf>
    <xf numFmtId="177" fontId="11" fillId="0" borderId="23" xfId="4" applyNumberFormat="1" applyFont="1" applyFill="1" applyBorder="1" applyAlignment="1" applyProtection="1">
      <alignment vertical="center" wrapText="1"/>
    </xf>
    <xf numFmtId="0" fontId="11" fillId="0" borderId="22" xfId="4" applyFont="1" applyFill="1" applyBorder="1" applyAlignment="1" applyProtection="1">
      <alignment horizontal="center" vertical="center" shrinkToFit="1"/>
    </xf>
    <xf numFmtId="176" fontId="11" fillId="0" borderId="6" xfId="4" applyNumberFormat="1" applyFont="1" applyFill="1" applyBorder="1" applyAlignment="1" applyProtection="1">
      <alignment vertical="center" shrinkToFit="1"/>
    </xf>
    <xf numFmtId="176" fontId="11" fillId="0" borderId="1" xfId="4" applyNumberFormat="1" applyFont="1" applyFill="1" applyBorder="1" applyAlignment="1" applyProtection="1">
      <alignment vertical="center" shrinkToFit="1"/>
    </xf>
    <xf numFmtId="203" fontId="10" fillId="0" borderId="20" xfId="4" applyNumberFormat="1" applyFont="1" applyBorder="1" applyAlignment="1" applyProtection="1">
      <alignment horizontal="center" vertical="center"/>
    </xf>
    <xf numFmtId="0" fontId="11" fillId="0" borderId="43" xfId="4" applyFont="1" applyBorder="1" applyAlignment="1" applyProtection="1">
      <alignment horizontal="center" vertical="center" wrapText="1"/>
    </xf>
    <xf numFmtId="0" fontId="11" fillId="0" borderId="146" xfId="4" applyFont="1" applyBorder="1" applyAlignment="1" applyProtection="1">
      <alignment horizontal="center" vertical="center" wrapText="1"/>
    </xf>
    <xf numFmtId="176" fontId="11" fillId="0" borderId="173" xfId="4" applyNumberFormat="1" applyFont="1" applyFill="1" applyBorder="1" applyAlignment="1" applyProtection="1">
      <alignment horizontal="center" vertical="center" shrinkToFit="1"/>
    </xf>
    <xf numFmtId="176" fontId="11" fillId="0" borderId="174" xfId="4" applyNumberFormat="1" applyFont="1" applyFill="1" applyBorder="1" applyAlignment="1" applyProtection="1">
      <alignment horizontal="center" vertical="center" shrinkToFit="1"/>
    </xf>
    <xf numFmtId="176" fontId="11" fillId="0" borderId="175" xfId="4" applyNumberFormat="1" applyFont="1" applyFill="1" applyBorder="1" applyAlignment="1" applyProtection="1">
      <alignment horizontal="center" vertical="center" shrinkToFit="1"/>
    </xf>
    <xf numFmtId="191" fontId="11" fillId="0" borderId="22" xfId="4" applyNumberFormat="1" applyFont="1" applyFill="1" applyBorder="1" applyAlignment="1" applyProtection="1">
      <alignment vertical="center" wrapText="1"/>
    </xf>
    <xf numFmtId="191" fontId="11" fillId="0" borderId="1" xfId="4" applyNumberFormat="1" applyFont="1" applyFill="1" applyBorder="1" applyAlignment="1" applyProtection="1">
      <alignment vertical="center" wrapText="1"/>
    </xf>
    <xf numFmtId="176" fontId="11" fillId="0" borderId="22" xfId="4" applyNumberFormat="1" applyFont="1" applyFill="1" applyBorder="1" applyAlignment="1" applyProtection="1">
      <alignment vertical="center" shrinkToFit="1"/>
    </xf>
    <xf numFmtId="176" fontId="11" fillId="0" borderId="36" xfId="4" applyNumberFormat="1" applyFont="1" applyFill="1" applyBorder="1" applyAlignment="1" applyProtection="1">
      <alignment vertical="center" shrinkToFit="1"/>
    </xf>
    <xf numFmtId="0" fontId="11" fillId="0" borderId="45" xfId="4" applyFont="1" applyFill="1" applyBorder="1" applyAlignment="1" applyProtection="1">
      <alignment horizontal="center" vertical="center" shrinkToFit="1"/>
    </xf>
    <xf numFmtId="191" fontId="11" fillId="0" borderId="45" xfId="4" applyNumberFormat="1" applyFont="1" applyFill="1" applyBorder="1" applyAlignment="1" applyProtection="1">
      <alignment vertical="center" wrapText="1"/>
    </xf>
    <xf numFmtId="176" fontId="11" fillId="0" borderId="45" xfId="4" applyNumberFormat="1" applyFont="1" applyFill="1" applyBorder="1" applyAlignment="1" applyProtection="1">
      <alignment vertical="center" shrinkToFit="1"/>
    </xf>
    <xf numFmtId="0" fontId="11" fillId="0" borderId="177" xfId="4" applyFont="1" applyBorder="1" applyAlignment="1" applyProtection="1">
      <alignment horizontal="center" vertical="center"/>
    </xf>
    <xf numFmtId="192" fontId="11" fillId="0" borderId="6" xfId="4" applyNumberFormat="1" applyFont="1" applyFill="1" applyBorder="1" applyAlignment="1" applyProtection="1">
      <alignment vertical="center" wrapText="1"/>
    </xf>
    <xf numFmtId="191" fontId="11" fillId="0" borderId="6" xfId="4" applyNumberFormat="1" applyFont="1" applyFill="1" applyBorder="1" applyAlignment="1" applyProtection="1">
      <alignment vertical="center" wrapText="1"/>
    </xf>
    <xf numFmtId="0" fontId="11" fillId="0" borderId="93" xfId="4" applyFont="1" applyFill="1" applyBorder="1" applyAlignment="1" applyProtection="1">
      <alignment horizontal="center" vertical="center" shrinkToFit="1"/>
    </xf>
    <xf numFmtId="0" fontId="11" fillId="0" borderId="40" xfId="4" applyFont="1" applyFill="1" applyBorder="1" applyAlignment="1" applyProtection="1">
      <alignment horizontal="center" vertical="center" shrinkToFit="1"/>
    </xf>
    <xf numFmtId="191" fontId="11" fillId="0" borderId="93" xfId="4" applyNumberFormat="1" applyFont="1" applyFill="1" applyBorder="1" applyAlignment="1" applyProtection="1">
      <alignment vertical="center" wrapText="1"/>
    </xf>
    <xf numFmtId="191" fontId="11" fillId="0" borderId="40" xfId="4" applyNumberFormat="1" applyFont="1" applyFill="1" applyBorder="1" applyAlignment="1" applyProtection="1">
      <alignment vertical="center" wrapText="1"/>
    </xf>
    <xf numFmtId="176" fontId="11" fillId="0" borderId="40" xfId="4" applyNumberFormat="1" applyFont="1" applyFill="1" applyBorder="1" applyAlignment="1" applyProtection="1">
      <alignment vertical="center" shrinkToFit="1"/>
    </xf>
    <xf numFmtId="0" fontId="11" fillId="0" borderId="93" xfId="4" applyFont="1" applyBorder="1" applyAlignment="1" applyProtection="1">
      <alignment horizontal="center" vertical="center" wrapText="1"/>
    </xf>
    <xf numFmtId="176" fontId="11" fillId="0" borderId="93" xfId="4" applyNumberFormat="1" applyFont="1" applyFill="1" applyBorder="1" applyAlignment="1" applyProtection="1">
      <alignment vertical="center" shrinkToFit="1"/>
    </xf>
    <xf numFmtId="176" fontId="11" fillId="0" borderId="178" xfId="4" applyNumberFormat="1" applyFont="1" applyFill="1" applyBorder="1" applyAlignment="1" applyProtection="1">
      <alignment horizontal="center" vertical="center" shrinkToFit="1"/>
    </xf>
    <xf numFmtId="176" fontId="11" fillId="0" borderId="179" xfId="4" applyNumberFormat="1" applyFont="1" applyFill="1" applyBorder="1" applyAlignment="1" applyProtection="1">
      <alignment horizontal="center" vertical="center" shrinkToFit="1"/>
    </xf>
    <xf numFmtId="176" fontId="11" fillId="0" borderId="180" xfId="4" applyNumberFormat="1" applyFont="1" applyFill="1" applyBorder="1" applyAlignment="1" applyProtection="1">
      <alignment horizontal="center" vertical="center" shrinkToFit="1"/>
    </xf>
    <xf numFmtId="0" fontId="11" fillId="0" borderId="0" xfId="4" applyFont="1" applyBorder="1" applyAlignment="1" applyProtection="1">
      <alignment vertical="center"/>
    </xf>
    <xf numFmtId="194" fontId="10" fillId="0" borderId="12" xfId="4" applyNumberFormat="1" applyFont="1" applyFill="1" applyBorder="1" applyAlignment="1" applyProtection="1">
      <alignment vertical="center" shrinkToFit="1"/>
    </xf>
    <xf numFmtId="195" fontId="10" fillId="0" borderId="51" xfId="4" applyNumberFormat="1" applyFont="1" applyFill="1" applyBorder="1" applyAlignment="1" applyProtection="1">
      <alignment vertical="center" shrinkToFit="1"/>
    </xf>
    <xf numFmtId="0" fontId="11" fillId="0" borderId="35" xfId="4" applyFont="1" applyFill="1" applyBorder="1" applyAlignment="1" applyProtection="1">
      <alignment vertical="center"/>
    </xf>
    <xf numFmtId="0" fontId="11" fillId="0" borderId="1" xfId="4" applyFont="1" applyFill="1" applyBorder="1" applyAlignment="1" applyProtection="1">
      <alignment horizontal="center" vertical="center"/>
    </xf>
    <xf numFmtId="0" fontId="11" fillId="0" borderId="1" xfId="4" applyFont="1" applyFill="1" applyBorder="1" applyAlignment="1" applyProtection="1">
      <alignment horizontal="center" vertical="center" wrapText="1"/>
    </xf>
    <xf numFmtId="0" fontId="30" fillId="0" borderId="1" xfId="4" applyFont="1" applyFill="1" applyBorder="1" applyAlignment="1" applyProtection="1">
      <alignment horizontal="center" vertical="center"/>
    </xf>
    <xf numFmtId="0" fontId="11" fillId="0" borderId="186" xfId="4" applyFont="1" applyBorder="1" applyAlignment="1" applyProtection="1">
      <alignment horizontal="center" vertical="center"/>
    </xf>
    <xf numFmtId="0" fontId="11" fillId="0" borderId="78" xfId="4" applyFont="1" applyBorder="1" applyAlignment="1" applyProtection="1">
      <alignment horizontal="center" vertical="center"/>
    </xf>
    <xf numFmtId="0" fontId="11" fillId="0" borderId="78" xfId="4" applyFont="1" applyFill="1" applyBorder="1" applyAlignment="1" applyProtection="1">
      <alignment horizontal="center" vertical="center"/>
    </xf>
    <xf numFmtId="3" fontId="11" fillId="0" borderId="78" xfId="4" applyNumberFormat="1" applyFont="1" applyFill="1" applyBorder="1" applyAlignment="1" applyProtection="1">
      <alignment vertical="center"/>
    </xf>
    <xf numFmtId="176" fontId="11" fillId="0" borderId="78" xfId="4" applyNumberFormat="1" applyFont="1" applyFill="1" applyBorder="1" applyAlignment="1" applyProtection="1">
      <alignment vertical="center" shrinkToFit="1"/>
    </xf>
    <xf numFmtId="176" fontId="11" fillId="0" borderId="12" xfId="4" applyNumberFormat="1" applyFont="1" applyFill="1" applyBorder="1" applyAlignment="1" applyProtection="1">
      <alignment vertical="center" shrinkToFit="1"/>
    </xf>
    <xf numFmtId="0" fontId="11" fillId="0" borderId="78" xfId="4" applyFont="1" applyFill="1" applyBorder="1" applyAlignment="1" applyProtection="1">
      <alignment vertical="center"/>
    </xf>
    <xf numFmtId="176" fontId="11" fillId="0" borderId="77" xfId="4" applyNumberFormat="1" applyFont="1" applyFill="1" applyBorder="1" applyAlignment="1" applyProtection="1">
      <alignment vertical="center" shrinkToFit="1"/>
    </xf>
    <xf numFmtId="0" fontId="11" fillId="0" borderId="35" xfId="4" applyFont="1" applyBorder="1" applyAlignment="1" applyProtection="1">
      <alignment vertical="center"/>
    </xf>
    <xf numFmtId="176" fontId="11" fillId="0" borderId="36" xfId="4" applyNumberFormat="1" applyFont="1" applyFill="1" applyBorder="1" applyAlignment="1" applyProtection="1">
      <alignment vertical="center"/>
    </xf>
    <xf numFmtId="0" fontId="39" fillId="0" borderId="0" xfId="4" applyFont="1" applyProtection="1">
      <alignment vertical="center"/>
    </xf>
    <xf numFmtId="0" fontId="39" fillId="0" borderId="0" xfId="4" applyFont="1" applyBorder="1" applyProtection="1">
      <alignment vertical="center"/>
    </xf>
    <xf numFmtId="194" fontId="10" fillId="0" borderId="22" xfId="4" applyNumberFormat="1" applyFont="1" applyFill="1" applyBorder="1" applyAlignment="1" applyProtection="1">
      <alignment vertical="top" shrinkToFit="1"/>
    </xf>
    <xf numFmtId="195" fontId="10" fillId="0" borderId="10" xfId="4" applyNumberFormat="1" applyFont="1" applyFill="1" applyBorder="1" applyAlignment="1" applyProtection="1">
      <alignment vertical="top" shrinkToFit="1"/>
    </xf>
    <xf numFmtId="194" fontId="10" fillId="0" borderId="6" xfId="4" applyNumberFormat="1" applyFont="1" applyFill="1" applyBorder="1" applyAlignment="1" applyProtection="1">
      <alignment vertical="top" shrinkToFit="1"/>
    </xf>
    <xf numFmtId="195" fontId="10" fillId="0" borderId="20" xfId="4" applyNumberFormat="1" applyFont="1" applyFill="1" applyBorder="1" applyAlignment="1" applyProtection="1">
      <alignment vertical="top" shrinkToFit="1"/>
    </xf>
    <xf numFmtId="176" fontId="11" fillId="0" borderId="176" xfId="4" applyNumberFormat="1" applyFont="1" applyFill="1" applyBorder="1" applyAlignment="1" applyProtection="1">
      <alignment horizontal="center" vertical="center" shrinkToFit="1"/>
    </xf>
    <xf numFmtId="176" fontId="11" fillId="0" borderId="172" xfId="4" applyNumberFormat="1" applyFont="1" applyFill="1" applyBorder="1" applyAlignment="1" applyProtection="1">
      <alignment horizontal="center" vertical="center" shrinkToFit="1"/>
    </xf>
    <xf numFmtId="176" fontId="11" fillId="0" borderId="188" xfId="4" applyNumberFormat="1" applyFont="1" applyFill="1" applyBorder="1" applyAlignment="1" applyProtection="1">
      <alignment horizontal="center" vertical="center" shrinkToFit="1"/>
    </xf>
    <xf numFmtId="3" fontId="11" fillId="0" borderId="179" xfId="4" applyNumberFormat="1" applyFont="1" applyFill="1" applyBorder="1" applyAlignment="1" applyProtection="1">
      <alignment horizontal="center" vertical="center" shrinkToFit="1"/>
    </xf>
    <xf numFmtId="3" fontId="11" fillId="0" borderId="18" xfId="4" applyNumberFormat="1" applyFont="1" applyFill="1" applyBorder="1" applyAlignment="1" applyProtection="1">
      <alignment horizontal="center" vertical="center" shrinkToFit="1"/>
    </xf>
    <xf numFmtId="3" fontId="11" fillId="0" borderId="174" xfId="4" applyNumberFormat="1" applyFont="1" applyFill="1" applyBorder="1" applyAlignment="1" applyProtection="1">
      <alignment horizontal="center" vertical="center" shrinkToFit="1"/>
    </xf>
    <xf numFmtId="3" fontId="11" fillId="0" borderId="172" xfId="4" applyNumberFormat="1" applyFont="1" applyFill="1" applyBorder="1" applyAlignment="1" applyProtection="1">
      <alignment horizontal="center" vertical="center" shrinkToFit="1"/>
    </xf>
    <xf numFmtId="176" fontId="10" fillId="0" borderId="20" xfId="4" applyNumberFormat="1" applyFont="1" applyFill="1" applyBorder="1" applyAlignment="1" applyProtection="1">
      <alignment vertical="top" shrinkToFit="1"/>
    </xf>
    <xf numFmtId="177" fontId="10" fillId="0" borderId="1" xfId="0" applyNumberFormat="1" applyFont="1" applyFill="1" applyBorder="1" applyAlignment="1" applyProtection="1">
      <alignment horizontal="center" vertical="center" shrinkToFit="1"/>
    </xf>
    <xf numFmtId="0" fontId="22" fillId="2" borderId="1" xfId="10" applyFont="1" applyFill="1" applyBorder="1" applyAlignment="1" applyProtection="1">
      <alignment horizontal="center" vertical="center" shrinkToFit="1"/>
      <protection locked="0"/>
    </xf>
    <xf numFmtId="0" fontId="22" fillId="2" borderId="2" xfId="10" applyFont="1" applyFill="1" applyBorder="1" applyAlignment="1" applyProtection="1">
      <alignment horizontal="center" vertical="center" shrinkToFit="1"/>
      <protection locked="0"/>
    </xf>
    <xf numFmtId="178" fontId="10" fillId="2" borderId="1" xfId="10" applyNumberFormat="1" applyFont="1" applyFill="1" applyBorder="1" applyAlignment="1" applyProtection="1">
      <alignment horizontal="center" vertical="center" shrinkToFit="1"/>
      <protection locked="0"/>
    </xf>
    <xf numFmtId="224" fontId="10" fillId="2" borderId="1" xfId="10" applyNumberFormat="1" applyFont="1" applyFill="1" applyBorder="1" applyAlignment="1" applyProtection="1">
      <alignment horizontal="right" vertical="center" shrinkToFit="1"/>
      <protection locked="0"/>
    </xf>
    <xf numFmtId="176" fontId="11" fillId="0" borderId="7" xfId="0" applyNumberFormat="1" applyFont="1" applyBorder="1" applyAlignment="1">
      <alignment vertical="center"/>
    </xf>
    <xf numFmtId="176" fontId="0" fillId="0" borderId="8" xfId="0" applyNumberFormat="1" applyBorder="1" applyAlignment="1">
      <alignment vertical="center"/>
    </xf>
    <xf numFmtId="176" fontId="0" fillId="0" borderId="9" xfId="0" applyNumberFormat="1" applyBorder="1" applyAlignment="1">
      <alignment vertical="center"/>
    </xf>
    <xf numFmtId="0" fontId="29" fillId="0" borderId="1" xfId="0" applyFont="1" applyBorder="1" applyAlignment="1" applyProtection="1">
      <alignment vertical="center" shrinkToFit="1"/>
    </xf>
    <xf numFmtId="0" fontId="19" fillId="0" borderId="0" xfId="0" applyFont="1" applyAlignment="1" applyProtection="1">
      <alignment vertical="center"/>
    </xf>
    <xf numFmtId="0" fontId="12" fillId="0" borderId="1" xfId="0" applyFont="1" applyBorder="1" applyAlignment="1" applyProtection="1">
      <alignment vertical="center"/>
    </xf>
    <xf numFmtId="0" fontId="19" fillId="0" borderId="0" xfId="0" applyFont="1" applyAlignment="1" applyProtection="1">
      <alignment horizontal="center" vertical="center"/>
    </xf>
    <xf numFmtId="0" fontId="12" fillId="0" borderId="6" xfId="0" applyFont="1" applyBorder="1" applyAlignment="1" applyProtection="1">
      <alignment vertical="center"/>
    </xf>
    <xf numFmtId="0" fontId="29" fillId="0" borderId="2" xfId="0" applyFont="1" applyBorder="1" applyAlignment="1" applyProtection="1">
      <alignment vertical="center" shrinkToFit="1"/>
    </xf>
    <xf numFmtId="14" fontId="12" fillId="0" borderId="183" xfId="0" applyNumberFormat="1" applyFont="1" applyBorder="1" applyAlignment="1" applyProtection="1">
      <alignment vertical="center"/>
    </xf>
    <xf numFmtId="14" fontId="12" fillId="0" borderId="184" xfId="0" applyNumberFormat="1" applyFont="1" applyBorder="1" applyAlignment="1" applyProtection="1">
      <alignment vertical="center"/>
    </xf>
    <xf numFmtId="14" fontId="12" fillId="0" borderId="185" xfId="0" applyNumberFormat="1" applyFont="1" applyBorder="1" applyAlignment="1" applyProtection="1">
      <alignment vertical="center"/>
    </xf>
    <xf numFmtId="0" fontId="12" fillId="0" borderId="10" xfId="0" applyFont="1" applyBorder="1" applyAlignment="1" applyProtection="1">
      <alignment vertical="center"/>
    </xf>
    <xf numFmtId="0" fontId="47" fillId="0" borderId="0" xfId="8" applyFont="1" applyAlignment="1" applyProtection="1">
      <alignment horizontal="center"/>
    </xf>
    <xf numFmtId="0" fontId="28" fillId="0" borderId="0" xfId="8" applyFont="1" applyAlignment="1" applyProtection="1">
      <alignment horizontal="center"/>
    </xf>
    <xf numFmtId="0" fontId="47" fillId="0" borderId="0" xfId="8" applyFont="1" applyAlignment="1" applyProtection="1">
      <alignment horizontal="left"/>
    </xf>
    <xf numFmtId="176" fontId="47" fillId="0" borderId="0" xfId="8" applyNumberFormat="1" applyFont="1" applyProtection="1"/>
    <xf numFmtId="206" fontId="47" fillId="0" borderId="0" xfId="8" applyNumberFormat="1" applyFont="1" applyProtection="1"/>
    <xf numFmtId="0" fontId="47" fillId="0" borderId="0" xfId="8" applyFont="1" applyAlignment="1" applyProtection="1">
      <alignment horizontal="center" wrapText="1"/>
    </xf>
    <xf numFmtId="0" fontId="47" fillId="0" borderId="0" xfId="8" applyFont="1" applyAlignment="1" applyProtection="1">
      <alignment wrapText="1"/>
    </xf>
    <xf numFmtId="204" fontId="47" fillId="0" borderId="0" xfId="8" applyNumberFormat="1" applyFont="1" applyProtection="1"/>
    <xf numFmtId="204" fontId="47" fillId="0" borderId="0" xfId="8" applyNumberFormat="1" applyFont="1" applyAlignment="1" applyProtection="1">
      <alignment horizontal="center"/>
    </xf>
    <xf numFmtId="0" fontId="47" fillId="0" borderId="0" xfId="8" applyFont="1" applyAlignment="1" applyProtection="1"/>
    <xf numFmtId="0" fontId="47" fillId="0" borderId="2" xfId="8" applyFont="1" applyBorder="1" applyAlignment="1" applyProtection="1"/>
    <xf numFmtId="0" fontId="0" fillId="0" borderId="0" xfId="0" applyAlignment="1" applyProtection="1">
      <alignment horizontal="left" vertical="center"/>
    </xf>
    <xf numFmtId="0" fontId="50" fillId="0" borderId="0" xfId="9" applyFont="1" applyAlignment="1" applyProtection="1">
      <alignment horizontal="left" wrapText="1"/>
    </xf>
    <xf numFmtId="204" fontId="47" fillId="0" borderId="1" xfId="8" applyNumberFormat="1" applyFont="1" applyBorder="1" applyAlignment="1" applyProtection="1">
      <alignment horizontal="center"/>
    </xf>
    <xf numFmtId="204" fontId="47" fillId="0" borderId="0" xfId="8" applyNumberFormat="1" applyFont="1" applyAlignment="1" applyProtection="1">
      <alignment shrinkToFit="1"/>
    </xf>
    <xf numFmtId="20" fontId="47" fillId="0" borderId="0" xfId="8" applyNumberFormat="1" applyFont="1" applyProtection="1"/>
    <xf numFmtId="0" fontId="15" fillId="0" borderId="0" xfId="8" applyFont="1" applyAlignment="1" applyProtection="1">
      <alignment horizontal="center" vertical="center"/>
    </xf>
    <xf numFmtId="0" fontId="15" fillId="0" borderId="0" xfId="8" applyFont="1" applyAlignment="1" applyProtection="1">
      <alignment horizontal="center"/>
    </xf>
    <xf numFmtId="0" fontId="15" fillId="0" borderId="100" xfId="8" applyFont="1" applyBorder="1" applyAlignment="1" applyProtection="1">
      <alignment horizontal="center" vertical="center" shrinkToFit="1"/>
    </xf>
    <xf numFmtId="0" fontId="15" fillId="0" borderId="114" xfId="8" applyFont="1" applyBorder="1" applyAlignment="1" applyProtection="1">
      <alignment horizontal="center" vertical="center" shrinkToFit="1"/>
    </xf>
    <xf numFmtId="0" fontId="15" fillId="0" borderId="2" xfId="8" applyFont="1" applyBorder="1" applyAlignment="1" applyProtection="1">
      <alignment horizontal="center" vertical="center" shrinkToFit="1"/>
    </xf>
    <xf numFmtId="0" fontId="15" fillId="0" borderId="48" xfId="8" applyFont="1" applyBorder="1" applyAlignment="1" applyProtection="1">
      <alignment horizontal="center" vertical="center" shrinkToFit="1"/>
    </xf>
    <xf numFmtId="0" fontId="15" fillId="0" borderId="6" xfId="8" applyFont="1" applyBorder="1" applyAlignment="1" applyProtection="1">
      <alignment horizontal="center" vertical="center" shrinkToFit="1"/>
    </xf>
    <xf numFmtId="0" fontId="15" fillId="0" borderId="115" xfId="8" applyFont="1" applyBorder="1" applyAlignment="1" applyProtection="1">
      <alignment horizontal="center" vertical="center" shrinkToFit="1"/>
    </xf>
    <xf numFmtId="0" fontId="15" fillId="0" borderId="13" xfId="8" applyFont="1" applyBorder="1" applyAlignment="1" applyProtection="1">
      <alignment horizontal="center" vertical="center" shrinkToFit="1"/>
    </xf>
    <xf numFmtId="0" fontId="15" fillId="0" borderId="118" xfId="8" applyFont="1" applyBorder="1" applyAlignment="1" applyProtection="1">
      <alignment horizontal="center" vertical="center" shrinkToFit="1"/>
    </xf>
    <xf numFmtId="0" fontId="15" fillId="0" borderId="74" xfId="8" applyFont="1" applyBorder="1" applyAlignment="1" applyProtection="1">
      <alignment horizontal="center" vertical="center" shrinkToFit="1"/>
    </xf>
    <xf numFmtId="0" fontId="15" fillId="0" borderId="119" xfId="8" applyFont="1" applyBorder="1" applyAlignment="1" applyProtection="1">
      <alignment horizontal="center" vertical="center" shrinkToFit="1"/>
    </xf>
    <xf numFmtId="0" fontId="15" fillId="0" borderId="72" xfId="8" applyFont="1" applyBorder="1" applyAlignment="1" applyProtection="1">
      <alignment horizontal="center" vertical="center" shrinkToFit="1"/>
    </xf>
    <xf numFmtId="0" fontId="15" fillId="0" borderId="121" xfId="9" applyFont="1" applyBorder="1" applyAlignment="1" applyProtection="1">
      <alignment horizontal="center" vertical="center"/>
    </xf>
    <xf numFmtId="0" fontId="15" fillId="0" borderId="118" xfId="8" applyFont="1" applyFill="1" applyBorder="1" applyAlignment="1" applyProtection="1">
      <alignment horizontal="center" vertical="center" shrinkToFit="1"/>
    </xf>
    <xf numFmtId="0" fontId="15" fillId="0" borderId="40" xfId="8" applyFont="1" applyFill="1" applyBorder="1" applyAlignment="1" applyProtection="1">
      <alignment horizontal="center" vertical="center" shrinkToFit="1"/>
    </xf>
    <xf numFmtId="0" fontId="15" fillId="0" borderId="72" xfId="8" applyFont="1" applyFill="1" applyBorder="1" applyAlignment="1" applyProtection="1">
      <alignment horizontal="center" vertical="center" shrinkToFit="1"/>
    </xf>
    <xf numFmtId="0" fontId="15" fillId="0" borderId="128" xfId="8" applyFont="1" applyFill="1" applyBorder="1" applyAlignment="1" applyProtection="1">
      <alignment horizontal="center" vertical="center" shrinkToFit="1"/>
    </xf>
    <xf numFmtId="209" fontId="15" fillId="4" borderId="48" xfId="8" applyNumberFormat="1" applyFont="1" applyFill="1" applyBorder="1" applyAlignment="1" applyProtection="1">
      <alignment horizontal="center" vertical="center" shrinkToFit="1"/>
    </xf>
    <xf numFmtId="209" fontId="15" fillId="4" borderId="6" xfId="8" applyNumberFormat="1" applyFont="1" applyFill="1" applyBorder="1" applyAlignment="1" applyProtection="1">
      <alignment horizontal="center" vertical="center" shrinkToFit="1"/>
    </xf>
    <xf numFmtId="209" fontId="15" fillId="4" borderId="115" xfId="8" applyNumberFormat="1" applyFont="1" applyFill="1" applyBorder="1" applyAlignment="1" applyProtection="1">
      <alignment horizontal="center" vertical="center" shrinkToFit="1"/>
    </xf>
    <xf numFmtId="209" fontId="15" fillId="4" borderId="13" xfId="8" applyNumberFormat="1" applyFont="1" applyFill="1" applyBorder="1" applyAlignment="1" applyProtection="1">
      <alignment horizontal="center" vertical="center" shrinkToFit="1"/>
    </xf>
    <xf numFmtId="0" fontId="15" fillId="0" borderId="88" xfId="9" applyFont="1" applyBorder="1" applyAlignment="1" applyProtection="1">
      <alignment horizontal="center" vertical="center"/>
    </xf>
    <xf numFmtId="209" fontId="15" fillId="0" borderId="100" xfId="8" applyNumberFormat="1" applyFont="1" applyBorder="1" applyAlignment="1" applyProtection="1">
      <alignment horizontal="center" vertical="center" shrinkToFit="1"/>
    </xf>
    <xf numFmtId="209" fontId="15" fillId="0" borderId="1" xfId="8" applyNumberFormat="1" applyFont="1" applyBorder="1" applyAlignment="1" applyProtection="1">
      <alignment horizontal="center" vertical="center" shrinkToFit="1"/>
    </xf>
    <xf numFmtId="209" fontId="15" fillId="0" borderId="114" xfId="8" applyNumberFormat="1" applyFont="1" applyBorder="1" applyAlignment="1" applyProtection="1">
      <alignment horizontal="center" vertical="center" shrinkToFit="1"/>
    </xf>
    <xf numFmtId="209" fontId="15" fillId="0" borderId="4" xfId="8" applyNumberFormat="1" applyFont="1" applyBorder="1" applyAlignment="1" applyProtection="1">
      <alignment horizontal="center" vertical="center" shrinkToFit="1"/>
    </xf>
    <xf numFmtId="209" fontId="15" fillId="0" borderId="2" xfId="8" applyNumberFormat="1" applyFont="1" applyBorder="1" applyAlignment="1" applyProtection="1">
      <alignment horizontal="center" vertical="center" shrinkToFit="1"/>
    </xf>
    <xf numFmtId="0" fontId="4" fillId="0" borderId="0" xfId="9" applyAlignment="1" applyProtection="1">
      <alignment horizontal="center" shrinkToFit="1"/>
    </xf>
    <xf numFmtId="209" fontId="15" fillId="0" borderId="118" xfId="8" applyNumberFormat="1" applyFont="1" applyFill="1" applyBorder="1" applyAlignment="1" applyProtection="1">
      <alignment horizontal="center" vertical="center" shrinkToFit="1"/>
    </xf>
    <xf numFmtId="209" fontId="15" fillId="0" borderId="40" xfId="8" applyNumberFormat="1" applyFont="1" applyFill="1" applyBorder="1" applyAlignment="1" applyProtection="1">
      <alignment horizontal="center" vertical="center" shrinkToFit="1"/>
    </xf>
    <xf numFmtId="209" fontId="15" fillId="0" borderId="160" xfId="8" applyNumberFormat="1" applyFont="1" applyFill="1" applyBorder="1" applyAlignment="1" applyProtection="1">
      <alignment horizontal="center" vertical="center" shrinkToFit="1"/>
    </xf>
    <xf numFmtId="209" fontId="15" fillId="0" borderId="74" xfId="8" applyNumberFormat="1" applyFont="1" applyFill="1" applyBorder="1" applyAlignment="1" applyProtection="1">
      <alignment horizontal="center" vertical="center" shrinkToFit="1"/>
    </xf>
    <xf numFmtId="14" fontId="47" fillId="0" borderId="0" xfId="8" applyNumberFormat="1" applyFont="1" applyAlignment="1" applyProtection="1">
      <alignment horizontal="justify"/>
    </xf>
    <xf numFmtId="213" fontId="47" fillId="0" borderId="0" xfId="8" applyNumberFormat="1" applyFont="1" applyProtection="1"/>
    <xf numFmtId="214" fontId="47" fillId="0" borderId="0" xfId="8" applyNumberFormat="1" applyFont="1" applyProtection="1"/>
    <xf numFmtId="213" fontId="47" fillId="8" borderId="0" xfId="8" applyNumberFormat="1" applyFont="1" applyFill="1" applyProtection="1"/>
    <xf numFmtId="14" fontId="15" fillId="0" borderId="0" xfId="8" applyNumberFormat="1" applyFont="1" applyAlignment="1" applyProtection="1">
      <alignment horizontal="justify" vertical="center"/>
    </xf>
    <xf numFmtId="176" fontId="15" fillId="0" borderId="0" xfId="8" applyNumberFormat="1" applyFont="1" applyAlignment="1" applyProtection="1">
      <alignment vertical="center"/>
    </xf>
    <xf numFmtId="213" fontId="15" fillId="0" borderId="0" xfId="8" applyNumberFormat="1" applyFont="1" applyAlignment="1" applyProtection="1">
      <alignment vertical="center"/>
    </xf>
    <xf numFmtId="214" fontId="15" fillId="0" borderId="0" xfId="8" applyNumberFormat="1" applyFont="1" applyAlignment="1" applyProtection="1">
      <alignment vertical="center"/>
    </xf>
    <xf numFmtId="213" fontId="15" fillId="8" borderId="0" xfId="8" applyNumberFormat="1" applyFont="1" applyFill="1" applyAlignment="1" applyProtection="1">
      <alignment vertical="center"/>
    </xf>
    <xf numFmtId="0" fontId="4" fillId="0" borderId="0" xfId="9" applyAlignment="1" applyProtection="1"/>
    <xf numFmtId="0" fontId="47" fillId="0" borderId="1" xfId="8" applyFont="1" applyBorder="1" applyProtection="1"/>
    <xf numFmtId="0" fontId="47" fillId="0" borderId="1" xfId="8" applyFont="1" applyBorder="1" applyAlignment="1" applyProtection="1">
      <alignment horizontal="center"/>
    </xf>
    <xf numFmtId="49" fontId="47" fillId="0" borderId="1" xfId="8" applyNumberFormat="1" applyFont="1" applyBorder="1" applyAlignment="1" applyProtection="1">
      <alignment horizontal="center"/>
    </xf>
    <xf numFmtId="14" fontId="47" fillId="0" borderId="1" xfId="8" applyNumberFormat="1" applyFont="1" applyBorder="1" applyAlignment="1" applyProtection="1">
      <alignment horizontal="left"/>
    </xf>
    <xf numFmtId="0" fontId="47" fillId="0" borderId="1" xfId="8" applyFont="1" applyBorder="1" applyAlignment="1" applyProtection="1">
      <alignment horizontal="left"/>
    </xf>
    <xf numFmtId="214" fontId="47" fillId="0" borderId="1" xfId="8" applyNumberFormat="1" applyFont="1" applyBorder="1" applyProtection="1"/>
    <xf numFmtId="20" fontId="47" fillId="0" borderId="1" xfId="8" applyNumberFormat="1" applyFont="1" applyBorder="1" applyProtection="1"/>
    <xf numFmtId="0" fontId="15" fillId="2" borderId="122" xfId="8" applyFont="1" applyFill="1" applyBorder="1" applyAlignment="1" applyProtection="1">
      <alignment horizontal="center" vertical="center" shrinkToFit="1"/>
      <protection locked="0"/>
    </xf>
    <xf numFmtId="0" fontId="15" fillId="2" borderId="11" xfId="8" applyFont="1" applyFill="1" applyBorder="1" applyAlignment="1" applyProtection="1">
      <alignment horizontal="center" vertical="center" shrinkToFit="1"/>
      <protection locked="0"/>
    </xf>
    <xf numFmtId="0" fontId="15" fillId="2" borderId="123" xfId="8" applyFont="1" applyFill="1" applyBorder="1" applyAlignment="1" applyProtection="1">
      <alignment horizontal="center" vertical="center" shrinkToFit="1"/>
      <protection locked="0"/>
    </xf>
    <xf numFmtId="0" fontId="15" fillId="2" borderId="69" xfId="8" applyFont="1" applyFill="1" applyBorder="1" applyAlignment="1" applyProtection="1">
      <alignment horizontal="center" vertical="center" shrinkToFit="1"/>
      <protection locked="0"/>
    </xf>
    <xf numFmtId="0" fontId="15" fillId="2" borderId="48" xfId="8" applyFont="1" applyFill="1" applyBorder="1" applyAlignment="1" applyProtection="1">
      <alignment horizontal="center" vertical="center" shrinkToFit="1"/>
      <protection locked="0"/>
    </xf>
    <xf numFmtId="0" fontId="15" fillId="2" borderId="6" xfId="8" applyFont="1" applyFill="1" applyBorder="1" applyAlignment="1" applyProtection="1">
      <alignment horizontal="center" vertical="center" shrinkToFit="1"/>
      <protection locked="0"/>
    </xf>
    <xf numFmtId="0" fontId="15" fillId="2" borderId="115" xfId="8" applyFont="1" applyFill="1" applyBorder="1" applyAlignment="1" applyProtection="1">
      <alignment horizontal="center" vertical="center" shrinkToFit="1"/>
      <protection locked="0"/>
    </xf>
    <xf numFmtId="0" fontId="15" fillId="2" borderId="13" xfId="8" applyFont="1" applyFill="1" applyBorder="1" applyAlignment="1" applyProtection="1">
      <alignment horizontal="center" vertical="center" shrinkToFit="1"/>
      <protection locked="0"/>
    </xf>
    <xf numFmtId="209" fontId="15" fillId="2" borderId="49" xfId="8" applyNumberFormat="1" applyFont="1" applyFill="1" applyBorder="1" applyAlignment="1" applyProtection="1">
      <alignment horizontal="center" vertical="center" shrinkToFit="1"/>
      <protection locked="0"/>
    </xf>
    <xf numFmtId="209" fontId="15" fillId="2" borderId="12" xfId="8" applyNumberFormat="1" applyFont="1" applyFill="1" applyBorder="1" applyAlignment="1" applyProtection="1">
      <alignment horizontal="center" vertical="center" shrinkToFit="1"/>
      <protection locked="0"/>
    </xf>
    <xf numFmtId="209" fontId="15" fillId="2" borderId="50" xfId="8" applyNumberFormat="1" applyFont="1" applyFill="1" applyBorder="1" applyAlignment="1" applyProtection="1">
      <alignment horizontal="center" vertical="center" shrinkToFit="1"/>
      <protection locked="0"/>
    </xf>
    <xf numFmtId="209" fontId="15" fillId="2" borderId="76" xfId="8" applyNumberFormat="1" applyFont="1" applyFill="1" applyBorder="1" applyAlignment="1" applyProtection="1">
      <alignment horizontal="center" vertical="center" shrinkToFit="1"/>
      <protection locked="0"/>
    </xf>
    <xf numFmtId="209" fontId="15" fillId="2" borderId="104" xfId="8" applyNumberFormat="1" applyFont="1" applyFill="1" applyBorder="1" applyAlignment="1" applyProtection="1">
      <alignment horizontal="center" vertical="center" shrinkToFit="1"/>
      <protection locked="0"/>
    </xf>
    <xf numFmtId="209" fontId="15" fillId="2" borderId="105" xfId="8" applyNumberFormat="1" applyFont="1" applyFill="1" applyBorder="1" applyAlignment="1" applyProtection="1">
      <alignment horizontal="center" vertical="center" shrinkToFit="1"/>
      <protection locked="0"/>
    </xf>
    <xf numFmtId="209" fontId="15" fillId="2" borderId="132" xfId="8" applyNumberFormat="1" applyFont="1" applyFill="1" applyBorder="1" applyAlignment="1" applyProtection="1">
      <alignment horizontal="center" vertical="center" shrinkToFit="1"/>
      <protection locked="0"/>
    </xf>
    <xf numFmtId="209" fontId="15" fillId="2" borderId="106" xfId="8" applyNumberFormat="1" applyFont="1" applyFill="1" applyBorder="1" applyAlignment="1" applyProtection="1">
      <alignment horizontal="center" vertical="center" shrinkToFit="1"/>
      <protection locked="0"/>
    </xf>
    <xf numFmtId="0" fontId="10" fillId="2" borderId="122" xfId="8" applyFont="1" applyFill="1" applyBorder="1" applyAlignment="1" applyProtection="1">
      <alignment horizontal="center" vertical="center" shrinkToFit="1"/>
      <protection locked="0"/>
    </xf>
    <xf numFmtId="0" fontId="10" fillId="2" borderId="11" xfId="8" applyFont="1" applyFill="1" applyBorder="1" applyAlignment="1" applyProtection="1">
      <alignment horizontal="center" vertical="center" shrinkToFit="1"/>
      <protection locked="0"/>
    </xf>
    <xf numFmtId="0" fontId="10" fillId="2" borderId="69" xfId="8" applyFont="1" applyFill="1" applyBorder="1" applyAlignment="1" applyProtection="1">
      <alignment horizontal="center" vertical="center" shrinkToFit="1"/>
      <protection locked="0"/>
    </xf>
    <xf numFmtId="0" fontId="10" fillId="2" borderId="123" xfId="8" applyFont="1" applyFill="1" applyBorder="1" applyAlignment="1" applyProtection="1">
      <alignment horizontal="center" vertical="center" shrinkToFit="1"/>
      <protection locked="0"/>
    </xf>
    <xf numFmtId="0" fontId="19" fillId="0" borderId="0" xfId="8" applyFont="1" applyAlignment="1" applyProtection="1">
      <alignment horizontal="center" vertical="center"/>
    </xf>
    <xf numFmtId="0" fontId="47" fillId="0" borderId="0" xfId="8" applyFont="1" applyAlignment="1" applyProtection="1">
      <alignment vertical="center"/>
    </xf>
    <xf numFmtId="0" fontId="47" fillId="0" borderId="0" xfId="8" applyFont="1" applyAlignment="1" applyProtection="1">
      <alignment vertical="center" wrapText="1"/>
    </xf>
    <xf numFmtId="0" fontId="47" fillId="0" borderId="0" xfId="8" applyFont="1" applyBorder="1" applyAlignment="1" applyProtection="1">
      <alignment horizontal="center" vertical="center"/>
    </xf>
    <xf numFmtId="0" fontId="4" fillId="0" borderId="0" xfId="9" applyFill="1" applyBorder="1" applyAlignment="1" applyProtection="1">
      <alignment horizontal="left" wrapText="1"/>
    </xf>
    <xf numFmtId="0" fontId="50" fillId="0" borderId="0" xfId="9" applyFont="1" applyFill="1" applyBorder="1" applyAlignment="1" applyProtection="1">
      <alignment horizontal="left" wrapText="1"/>
    </xf>
    <xf numFmtId="0" fontId="51" fillId="0" borderId="0" xfId="8" applyFont="1" applyAlignment="1" applyProtection="1">
      <alignment horizontal="center"/>
    </xf>
    <xf numFmtId="0" fontId="47" fillId="0" borderId="0" xfId="8" applyFont="1" applyFill="1" applyBorder="1" applyAlignment="1" applyProtection="1">
      <alignment horizontal="center"/>
    </xf>
    <xf numFmtId="0" fontId="52" fillId="0" borderId="0" xfId="8" applyFont="1" applyAlignment="1" applyProtection="1">
      <alignment horizontal="center"/>
    </xf>
    <xf numFmtId="0" fontId="10" fillId="0" borderId="48" xfId="8" applyFont="1" applyBorder="1" applyAlignment="1" applyProtection="1">
      <alignment horizontal="center" vertical="center" shrinkToFit="1"/>
    </xf>
    <xf numFmtId="0" fontId="10" fillId="0" borderId="6" xfId="8" applyFont="1" applyBorder="1" applyAlignment="1" applyProtection="1">
      <alignment horizontal="center" vertical="center" shrinkToFit="1"/>
    </xf>
    <xf numFmtId="0" fontId="4" fillId="0" borderId="0" xfId="9" applyFill="1" applyBorder="1" applyAlignment="1" applyProtection="1">
      <alignment horizontal="center"/>
    </xf>
    <xf numFmtId="0" fontId="11" fillId="0" borderId="0" xfId="8" applyFont="1" applyFill="1" applyBorder="1" applyAlignment="1" applyProtection="1">
      <alignment horizontal="center"/>
    </xf>
    <xf numFmtId="0" fontId="11" fillId="0" borderId="0" xfId="9" applyFont="1" applyFill="1" applyBorder="1" applyAlignment="1" applyProtection="1"/>
    <xf numFmtId="0" fontId="11" fillId="0" borderId="0" xfId="8" applyFont="1" applyFill="1" applyBorder="1" applyAlignment="1" applyProtection="1">
      <alignment horizontal="center" shrinkToFit="1"/>
    </xf>
    <xf numFmtId="0" fontId="11" fillId="0" borderId="0" xfId="9" applyFont="1" applyFill="1" applyBorder="1" applyAlignment="1" applyProtection="1">
      <alignment horizontal="center" shrinkToFit="1"/>
    </xf>
    <xf numFmtId="204" fontId="11" fillId="0" borderId="0" xfId="8" applyNumberFormat="1" applyFont="1" applyFill="1" applyBorder="1" applyAlignment="1" applyProtection="1">
      <alignment horizontal="center" shrinkToFit="1"/>
    </xf>
    <xf numFmtId="204" fontId="14" fillId="0" borderId="0" xfId="9" applyNumberFormat="1" applyFont="1" applyFill="1" applyBorder="1" applyAlignment="1" applyProtection="1">
      <alignment horizontal="center" shrinkToFit="1"/>
    </xf>
    <xf numFmtId="204" fontId="11" fillId="0" borderId="0" xfId="8" applyNumberFormat="1" applyFont="1" applyFill="1" applyBorder="1" applyAlignment="1" applyProtection="1">
      <alignment horizontal="center" vertical="center" shrinkToFit="1"/>
    </xf>
    <xf numFmtId="204" fontId="14" fillId="0" borderId="0" xfId="9" applyNumberFormat="1" applyFont="1" applyFill="1" applyBorder="1" applyAlignment="1" applyProtection="1">
      <alignment horizontal="center" vertical="center" shrinkToFit="1"/>
    </xf>
    <xf numFmtId="0" fontId="15" fillId="0" borderId="0" xfId="8" applyFont="1" applyFill="1" applyBorder="1" applyAlignment="1" applyProtection="1">
      <alignment horizontal="center"/>
    </xf>
    <xf numFmtId="205" fontId="15" fillId="0" borderId="0" xfId="8" applyNumberFormat="1" applyFont="1" applyFill="1" applyBorder="1" applyAlignment="1" applyProtection="1">
      <alignment horizontal="center"/>
    </xf>
    <xf numFmtId="205" fontId="18" fillId="0" borderId="0" xfId="9" applyNumberFormat="1" applyFont="1" applyFill="1" applyBorder="1" applyAlignment="1" applyProtection="1">
      <alignment horizontal="center"/>
    </xf>
    <xf numFmtId="0" fontId="18" fillId="0" borderId="0" xfId="9" applyFont="1" applyFill="1" applyBorder="1" applyAlignment="1" applyProtection="1">
      <alignment horizontal="center"/>
    </xf>
    <xf numFmtId="0" fontId="4" fillId="0" borderId="0" xfId="9" applyFill="1" applyAlignment="1" applyProtection="1">
      <alignment horizontal="center" vertical="center"/>
    </xf>
    <xf numFmtId="0" fontId="21" fillId="0" borderId="1" xfId="9" applyFont="1" applyFill="1" applyBorder="1" applyAlignment="1" applyProtection="1">
      <alignment horizontal="center" vertical="center"/>
    </xf>
    <xf numFmtId="0" fontId="41" fillId="0" borderId="0" xfId="8" applyFont="1" applyBorder="1" applyAlignment="1" applyProtection="1">
      <alignment horizontal="left" vertical="center"/>
    </xf>
    <xf numFmtId="0" fontId="4" fillId="0" borderId="0" xfId="9" applyBorder="1" applyProtection="1">
      <alignment vertical="center"/>
    </xf>
    <xf numFmtId="0" fontId="56" fillId="0" borderId="0" xfId="9" applyFont="1" applyBorder="1" applyProtection="1">
      <alignment vertical="center"/>
    </xf>
    <xf numFmtId="0" fontId="22" fillId="0" borderId="0" xfId="7" applyFont="1" applyProtection="1">
      <alignment vertical="center"/>
    </xf>
    <xf numFmtId="0" fontId="22" fillId="0" borderId="0" xfId="7" applyFont="1" applyAlignment="1" applyProtection="1">
      <alignment horizontal="right" vertical="center"/>
    </xf>
    <xf numFmtId="0" fontId="22" fillId="0" borderId="0" xfId="7" applyFont="1" applyAlignment="1" applyProtection="1">
      <alignment vertical="center"/>
    </xf>
    <xf numFmtId="0" fontId="10" fillId="0" borderId="0" xfId="5" applyFont="1" applyFill="1" applyBorder="1" applyAlignment="1" applyProtection="1">
      <alignment vertical="center" wrapText="1" shrinkToFit="1"/>
    </xf>
    <xf numFmtId="176" fontId="10" fillId="0" borderId="0" xfId="0" applyNumberFormat="1" applyFont="1" applyFill="1" applyBorder="1" applyAlignment="1" applyProtection="1">
      <alignment shrinkToFit="1"/>
    </xf>
    <xf numFmtId="0" fontId="10" fillId="0" borderId="0" xfId="5" applyFont="1" applyFill="1" applyBorder="1" applyAlignment="1" applyProtection="1">
      <alignment vertical="center" wrapText="1"/>
    </xf>
    <xf numFmtId="3" fontId="66" fillId="0" borderId="0" xfId="7" applyNumberFormat="1" applyFont="1" applyAlignment="1" applyProtection="1">
      <alignment horizontal="right" vertical="center"/>
    </xf>
    <xf numFmtId="0" fontId="22" fillId="0" borderId="3" xfId="7" applyFont="1" applyBorder="1" applyAlignment="1" applyProtection="1">
      <alignment horizontal="center" vertical="center"/>
    </xf>
    <xf numFmtId="0" fontId="66" fillId="0" borderId="0" xfId="7" applyFont="1" applyAlignment="1" applyProtection="1">
      <alignment horizontal="right" vertical="center"/>
    </xf>
    <xf numFmtId="3" fontId="66" fillId="0" borderId="0" xfId="7" applyNumberFormat="1" applyFont="1" applyProtection="1">
      <alignment vertical="center"/>
    </xf>
    <xf numFmtId="179" fontId="22" fillId="0" borderId="0" xfId="7" applyNumberFormat="1" applyFont="1" applyAlignment="1" applyProtection="1">
      <alignment horizontal="distributed" vertical="center"/>
    </xf>
    <xf numFmtId="0" fontId="22" fillId="0" borderId="0" xfId="7" applyFont="1" applyAlignment="1" applyProtection="1">
      <alignment horizontal="distributed" vertical="center"/>
    </xf>
    <xf numFmtId="0" fontId="22" fillId="0" borderId="0" xfId="7" applyFont="1" applyAlignment="1" applyProtection="1"/>
    <xf numFmtId="3" fontId="22" fillId="0" borderId="0" xfId="7" applyNumberFormat="1" applyFont="1" applyProtection="1">
      <alignment vertical="center"/>
    </xf>
    <xf numFmtId="176" fontId="10" fillId="0" borderId="1" xfId="0" applyNumberFormat="1" applyFont="1" applyBorder="1" applyAlignment="1" applyProtection="1">
      <alignment vertical="center" shrinkToFit="1"/>
    </xf>
    <xf numFmtId="0" fontId="10" fillId="0" borderId="0" xfId="0" applyFont="1" applyFill="1" applyBorder="1" applyAlignment="1" applyProtection="1">
      <alignment vertical="center" wrapText="1"/>
    </xf>
    <xf numFmtId="0" fontId="21" fillId="0" borderId="0" xfId="0" applyFont="1" applyBorder="1" applyAlignment="1" applyProtection="1">
      <alignment vertical="center" wrapText="1"/>
    </xf>
    <xf numFmtId="0" fontId="21" fillId="0" borderId="0" xfId="0" applyFont="1" applyBorder="1" applyAlignment="1" applyProtection="1">
      <alignment vertical="center"/>
    </xf>
    <xf numFmtId="0" fontId="12" fillId="0" borderId="0" xfId="11" applyFont="1" applyAlignment="1">
      <alignment horizontal="left"/>
    </xf>
    <xf numFmtId="0" fontId="12" fillId="0" borderId="0" xfId="11" applyFont="1" applyAlignment="1">
      <alignment horizontal="left" vertical="top"/>
    </xf>
    <xf numFmtId="0" fontId="12" fillId="0" borderId="0" xfId="11" applyFont="1" applyAlignment="1">
      <alignment horizontal="right" vertical="center"/>
    </xf>
    <xf numFmtId="0" fontId="11" fillId="0" borderId="1" xfId="11" applyFont="1" applyBorder="1" applyAlignment="1">
      <alignment horizontal="center"/>
    </xf>
    <xf numFmtId="0" fontId="11" fillId="0" borderId="1" xfId="11" applyFont="1" applyBorder="1" applyAlignment="1">
      <alignment horizontal="center" vertical="top"/>
    </xf>
    <xf numFmtId="0" fontId="12" fillId="0" borderId="0" xfId="11" applyFont="1" applyAlignment="1">
      <alignment horizontal="center"/>
    </xf>
    <xf numFmtId="0" fontId="11" fillId="0" borderId="1" xfId="11" applyFont="1" applyBorder="1" applyAlignment="1">
      <alignment horizontal="center" vertical="top" wrapText="1"/>
    </xf>
    <xf numFmtId="0" fontId="11" fillId="0" borderId="1" xfId="11" applyFont="1" applyBorder="1" applyAlignment="1">
      <alignment horizontal="left" vertical="top" wrapText="1"/>
    </xf>
    <xf numFmtId="0" fontId="12" fillId="0" borderId="0" xfId="11" applyFont="1" applyAlignment="1">
      <alignment horizontal="left" vertical="top" wrapText="1"/>
    </xf>
    <xf numFmtId="0" fontId="11" fillId="0" borderId="1" xfId="11" applyFont="1" applyBorder="1" applyAlignment="1">
      <alignment horizontal="center" vertical="center"/>
    </xf>
    <xf numFmtId="0" fontId="11" fillId="0" borderId="1" xfId="11" applyFont="1" applyBorder="1" applyAlignment="1">
      <alignment horizontal="left"/>
    </xf>
    <xf numFmtId="0" fontId="10" fillId="0" borderId="1" xfId="0" applyFont="1" applyBorder="1" applyAlignment="1" applyProtection="1">
      <alignment horizontal="center" vertical="center" wrapText="1"/>
    </xf>
    <xf numFmtId="0" fontId="10" fillId="0" borderId="1" xfId="0" applyFont="1" applyBorder="1" applyAlignment="1" applyProtection="1">
      <alignment horizontal="center" vertical="center"/>
    </xf>
    <xf numFmtId="0" fontId="15" fillId="0" borderId="1" xfId="8" applyFont="1" applyBorder="1" applyAlignment="1" applyProtection="1">
      <alignment horizontal="center" vertical="center" shrinkToFit="1"/>
    </xf>
    <xf numFmtId="0" fontId="10" fillId="0" borderId="15" xfId="9" applyFont="1" applyBorder="1" applyAlignment="1" applyProtection="1">
      <alignment horizontal="center" vertical="center"/>
    </xf>
    <xf numFmtId="0" fontId="10" fillId="0" borderId="0" xfId="9" applyFont="1" applyAlignment="1" applyProtection="1">
      <alignment horizontal="center" vertical="center"/>
    </xf>
    <xf numFmtId="0" fontId="46" fillId="0" borderId="0" xfId="8" applyFont="1" applyAlignment="1" applyProtection="1">
      <alignment horizontal="center"/>
    </xf>
    <xf numFmtId="0" fontId="4" fillId="0" borderId="0" xfId="9" applyAlignment="1" applyProtection="1">
      <alignment horizontal="center"/>
    </xf>
    <xf numFmtId="0" fontId="15" fillId="0" borderId="0" xfId="8" applyFont="1" applyAlignment="1" applyProtection="1">
      <alignment horizontal="left" vertical="center" wrapText="1"/>
    </xf>
    <xf numFmtId="0" fontId="4" fillId="0" borderId="0" xfId="9" applyAlignment="1" applyProtection="1">
      <alignment horizontal="left" vertical="center" wrapText="1"/>
    </xf>
    <xf numFmtId="0" fontId="4" fillId="0" borderId="3" xfId="9" applyBorder="1" applyAlignment="1" applyProtection="1"/>
    <xf numFmtId="0" fontId="4" fillId="0" borderId="4" xfId="9" applyBorder="1" applyAlignment="1" applyProtection="1"/>
    <xf numFmtId="0" fontId="4" fillId="0" borderId="0" xfId="9" applyAlignment="1" applyProtection="1">
      <alignment horizontal="center" vertical="center"/>
    </xf>
    <xf numFmtId="0" fontId="47" fillId="0" borderId="0" xfId="8" applyFont="1" applyProtection="1"/>
    <xf numFmtId="0" fontId="15" fillId="0" borderId="0" xfId="8" applyFont="1" applyAlignment="1" applyProtection="1">
      <alignment vertical="center"/>
    </xf>
    <xf numFmtId="0" fontId="47" fillId="0" borderId="0" xfId="8" applyFont="1" applyAlignment="1" applyProtection="1">
      <alignment horizontal="center" vertical="center"/>
    </xf>
    <xf numFmtId="0" fontId="16" fillId="0" borderId="0" xfId="5" applyFont="1" applyBorder="1" applyAlignment="1" applyProtection="1">
      <alignment horizontal="center" vertical="center"/>
    </xf>
    <xf numFmtId="0" fontId="10" fillId="0" borderId="0" xfId="4" applyFont="1" applyAlignment="1" applyProtection="1">
      <alignment horizontal="center" vertical="center"/>
    </xf>
    <xf numFmtId="0" fontId="10" fillId="0" borderId="0" xfId="5" applyFont="1" applyAlignment="1" applyProtection="1">
      <alignment horizontal="distributed" vertical="center"/>
    </xf>
    <xf numFmtId="0" fontId="22" fillId="0" borderId="1" xfId="7" applyFont="1" applyBorder="1" applyAlignment="1" applyProtection="1">
      <alignment horizontal="center" vertical="center"/>
    </xf>
    <xf numFmtId="0" fontId="10" fillId="0" borderId="0" xfId="0" applyFont="1" applyAlignment="1" applyProtection="1">
      <alignment vertical="center" wrapText="1"/>
    </xf>
    <xf numFmtId="0" fontId="10" fillId="4" borderId="0" xfId="0" applyFont="1" applyFill="1" applyAlignment="1" applyProtection="1">
      <alignment vertical="center"/>
    </xf>
    <xf numFmtId="0" fontId="0" fillId="0" borderId="0" xfId="0" applyAlignment="1" applyProtection="1">
      <alignment vertical="center"/>
    </xf>
    <xf numFmtId="0" fontId="10" fillId="0" borderId="1" xfId="0" applyFont="1" applyBorder="1" applyAlignment="1" applyProtection="1">
      <alignment vertical="center"/>
    </xf>
    <xf numFmtId="0" fontId="11" fillId="0" borderId="0" xfId="0" applyFont="1" applyAlignment="1" applyProtection="1">
      <alignment horizontal="center" vertical="center"/>
    </xf>
    <xf numFmtId="0" fontId="11" fillId="0" borderId="0" xfId="0" applyFont="1" applyAlignment="1" applyProtection="1">
      <alignment vertical="center"/>
    </xf>
    <xf numFmtId="0" fontId="12" fillId="0" borderId="0" xfId="5" applyFont="1" applyAlignment="1" applyProtection="1">
      <alignment vertical="top"/>
    </xf>
    <xf numFmtId="0" fontId="33" fillId="7" borderId="0" xfId="5" applyFont="1" applyFill="1" applyBorder="1" applyAlignment="1" applyProtection="1">
      <alignment horizontal="center" vertical="top" wrapText="1" shrinkToFit="1"/>
    </xf>
    <xf numFmtId="198" fontId="33" fillId="7" borderId="0" xfId="5" applyNumberFormat="1" applyFont="1" applyFill="1" applyBorder="1" applyAlignment="1" applyProtection="1">
      <alignment horizontal="center" vertical="top" wrapText="1"/>
    </xf>
    <xf numFmtId="38" fontId="12" fillId="0" borderId="0" xfId="6" applyFont="1" applyBorder="1" applyAlignment="1" applyProtection="1">
      <alignment vertical="top"/>
    </xf>
    <xf numFmtId="0" fontId="11" fillId="0" borderId="0" xfId="0" applyFont="1" applyAlignment="1" applyProtection="1">
      <alignment horizontal="distributed" vertical="center"/>
    </xf>
    <xf numFmtId="0" fontId="14" fillId="0" borderId="0" xfId="0" applyFont="1" applyAlignment="1" applyProtection="1">
      <alignment horizontal="distributed" vertical="center"/>
    </xf>
    <xf numFmtId="0" fontId="11" fillId="0" borderId="0" xfId="0" applyFont="1" applyAlignment="1" applyProtection="1">
      <alignment vertical="center" shrinkToFit="1"/>
    </xf>
    <xf numFmtId="0" fontId="14" fillId="0" borderId="0" xfId="0" applyFont="1" applyAlignment="1" applyProtection="1">
      <alignment vertical="center" shrinkToFit="1"/>
    </xf>
    <xf numFmtId="0" fontId="17" fillId="0" borderId="0" xfId="0" applyFont="1" applyAlignment="1" applyProtection="1">
      <alignment horizontal="center" vertical="center" shrinkToFit="1"/>
    </xf>
    <xf numFmtId="0" fontId="0" fillId="0" borderId="0" xfId="0" applyAlignment="1" applyProtection="1">
      <alignment vertical="center" shrinkToFit="1"/>
    </xf>
    <xf numFmtId="0" fontId="0" fillId="0" borderId="0" xfId="0" applyAlignment="1" applyProtection="1">
      <alignment horizontal="distributed" vertical="center"/>
    </xf>
    <xf numFmtId="0" fontId="11" fillId="0" borderId="0" xfId="0" applyFont="1" applyAlignment="1" applyProtection="1">
      <alignment vertical="center" wrapText="1"/>
    </xf>
    <xf numFmtId="0" fontId="12" fillId="0" borderId="53" xfId="5" applyFont="1" applyBorder="1" applyAlignment="1" applyProtection="1">
      <alignment vertical="top"/>
    </xf>
    <xf numFmtId="0" fontId="12" fillId="0" borderId="54" xfId="5" applyFont="1" applyBorder="1" applyAlignment="1" applyProtection="1">
      <alignment vertical="top"/>
    </xf>
    <xf numFmtId="0" fontId="12" fillId="0" borderId="55" xfId="5" applyFont="1" applyBorder="1" applyAlignment="1" applyProtection="1">
      <alignment vertical="top"/>
    </xf>
    <xf numFmtId="0" fontId="12" fillId="0" borderId="56" xfId="5" applyFont="1" applyBorder="1" applyAlignment="1" applyProtection="1">
      <alignment vertical="top"/>
    </xf>
    <xf numFmtId="0" fontId="12" fillId="0" borderId="0" xfId="5" applyFont="1" applyBorder="1" applyAlignment="1" applyProtection="1">
      <alignment vertical="top"/>
    </xf>
    <xf numFmtId="0" fontId="12" fillId="0" borderId="57" xfId="5" applyFont="1" applyBorder="1" applyAlignment="1" applyProtection="1">
      <alignment vertical="top"/>
    </xf>
    <xf numFmtId="0" fontId="11" fillId="0" borderId="56" xfId="5" applyFont="1" applyBorder="1" applyAlignment="1" applyProtection="1">
      <alignment horizontal="center" vertical="center" shrinkToFit="1"/>
    </xf>
    <xf numFmtId="0" fontId="14" fillId="0" borderId="57" xfId="5" applyFont="1" applyBorder="1" applyAlignment="1" applyProtection="1">
      <alignment horizontal="center" vertical="center" shrinkToFit="1"/>
    </xf>
    <xf numFmtId="0" fontId="14" fillId="0" borderId="56" xfId="5" applyFont="1" applyBorder="1" applyAlignment="1" applyProtection="1">
      <alignment horizontal="center" vertical="center" shrinkToFit="1"/>
    </xf>
    <xf numFmtId="0" fontId="14" fillId="0" borderId="56" xfId="5" applyFont="1" applyBorder="1" applyAlignment="1" applyProtection="1">
      <alignment horizontal="center" vertical="top"/>
    </xf>
    <xf numFmtId="0" fontId="14" fillId="0" borderId="0" xfId="5" applyFont="1" applyAlignment="1" applyProtection="1">
      <alignment horizontal="center" vertical="top"/>
    </xf>
    <xf numFmtId="0" fontId="14" fillId="0" borderId="57" xfId="5" applyFont="1" applyBorder="1" applyAlignment="1" applyProtection="1">
      <alignment horizontal="center" vertical="top"/>
    </xf>
    <xf numFmtId="0" fontId="12" fillId="0" borderId="58" xfId="5" applyFont="1" applyBorder="1" applyAlignment="1" applyProtection="1">
      <alignment vertical="top"/>
    </xf>
    <xf numFmtId="0" fontId="12" fillId="0" borderId="59" xfId="5" applyFont="1" applyBorder="1" applyAlignment="1" applyProtection="1">
      <alignment vertical="top"/>
    </xf>
    <xf numFmtId="0" fontId="12" fillId="0" borderId="60" xfId="5" applyFont="1" applyBorder="1" applyAlignment="1" applyProtection="1">
      <alignment vertical="top"/>
    </xf>
    <xf numFmtId="0" fontId="11" fillId="0" borderId="1" xfId="0" applyFont="1" applyBorder="1" applyAlignment="1" applyProtection="1">
      <alignment horizontal="center" vertical="center"/>
      <protection locked="0"/>
    </xf>
    <xf numFmtId="0" fontId="63" fillId="7" borderId="0" xfId="5" applyFont="1" applyFill="1" applyBorder="1" applyAlignment="1" applyProtection="1">
      <alignment horizontal="center" vertical="center" wrapText="1" shrinkToFit="1"/>
    </xf>
    <xf numFmtId="38" fontId="11" fillId="0" borderId="0" xfId="5" applyNumberFormat="1" applyFont="1" applyBorder="1" applyAlignment="1" applyProtection="1">
      <alignment vertical="center"/>
    </xf>
    <xf numFmtId="38" fontId="11" fillId="0" borderId="0" xfId="6" applyFont="1" applyBorder="1" applyAlignment="1" applyProtection="1">
      <alignment vertical="center"/>
    </xf>
    <xf numFmtId="0" fontId="64" fillId="0" borderId="0" xfId="5" applyFont="1" applyBorder="1" applyAlignment="1" applyProtection="1">
      <alignment vertical="center"/>
    </xf>
    <xf numFmtId="0" fontId="11" fillId="0" borderId="0" xfId="5" applyFont="1" applyBorder="1" applyAlignment="1" applyProtection="1">
      <alignment horizontal="center" vertical="center"/>
    </xf>
    <xf numFmtId="0" fontId="30" fillId="0" borderId="0" xfId="5" applyFont="1" applyAlignment="1" applyProtection="1">
      <alignment vertical="center"/>
    </xf>
    <xf numFmtId="0" fontId="38" fillId="0" borderId="0" xfId="5" applyFont="1" applyAlignment="1" applyProtection="1">
      <alignment vertical="center"/>
    </xf>
    <xf numFmtId="0" fontId="11" fillId="0" borderId="53" xfId="5" applyFont="1" applyBorder="1" applyAlignment="1" applyProtection="1">
      <alignment vertical="center"/>
    </xf>
    <xf numFmtId="0" fontId="11" fillId="0" borderId="54" xfId="5" applyFont="1" applyBorder="1" applyAlignment="1" applyProtection="1">
      <alignment vertical="center"/>
    </xf>
    <xf numFmtId="0" fontId="11" fillId="0" borderId="55" xfId="5" applyFont="1" applyBorder="1" applyAlignment="1" applyProtection="1">
      <alignment vertical="center"/>
    </xf>
    <xf numFmtId="0" fontId="11" fillId="0" borderId="56" xfId="5" applyFont="1" applyBorder="1" applyAlignment="1" applyProtection="1">
      <alignment vertical="center"/>
    </xf>
    <xf numFmtId="0" fontId="11" fillId="0" borderId="57" xfId="5" applyFont="1" applyBorder="1" applyAlignment="1" applyProtection="1">
      <alignment vertical="center"/>
    </xf>
    <xf numFmtId="0" fontId="14" fillId="0" borderId="56" xfId="5" applyFont="1" applyBorder="1" applyAlignment="1" applyProtection="1">
      <alignment horizontal="center" vertical="center"/>
    </xf>
    <xf numFmtId="0" fontId="14" fillId="0" borderId="0" xfId="5" applyFont="1" applyAlignment="1" applyProtection="1">
      <alignment horizontal="center" vertical="center"/>
    </xf>
    <xf numFmtId="0" fontId="14" fillId="0" borderId="57" xfId="5" applyFont="1" applyBorder="1" applyAlignment="1" applyProtection="1">
      <alignment horizontal="center" vertical="center"/>
    </xf>
    <xf numFmtId="0" fontId="11" fillId="0" borderId="58" xfId="5" applyFont="1" applyBorder="1" applyAlignment="1" applyProtection="1">
      <alignment vertical="center"/>
    </xf>
    <xf numFmtId="0" fontId="11" fillId="0" borderId="59" xfId="5" applyFont="1" applyBorder="1" applyAlignment="1" applyProtection="1">
      <alignment vertical="center"/>
    </xf>
    <xf numFmtId="0" fontId="11" fillId="0" borderId="60" xfId="5" applyFont="1" applyBorder="1" applyAlignment="1" applyProtection="1">
      <alignment vertical="center"/>
    </xf>
    <xf numFmtId="0" fontId="11" fillId="0" borderId="1" xfId="5" applyFont="1" applyBorder="1" applyAlignment="1" applyProtection="1">
      <alignment horizontal="center" vertical="center"/>
      <protection locked="0"/>
    </xf>
    <xf numFmtId="185" fontId="47" fillId="0" borderId="1" xfId="8" applyNumberFormat="1" applyFont="1" applyBorder="1" applyAlignment="1" applyProtection="1">
      <alignment horizontal="center"/>
      <protection locked="0"/>
    </xf>
    <xf numFmtId="0" fontId="34" fillId="0" borderId="0" xfId="5" applyFont="1" applyProtection="1">
      <alignment vertical="center"/>
    </xf>
    <xf numFmtId="0" fontId="34" fillId="0" borderId="0" xfId="5" applyFont="1" applyBorder="1" applyAlignment="1" applyProtection="1">
      <alignment horizontal="center" vertical="center"/>
    </xf>
    <xf numFmtId="0" fontId="34" fillId="0" borderId="0" xfId="5" applyFont="1" applyAlignment="1" applyProtection="1">
      <alignment horizontal="right" vertical="center"/>
    </xf>
    <xf numFmtId="0" fontId="34" fillId="0" borderId="0" xfId="5" applyFont="1" applyAlignment="1" applyProtection="1">
      <alignment horizontal="distributed" vertical="center"/>
    </xf>
    <xf numFmtId="0" fontId="16" fillId="0" borderId="0" xfId="5" applyFont="1" applyBorder="1" applyAlignment="1" applyProtection="1">
      <alignment horizontal="left" vertical="center" wrapText="1"/>
    </xf>
    <xf numFmtId="0" fontId="5" fillId="0" borderId="0" xfId="5" applyBorder="1" applyAlignment="1" applyProtection="1">
      <alignment horizontal="center" vertical="center"/>
    </xf>
    <xf numFmtId="0" fontId="5" fillId="0" borderId="0" xfId="5" applyBorder="1" applyAlignment="1" applyProtection="1">
      <alignment horizontal="left" vertical="center" wrapText="1"/>
    </xf>
    <xf numFmtId="0" fontId="10" fillId="0" borderId="0" xfId="4" applyFont="1" applyBorder="1" applyAlignment="1" applyProtection="1">
      <alignment horizontal="distributed" vertical="center"/>
    </xf>
    <xf numFmtId="0" fontId="10" fillId="0" borderId="8" xfId="4" applyFont="1" applyBorder="1" applyAlignment="1" applyProtection="1">
      <alignment horizontal="distributed" vertical="center"/>
    </xf>
    <xf numFmtId="0" fontId="15" fillId="0" borderId="0" xfId="10" applyFont="1" applyAlignment="1" applyProtection="1">
      <alignment horizontal="center" vertical="center"/>
    </xf>
    <xf numFmtId="0" fontId="15" fillId="0" borderId="0" xfId="10" applyFont="1" applyAlignment="1" applyProtection="1">
      <alignment horizontal="left" vertical="center" shrinkToFit="1"/>
    </xf>
    <xf numFmtId="0" fontId="15" fillId="0" borderId="0" xfId="10" applyFont="1" applyAlignment="1" applyProtection="1">
      <alignment vertical="center" wrapText="1"/>
    </xf>
    <xf numFmtId="0" fontId="15" fillId="0" borderId="0" xfId="10" applyFont="1" applyAlignment="1" applyProtection="1">
      <alignment horizontal="center" vertical="center" wrapText="1"/>
    </xf>
    <xf numFmtId="0" fontId="15" fillId="0" borderId="0" xfId="10" applyFont="1" applyProtection="1">
      <alignment vertical="center"/>
    </xf>
    <xf numFmtId="0" fontId="15" fillId="0" borderId="0" xfId="10" applyFont="1" applyAlignment="1" applyProtection="1">
      <alignment horizontal="right" vertical="center"/>
    </xf>
    <xf numFmtId="0" fontId="10" fillId="0" borderId="0" xfId="10" applyFont="1" applyAlignment="1" applyProtection="1">
      <alignment horizontal="center" vertical="center"/>
    </xf>
    <xf numFmtId="0" fontId="15" fillId="0" borderId="0" xfId="10" applyFont="1" applyAlignment="1" applyProtection="1">
      <alignment horizontal="left" vertical="center"/>
    </xf>
    <xf numFmtId="0" fontId="10" fillId="0" borderId="0" xfId="10" applyFont="1" applyAlignment="1" applyProtection="1">
      <alignment horizontal="left" vertical="center"/>
    </xf>
    <xf numFmtId="0" fontId="10" fillId="0" borderId="0" xfId="10" applyFont="1" applyAlignment="1" applyProtection="1">
      <alignment horizontal="center" vertical="center" wrapText="1"/>
    </xf>
    <xf numFmtId="0" fontId="10" fillId="0" borderId="0" xfId="10" applyFont="1" applyProtection="1">
      <alignment vertical="center"/>
    </xf>
    <xf numFmtId="0" fontId="3" fillId="0" borderId="0" xfId="10" applyAlignment="1" applyProtection="1">
      <alignment horizontal="center" vertical="center" shrinkToFit="1"/>
    </xf>
    <xf numFmtId="0" fontId="10" fillId="0" borderId="1" xfId="10" applyFont="1" applyBorder="1" applyAlignment="1" applyProtection="1">
      <alignment horizontal="center" vertical="center"/>
    </xf>
    <xf numFmtId="0" fontId="10" fillId="0" borderId="0" xfId="10" applyFont="1" applyAlignment="1" applyProtection="1">
      <alignment horizontal="right" vertical="center"/>
    </xf>
    <xf numFmtId="176" fontId="10" fillId="0" borderId="0" xfId="10" applyNumberFormat="1" applyFont="1" applyAlignment="1" applyProtection="1">
      <alignment horizontal="center" vertical="center" shrinkToFit="1"/>
    </xf>
    <xf numFmtId="0" fontId="10" fillId="4" borderId="0" xfId="10" applyFont="1" applyFill="1" applyAlignment="1" applyProtection="1">
      <alignment horizontal="left" vertical="center"/>
    </xf>
    <xf numFmtId="0" fontId="10" fillId="4" borderId="0" xfId="10" applyFont="1" applyFill="1" applyAlignment="1" applyProtection="1">
      <alignment vertical="center" wrapText="1"/>
    </xf>
    <xf numFmtId="0" fontId="10" fillId="4" borderId="0" xfId="10" applyFont="1" applyFill="1" applyAlignment="1" applyProtection="1">
      <alignment horizontal="center" vertical="center" wrapText="1"/>
    </xf>
    <xf numFmtId="0" fontId="10" fillId="4" borderId="0" xfId="10" applyFont="1" applyFill="1" applyAlignment="1" applyProtection="1">
      <alignment horizontal="center" vertical="center"/>
    </xf>
    <xf numFmtId="176" fontId="10" fillId="4" borderId="0" xfId="10" applyNumberFormat="1" applyFont="1" applyFill="1" applyAlignment="1" applyProtection="1">
      <alignment horizontal="center" vertical="center" shrinkToFit="1"/>
    </xf>
    <xf numFmtId="0" fontId="10" fillId="0" borderId="1" xfId="10" applyFont="1" applyBorder="1" applyProtection="1">
      <alignment vertical="center"/>
    </xf>
    <xf numFmtId="184" fontId="10" fillId="0" borderId="1" xfId="10" applyNumberFormat="1" applyFont="1" applyBorder="1" applyAlignment="1" applyProtection="1">
      <alignment horizontal="right" vertical="center" shrinkToFit="1"/>
    </xf>
    <xf numFmtId="0" fontId="52" fillId="0" borderId="0" xfId="10" applyFont="1" applyAlignment="1" applyProtection="1">
      <alignment horizontal="left" vertical="center" shrinkToFit="1"/>
    </xf>
    <xf numFmtId="218" fontId="10" fillId="0" borderId="1" xfId="10" applyNumberFormat="1" applyFont="1" applyBorder="1" applyAlignment="1" applyProtection="1">
      <alignment horizontal="right" vertical="center" shrinkToFit="1"/>
    </xf>
    <xf numFmtId="0" fontId="3" fillId="0" borderId="0" xfId="10" applyProtection="1">
      <alignment vertical="center"/>
    </xf>
    <xf numFmtId="0" fontId="10" fillId="0" borderId="1" xfId="10" applyFont="1" applyBorder="1" applyAlignment="1" applyProtection="1">
      <alignment vertical="center" wrapText="1"/>
    </xf>
    <xf numFmtId="225" fontId="10" fillId="0" borderId="1" xfId="10" applyNumberFormat="1" applyFont="1" applyBorder="1" applyAlignment="1" applyProtection="1">
      <alignment horizontal="right" vertical="center" shrinkToFit="1"/>
    </xf>
    <xf numFmtId="0" fontId="10" fillId="0" borderId="0" xfId="10" applyFont="1" applyAlignment="1" applyProtection="1">
      <alignment horizontal="left" vertical="center" shrinkToFit="1"/>
    </xf>
    <xf numFmtId="185" fontId="10" fillId="0" borderId="0" xfId="10" applyNumberFormat="1" applyFont="1" applyAlignment="1" applyProtection="1">
      <alignment vertical="center" shrinkToFit="1"/>
    </xf>
    <xf numFmtId="0" fontId="67" fillId="0" borderId="0" xfId="10" applyFont="1" applyAlignment="1" applyProtection="1">
      <alignment horizontal="left" vertical="center"/>
    </xf>
    <xf numFmtId="0" fontId="10" fillId="0" borderId="0" xfId="10" applyFont="1" applyAlignment="1" applyProtection="1">
      <alignment horizontal="right" vertical="center" wrapText="1"/>
    </xf>
    <xf numFmtId="0" fontId="21" fillId="0" borderId="0" xfId="10" applyFont="1" applyAlignment="1" applyProtection="1">
      <alignment horizontal="right" vertical="center"/>
    </xf>
    <xf numFmtId="0" fontId="68" fillId="4" borderId="0" xfId="10" applyFont="1" applyFill="1" applyAlignment="1" applyProtection="1">
      <alignment horizontal="left" vertical="center"/>
    </xf>
    <xf numFmtId="0" fontId="10" fillId="4" borderId="0" xfId="10" applyFont="1" applyFill="1" applyProtection="1">
      <alignment vertical="center"/>
    </xf>
    <xf numFmtId="0" fontId="10" fillId="5" borderId="1" xfId="10" applyFont="1" applyFill="1" applyBorder="1" applyAlignment="1" applyProtection="1">
      <alignment horizontal="center" vertical="center"/>
    </xf>
    <xf numFmtId="0" fontId="10" fillId="5" borderId="1" xfId="10" applyFont="1" applyFill="1" applyBorder="1" applyAlignment="1" applyProtection="1">
      <alignment horizontal="center" vertical="center" wrapText="1"/>
    </xf>
    <xf numFmtId="0" fontId="10" fillId="0" borderId="15" xfId="10" applyFont="1" applyBorder="1" applyAlignment="1" applyProtection="1">
      <alignment horizontal="center" vertical="center"/>
    </xf>
    <xf numFmtId="0" fontId="10" fillId="0" borderId="0" xfId="10" applyFont="1" applyAlignment="1" applyProtection="1">
      <alignment horizontal="center" vertical="center" shrinkToFit="1"/>
    </xf>
    <xf numFmtId="176" fontId="10" fillId="0" borderId="1" xfId="10" applyNumberFormat="1" applyFont="1" applyBorder="1" applyAlignment="1" applyProtection="1">
      <alignment horizontal="right" vertical="center" shrinkToFit="1"/>
    </xf>
    <xf numFmtId="176" fontId="22" fillId="0" borderId="1" xfId="10" applyNumberFormat="1" applyFont="1" applyBorder="1" applyAlignment="1" applyProtection="1">
      <alignment vertical="center" shrinkToFit="1"/>
    </xf>
    <xf numFmtId="241" fontId="22" fillId="0" borderId="1" xfId="10" applyNumberFormat="1" applyFont="1" applyBorder="1" applyAlignment="1" applyProtection="1">
      <alignment horizontal="right" vertical="center" shrinkToFit="1"/>
    </xf>
    <xf numFmtId="0" fontId="10" fillId="0" borderId="1" xfId="10" applyFont="1" applyBorder="1" applyAlignment="1" applyProtection="1">
      <alignment horizontal="center" vertical="center" shrinkToFit="1"/>
    </xf>
    <xf numFmtId="187" fontId="10" fillId="0" borderId="1" xfId="10" applyNumberFormat="1" applyFont="1" applyBorder="1" applyAlignment="1" applyProtection="1">
      <alignment horizontal="center" vertical="center"/>
    </xf>
    <xf numFmtId="0" fontId="10" fillId="0" borderId="1" xfId="10" applyFont="1" applyBorder="1" applyAlignment="1" applyProtection="1">
      <alignment vertical="center" shrinkToFit="1"/>
    </xf>
    <xf numFmtId="0" fontId="10" fillId="10" borderId="1" xfId="10" applyFont="1" applyFill="1" applyBorder="1" applyAlignment="1" applyProtection="1">
      <alignment horizontal="center" vertical="center" shrinkToFit="1"/>
    </xf>
    <xf numFmtId="176" fontId="10" fillId="10" borderId="1" xfId="10" applyNumberFormat="1" applyFont="1" applyFill="1" applyBorder="1" applyAlignment="1" applyProtection="1">
      <alignment vertical="center" shrinkToFit="1"/>
    </xf>
    <xf numFmtId="242" fontId="10" fillId="0" borderId="1" xfId="10" applyNumberFormat="1" applyFont="1" applyBorder="1" applyProtection="1">
      <alignment vertical="center"/>
    </xf>
    <xf numFmtId="242" fontId="10" fillId="0" borderId="1" xfId="10" applyNumberFormat="1" applyFont="1" applyBorder="1" applyAlignment="1" applyProtection="1">
      <alignment vertical="center" shrinkToFit="1"/>
    </xf>
    <xf numFmtId="188" fontId="10" fillId="0" borderId="1" xfId="10" applyNumberFormat="1" applyFont="1" applyBorder="1" applyAlignment="1" applyProtection="1">
      <alignment vertical="center" shrinkToFit="1"/>
    </xf>
    <xf numFmtId="176" fontId="10" fillId="10" borderId="6" xfId="10" applyNumberFormat="1" applyFont="1" applyFill="1" applyBorder="1" applyAlignment="1" applyProtection="1">
      <alignment vertical="center" shrinkToFit="1"/>
    </xf>
    <xf numFmtId="242" fontId="10" fillId="0" borderId="6" xfId="10" applyNumberFormat="1" applyFont="1" applyBorder="1" applyProtection="1">
      <alignment vertical="center"/>
    </xf>
    <xf numFmtId="214" fontId="10" fillId="0" borderId="1" xfId="10" applyNumberFormat="1" applyFont="1" applyBorder="1" applyProtection="1">
      <alignment vertical="center"/>
    </xf>
    <xf numFmtId="214" fontId="10" fillId="0" borderId="1" xfId="10" applyNumberFormat="1" applyFont="1" applyBorder="1" applyAlignment="1" applyProtection="1">
      <alignment vertical="center" shrinkToFit="1"/>
    </xf>
    <xf numFmtId="245" fontId="10" fillId="0" borderId="1" xfId="10" applyNumberFormat="1" applyFont="1" applyBorder="1" applyProtection="1">
      <alignment vertical="center"/>
    </xf>
    <xf numFmtId="0" fontId="10" fillId="0" borderId="0" xfId="9" applyFont="1" applyAlignment="1" applyProtection="1">
      <alignment horizontal="left" vertical="center" shrinkToFit="1"/>
    </xf>
    <xf numFmtId="0" fontId="10" fillId="0" borderId="0" xfId="9" applyFont="1" applyAlignment="1" applyProtection="1">
      <alignment vertical="center" wrapText="1"/>
    </xf>
    <xf numFmtId="0" fontId="10" fillId="0" borderId="0" xfId="9" applyFont="1" applyProtection="1">
      <alignment vertical="center"/>
    </xf>
    <xf numFmtId="0" fontId="10" fillId="0" borderId="0" xfId="9" applyFont="1" applyAlignment="1" applyProtection="1">
      <alignment horizontal="right" vertical="center"/>
    </xf>
    <xf numFmtId="0" fontId="15" fillId="0" borderId="0" xfId="9" applyFont="1" applyAlignment="1" applyProtection="1">
      <alignment horizontal="left" vertical="center"/>
    </xf>
    <xf numFmtId="0" fontId="10" fillId="0" borderId="0" xfId="9" applyFont="1" applyAlignment="1" applyProtection="1">
      <alignment horizontal="left" vertical="center"/>
    </xf>
    <xf numFmtId="0" fontId="10" fillId="0" borderId="1" xfId="9" applyFont="1" applyBorder="1" applyAlignment="1" applyProtection="1">
      <alignment horizontal="center" vertical="center"/>
    </xf>
    <xf numFmtId="0" fontId="0" fillId="0" borderId="0" xfId="0" applyAlignment="1" applyProtection="1">
      <alignment horizontal="right" vertical="center"/>
    </xf>
    <xf numFmtId="0" fontId="10" fillId="0" borderId="1" xfId="9" applyFont="1" applyBorder="1" applyProtection="1">
      <alignment vertical="center"/>
    </xf>
    <xf numFmtId="185" fontId="10" fillId="0" borderId="1" xfId="9" applyNumberFormat="1" applyFont="1" applyBorder="1" applyAlignment="1" applyProtection="1">
      <alignment horizontal="right" vertical="center" shrinkToFit="1"/>
    </xf>
    <xf numFmtId="0" fontId="52" fillId="0" borderId="0" xfId="9" applyFont="1" applyAlignment="1" applyProtection="1">
      <alignment horizontal="left" vertical="center" shrinkToFit="1"/>
    </xf>
    <xf numFmtId="176" fontId="10" fillId="0" borderId="1" xfId="9" applyNumberFormat="1" applyFont="1" applyBorder="1" applyAlignment="1" applyProtection="1">
      <alignment horizontal="right" vertical="center" shrinkToFit="1"/>
    </xf>
    <xf numFmtId="0" fontId="10" fillId="0" borderId="0" xfId="9" applyFont="1" applyAlignment="1" applyProtection="1">
      <alignment horizontal="center" vertical="center" wrapText="1"/>
    </xf>
    <xf numFmtId="0" fontId="10" fillId="0" borderId="1" xfId="9" applyFont="1" applyBorder="1" applyAlignment="1" applyProtection="1">
      <alignment vertical="center" wrapText="1"/>
    </xf>
    <xf numFmtId="0" fontId="10" fillId="0" borderId="5" xfId="9" applyFont="1" applyBorder="1" applyAlignment="1" applyProtection="1">
      <alignment horizontal="left" vertical="center"/>
    </xf>
    <xf numFmtId="0" fontId="10" fillId="0" borderId="5" xfId="9" applyFont="1" applyBorder="1" applyAlignment="1" applyProtection="1">
      <alignment vertical="center" wrapText="1"/>
    </xf>
    <xf numFmtId="185" fontId="10" fillId="0" borderId="0" xfId="9" applyNumberFormat="1" applyFont="1" applyAlignment="1" applyProtection="1">
      <alignment vertical="center" shrinkToFit="1"/>
    </xf>
    <xf numFmtId="0" fontId="21" fillId="0" borderId="0" xfId="9" applyFont="1" applyAlignment="1" applyProtection="1">
      <alignment horizontal="right" vertical="center"/>
    </xf>
    <xf numFmtId="0" fontId="12" fillId="5" borderId="1" xfId="9" applyFont="1" applyFill="1" applyBorder="1" applyAlignment="1" applyProtection="1">
      <alignment horizontal="center" vertical="center" shrinkToFit="1"/>
    </xf>
    <xf numFmtId="0" fontId="10" fillId="5" borderId="1" xfId="9" applyFont="1" applyFill="1" applyBorder="1" applyAlignment="1" applyProtection="1">
      <alignment horizontal="center" vertical="center"/>
    </xf>
    <xf numFmtId="0" fontId="10" fillId="5" borderId="1" xfId="9" applyFont="1" applyFill="1" applyBorder="1" applyAlignment="1" applyProtection="1">
      <alignment horizontal="center" vertical="center" wrapText="1"/>
    </xf>
    <xf numFmtId="0" fontId="10" fillId="0" borderId="0" xfId="9" applyFont="1" applyBorder="1" applyAlignment="1" applyProtection="1">
      <alignment horizontal="center" vertical="center"/>
    </xf>
    <xf numFmtId="0" fontId="10" fillId="0" borderId="0" xfId="9" applyFont="1" applyAlignment="1" applyProtection="1">
      <alignment horizontal="center" vertical="center" shrinkToFit="1"/>
    </xf>
    <xf numFmtId="176" fontId="22" fillId="0" borderId="1" xfId="9" applyNumberFormat="1" applyFont="1" applyBorder="1" applyAlignment="1" applyProtection="1">
      <alignment vertical="center" shrinkToFit="1"/>
    </xf>
    <xf numFmtId="0" fontId="10" fillId="0" borderId="1" xfId="9" applyFont="1" applyBorder="1" applyAlignment="1" applyProtection="1">
      <alignment horizontal="center" vertical="center" shrinkToFit="1"/>
    </xf>
    <xf numFmtId="187" fontId="10" fillId="0" borderId="1" xfId="9" applyNumberFormat="1" applyFont="1" applyBorder="1" applyAlignment="1" applyProtection="1">
      <alignment horizontal="center" vertical="center"/>
    </xf>
    <xf numFmtId="0" fontId="10" fillId="0" borderId="0" xfId="9" applyFont="1" applyBorder="1" applyProtection="1">
      <alignment vertical="center"/>
    </xf>
    <xf numFmtId="0" fontId="10" fillId="0" borderId="1" xfId="9" applyFont="1" applyBorder="1" applyAlignment="1" applyProtection="1">
      <alignment vertical="center" shrinkToFit="1"/>
    </xf>
    <xf numFmtId="0" fontId="10" fillId="0" borderId="2" xfId="9" applyFont="1" applyBorder="1" applyAlignment="1" applyProtection="1">
      <alignment horizontal="center" vertical="center"/>
    </xf>
    <xf numFmtId="224" fontId="10" fillId="2" borderId="1" xfId="0" applyNumberFormat="1" applyFont="1" applyFill="1" applyBorder="1" applyAlignment="1" applyProtection="1">
      <alignment horizontal="right" vertical="center" shrinkToFit="1"/>
      <protection locked="0"/>
    </xf>
    <xf numFmtId="0" fontId="16" fillId="0" borderId="0" xfId="9" applyFont="1" applyAlignment="1" applyProtection="1">
      <alignment vertical="center" shrinkToFit="1"/>
    </xf>
    <xf numFmtId="0" fontId="15" fillId="0" borderId="0" xfId="9" applyFont="1" applyAlignment="1" applyProtection="1">
      <alignment horizontal="center" vertical="center"/>
    </xf>
    <xf numFmtId="0" fontId="15" fillId="0" borderId="1" xfId="9" applyFont="1" applyBorder="1" applyAlignment="1" applyProtection="1">
      <alignment vertical="center" shrinkToFit="1"/>
    </xf>
    <xf numFmtId="0" fontId="15" fillId="4" borderId="0" xfId="9" applyFont="1" applyFill="1" applyProtection="1">
      <alignment vertical="center"/>
    </xf>
    <xf numFmtId="0" fontId="15" fillId="0" borderId="152" xfId="9" applyFont="1" applyBorder="1" applyProtection="1">
      <alignment vertical="center"/>
    </xf>
    <xf numFmtId="0" fontId="15" fillId="0" borderId="155" xfId="9" applyFont="1" applyBorder="1" applyProtection="1">
      <alignment vertical="center"/>
    </xf>
    <xf numFmtId="0" fontId="15" fillId="0" borderId="157" xfId="9" applyFont="1" applyBorder="1" applyProtection="1">
      <alignment vertical="center"/>
    </xf>
    <xf numFmtId="0" fontId="15" fillId="0" borderId="6" xfId="9" applyFont="1" applyBorder="1" applyAlignment="1" applyProtection="1">
      <alignment vertical="center" shrinkToFit="1"/>
    </xf>
    <xf numFmtId="0" fontId="15" fillId="0" borderId="11" xfId="9" applyFont="1" applyBorder="1" applyAlignment="1" applyProtection="1">
      <alignment horizontal="center" vertical="center"/>
    </xf>
    <xf numFmtId="0" fontId="15" fillId="0" borderId="11" xfId="9" applyFont="1" applyBorder="1" applyAlignment="1" applyProtection="1">
      <alignment vertical="center" shrinkToFit="1"/>
    </xf>
    <xf numFmtId="0" fontId="15" fillId="0" borderId="158" xfId="9" applyFont="1" applyBorder="1" applyProtection="1">
      <alignment vertical="center"/>
    </xf>
    <xf numFmtId="0" fontId="15" fillId="0" borderId="159" xfId="9" applyFont="1" applyBorder="1" applyProtection="1">
      <alignment vertical="center"/>
    </xf>
    <xf numFmtId="0" fontId="15" fillId="0" borderId="152" xfId="9" applyFont="1" applyBorder="1" applyAlignment="1" applyProtection="1">
      <alignment vertical="top"/>
    </xf>
    <xf numFmtId="0" fontId="12" fillId="0" borderId="1" xfId="0" applyFont="1" applyBorder="1" applyAlignment="1" applyProtection="1">
      <alignment vertical="center"/>
      <protection locked="0"/>
    </xf>
    <xf numFmtId="0" fontId="15" fillId="0" borderId="0" xfId="9" applyFont="1" applyAlignment="1" applyProtection="1">
      <alignment horizontal="right" vertical="center" shrinkToFit="1"/>
    </xf>
    <xf numFmtId="0" fontId="4" fillId="0" borderId="0" xfId="9" applyAlignment="1" applyProtection="1">
      <alignment horizontal="right" vertical="center" shrinkToFit="1"/>
    </xf>
    <xf numFmtId="0" fontId="10" fillId="0" borderId="1" xfId="0" applyFont="1" applyBorder="1" applyAlignment="1" applyProtection="1">
      <alignment horizontal="center" vertical="center" wrapText="1"/>
    </xf>
    <xf numFmtId="176" fontId="11" fillId="0" borderId="1" xfId="0" applyNumberFormat="1" applyFont="1" applyBorder="1" applyAlignment="1">
      <alignment vertical="center"/>
    </xf>
    <xf numFmtId="176" fontId="0" fillId="0" borderId="1" xfId="0" applyNumberFormat="1" applyBorder="1" applyAlignment="1">
      <alignment vertical="center"/>
    </xf>
    <xf numFmtId="0" fontId="47" fillId="0" borderId="0" xfId="8" applyFont="1" applyBorder="1" applyAlignment="1" applyProtection="1">
      <alignment horizontal="center"/>
    </xf>
    <xf numFmtId="0" fontId="47" fillId="0" borderId="0" xfId="8" applyFont="1" applyBorder="1" applyAlignment="1" applyProtection="1">
      <alignment vertical="center"/>
    </xf>
    <xf numFmtId="0" fontId="47" fillId="0" borderId="0" xfId="8" applyFont="1" applyBorder="1" applyProtection="1"/>
    <xf numFmtId="0" fontId="12" fillId="4" borderId="1" xfId="0" applyFont="1" applyFill="1" applyBorder="1" applyAlignment="1" applyProtection="1">
      <alignment vertical="center" textRotation="255" wrapText="1"/>
    </xf>
    <xf numFmtId="178" fontId="12" fillId="2" borderId="1" xfId="0" applyNumberFormat="1" applyFont="1" applyFill="1" applyBorder="1" applyAlignment="1" applyProtection="1">
      <alignment horizontal="center" vertical="center" wrapText="1" shrinkToFit="1"/>
      <protection locked="0"/>
    </xf>
    <xf numFmtId="185" fontId="47" fillId="0" borderId="1" xfId="8" applyNumberFormat="1" applyFont="1" applyBorder="1" applyAlignment="1" applyProtection="1">
      <alignment horizontal="center"/>
    </xf>
    <xf numFmtId="0" fontId="10" fillId="0" borderId="0" xfId="5" applyFont="1" applyBorder="1" applyAlignment="1" applyProtection="1">
      <alignment horizontal="right" vertical="center"/>
    </xf>
    <xf numFmtId="0" fontId="0" fillId="0" borderId="0" xfId="0" applyAlignment="1">
      <alignment vertical="center" shrinkToFit="1"/>
    </xf>
    <xf numFmtId="0" fontId="0" fillId="0" borderId="0" xfId="0" applyAlignment="1">
      <alignment horizontal="center" vertical="center" shrinkToFit="1"/>
    </xf>
    <xf numFmtId="0" fontId="10" fillId="0" borderId="0" xfId="0" applyFont="1" applyAlignment="1">
      <alignment horizontal="center" shrinkToFit="1"/>
    </xf>
    <xf numFmtId="0" fontId="10" fillId="0" borderId="0" xfId="0" applyFont="1" applyAlignment="1">
      <alignment shrinkToFit="1"/>
    </xf>
    <xf numFmtId="0" fontId="11" fillId="0" borderId="0" xfId="0" applyFont="1" applyAlignment="1">
      <alignment horizontal="center" vertical="center" shrinkToFit="1"/>
    </xf>
    <xf numFmtId="0" fontId="0" fillId="0" borderId="0" xfId="0" applyAlignment="1">
      <alignment shrinkToFit="1"/>
    </xf>
    <xf numFmtId="0" fontId="11" fillId="0" borderId="0" xfId="0" applyFont="1" applyAlignment="1">
      <alignment shrinkToFit="1"/>
    </xf>
    <xf numFmtId="0" fontId="10" fillId="0" borderId="0" xfId="0" applyFont="1" applyAlignment="1">
      <alignment horizontal="center" vertical="center" shrinkToFit="1"/>
    </xf>
    <xf numFmtId="0" fontId="10" fillId="0" borderId="0" xfId="0" applyFont="1" applyAlignment="1">
      <alignment vertical="center" shrinkToFit="1"/>
    </xf>
    <xf numFmtId="251" fontId="10" fillId="0" borderId="100" xfId="8" applyNumberFormat="1" applyFont="1" applyBorder="1" applyAlignment="1" applyProtection="1">
      <alignment horizontal="center" vertical="center" shrinkToFit="1"/>
    </xf>
    <xf numFmtId="251" fontId="10" fillId="0" borderId="1" xfId="8" applyNumberFormat="1" applyFont="1" applyBorder="1" applyAlignment="1" applyProtection="1">
      <alignment horizontal="center" vertical="center" shrinkToFit="1"/>
    </xf>
    <xf numFmtId="0" fontId="10" fillId="0" borderId="6" xfId="8" applyFont="1" applyFill="1" applyBorder="1" applyAlignment="1" applyProtection="1">
      <alignment horizontal="center" vertical="center" shrinkToFit="1"/>
    </xf>
    <xf numFmtId="206" fontId="47" fillId="0" borderId="0" xfId="8" applyNumberFormat="1" applyFont="1" applyAlignment="1" applyProtection="1">
      <alignment vertical="center"/>
    </xf>
    <xf numFmtId="0" fontId="15" fillId="0" borderId="0" xfId="8" applyFont="1" applyAlignment="1" applyProtection="1">
      <alignment horizontal="left" vertical="center"/>
    </xf>
    <xf numFmtId="0" fontId="10" fillId="0" borderId="100" xfId="8" applyFont="1" applyBorder="1" applyProtection="1"/>
    <xf numFmtId="0" fontId="10" fillId="0" borderId="1" xfId="8" applyFont="1" applyBorder="1" applyProtection="1"/>
    <xf numFmtId="0" fontId="10" fillId="0" borderId="1" xfId="8" applyFont="1" applyBorder="1" applyAlignment="1" applyProtection="1"/>
    <xf numFmtId="0" fontId="10" fillId="0" borderId="1" xfId="8" applyFont="1" applyFill="1" applyBorder="1" applyProtection="1"/>
    <xf numFmtId="0" fontId="10" fillId="0" borderId="1" xfId="8" applyFont="1" applyBorder="1" applyAlignment="1" applyProtection="1">
      <alignment wrapText="1"/>
    </xf>
    <xf numFmtId="0" fontId="10" fillId="0" borderId="114" xfId="8" applyFont="1" applyBorder="1" applyProtection="1"/>
    <xf numFmtId="211" fontId="10" fillId="0" borderId="1" xfId="8" applyNumberFormat="1" applyFont="1" applyFill="1" applyBorder="1" applyAlignment="1" applyProtection="1">
      <alignment horizontal="center" vertical="center" shrinkToFit="1"/>
    </xf>
    <xf numFmtId="211" fontId="21" fillId="0" borderId="1" xfId="9" applyNumberFormat="1" applyFont="1" applyFill="1" applyBorder="1" applyAlignment="1" applyProtection="1">
      <alignment horizontal="center" vertical="center" shrinkToFit="1"/>
    </xf>
    <xf numFmtId="0" fontId="10" fillId="0" borderId="1" xfId="8" applyFont="1" applyFill="1" applyBorder="1" applyAlignment="1" applyProtection="1">
      <alignment horizontal="center" vertical="center" wrapText="1"/>
    </xf>
    <xf numFmtId="221" fontId="22" fillId="0" borderId="1" xfId="8" applyNumberFormat="1" applyFont="1" applyFill="1" applyBorder="1" applyAlignment="1" applyProtection="1">
      <alignment horizontal="center" vertical="center" shrinkToFit="1"/>
    </xf>
    <xf numFmtId="221" fontId="21" fillId="0" borderId="1" xfId="9" applyNumberFormat="1" applyFont="1" applyFill="1" applyBorder="1" applyAlignment="1" applyProtection="1">
      <alignment horizontal="center" vertical="center" shrinkToFit="1"/>
    </xf>
    <xf numFmtId="221" fontId="10" fillId="0" borderId="1" xfId="8" applyNumberFormat="1" applyFont="1" applyFill="1" applyBorder="1" applyAlignment="1" applyProtection="1">
      <alignment horizontal="center" vertical="center" shrinkToFit="1"/>
    </xf>
    <xf numFmtId="0" fontId="11" fillId="0" borderId="1" xfId="4" applyFont="1" applyBorder="1" applyAlignment="1" applyProtection="1">
      <alignment vertical="center"/>
    </xf>
    <xf numFmtId="14" fontId="11" fillId="0" borderId="1" xfId="4" applyNumberFormat="1" applyFont="1" applyBorder="1" applyAlignment="1" applyProtection="1">
      <alignment horizontal="center" vertical="center" shrinkToFit="1"/>
    </xf>
    <xf numFmtId="0" fontId="10" fillId="0" borderId="0" xfId="0" applyFont="1" applyBorder="1" applyAlignment="1" applyProtection="1">
      <alignment horizontal="center" vertical="center" shrinkToFit="1"/>
    </xf>
    <xf numFmtId="176" fontId="10" fillId="0" borderId="0" xfId="0" applyNumberFormat="1" applyFont="1" applyBorder="1" applyAlignment="1" applyProtection="1">
      <alignment vertical="center" shrinkToFit="1"/>
    </xf>
    <xf numFmtId="0" fontId="10" fillId="0" borderId="4" xfId="0" applyFont="1" applyBorder="1" applyAlignment="1" applyProtection="1">
      <alignment vertical="center"/>
    </xf>
    <xf numFmtId="0" fontId="10" fillId="0" borderId="3" xfId="0" applyFont="1" applyBorder="1" applyAlignment="1" applyProtection="1">
      <alignment vertical="center"/>
    </xf>
    <xf numFmtId="0" fontId="29" fillId="0" borderId="0" xfId="0" applyFont="1" applyBorder="1" applyAlignment="1">
      <alignment horizontal="center" vertical="center"/>
    </xf>
    <xf numFmtId="14" fontId="29" fillId="0" borderId="0" xfId="0" applyNumberFormat="1" applyFont="1" applyBorder="1" applyAlignment="1">
      <alignment horizontal="center" vertical="center"/>
    </xf>
    <xf numFmtId="0" fontId="29" fillId="0" borderId="1" xfId="0" applyFont="1" applyBorder="1" applyAlignment="1">
      <alignment vertical="center"/>
    </xf>
    <xf numFmtId="0" fontId="29" fillId="0" borderId="1" xfId="0" applyFont="1" applyFill="1" applyBorder="1" applyAlignment="1">
      <alignment horizontal="center" vertical="center"/>
    </xf>
    <xf numFmtId="0" fontId="29" fillId="0" borderId="1" xfId="0" applyFont="1" applyFill="1" applyBorder="1" applyAlignment="1">
      <alignment vertical="center"/>
    </xf>
    <xf numFmtId="178" fontId="22" fillId="2" borderId="1" xfId="0" applyNumberFormat="1" applyFont="1" applyFill="1" applyBorder="1" applyAlignment="1" applyProtection="1">
      <alignment horizontal="center" vertical="center" shrinkToFit="1"/>
      <protection locked="0"/>
    </xf>
    <xf numFmtId="253" fontId="10" fillId="0" borderId="4" xfId="0" applyNumberFormat="1" applyFont="1" applyBorder="1" applyAlignment="1" applyProtection="1">
      <alignment vertical="center"/>
    </xf>
    <xf numFmtId="0" fontId="15" fillId="0" borderId="0" xfId="9" applyFont="1" applyBorder="1" applyAlignment="1" applyProtection="1">
      <alignment horizontal="center" vertical="center"/>
    </xf>
    <xf numFmtId="0" fontId="10" fillId="0" borderId="1" xfId="9" applyFont="1" applyBorder="1" applyAlignment="1" applyProtection="1">
      <alignment horizontal="center" vertical="center"/>
    </xf>
    <xf numFmtId="0" fontId="10" fillId="0" borderId="5" xfId="0" applyFont="1" applyBorder="1" applyAlignment="1" applyProtection="1">
      <alignment horizontal="center" vertical="center" shrinkToFit="1"/>
    </xf>
    <xf numFmtId="0" fontId="10" fillId="0" borderId="1" xfId="0" applyFont="1" applyBorder="1" applyAlignment="1" applyProtection="1">
      <alignment horizontal="center" vertical="center"/>
    </xf>
    <xf numFmtId="0" fontId="10" fillId="0" borderId="0" xfId="9" applyFont="1" applyAlignment="1" applyProtection="1">
      <alignment vertical="center" wrapText="1"/>
    </xf>
    <xf numFmtId="0" fontId="15" fillId="0" borderId="0" xfId="9" applyFont="1" applyBorder="1" applyAlignment="1" applyProtection="1">
      <alignment horizontal="left" vertical="center"/>
    </xf>
    <xf numFmtId="0" fontId="15" fillId="0" borderId="3" xfId="9" applyFont="1" applyBorder="1" applyAlignment="1" applyProtection="1">
      <alignment vertical="center" shrinkToFit="1"/>
    </xf>
    <xf numFmtId="0" fontId="15" fillId="0" borderId="0" xfId="9" applyFont="1" applyBorder="1" applyProtection="1">
      <alignment vertical="center"/>
    </xf>
    <xf numFmtId="0" fontId="15" fillId="0" borderId="0" xfId="9" applyFont="1" applyBorder="1" applyAlignment="1" applyProtection="1">
      <alignment vertical="center" shrinkToFit="1"/>
    </xf>
    <xf numFmtId="49" fontId="15" fillId="0" borderId="1" xfId="9" applyNumberFormat="1" applyFont="1" applyBorder="1" applyAlignment="1" applyProtection="1">
      <alignment horizontal="center" vertical="center"/>
    </xf>
    <xf numFmtId="0" fontId="11" fillId="0" borderId="6" xfId="4" applyFont="1" applyFill="1" applyBorder="1" applyAlignment="1" applyProtection="1">
      <alignment horizontal="center" vertical="center" wrapText="1"/>
    </xf>
    <xf numFmtId="239" fontId="11" fillId="0" borderId="1" xfId="4" applyNumberFormat="1" applyFont="1" applyFill="1" applyBorder="1" applyAlignment="1" applyProtection="1">
      <alignment vertical="center" shrinkToFit="1"/>
    </xf>
    <xf numFmtId="192" fontId="11" fillId="0" borderId="1" xfId="4" applyNumberFormat="1" applyFont="1" applyFill="1" applyBorder="1" applyAlignment="1" applyProtection="1">
      <alignment vertical="center" shrinkToFit="1"/>
    </xf>
    <xf numFmtId="178" fontId="22" fillId="2" borderId="1" xfId="10" applyNumberFormat="1" applyFont="1" applyFill="1" applyBorder="1" applyAlignment="1" applyProtection="1">
      <alignment vertical="center" shrinkToFit="1"/>
    </xf>
    <xf numFmtId="225" fontId="11" fillId="0" borderId="25" xfId="4" applyNumberFormat="1" applyFont="1" applyFill="1" applyBorder="1" applyAlignment="1" applyProtection="1">
      <alignment vertical="center" wrapText="1"/>
    </xf>
    <xf numFmtId="3" fontId="11" fillId="0" borderId="18" xfId="4" applyNumberFormat="1" applyFont="1" applyFill="1" applyBorder="1" applyAlignment="1" applyProtection="1">
      <alignment horizontal="center" vertical="center" wrapText="1" shrinkToFit="1"/>
    </xf>
    <xf numFmtId="0" fontId="11" fillId="0" borderId="0" xfId="0" applyFont="1" applyFill="1" applyBorder="1" applyAlignment="1" applyProtection="1">
      <alignment vertical="center" wrapText="1" shrinkToFit="1"/>
    </xf>
    <xf numFmtId="3" fontId="22" fillId="2" borderId="4" xfId="9" applyNumberFormat="1" applyFont="1" applyFill="1" applyBorder="1" applyAlignment="1" applyProtection="1">
      <alignment horizontal="right" vertical="center" shrinkToFit="1"/>
      <protection locked="0"/>
    </xf>
    <xf numFmtId="0" fontId="12" fillId="5" borderId="1" xfId="9" applyFont="1" applyFill="1" applyBorder="1" applyAlignment="1" applyProtection="1">
      <alignment horizontal="center" vertical="center" wrapText="1" shrinkToFit="1"/>
    </xf>
    <xf numFmtId="3" fontId="10" fillId="0" borderId="1" xfId="9" applyNumberFormat="1" applyFont="1" applyBorder="1" applyAlignment="1" applyProtection="1">
      <alignment horizontal="right" vertical="center" shrinkToFit="1"/>
    </xf>
    <xf numFmtId="0" fontId="29" fillId="0" borderId="0" xfId="12" applyFont="1">
      <alignment vertical="center"/>
    </xf>
    <xf numFmtId="0" fontId="72" fillId="0" borderId="0" xfId="12" applyFont="1" applyAlignment="1">
      <alignment vertical="center" shrinkToFit="1"/>
    </xf>
    <xf numFmtId="0" fontId="72" fillId="0" borderId="0" xfId="12" applyFont="1" applyAlignment="1">
      <alignment horizontal="center" vertical="center" shrinkToFit="1"/>
    </xf>
    <xf numFmtId="0" fontId="72" fillId="0" borderId="16" xfId="12" applyFont="1" applyFill="1" applyBorder="1" applyAlignment="1">
      <alignment vertical="center" shrinkToFit="1"/>
    </xf>
    <xf numFmtId="254" fontId="72" fillId="0" borderId="1" xfId="12" applyNumberFormat="1" applyFont="1" applyBorder="1" applyAlignment="1">
      <alignment horizontal="center" vertical="center" shrinkToFit="1"/>
    </xf>
    <xf numFmtId="0" fontId="73" fillId="0" borderId="16" xfId="12" applyFont="1" applyFill="1" applyBorder="1" applyAlignment="1">
      <alignment vertical="center" shrinkToFit="1"/>
    </xf>
    <xf numFmtId="0" fontId="73" fillId="9" borderId="10" xfId="12" applyFont="1" applyFill="1" applyBorder="1" applyAlignment="1">
      <alignment horizontal="center" vertical="center" shrinkToFit="1"/>
    </xf>
    <xf numFmtId="225" fontId="73" fillId="9" borderId="1" xfId="12" applyNumberFormat="1" applyFont="1" applyFill="1" applyBorder="1" applyAlignment="1">
      <alignment horizontal="center" vertical="center" shrinkToFit="1"/>
    </xf>
    <xf numFmtId="0" fontId="73" fillId="4" borderId="1" xfId="12" applyFont="1" applyFill="1" applyBorder="1" applyAlignment="1">
      <alignment vertical="center" shrinkToFit="1"/>
    </xf>
    <xf numFmtId="0" fontId="73" fillId="2" borderId="1" xfId="12" applyFont="1" applyFill="1" applyBorder="1" applyAlignment="1">
      <alignment vertical="center" shrinkToFit="1"/>
    </xf>
    <xf numFmtId="0" fontId="29" fillId="2" borderId="0" xfId="12" applyFont="1" applyFill="1">
      <alignment vertical="center"/>
    </xf>
    <xf numFmtId="0" fontId="72" fillId="0" borderId="6" xfId="12" applyFont="1" applyBorder="1" applyAlignment="1">
      <alignment horizontal="center" vertical="center" shrinkToFit="1"/>
    </xf>
    <xf numFmtId="0" fontId="72" fillId="0" borderId="10" xfId="12" applyFont="1" applyBorder="1" applyAlignment="1">
      <alignment vertical="center" shrinkToFit="1"/>
    </xf>
    <xf numFmtId="0" fontId="72" fillId="0" borderId="1" xfId="12" applyFont="1" applyBorder="1" applyAlignment="1">
      <alignment vertical="center" shrinkToFit="1"/>
    </xf>
    <xf numFmtId="0" fontId="73" fillId="2" borderId="16" xfId="12" applyFont="1" applyFill="1" applyBorder="1" applyAlignment="1">
      <alignment vertical="center" shrinkToFit="1"/>
    </xf>
    <xf numFmtId="0" fontId="29" fillId="4" borderId="0" xfId="12" applyFont="1" applyFill="1">
      <alignment vertical="center"/>
    </xf>
    <xf numFmtId="0" fontId="73" fillId="4" borderId="16" xfId="12" applyFont="1" applyFill="1" applyBorder="1" applyAlignment="1">
      <alignment vertical="center" shrinkToFit="1"/>
    </xf>
    <xf numFmtId="188" fontId="10" fillId="0" borderId="1" xfId="10" applyNumberFormat="1" applyFont="1" applyFill="1" applyBorder="1" applyAlignment="1" applyProtection="1">
      <alignment vertical="center" shrinkToFit="1"/>
    </xf>
    <xf numFmtId="243" fontId="10" fillId="0" borderId="1" xfId="10" applyNumberFormat="1" applyFont="1" applyFill="1" applyBorder="1" applyAlignment="1" applyProtection="1">
      <alignment vertical="center" shrinkToFit="1"/>
    </xf>
    <xf numFmtId="190" fontId="10" fillId="0" borderId="1" xfId="10" applyNumberFormat="1" applyFont="1" applyFill="1" applyBorder="1" applyAlignment="1" applyProtection="1">
      <alignment vertical="center" shrinkToFit="1"/>
    </xf>
    <xf numFmtId="244" fontId="10" fillId="0" borderId="1" xfId="10" applyNumberFormat="1" applyFont="1" applyFill="1" applyBorder="1" applyAlignment="1" applyProtection="1">
      <alignment vertical="center" shrinkToFit="1"/>
    </xf>
    <xf numFmtId="192" fontId="11" fillId="0" borderId="93" xfId="4" applyNumberFormat="1" applyFont="1" applyFill="1" applyBorder="1" applyAlignment="1" applyProtection="1">
      <alignment vertical="center" wrapText="1"/>
    </xf>
    <xf numFmtId="192" fontId="11" fillId="0" borderId="40" xfId="4" applyNumberFormat="1" applyFont="1" applyFill="1" applyBorder="1" applyAlignment="1" applyProtection="1">
      <alignment vertical="center" wrapText="1"/>
    </xf>
    <xf numFmtId="0" fontId="29" fillId="0" borderId="1" xfId="0" applyFont="1" applyBorder="1" applyAlignment="1">
      <alignment horizontal="center" vertical="center" shrinkToFit="1"/>
    </xf>
    <xf numFmtId="0" fontId="11" fillId="0" borderId="0" xfId="5" applyFont="1" applyAlignment="1" applyProtection="1">
      <alignment horizontal="center" vertical="center"/>
    </xf>
    <xf numFmtId="198" fontId="63" fillId="7" borderId="0" xfId="5" applyNumberFormat="1" applyFont="1" applyFill="1" applyBorder="1" applyAlignment="1" applyProtection="1">
      <alignment horizontal="center" vertical="center" wrapText="1"/>
    </xf>
    <xf numFmtId="0" fontId="11" fillId="0" borderId="0" xfId="5" applyFont="1" applyAlignment="1" applyProtection="1">
      <alignment vertical="center"/>
    </xf>
    <xf numFmtId="0" fontId="11" fillId="0" borderId="0" xfId="5" applyFont="1" applyAlignment="1" applyProtection="1">
      <alignment horizontal="left" vertical="center" wrapText="1"/>
    </xf>
    <xf numFmtId="0" fontId="11" fillId="0" borderId="0" xfId="5" applyFont="1" applyAlignment="1" applyProtection="1">
      <alignment vertical="center" wrapText="1"/>
    </xf>
    <xf numFmtId="199" fontId="11" fillId="0" borderId="0" xfId="5" applyNumberFormat="1" applyFont="1" applyAlignment="1" applyProtection="1">
      <alignment horizontal="left" vertical="center" wrapText="1"/>
    </xf>
    <xf numFmtId="0" fontId="11" fillId="0" borderId="0" xfId="5" applyFont="1" applyBorder="1" applyAlignment="1" applyProtection="1">
      <alignment vertical="center"/>
    </xf>
    <xf numFmtId="0" fontId="10" fillId="0" borderId="1" xfId="0" applyFont="1" applyBorder="1" applyAlignment="1" applyProtection="1">
      <alignment horizontal="center" vertical="center"/>
    </xf>
    <xf numFmtId="0" fontId="10" fillId="0" borderId="1" xfId="0" applyFont="1" applyBorder="1" applyAlignment="1" applyProtection="1">
      <alignment vertical="center"/>
    </xf>
    <xf numFmtId="0" fontId="10" fillId="0" borderId="0" xfId="0" applyFont="1" applyAlignment="1" applyProtection="1">
      <alignment vertical="center" wrapText="1"/>
    </xf>
    <xf numFmtId="0" fontId="10" fillId="3" borderId="1" xfId="0" applyFont="1" applyFill="1" applyBorder="1" applyAlignment="1" applyProtection="1">
      <alignment horizontal="center" vertical="center" shrinkToFit="1"/>
    </xf>
    <xf numFmtId="0" fontId="10" fillId="4" borderId="0" xfId="0" applyFont="1" applyFill="1" applyAlignment="1" applyProtection="1">
      <alignment vertical="center"/>
    </xf>
    <xf numFmtId="255" fontId="73" fillId="4" borderId="4" xfId="12" applyNumberFormat="1" applyFont="1" applyFill="1" applyBorder="1" applyAlignment="1">
      <alignment vertical="center" shrinkToFit="1"/>
    </xf>
    <xf numFmtId="255" fontId="73" fillId="2" borderId="4" xfId="12" applyNumberFormat="1" applyFont="1" applyFill="1" applyBorder="1" applyAlignment="1">
      <alignment vertical="center" shrinkToFit="1"/>
    </xf>
    <xf numFmtId="193" fontId="11" fillId="0" borderId="45" xfId="4" applyNumberFormat="1" applyFont="1" applyFill="1" applyBorder="1" applyAlignment="1" applyProtection="1">
      <alignment vertical="center" wrapText="1" shrinkToFit="1"/>
    </xf>
    <xf numFmtId="0" fontId="11" fillId="0" borderId="0" xfId="4" applyFont="1" applyAlignment="1" applyProtection="1">
      <alignment vertical="center" wrapText="1"/>
    </xf>
    <xf numFmtId="253" fontId="29" fillId="0" borderId="1" xfId="0" applyNumberFormat="1" applyFont="1" applyBorder="1" applyAlignment="1">
      <alignment horizontal="center" vertical="center"/>
    </xf>
    <xf numFmtId="0" fontId="14" fillId="0" borderId="0" xfId="0" applyFont="1" applyBorder="1" applyAlignment="1" applyProtection="1">
      <alignment vertical="center" wrapText="1"/>
    </xf>
    <xf numFmtId="0" fontId="19" fillId="0" borderId="0" xfId="0" applyFont="1" applyBorder="1" applyAlignment="1" applyProtection="1">
      <alignment vertical="top" wrapText="1"/>
    </xf>
    <xf numFmtId="0" fontId="12" fillId="0" borderId="0" xfId="0" applyFont="1" applyBorder="1" applyAlignment="1" applyProtection="1">
      <alignment horizontal="center" vertical="center" wrapText="1" shrinkToFit="1"/>
    </xf>
    <xf numFmtId="0" fontId="19" fillId="0" borderId="0" xfId="0" applyFont="1" applyBorder="1" applyAlignment="1" applyProtection="1">
      <alignment horizontal="center" vertical="center" wrapText="1" shrinkToFit="1"/>
    </xf>
    <xf numFmtId="0" fontId="25" fillId="0" borderId="0" xfId="0" applyFont="1" applyBorder="1" applyAlignment="1" applyProtection="1">
      <alignment horizontal="center" vertical="center" wrapText="1"/>
    </xf>
    <xf numFmtId="0" fontId="26" fillId="0" borderId="0" xfId="0" applyFont="1" applyBorder="1" applyAlignment="1" applyProtection="1">
      <alignment horizontal="center" vertical="center" wrapText="1"/>
    </xf>
    <xf numFmtId="0" fontId="19" fillId="0" borderId="0" xfId="0" applyFont="1" applyFill="1" applyBorder="1" applyAlignment="1" applyProtection="1">
      <alignment horizontal="center" vertical="center" wrapText="1"/>
    </xf>
    <xf numFmtId="0" fontId="12" fillId="0" borderId="0" xfId="0" applyFont="1" applyFill="1" applyBorder="1" applyAlignment="1" applyProtection="1">
      <alignment vertical="center" wrapText="1"/>
    </xf>
    <xf numFmtId="0" fontId="19" fillId="0" borderId="0" xfId="0" applyFont="1" applyFill="1" applyBorder="1" applyAlignment="1" applyProtection="1">
      <alignment vertical="center" wrapText="1"/>
    </xf>
    <xf numFmtId="195" fontId="10" fillId="0" borderId="20" xfId="4" applyNumberFormat="1" applyFont="1" applyFill="1" applyBorder="1" applyAlignment="1" applyProtection="1">
      <alignment vertical="center" shrinkToFit="1"/>
    </xf>
    <xf numFmtId="194" fontId="10" fillId="0" borderId="50" xfId="4" applyNumberFormat="1" applyFont="1" applyFill="1" applyBorder="1" applyAlignment="1" applyProtection="1">
      <alignment vertical="center" shrinkToFit="1"/>
    </xf>
    <xf numFmtId="195" fontId="10" fillId="0" borderId="52" xfId="4" applyNumberFormat="1" applyFont="1" applyFill="1" applyBorder="1" applyAlignment="1" applyProtection="1">
      <alignment vertical="center" shrinkToFit="1"/>
    </xf>
    <xf numFmtId="257" fontId="72" fillId="0" borderId="1" xfId="12" applyNumberFormat="1" applyFont="1" applyBorder="1" applyAlignment="1">
      <alignment horizontal="center" vertical="center" shrinkToFit="1"/>
    </xf>
    <xf numFmtId="252" fontId="72" fillId="0" borderId="1" xfId="12" applyNumberFormat="1" applyFont="1" applyBorder="1" applyAlignment="1">
      <alignment horizontal="center" vertical="center" shrinkToFit="1"/>
    </xf>
    <xf numFmtId="190" fontId="72" fillId="0" borderId="1" xfId="12" applyNumberFormat="1" applyFont="1" applyBorder="1" applyAlignment="1">
      <alignment vertical="center" shrinkToFit="1"/>
    </xf>
    <xf numFmtId="257" fontId="29" fillId="0" borderId="1" xfId="12" applyNumberFormat="1" applyFont="1" applyBorder="1" applyAlignment="1">
      <alignment horizontal="center" vertical="center"/>
    </xf>
    <xf numFmtId="178" fontId="29" fillId="0" borderId="1" xfId="12" applyNumberFormat="1" applyFont="1" applyBorder="1">
      <alignment vertical="center"/>
    </xf>
    <xf numFmtId="253" fontId="12" fillId="0" borderId="1" xfId="0" applyNumberFormat="1" applyFont="1" applyBorder="1" applyAlignment="1" applyProtection="1">
      <alignment vertical="center"/>
    </xf>
    <xf numFmtId="0" fontId="15" fillId="0" borderId="1" xfId="9" applyFont="1" applyBorder="1" applyAlignment="1" applyProtection="1">
      <alignment horizontal="center" vertical="center" shrinkToFit="1"/>
    </xf>
    <xf numFmtId="0" fontId="10" fillId="0" borderId="1" xfId="9" applyFont="1" applyBorder="1" applyAlignment="1" applyProtection="1">
      <alignment horizontal="center" vertical="center"/>
    </xf>
    <xf numFmtId="0" fontId="15" fillId="0" borderId="1" xfId="9" applyFont="1" applyBorder="1" applyAlignment="1" applyProtection="1">
      <alignment horizontal="center" vertical="center"/>
    </xf>
    <xf numFmtId="0" fontId="16" fillId="0" borderId="0" xfId="9" applyFont="1" applyProtection="1">
      <alignment vertical="center"/>
    </xf>
    <xf numFmtId="0" fontId="15" fillId="0" borderId="0" xfId="9" applyFont="1" applyAlignment="1" applyProtection="1">
      <alignment vertical="center" shrinkToFit="1"/>
    </xf>
    <xf numFmtId="0" fontId="4" fillId="0" borderId="0" xfId="9" applyAlignment="1" applyProtection="1">
      <alignment vertical="center" shrinkToFit="1"/>
    </xf>
    <xf numFmtId="0" fontId="15" fillId="0" borderId="6" xfId="9" applyFont="1" applyBorder="1" applyAlignment="1" applyProtection="1">
      <alignment horizontal="center" vertical="center"/>
    </xf>
    <xf numFmtId="0" fontId="15" fillId="0" borderId="0" xfId="9" applyFont="1" applyProtection="1">
      <alignment vertical="center"/>
    </xf>
    <xf numFmtId="0" fontId="15" fillId="0" borderId="3" xfId="9" applyFont="1" applyBorder="1" applyAlignment="1" applyProtection="1">
      <alignment horizontal="center" vertical="center"/>
    </xf>
    <xf numFmtId="0" fontId="4" fillId="0" borderId="70" xfId="9" applyBorder="1" applyAlignment="1" applyProtection="1">
      <alignment vertical="center" shrinkToFit="1"/>
    </xf>
    <xf numFmtId="0" fontId="4" fillId="0" borderId="71" xfId="9" applyBorder="1" applyAlignment="1" applyProtection="1">
      <alignment vertical="center" shrinkToFit="1"/>
    </xf>
    <xf numFmtId="0" fontId="4" fillId="0" borderId="69" xfId="9" applyBorder="1" applyAlignment="1" applyProtection="1">
      <alignment horizontal="right" vertical="center" shrinkToFit="1"/>
    </xf>
    <xf numFmtId="3" fontId="12" fillId="0" borderId="18" xfId="0" applyNumberFormat="1" applyFont="1" applyFill="1" applyBorder="1" applyAlignment="1" applyProtection="1">
      <alignment horizontal="center" vertical="center"/>
    </xf>
    <xf numFmtId="181" fontId="12" fillId="0" borderId="1" xfId="0" applyNumberFormat="1" applyFont="1" applyBorder="1" applyAlignment="1" applyProtection="1">
      <alignment horizontal="center" vertical="center"/>
    </xf>
    <xf numFmtId="182" fontId="12" fillId="0" borderId="2" xfId="0" applyNumberFormat="1" applyFont="1" applyBorder="1" applyAlignment="1" applyProtection="1">
      <alignment horizontal="center" vertical="center"/>
    </xf>
    <xf numFmtId="182" fontId="12" fillId="0" borderId="3" xfId="0" applyNumberFormat="1" applyFont="1" applyBorder="1" applyAlignment="1" applyProtection="1">
      <alignment horizontal="center" vertical="center"/>
    </xf>
    <xf numFmtId="182" fontId="12" fillId="0" borderId="4" xfId="0" applyNumberFormat="1" applyFont="1" applyBorder="1" applyAlignment="1" applyProtection="1">
      <alignment horizontal="center" vertical="center"/>
    </xf>
    <xf numFmtId="204" fontId="47" fillId="0" borderId="10" xfId="8" applyNumberFormat="1" applyFont="1" applyBorder="1" applyAlignment="1" applyProtection="1">
      <alignment horizontal="center"/>
    </xf>
    <xf numFmtId="252" fontId="10" fillId="0" borderId="1" xfId="8" applyNumberFormat="1" applyFont="1" applyBorder="1" applyAlignment="1" applyProtection="1">
      <alignment horizontal="center" vertical="center"/>
    </xf>
    <xf numFmtId="252" fontId="10" fillId="0" borderId="1" xfId="0" applyNumberFormat="1" applyFont="1" applyBorder="1" applyAlignment="1" applyProtection="1">
      <alignment horizontal="center" vertical="center"/>
    </xf>
    <xf numFmtId="252" fontId="10" fillId="0" borderId="1" xfId="8" applyNumberFormat="1" applyFont="1" applyBorder="1" applyAlignment="1" applyProtection="1">
      <alignment horizontal="center"/>
    </xf>
    <xf numFmtId="0" fontId="47" fillId="0" borderId="4" xfId="8" applyFont="1" applyBorder="1" applyAlignment="1" applyProtection="1">
      <alignment horizontal="center"/>
    </xf>
    <xf numFmtId="0" fontId="0" fillId="0" borderId="4" xfId="0" applyBorder="1" applyAlignment="1" applyProtection="1">
      <alignment horizontal="center"/>
    </xf>
    <xf numFmtId="206" fontId="47" fillId="0" borderId="1" xfId="8" applyNumberFormat="1" applyFont="1" applyBorder="1" applyAlignment="1" applyProtection="1">
      <alignment horizontal="center" shrinkToFit="1"/>
    </xf>
    <xf numFmtId="0" fontId="67" fillId="2" borderId="1" xfId="0" applyFont="1" applyFill="1" applyBorder="1" applyAlignment="1" applyProtection="1">
      <alignment horizontal="center" vertical="center" shrinkToFit="1"/>
      <protection locked="0"/>
    </xf>
    <xf numFmtId="255" fontId="73" fillId="4" borderId="2" xfId="12" applyNumberFormat="1" applyFont="1" applyFill="1" applyBorder="1" applyAlignment="1">
      <alignment vertical="center"/>
    </xf>
    <xf numFmtId="255" fontId="73" fillId="2" borderId="2" xfId="12" applyNumberFormat="1" applyFont="1" applyFill="1" applyBorder="1" applyAlignment="1">
      <alignment vertical="center"/>
    </xf>
    <xf numFmtId="255" fontId="73" fillId="4" borderId="13" xfId="12" applyNumberFormat="1" applyFont="1" applyFill="1" applyBorder="1" applyAlignment="1">
      <alignment vertical="center"/>
    </xf>
    <xf numFmtId="0" fontId="73" fillId="9" borderId="4" xfId="12" applyFont="1" applyFill="1" applyBorder="1" applyAlignment="1">
      <alignment horizontal="center" vertical="center" shrinkToFit="1"/>
    </xf>
    <xf numFmtId="0" fontId="73" fillId="9" borderId="9" xfId="12" applyFont="1" applyFill="1" applyBorder="1" applyAlignment="1">
      <alignment horizontal="center" vertical="center" shrinkToFit="1"/>
    </xf>
    <xf numFmtId="255" fontId="73" fillId="4" borderId="3" xfId="12" applyNumberFormat="1" applyFont="1" applyFill="1" applyBorder="1" applyAlignment="1">
      <alignment vertical="center" shrinkToFit="1"/>
    </xf>
    <xf numFmtId="255" fontId="73" fillId="2" borderId="3" xfId="12" applyNumberFormat="1" applyFont="1" applyFill="1" applyBorder="1" applyAlignment="1">
      <alignment vertical="center" shrinkToFit="1"/>
    </xf>
    <xf numFmtId="255" fontId="73" fillId="4" borderId="5" xfId="12" applyNumberFormat="1" applyFont="1" applyFill="1" applyBorder="1" applyAlignment="1">
      <alignment vertical="center" shrinkToFit="1"/>
    </xf>
    <xf numFmtId="0" fontId="29" fillId="0" borderId="2" xfId="0" applyFont="1" applyBorder="1" applyAlignment="1">
      <alignment horizontal="distributed" vertical="center"/>
    </xf>
    <xf numFmtId="0" fontId="29" fillId="0" borderId="2" xfId="0" applyFont="1" applyBorder="1" applyAlignment="1">
      <alignment horizontal="distributed" vertical="center" shrinkToFit="1"/>
    </xf>
    <xf numFmtId="0" fontId="29" fillId="0" borderId="1" xfId="0" applyFont="1" applyBorder="1" applyAlignment="1">
      <alignment horizontal="centerContinuous" vertical="center" shrinkToFit="1"/>
    </xf>
    <xf numFmtId="0" fontId="29" fillId="0" borderId="6" xfId="0" applyFont="1" applyBorder="1" applyAlignment="1">
      <alignment vertical="center"/>
    </xf>
    <xf numFmtId="0" fontId="29" fillId="0" borderId="10" xfId="0" applyFont="1" applyBorder="1" applyAlignment="1">
      <alignment vertical="center"/>
    </xf>
    <xf numFmtId="14" fontId="11" fillId="0" borderId="1" xfId="4" applyNumberFormat="1" applyFont="1" applyBorder="1" applyAlignment="1" applyProtection="1">
      <alignment horizontal="left" vertical="center" shrinkToFit="1"/>
    </xf>
    <xf numFmtId="0" fontId="11" fillId="0" borderId="0" xfId="4" applyFont="1" applyAlignment="1" applyProtection="1">
      <alignment horizontal="left" vertical="center"/>
    </xf>
    <xf numFmtId="14" fontId="11" fillId="0" borderId="1" xfId="4" applyNumberFormat="1" applyFont="1" applyBorder="1" applyAlignment="1" applyProtection="1">
      <alignment horizontal="left" vertical="center" wrapText="1" shrinkToFit="1"/>
    </xf>
    <xf numFmtId="0" fontId="12" fillId="5" borderId="6" xfId="10" applyFont="1" applyFill="1" applyBorder="1" applyAlignment="1" applyProtection="1">
      <alignment horizontal="center" vertical="center" shrinkToFit="1"/>
    </xf>
    <xf numFmtId="0" fontId="22" fillId="2" borderId="10" xfId="10" applyFont="1" applyFill="1" applyBorder="1" applyAlignment="1" applyProtection="1">
      <alignment horizontal="center" vertical="center" shrinkToFit="1"/>
      <protection locked="0"/>
    </xf>
    <xf numFmtId="0" fontId="22" fillId="2" borderId="7" xfId="10" applyFont="1" applyFill="1" applyBorder="1" applyAlignment="1" applyProtection="1">
      <alignment horizontal="center" vertical="center" shrinkToFit="1"/>
      <protection locked="0"/>
    </xf>
    <xf numFmtId="178" fontId="10" fillId="2" borderId="10" xfId="10" applyNumberFormat="1" applyFont="1" applyFill="1" applyBorder="1" applyAlignment="1" applyProtection="1">
      <alignment horizontal="center" vertical="center" shrinkToFit="1"/>
      <protection locked="0"/>
    </xf>
    <xf numFmtId="224" fontId="10" fillId="2" borderId="10" xfId="10" applyNumberFormat="1" applyFont="1" applyFill="1" applyBorder="1" applyAlignment="1" applyProtection="1">
      <alignment horizontal="right" vertical="center" shrinkToFit="1"/>
      <protection locked="0"/>
    </xf>
    <xf numFmtId="176" fontId="10" fillId="0" borderId="10" xfId="10" applyNumberFormat="1" applyFont="1" applyBorder="1" applyAlignment="1" applyProtection="1">
      <alignment horizontal="right" vertical="center" shrinkToFit="1"/>
    </xf>
    <xf numFmtId="176" fontId="22" fillId="0" borderId="10" xfId="10" applyNumberFormat="1" applyFont="1" applyBorder="1" applyAlignment="1" applyProtection="1">
      <alignment vertical="center" shrinkToFit="1"/>
    </xf>
    <xf numFmtId="0" fontId="10" fillId="0" borderId="10" xfId="10" applyFont="1" applyBorder="1" applyAlignment="1" applyProtection="1">
      <alignment horizontal="center" vertical="center" shrinkToFit="1"/>
    </xf>
    <xf numFmtId="178" fontId="22" fillId="2" borderId="1" xfId="10" applyNumberFormat="1" applyFont="1" applyFill="1" applyBorder="1" applyAlignment="1" applyProtection="1">
      <alignment vertical="center" shrinkToFit="1"/>
      <protection locked="0"/>
    </xf>
    <xf numFmtId="178" fontId="22" fillId="2" borderId="10" xfId="10" applyNumberFormat="1" applyFont="1" applyFill="1" applyBorder="1" applyAlignment="1" applyProtection="1">
      <alignment vertical="center" shrinkToFit="1"/>
      <protection locked="0"/>
    </xf>
    <xf numFmtId="0" fontId="10" fillId="0" borderId="1" xfId="9" applyFont="1" applyBorder="1" applyAlignment="1" applyProtection="1">
      <alignment horizontal="center" vertical="center" shrinkToFit="1"/>
    </xf>
    <xf numFmtId="0" fontId="10" fillId="0" borderId="202" xfId="8" applyFont="1" applyBorder="1" applyAlignment="1" applyProtection="1">
      <alignment horizontal="center" vertical="center" shrinkToFit="1"/>
    </xf>
    <xf numFmtId="0" fontId="10" fillId="0" borderId="203" xfId="8" applyFont="1" applyBorder="1" applyAlignment="1" applyProtection="1">
      <alignment horizontal="center" vertical="center" shrinkToFit="1"/>
    </xf>
    <xf numFmtId="0" fontId="10" fillId="0" borderId="161" xfId="8" applyFont="1" applyFill="1" applyBorder="1" applyAlignment="1" applyProtection="1">
      <alignment horizontal="center" vertical="center" shrinkToFit="1"/>
    </xf>
    <xf numFmtId="238" fontId="10" fillId="0" borderId="200" xfId="9" applyNumberFormat="1" applyFont="1" applyFill="1" applyBorder="1" applyAlignment="1" applyProtection="1">
      <alignment horizontal="center" vertical="center" shrinkToFit="1"/>
    </xf>
    <xf numFmtId="238" fontId="10" fillId="0" borderId="162" xfId="0" applyNumberFormat="1" applyFont="1" applyFill="1" applyBorder="1" applyAlignment="1" applyProtection="1">
      <alignment horizontal="center" vertical="center" shrinkToFit="1"/>
    </xf>
    <xf numFmtId="238" fontId="10" fillId="0" borderId="204" xfId="0" applyNumberFormat="1" applyFont="1" applyFill="1" applyBorder="1" applyAlignment="1" applyProtection="1">
      <alignment horizontal="center" vertical="center" shrinkToFit="1"/>
    </xf>
    <xf numFmtId="0" fontId="10" fillId="0" borderId="115" xfId="8" applyFont="1" applyBorder="1" applyAlignment="1" applyProtection="1">
      <alignment horizontal="center" vertical="center" shrinkToFit="1"/>
    </xf>
    <xf numFmtId="0" fontId="10" fillId="0" borderId="161" xfId="8" applyFont="1" applyBorder="1" applyAlignment="1" applyProtection="1">
      <alignment horizontal="center" vertical="center" shrinkToFit="1"/>
    </xf>
    <xf numFmtId="0" fontId="10" fillId="2" borderId="104" xfId="8" applyFont="1" applyFill="1" applyBorder="1" applyAlignment="1" applyProtection="1">
      <alignment horizontal="center" vertical="center" shrinkToFit="1"/>
      <protection locked="0"/>
    </xf>
    <xf numFmtId="0" fontId="10" fillId="2" borderId="105" xfId="8" applyFont="1" applyFill="1" applyBorder="1" applyAlignment="1" applyProtection="1">
      <alignment horizontal="center" vertical="center" shrinkToFit="1"/>
      <protection locked="0"/>
    </xf>
    <xf numFmtId="0" fontId="10" fillId="2" borderId="106" xfId="8" applyFont="1" applyFill="1" applyBorder="1" applyAlignment="1" applyProtection="1">
      <alignment horizontal="center" vertical="center" shrinkToFit="1"/>
      <protection locked="0"/>
    </xf>
    <xf numFmtId="178" fontId="22" fillId="0" borderId="1" xfId="10" applyNumberFormat="1" applyFont="1" applyFill="1" applyBorder="1" applyAlignment="1" applyProtection="1">
      <alignment vertical="center" shrinkToFit="1"/>
    </xf>
    <xf numFmtId="224" fontId="10" fillId="0" borderId="1" xfId="10" applyNumberFormat="1" applyFont="1" applyFill="1" applyBorder="1" applyAlignment="1" applyProtection="1">
      <alignment horizontal="right" vertical="center" shrinkToFit="1"/>
    </xf>
    <xf numFmtId="0" fontId="22" fillId="0" borderId="2" xfId="10" applyFont="1" applyFill="1" applyBorder="1" applyAlignment="1" applyProtection="1">
      <alignment horizontal="center" vertical="center" shrinkToFit="1"/>
    </xf>
    <xf numFmtId="0" fontId="22" fillId="0" borderId="206" xfId="10" applyFont="1" applyFill="1" applyBorder="1" applyAlignment="1" applyProtection="1">
      <alignment horizontal="center" vertical="center" shrinkToFit="1"/>
    </xf>
    <xf numFmtId="0" fontId="22" fillId="0" borderId="207" xfId="10" applyFont="1" applyFill="1" applyBorder="1" applyAlignment="1" applyProtection="1">
      <alignment horizontal="center" vertical="center" shrinkToFit="1"/>
    </xf>
    <xf numFmtId="224" fontId="10" fillId="0" borderId="210" xfId="10" applyNumberFormat="1" applyFont="1" applyFill="1" applyBorder="1" applyAlignment="1" applyProtection="1">
      <alignment horizontal="right" vertical="center" shrinkToFit="1"/>
    </xf>
    <xf numFmtId="176" fontId="10" fillId="0" borderId="210" xfId="10" applyNumberFormat="1" applyFont="1" applyBorder="1" applyAlignment="1" applyProtection="1">
      <alignment horizontal="right" vertical="center" shrinkToFit="1"/>
    </xf>
    <xf numFmtId="176" fontId="22" fillId="0" borderId="210" xfId="10" applyNumberFormat="1" applyFont="1" applyBorder="1" applyAlignment="1" applyProtection="1">
      <alignment vertical="center" shrinkToFit="1"/>
    </xf>
    <xf numFmtId="178" fontId="22" fillId="0" borderId="210" xfId="10" applyNumberFormat="1" applyFont="1" applyFill="1" applyBorder="1" applyAlignment="1" applyProtection="1">
      <alignment vertical="center" shrinkToFit="1"/>
    </xf>
    <xf numFmtId="241" fontId="22" fillId="0" borderId="210" xfId="10" applyNumberFormat="1" applyFont="1" applyBorder="1" applyAlignment="1" applyProtection="1">
      <alignment horizontal="right" vertical="center" shrinkToFit="1"/>
    </xf>
    <xf numFmtId="0" fontId="10" fillId="0" borderId="210" xfId="10" applyFont="1" applyBorder="1" applyAlignment="1" applyProtection="1">
      <alignment horizontal="center" vertical="center" shrinkToFit="1"/>
    </xf>
    <xf numFmtId="0" fontId="10" fillId="0" borderId="211" xfId="10" applyFont="1" applyBorder="1" applyAlignment="1" applyProtection="1">
      <alignment horizontal="center" vertical="center" shrinkToFit="1"/>
    </xf>
    <xf numFmtId="0" fontId="22" fillId="0" borderId="212" xfId="10" applyFont="1" applyFill="1" applyBorder="1" applyAlignment="1" applyProtection="1">
      <alignment horizontal="center" vertical="center" shrinkToFit="1"/>
    </xf>
    <xf numFmtId="0" fontId="10" fillId="0" borderId="213" xfId="10" applyFont="1" applyBorder="1" applyAlignment="1" applyProtection="1">
      <alignment horizontal="center" vertical="center" shrinkToFit="1"/>
    </xf>
    <xf numFmtId="0" fontId="22" fillId="0" borderId="214" xfId="10" applyFont="1" applyFill="1" applyBorder="1" applyAlignment="1" applyProtection="1">
      <alignment horizontal="center" vertical="center" shrinkToFit="1"/>
    </xf>
    <xf numFmtId="0" fontId="22" fillId="0" borderId="215" xfId="10" applyFont="1" applyFill="1" applyBorder="1" applyAlignment="1" applyProtection="1">
      <alignment horizontal="center" vertical="center" shrinkToFit="1"/>
    </xf>
    <xf numFmtId="224" fontId="10" fillId="0" borderId="218" xfId="10" applyNumberFormat="1" applyFont="1" applyFill="1" applyBorder="1" applyAlignment="1" applyProtection="1">
      <alignment horizontal="right" vertical="center" shrinkToFit="1"/>
    </xf>
    <xf numFmtId="176" fontId="10" fillId="0" borderId="218" xfId="10" applyNumberFormat="1" applyFont="1" applyBorder="1" applyAlignment="1" applyProtection="1">
      <alignment horizontal="right" vertical="center" shrinkToFit="1"/>
    </xf>
    <xf numFmtId="176" fontId="22" fillId="0" borderId="218" xfId="10" applyNumberFormat="1" applyFont="1" applyBorder="1" applyAlignment="1" applyProtection="1">
      <alignment vertical="center" shrinkToFit="1"/>
    </xf>
    <xf numFmtId="178" fontId="22" fillId="0" borderId="218" xfId="10" applyNumberFormat="1" applyFont="1" applyFill="1" applyBorder="1" applyAlignment="1" applyProtection="1">
      <alignment vertical="center" shrinkToFit="1"/>
    </xf>
    <xf numFmtId="241" fontId="22" fillId="0" borderId="218" xfId="10" applyNumberFormat="1" applyFont="1" applyBorder="1" applyAlignment="1" applyProtection="1">
      <alignment horizontal="right" vertical="center" shrinkToFit="1"/>
    </xf>
    <xf numFmtId="0" fontId="10" fillId="0" borderId="218" xfId="10" applyFont="1" applyBorder="1" applyAlignment="1" applyProtection="1">
      <alignment horizontal="center" vertical="center" shrinkToFit="1"/>
    </xf>
    <xf numFmtId="0" fontId="10" fillId="0" borderId="219" xfId="10" applyFont="1" applyBorder="1" applyAlignment="1" applyProtection="1">
      <alignment horizontal="center" vertical="center" shrinkToFit="1"/>
    </xf>
    <xf numFmtId="209" fontId="73" fillId="4" borderId="1" xfId="12" applyNumberFormat="1" applyFont="1" applyFill="1" applyBorder="1" applyAlignment="1">
      <alignment vertical="center" shrinkToFit="1"/>
    </xf>
    <xf numFmtId="209" fontId="73" fillId="2" borderId="1" xfId="12" applyNumberFormat="1" applyFont="1" applyFill="1" applyBorder="1" applyAlignment="1">
      <alignment vertical="center" shrinkToFit="1"/>
    </xf>
    <xf numFmtId="209" fontId="73" fillId="4" borderId="1" xfId="12" applyNumberFormat="1" applyFont="1" applyFill="1" applyBorder="1" applyAlignment="1">
      <alignment vertical="center" wrapText="1" shrinkToFit="1"/>
    </xf>
    <xf numFmtId="259" fontId="10" fillId="0" borderId="0" xfId="10" applyNumberFormat="1" applyFont="1" applyAlignment="1" applyProtection="1">
      <alignment horizontal="right" vertical="center" shrinkToFit="1"/>
    </xf>
    <xf numFmtId="0" fontId="10" fillId="0" borderId="0" xfId="0" applyFont="1" applyAlignment="1" applyProtection="1">
      <alignment vertical="center" wrapText="1"/>
    </xf>
    <xf numFmtId="179" fontId="12" fillId="0" borderId="17" xfId="0" applyNumberFormat="1" applyFont="1" applyFill="1" applyBorder="1" applyAlignment="1" applyProtection="1">
      <alignment horizontal="center" vertical="center" wrapText="1"/>
    </xf>
    <xf numFmtId="0" fontId="12" fillId="0" borderId="18" xfId="0" applyNumberFormat="1" applyFont="1" applyFill="1" applyBorder="1" applyAlignment="1" applyProtection="1">
      <alignment horizontal="center" vertical="center" wrapText="1"/>
    </xf>
    <xf numFmtId="179" fontId="12" fillId="0" borderId="18" xfId="0" applyNumberFormat="1" applyFont="1" applyFill="1" applyBorder="1" applyAlignment="1" applyProtection="1">
      <alignment horizontal="center" vertical="center" wrapText="1"/>
    </xf>
    <xf numFmtId="179" fontId="12" fillId="0" borderId="19" xfId="0" applyNumberFormat="1" applyFont="1" applyFill="1" applyBorder="1" applyAlignment="1" applyProtection="1">
      <alignment horizontal="center" vertical="center" wrapText="1"/>
    </xf>
    <xf numFmtId="0" fontId="19" fillId="0" borderId="18" xfId="0" applyFont="1" applyFill="1" applyBorder="1" applyAlignment="1" applyProtection="1">
      <alignment horizontal="center" vertical="center" wrapText="1"/>
    </xf>
    <xf numFmtId="49" fontId="12" fillId="2" borderId="18" xfId="0" applyNumberFormat="1" applyFont="1" applyFill="1" applyBorder="1" applyAlignment="1" applyProtection="1">
      <alignment horizontal="center" vertical="center" shrinkToFit="1"/>
      <protection locked="0"/>
    </xf>
    <xf numFmtId="0" fontId="19" fillId="0" borderId="198" xfId="0" applyFont="1" applyFill="1" applyBorder="1" applyAlignment="1" applyProtection="1">
      <alignment horizontal="center" vertical="center" wrapText="1"/>
    </xf>
    <xf numFmtId="0" fontId="19" fillId="0" borderId="19" xfId="0" applyFont="1" applyFill="1" applyBorder="1" applyAlignment="1" applyProtection="1">
      <alignment horizontal="left" vertical="center" wrapText="1"/>
    </xf>
    <xf numFmtId="0" fontId="12" fillId="0" borderId="1" xfId="0" applyFont="1" applyBorder="1" applyAlignment="1" applyProtection="1">
      <alignment vertical="center" wrapText="1" shrinkToFit="1"/>
    </xf>
    <xf numFmtId="0" fontId="12" fillId="0" borderId="1" xfId="0" applyFont="1" applyBorder="1" applyAlignment="1" applyProtection="1">
      <alignment vertical="center" shrinkToFit="1"/>
    </xf>
    <xf numFmtId="0" fontId="19" fillId="0" borderId="1" xfId="0" applyFont="1" applyBorder="1" applyAlignment="1" applyProtection="1">
      <alignment vertical="center" wrapText="1"/>
    </xf>
    <xf numFmtId="0" fontId="12" fillId="0" borderId="1" xfId="0" applyFont="1" applyBorder="1" applyAlignment="1" applyProtection="1">
      <alignment horizontal="left" vertical="center"/>
    </xf>
    <xf numFmtId="0" fontId="19" fillId="0" borderId="1" xfId="0" applyFont="1" applyBorder="1" applyAlignment="1" applyProtection="1">
      <alignment horizontal="center" vertical="center"/>
    </xf>
    <xf numFmtId="0" fontId="12" fillId="0" borderId="1" xfId="0" applyFont="1" applyBorder="1" applyAlignment="1" applyProtection="1">
      <alignment horizontal="center" vertical="center" wrapText="1"/>
    </xf>
    <xf numFmtId="0" fontId="12" fillId="0" borderId="0" xfId="0" applyFont="1" applyBorder="1" applyAlignment="1" applyProtection="1">
      <alignment vertical="center" wrapText="1" shrinkToFit="1"/>
    </xf>
    <xf numFmtId="0" fontId="19" fillId="0" borderId="0" xfId="0" applyFont="1" applyBorder="1" applyAlignment="1" applyProtection="1">
      <alignment vertical="center" wrapText="1" shrinkToFit="1"/>
    </xf>
    <xf numFmtId="0" fontId="12" fillId="0" borderId="0" xfId="0" applyFont="1" applyBorder="1" applyAlignment="1" applyProtection="1">
      <alignment vertical="center" wrapText="1"/>
    </xf>
    <xf numFmtId="0" fontId="19" fillId="0" borderId="0" xfId="0" applyFont="1" applyBorder="1" applyAlignment="1" applyProtection="1">
      <alignment vertical="center" wrapText="1"/>
    </xf>
    <xf numFmtId="0" fontId="12" fillId="0" borderId="0"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0" fillId="0" borderId="1" xfId="0" applyFont="1" applyBorder="1" applyAlignment="1" applyProtection="1">
      <alignment horizontal="center" vertical="center"/>
    </xf>
    <xf numFmtId="0" fontId="12" fillId="0" borderId="1" xfId="0" applyFont="1" applyBorder="1" applyAlignment="1" applyProtection="1">
      <alignment horizontal="center" vertical="center"/>
    </xf>
    <xf numFmtId="0" fontId="12" fillId="2" borderId="1" xfId="0" applyFont="1" applyFill="1" applyBorder="1" applyAlignment="1" applyProtection="1">
      <alignment horizontal="center" vertical="center"/>
      <protection locked="0"/>
    </xf>
    <xf numFmtId="49" fontId="12" fillId="2" borderId="17" xfId="0" applyNumberFormat="1" applyFont="1" applyFill="1" applyBorder="1" applyAlignment="1" applyProtection="1">
      <alignment horizontal="center" vertical="center" shrinkToFit="1"/>
      <protection locked="0"/>
    </xf>
    <xf numFmtId="0" fontId="12" fillId="9" borderId="1" xfId="0" applyFont="1" applyFill="1" applyBorder="1" applyAlignment="1" applyProtection="1">
      <alignment horizontal="center" vertical="center"/>
    </xf>
    <xf numFmtId="0" fontId="0" fillId="0" borderId="0" xfId="0" applyAlignment="1" applyProtection="1">
      <alignment vertical="center"/>
    </xf>
    <xf numFmtId="0" fontId="0" fillId="0" borderId="0" xfId="0" applyBorder="1" applyAlignment="1" applyProtection="1">
      <alignment vertical="center" wrapText="1"/>
    </xf>
    <xf numFmtId="0" fontId="47" fillId="0" borderId="1" xfId="8" applyFont="1" applyBorder="1" applyAlignment="1" applyProtection="1">
      <alignment horizontal="center" vertical="center"/>
    </xf>
    <xf numFmtId="0" fontId="47" fillId="0" borderId="0" xfId="8" applyFont="1" applyProtection="1"/>
    <xf numFmtId="0" fontId="15" fillId="0" borderId="0" xfId="8" applyFont="1" applyAlignment="1" applyProtection="1">
      <alignment vertical="center"/>
    </xf>
    <xf numFmtId="0" fontId="18" fillId="0" borderId="0" xfId="9" applyFont="1" applyAlignment="1" applyProtection="1"/>
    <xf numFmtId="0" fontId="15" fillId="0" borderId="0" xfId="8" applyFont="1" applyAlignment="1" applyProtection="1">
      <alignment horizontal="left" wrapText="1"/>
    </xf>
    <xf numFmtId="0" fontId="15" fillId="0" borderId="0" xfId="8" applyFont="1" applyAlignment="1" applyProtection="1">
      <alignment horizontal="left" vertical="center" wrapText="1"/>
    </xf>
    <xf numFmtId="0" fontId="4" fillId="0" borderId="0" xfId="9" applyAlignment="1" applyProtection="1">
      <alignment horizontal="center" vertical="center"/>
    </xf>
    <xf numFmtId="0" fontId="4" fillId="0" borderId="0" xfId="9" applyAlignment="1" applyProtection="1">
      <alignment horizontal="left" vertical="center" wrapText="1"/>
    </xf>
    <xf numFmtId="0" fontId="46" fillId="0" borderId="0" xfId="8" applyFont="1" applyAlignment="1" applyProtection="1">
      <alignment horizontal="center"/>
    </xf>
    <xf numFmtId="0" fontId="4" fillId="0" borderId="0" xfId="9" applyAlignment="1" applyProtection="1">
      <alignment horizontal="center"/>
    </xf>
    <xf numFmtId="0" fontId="47" fillId="0" borderId="0" xfId="8" applyFont="1" applyAlignment="1" applyProtection="1">
      <alignment horizontal="center" vertical="center"/>
    </xf>
    <xf numFmtId="0" fontId="10" fillId="0" borderId="1" xfId="8" applyFont="1" applyBorder="1" applyAlignment="1" applyProtection="1">
      <alignment horizontal="center" vertical="center"/>
    </xf>
    <xf numFmtId="0" fontId="10" fillId="0" borderId="1" xfId="8" applyFont="1" applyFill="1" applyBorder="1" applyAlignment="1" applyProtection="1">
      <alignment horizontal="center" vertical="center" shrinkToFit="1"/>
    </xf>
    <xf numFmtId="0" fontId="47" fillId="0" borderId="1" xfId="8" applyFont="1" applyBorder="1" applyProtection="1"/>
    <xf numFmtId="0" fontId="10" fillId="0" borderId="5" xfId="0" applyFont="1" applyBorder="1" applyAlignment="1" applyProtection="1">
      <alignment horizontal="center" vertical="center" shrinkToFit="1"/>
    </xf>
    <xf numFmtId="0" fontId="10" fillId="0" borderId="0" xfId="10" applyFont="1" applyAlignment="1" applyProtection="1">
      <alignment vertical="center" wrapText="1"/>
    </xf>
    <xf numFmtId="0" fontId="21" fillId="0" borderId="0" xfId="10" applyFont="1" applyAlignment="1" applyProtection="1">
      <alignment horizontal="left" vertical="center" wrapText="1"/>
    </xf>
    <xf numFmtId="0" fontId="10" fillId="0" borderId="1" xfId="10" applyFont="1" applyBorder="1" applyAlignment="1" applyProtection="1">
      <alignment horizontal="center" vertical="center" wrapText="1"/>
    </xf>
    <xf numFmtId="0" fontId="3" fillId="0" borderId="0" xfId="10" applyAlignment="1" applyProtection="1">
      <alignment vertical="center" wrapText="1"/>
    </xf>
    <xf numFmtId="0" fontId="11" fillId="4" borderId="0" xfId="10" applyFont="1" applyFill="1" applyAlignment="1" applyProtection="1">
      <alignment horizontal="left" vertical="center"/>
    </xf>
    <xf numFmtId="0" fontId="14" fillId="4" borderId="0" xfId="10" applyFont="1" applyFill="1" applyAlignment="1" applyProtection="1">
      <alignment horizontal="left" vertical="center"/>
    </xf>
    <xf numFmtId="0" fontId="12" fillId="5" borderId="13" xfId="10" applyFont="1" applyFill="1" applyBorder="1" applyAlignment="1" applyProtection="1">
      <alignment horizontal="center" vertical="center" shrinkToFit="1"/>
    </xf>
    <xf numFmtId="0" fontId="10" fillId="0" borderId="2" xfId="10" applyFont="1" applyBorder="1" applyAlignment="1" applyProtection="1">
      <alignment horizontal="center" vertical="center"/>
    </xf>
    <xf numFmtId="0" fontId="12" fillId="0" borderId="0" xfId="0" applyFont="1" applyAlignment="1" applyProtection="1">
      <alignment vertical="center" wrapText="1"/>
    </xf>
    <xf numFmtId="0" fontId="19" fillId="0" borderId="0" xfId="0" applyFont="1" applyAlignment="1" applyProtection="1">
      <alignment vertical="center" wrapText="1"/>
    </xf>
    <xf numFmtId="0" fontId="47" fillId="0" borderId="0" xfId="8" applyFont="1" applyAlignment="1" applyProtection="1">
      <alignment horizontal="center" shrinkToFit="1"/>
    </xf>
    <xf numFmtId="0" fontId="75" fillId="0" borderId="0" xfId="8" applyFont="1" applyAlignment="1" applyProtection="1">
      <alignment horizontal="left"/>
    </xf>
    <xf numFmtId="178" fontId="10" fillId="2" borderId="210" xfId="10" applyNumberFormat="1" applyFont="1" applyFill="1" applyBorder="1" applyAlignment="1" applyProtection="1">
      <alignment horizontal="center" vertical="center" shrinkToFit="1"/>
      <protection locked="0"/>
    </xf>
    <xf numFmtId="178" fontId="10" fillId="2" borderId="218" xfId="10" applyNumberFormat="1" applyFont="1" applyFill="1" applyBorder="1" applyAlignment="1" applyProtection="1">
      <alignment horizontal="center" vertical="center" shrinkToFit="1"/>
      <protection locked="0"/>
    </xf>
    <xf numFmtId="0" fontId="29" fillId="0" borderId="1" xfId="0" applyFont="1" applyBorder="1" applyAlignment="1">
      <alignment horizontal="center" vertical="center" shrinkToFit="1"/>
    </xf>
    <xf numFmtId="0" fontId="0" fillId="0" borderId="1" xfId="0" applyBorder="1" applyAlignment="1">
      <alignment vertical="center"/>
    </xf>
    <xf numFmtId="197" fontId="29" fillId="2" borderId="2" xfId="0" applyNumberFormat="1" applyFont="1" applyFill="1" applyBorder="1" applyAlignment="1">
      <alignment vertical="center"/>
    </xf>
    <xf numFmtId="0" fontId="0" fillId="0" borderId="3" xfId="0" applyBorder="1" applyAlignment="1">
      <alignment vertical="center"/>
    </xf>
    <xf numFmtId="0" fontId="0" fillId="0" borderId="4" xfId="0" applyBorder="1" applyAlignment="1">
      <alignment vertical="center"/>
    </xf>
    <xf numFmtId="196" fontId="29" fillId="0" borderId="2" xfId="0" applyNumberFormat="1" applyFont="1" applyBorder="1" applyAlignment="1">
      <alignment horizontal="right" vertical="center" shrinkToFit="1"/>
    </xf>
    <xf numFmtId="0" fontId="12" fillId="0" borderId="6" xfId="0" applyFont="1" applyBorder="1" applyAlignment="1" applyProtection="1">
      <alignment horizontal="center" vertical="center"/>
    </xf>
    <xf numFmtId="0" fontId="19" fillId="0" borderId="20" xfId="0" applyFont="1" applyBorder="1" applyAlignment="1" applyProtection="1">
      <alignment horizontal="center" vertical="center"/>
    </xf>
    <xf numFmtId="0" fontId="19" fillId="0" borderId="10" xfId="0" applyFont="1" applyBorder="1" applyAlignment="1" applyProtection="1">
      <alignment horizontal="center" vertical="center"/>
    </xf>
    <xf numFmtId="223" fontId="12" fillId="9" borderId="1" xfId="0" applyNumberFormat="1" applyFont="1" applyFill="1" applyBorder="1" applyAlignment="1" applyProtection="1">
      <alignment vertical="center" textRotation="255" shrinkToFit="1"/>
    </xf>
    <xf numFmtId="223" fontId="0" fillId="9" borderId="1" xfId="0" applyNumberFormat="1" applyFill="1" applyBorder="1" applyAlignment="1" applyProtection="1">
      <alignment vertical="center" textRotation="255" shrinkToFit="1"/>
    </xf>
    <xf numFmtId="0" fontId="0" fillId="0" borderId="1" xfId="0" applyBorder="1" applyAlignment="1" applyProtection="1">
      <alignment vertical="center" textRotation="255" shrinkToFit="1"/>
    </xf>
    <xf numFmtId="0" fontId="12" fillId="0" borderId="1" xfId="0" applyFont="1" applyBorder="1" applyAlignment="1" applyProtection="1">
      <alignment vertical="center" wrapText="1" shrinkToFit="1"/>
    </xf>
    <xf numFmtId="0" fontId="0" fillId="0" borderId="1" xfId="0" applyBorder="1" applyAlignment="1" applyProtection="1">
      <alignment vertical="center" shrinkToFit="1"/>
    </xf>
    <xf numFmtId="0" fontId="12" fillId="0" borderId="1" xfId="0" applyFont="1" applyBorder="1" applyAlignment="1" applyProtection="1">
      <alignment vertical="center" shrinkToFit="1"/>
    </xf>
    <xf numFmtId="0" fontId="12" fillId="4" borderId="1" xfId="0" applyFont="1" applyFill="1" applyBorder="1" applyAlignment="1" applyProtection="1">
      <alignment vertical="center" textRotation="255"/>
    </xf>
    <xf numFmtId="0" fontId="12" fillId="9" borderId="1" xfId="0" applyFont="1" applyFill="1" applyBorder="1" applyAlignment="1" applyProtection="1">
      <alignment vertical="center" textRotation="255"/>
    </xf>
    <xf numFmtId="0" fontId="0" fillId="4" borderId="1" xfId="0" applyFill="1" applyBorder="1" applyAlignment="1" applyProtection="1">
      <alignment vertical="center" textRotation="255"/>
    </xf>
    <xf numFmtId="0" fontId="12" fillId="4" borderId="1" xfId="0" applyFont="1" applyFill="1" applyBorder="1" applyAlignment="1" applyProtection="1">
      <alignment horizontal="left" vertical="center" shrinkToFit="1"/>
    </xf>
    <xf numFmtId="0" fontId="0" fillId="4" borderId="1" xfId="0" applyFill="1" applyBorder="1" applyAlignment="1" applyProtection="1">
      <alignment horizontal="left" vertical="center" shrinkToFit="1"/>
    </xf>
    <xf numFmtId="0" fontId="12" fillId="4" borderId="1" xfId="0" applyFont="1" applyFill="1" applyBorder="1" applyAlignment="1" applyProtection="1">
      <alignment horizontal="left" vertical="center"/>
    </xf>
    <xf numFmtId="0" fontId="10" fillId="4" borderId="1" xfId="0" applyFont="1" applyFill="1" applyBorder="1" applyAlignment="1" applyProtection="1">
      <alignment horizontal="left" vertical="center"/>
    </xf>
    <xf numFmtId="182" fontId="12" fillId="0" borderId="1" xfId="0" applyNumberFormat="1" applyFont="1" applyBorder="1" applyAlignment="1" applyProtection="1">
      <alignment horizontal="center" vertical="center" wrapText="1"/>
    </xf>
    <xf numFmtId="0" fontId="0" fillId="0" borderId="1" xfId="0" applyBorder="1" applyAlignment="1" applyProtection="1">
      <alignment horizontal="center" vertical="center" wrapText="1"/>
    </xf>
    <xf numFmtId="0" fontId="12" fillId="0" borderId="1" xfId="0" applyFont="1" applyBorder="1" applyAlignment="1" applyProtection="1">
      <alignment horizontal="center" vertical="center" wrapText="1" shrinkToFit="1"/>
    </xf>
    <xf numFmtId="0" fontId="24" fillId="2" borderId="1" xfId="2" applyNumberFormat="1" applyFill="1" applyBorder="1" applyAlignment="1" applyProtection="1">
      <alignment horizontal="left" vertical="center" wrapText="1"/>
      <protection locked="0"/>
    </xf>
    <xf numFmtId="0" fontId="12" fillId="2" borderId="1" xfId="0" applyFont="1" applyFill="1" applyBorder="1" applyAlignment="1" applyProtection="1">
      <alignment horizontal="left" vertical="center" wrapText="1"/>
      <protection locked="0"/>
    </xf>
    <xf numFmtId="0" fontId="19" fillId="0" borderId="1" xfId="0" applyFont="1" applyBorder="1" applyAlignment="1" applyProtection="1">
      <alignment vertical="center" wrapText="1" shrinkToFit="1"/>
    </xf>
    <xf numFmtId="0" fontId="19" fillId="0" borderId="1" xfId="0" applyFont="1" applyBorder="1" applyAlignment="1" applyProtection="1">
      <alignment vertical="center" wrapText="1"/>
    </xf>
    <xf numFmtId="0" fontId="12" fillId="4" borderId="1" xfId="0" applyFont="1" applyFill="1" applyBorder="1" applyAlignment="1" applyProtection="1">
      <alignment horizontal="left" vertical="center" wrapText="1"/>
    </xf>
    <xf numFmtId="0" fontId="19" fillId="4" borderId="1" xfId="0" applyFont="1" applyFill="1" applyBorder="1" applyAlignment="1" applyProtection="1">
      <alignment horizontal="left" vertical="center" wrapText="1"/>
    </xf>
    <xf numFmtId="0" fontId="12" fillId="9" borderId="1" xfId="0" applyFont="1" applyFill="1" applyBorder="1" applyAlignment="1" applyProtection="1">
      <alignment vertical="center" textRotation="255" wrapText="1"/>
    </xf>
    <xf numFmtId="0" fontId="10" fillId="9" borderId="1" xfId="0" applyFont="1" applyFill="1" applyBorder="1" applyAlignment="1" applyProtection="1">
      <alignment vertical="center" textRotation="255" wrapText="1"/>
    </xf>
    <xf numFmtId="182" fontId="12" fillId="0" borderId="1" xfId="0" applyNumberFormat="1" applyFont="1" applyBorder="1" applyAlignment="1" applyProtection="1">
      <alignment horizontal="center" vertical="center"/>
    </xf>
    <xf numFmtId="0" fontId="0" fillId="0" borderId="1" xfId="0" applyBorder="1" applyAlignment="1" applyProtection="1">
      <alignment horizontal="center" vertical="center"/>
    </xf>
    <xf numFmtId="0" fontId="0" fillId="0" borderId="1" xfId="0" applyBorder="1" applyAlignment="1" applyProtection="1">
      <alignment vertical="center"/>
    </xf>
    <xf numFmtId="0" fontId="12" fillId="0" borderId="1" xfId="0" applyFont="1" applyBorder="1" applyAlignment="1" applyProtection="1">
      <alignment horizontal="left" vertical="center"/>
    </xf>
    <xf numFmtId="0" fontId="19" fillId="0" borderId="1" xfId="0" applyFont="1" applyBorder="1" applyAlignment="1" applyProtection="1">
      <alignment horizontal="left" vertical="center"/>
    </xf>
    <xf numFmtId="0" fontId="12" fillId="9" borderId="1" xfId="0" applyFont="1" applyFill="1" applyBorder="1" applyAlignment="1" applyProtection="1">
      <alignment horizontal="left" vertical="center" wrapText="1"/>
    </xf>
    <xf numFmtId="0" fontId="19" fillId="9" borderId="1" xfId="0" applyFont="1" applyFill="1" applyBorder="1" applyAlignment="1" applyProtection="1">
      <alignment horizontal="left" vertical="center"/>
    </xf>
    <xf numFmtId="0" fontId="19" fillId="0" borderId="1" xfId="0" applyFont="1" applyBorder="1" applyAlignment="1" applyProtection="1">
      <alignment horizontal="center" vertical="center"/>
    </xf>
    <xf numFmtId="0" fontId="12" fillId="2" borderId="1" xfId="0" applyFont="1" applyFill="1" applyBorder="1" applyAlignment="1" applyProtection="1">
      <alignment horizontal="left" vertical="center"/>
      <protection locked="0"/>
    </xf>
    <xf numFmtId="0" fontId="19" fillId="2" borderId="1" xfId="0" applyFont="1" applyFill="1" applyBorder="1" applyAlignment="1" applyProtection="1">
      <alignment horizontal="left" vertical="center"/>
      <protection locked="0"/>
    </xf>
    <xf numFmtId="0" fontId="10" fillId="0" borderId="1" xfId="0" applyFont="1" applyBorder="1" applyAlignment="1" applyProtection="1">
      <alignment vertical="center" shrinkToFit="1"/>
    </xf>
    <xf numFmtId="0" fontId="12" fillId="9" borderId="2" xfId="0" applyFont="1" applyFill="1" applyBorder="1" applyAlignment="1" applyProtection="1">
      <alignment horizontal="center" vertical="center" wrapText="1"/>
    </xf>
    <xf numFmtId="0" fontId="0" fillId="0" borderId="3" xfId="0" applyBorder="1" applyAlignment="1" applyProtection="1">
      <alignment horizontal="center" vertical="center" wrapText="1"/>
    </xf>
    <xf numFmtId="0" fontId="0" fillId="0" borderId="4" xfId="0" applyBorder="1" applyAlignment="1" applyProtection="1">
      <alignment horizontal="center" vertical="center" wrapText="1"/>
    </xf>
    <xf numFmtId="0" fontId="12" fillId="0" borderId="1" xfId="0" applyFont="1" applyBorder="1" applyAlignment="1" applyProtection="1">
      <alignment horizontal="left" vertical="center" wrapText="1" shrinkToFit="1"/>
    </xf>
    <xf numFmtId="0" fontId="0" fillId="0" borderId="1" xfId="0" applyBorder="1" applyAlignment="1" applyProtection="1">
      <alignment horizontal="left" vertical="center" wrapText="1" shrinkToFit="1"/>
    </xf>
    <xf numFmtId="0" fontId="12" fillId="9" borderId="1" xfId="0" applyFont="1" applyFill="1" applyBorder="1" applyAlignment="1" applyProtection="1">
      <alignment horizontal="center" vertical="center" wrapText="1"/>
    </xf>
    <xf numFmtId="0" fontId="19" fillId="9" borderId="1" xfId="0" applyFont="1" applyFill="1" applyBorder="1" applyAlignment="1" applyProtection="1">
      <alignment horizontal="center" vertical="center" wrapText="1"/>
    </xf>
    <xf numFmtId="0" fontId="12" fillId="0" borderId="1" xfId="0" applyFont="1" applyBorder="1" applyAlignment="1" applyProtection="1">
      <alignment horizontal="center" vertical="center" wrapText="1"/>
    </xf>
    <xf numFmtId="0" fontId="19" fillId="0" borderId="1" xfId="0" applyFont="1" applyBorder="1" applyAlignment="1" applyProtection="1">
      <alignment horizontal="left" vertical="center" wrapText="1" shrinkToFit="1"/>
    </xf>
    <xf numFmtId="0" fontId="0" fillId="9" borderId="1" xfId="0" applyFill="1" applyBorder="1" applyAlignment="1" applyProtection="1">
      <alignment vertical="center"/>
    </xf>
    <xf numFmtId="0" fontId="12" fillId="0" borderId="0" xfId="0" applyFont="1" applyBorder="1" applyAlignment="1" applyProtection="1">
      <alignment vertical="center" wrapText="1" shrinkToFit="1"/>
    </xf>
    <xf numFmtId="0" fontId="19" fillId="0" borderId="0" xfId="0" applyFont="1" applyBorder="1" applyAlignment="1" applyProtection="1">
      <alignment vertical="center" wrapText="1" shrinkToFit="1"/>
    </xf>
    <xf numFmtId="0" fontId="12" fillId="0" borderId="0" xfId="0" applyFont="1" applyBorder="1" applyAlignment="1" applyProtection="1">
      <alignment horizontal="left" vertical="center" wrapText="1"/>
    </xf>
    <xf numFmtId="0" fontId="12" fillId="0" borderId="0" xfId="0" applyFont="1" applyBorder="1" applyAlignment="1" applyProtection="1">
      <alignment vertical="center" wrapText="1"/>
    </xf>
    <xf numFmtId="0" fontId="19" fillId="0" borderId="0" xfId="0" applyFont="1" applyBorder="1" applyAlignment="1" applyProtection="1">
      <alignment vertical="center" wrapText="1"/>
    </xf>
    <xf numFmtId="0" fontId="12" fillId="0" borderId="0"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0" fillId="0" borderId="1" xfId="0" applyFont="1" applyBorder="1" applyAlignment="1" applyProtection="1">
      <alignment horizontal="center" vertical="center"/>
    </xf>
    <xf numFmtId="180" fontId="12" fillId="2" borderId="1" xfId="0" applyNumberFormat="1" applyFont="1" applyFill="1" applyBorder="1" applyAlignment="1" applyProtection="1">
      <alignment horizontal="center" vertical="center" shrinkToFit="1"/>
    </xf>
    <xf numFmtId="180" fontId="10" fillId="2" borderId="1" xfId="0" applyNumberFormat="1" applyFont="1" applyFill="1" applyBorder="1" applyAlignment="1" applyProtection="1">
      <alignment horizontal="center" vertical="center" shrinkToFit="1"/>
    </xf>
    <xf numFmtId="0" fontId="12" fillId="0" borderId="17" xfId="0" applyFont="1" applyBorder="1" applyAlignment="1" applyProtection="1">
      <alignment horizontal="center" vertical="center" wrapText="1"/>
    </xf>
    <xf numFmtId="0" fontId="12" fillId="0" borderId="18" xfId="0" applyFont="1" applyBorder="1" applyAlignment="1" applyProtection="1">
      <alignment horizontal="center" vertical="center" wrapText="1"/>
    </xf>
    <xf numFmtId="0" fontId="29" fillId="0" borderId="6" xfId="0" applyFont="1" applyBorder="1" applyAlignment="1" applyProtection="1">
      <alignment vertical="center" wrapText="1" shrinkToFit="1"/>
    </xf>
    <xf numFmtId="0" fontId="60" fillId="0" borderId="20" xfId="0" applyFont="1" applyBorder="1" applyAlignment="1" applyProtection="1">
      <alignment vertical="center" wrapText="1"/>
    </xf>
    <xf numFmtId="0" fontId="60" fillId="0" borderId="10" xfId="0" applyFont="1" applyBorder="1" applyAlignment="1" applyProtection="1">
      <alignment vertical="center" wrapText="1"/>
    </xf>
    <xf numFmtId="0" fontId="12" fillId="2" borderId="20" xfId="0" applyFont="1" applyFill="1" applyBorder="1" applyAlignment="1" applyProtection="1">
      <alignment horizontal="left" vertical="center" wrapText="1"/>
    </xf>
    <xf numFmtId="0" fontId="12" fillId="2" borderId="10" xfId="0" applyFont="1" applyFill="1" applyBorder="1" applyAlignment="1" applyProtection="1">
      <alignment horizontal="left" vertical="center" wrapText="1"/>
    </xf>
    <xf numFmtId="0" fontId="12" fillId="9" borderId="1" xfId="0" applyFont="1" applyFill="1" applyBorder="1" applyAlignment="1" applyProtection="1">
      <alignment horizontal="left" vertical="center"/>
    </xf>
    <xf numFmtId="0" fontId="12" fillId="4" borderId="1" xfId="0" applyFont="1" applyFill="1" applyBorder="1" applyAlignment="1" applyProtection="1">
      <alignment horizontal="center" vertical="center" wrapText="1"/>
    </xf>
    <xf numFmtId="0" fontId="19" fillId="4" borderId="1" xfId="0" applyFont="1" applyFill="1" applyBorder="1" applyAlignment="1" applyProtection="1">
      <alignment vertical="center" wrapText="1"/>
    </xf>
    <xf numFmtId="0" fontId="12" fillId="2" borderId="1" xfId="0" applyFont="1" applyFill="1" applyBorder="1" applyAlignment="1" applyProtection="1">
      <alignment horizontal="center" vertical="center" wrapText="1"/>
      <protection locked="0"/>
    </xf>
    <xf numFmtId="0" fontId="19" fillId="2" borderId="1" xfId="0" applyFont="1" applyFill="1" applyBorder="1" applyAlignment="1" applyProtection="1">
      <alignment horizontal="center" vertical="center" wrapText="1"/>
      <protection locked="0"/>
    </xf>
    <xf numFmtId="0" fontId="12" fillId="0" borderId="1" xfId="0" applyFont="1" applyBorder="1" applyAlignment="1" applyProtection="1">
      <alignment horizontal="center" vertical="center"/>
    </xf>
    <xf numFmtId="182" fontId="12" fillId="2" borderId="1" xfId="0" applyNumberFormat="1" applyFont="1" applyFill="1" applyBorder="1" applyAlignment="1" applyProtection="1">
      <alignment horizontal="left" vertical="center"/>
      <protection locked="0"/>
    </xf>
    <xf numFmtId="182" fontId="19" fillId="2" borderId="1" xfId="0" applyNumberFormat="1" applyFont="1" applyFill="1" applyBorder="1" applyAlignment="1" applyProtection="1">
      <alignment horizontal="left" vertical="center"/>
      <protection locked="0"/>
    </xf>
    <xf numFmtId="0" fontId="19" fillId="9" borderId="1" xfId="0" applyFont="1" applyFill="1" applyBorder="1" applyAlignment="1" applyProtection="1">
      <alignment vertical="center" wrapText="1"/>
    </xf>
    <xf numFmtId="0" fontId="12" fillId="2" borderId="6" xfId="0" applyFont="1" applyFill="1" applyBorder="1" applyAlignment="1" applyProtection="1">
      <alignment horizontal="left" vertical="center" wrapText="1"/>
    </xf>
    <xf numFmtId="0" fontId="12" fillId="2"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left" vertical="center" wrapText="1"/>
      <protection locked="0"/>
    </xf>
    <xf numFmtId="0" fontId="11" fillId="0" borderId="8" xfId="0" applyFont="1" applyBorder="1" applyAlignment="1" applyProtection="1">
      <alignment vertical="center" wrapText="1"/>
    </xf>
    <xf numFmtId="0" fontId="12" fillId="0" borderId="13" xfId="0" applyFont="1" applyBorder="1" applyAlignment="1" applyProtection="1">
      <alignment horizontal="center" vertical="center" wrapText="1"/>
    </xf>
    <xf numFmtId="0" fontId="19" fillId="0" borderId="5" xfId="0" applyFont="1" applyBorder="1" applyAlignment="1" applyProtection="1">
      <alignment horizontal="center" vertical="center" wrapText="1"/>
    </xf>
    <xf numFmtId="0" fontId="19" fillId="0" borderId="14" xfId="0" applyFont="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19" fillId="0" borderId="5" xfId="0" applyFont="1" applyBorder="1" applyAlignment="1" applyProtection="1">
      <alignment vertical="center" wrapText="1"/>
    </xf>
    <xf numFmtId="0" fontId="19" fillId="0" borderId="14" xfId="0" applyFont="1" applyBorder="1" applyAlignment="1" applyProtection="1">
      <alignment vertical="center" wrapText="1"/>
    </xf>
    <xf numFmtId="0" fontId="19" fillId="2" borderId="6" xfId="0" applyFont="1" applyFill="1" applyBorder="1" applyAlignment="1" applyProtection="1">
      <alignment horizontal="left" vertical="center" wrapText="1"/>
    </xf>
    <xf numFmtId="0" fontId="20" fillId="0" borderId="1" xfId="0" applyFont="1" applyBorder="1" applyAlignment="1" applyProtection="1">
      <alignment horizontal="left" vertical="center" wrapText="1" shrinkToFit="1"/>
    </xf>
    <xf numFmtId="0" fontId="29" fillId="0" borderId="1" xfId="0" applyFont="1" applyBorder="1" applyAlignment="1" applyProtection="1">
      <alignment horizontal="left" vertical="center" wrapText="1" shrinkToFit="1"/>
    </xf>
    <xf numFmtId="0" fontId="19" fillId="2" borderId="20"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wrapText="1"/>
    </xf>
    <xf numFmtId="0" fontId="10" fillId="9" borderId="1" xfId="0" applyFont="1" applyFill="1" applyBorder="1" applyAlignment="1" applyProtection="1">
      <alignment horizontal="center" vertical="center" wrapText="1"/>
    </xf>
    <xf numFmtId="0" fontId="10" fillId="9" borderId="1" xfId="0" applyFont="1" applyFill="1" applyBorder="1" applyAlignment="1" applyProtection="1">
      <alignment horizontal="center" vertical="center"/>
    </xf>
    <xf numFmtId="0" fontId="0" fillId="0" borderId="1" xfId="0" applyBorder="1" applyAlignment="1" applyProtection="1">
      <alignment horizontal="center" vertical="center" wrapText="1"/>
      <protection locked="0"/>
    </xf>
    <xf numFmtId="49" fontId="12" fillId="2" borderId="17" xfId="0" applyNumberFormat="1" applyFont="1" applyFill="1" applyBorder="1" applyAlignment="1" applyProtection="1">
      <alignment horizontal="center" vertical="center" shrinkToFit="1"/>
      <protection locked="0"/>
    </xf>
    <xf numFmtId="49" fontId="10" fillId="0" borderId="18" xfId="0" applyNumberFormat="1" applyFont="1" applyBorder="1" applyAlignment="1" applyProtection="1">
      <alignment horizontal="center" vertical="center" shrinkToFit="1"/>
      <protection locked="0"/>
    </xf>
    <xf numFmtId="0" fontId="70" fillId="9" borderId="1" xfId="0" applyFont="1" applyFill="1" applyBorder="1" applyAlignment="1" applyProtection="1">
      <alignment horizontal="center" vertical="center"/>
    </xf>
    <xf numFmtId="0" fontId="71" fillId="0" borderId="1" xfId="0" applyFont="1" applyBorder="1" applyAlignment="1" applyProtection="1">
      <alignment horizontal="center" vertical="center"/>
    </xf>
    <xf numFmtId="0" fontId="12" fillId="9" borderId="1" xfId="0" applyFont="1" applyFill="1" applyBorder="1" applyAlignment="1" applyProtection="1">
      <alignment horizontal="center" vertical="center"/>
    </xf>
    <xf numFmtId="0" fontId="0" fillId="0" borderId="1" xfId="0" applyBorder="1" applyAlignment="1" applyProtection="1">
      <alignment horizontal="left" vertical="center"/>
    </xf>
    <xf numFmtId="0" fontId="70" fillId="9" borderId="1" xfId="0" applyFont="1" applyFill="1" applyBorder="1" applyAlignment="1" applyProtection="1">
      <alignment horizontal="left" vertical="center"/>
    </xf>
    <xf numFmtId="0" fontId="71" fillId="0" borderId="1" xfId="0" applyFont="1" applyBorder="1" applyAlignment="1" applyProtection="1">
      <alignment horizontal="left" vertical="center"/>
    </xf>
    <xf numFmtId="0" fontId="15" fillId="0" borderId="0" xfId="0" applyFont="1" applyAlignment="1" applyProtection="1">
      <alignment horizontal="distributed" vertical="center"/>
    </xf>
    <xf numFmtId="0" fontId="18" fillId="0" borderId="0" xfId="0" applyFont="1" applyAlignment="1" applyProtection="1">
      <alignment horizontal="distributed" vertical="center"/>
    </xf>
    <xf numFmtId="0" fontId="11" fillId="0" borderId="0" xfId="0" applyFont="1" applyAlignment="1" applyProtection="1">
      <alignment horizontal="left" vertical="center" shrinkToFit="1"/>
    </xf>
    <xf numFmtId="0" fontId="0" fillId="0" borderId="0" xfId="0" applyAlignment="1" applyProtection="1">
      <alignment horizontal="left" vertical="center" shrinkToFit="1"/>
    </xf>
    <xf numFmtId="0" fontId="11" fillId="0" borderId="0" xfId="0" applyFont="1" applyAlignment="1" applyProtection="1">
      <alignment horizontal="distributed" vertical="center"/>
    </xf>
    <xf numFmtId="0" fontId="14" fillId="0" borderId="0" xfId="0" applyFont="1" applyAlignment="1" applyProtection="1">
      <alignment horizontal="distributed" vertical="center"/>
    </xf>
    <xf numFmtId="0" fontId="14" fillId="0" borderId="0" xfId="0" applyFont="1" applyAlignment="1" applyProtection="1">
      <alignment horizontal="left" vertical="center" shrinkToFit="1"/>
    </xf>
    <xf numFmtId="0" fontId="11" fillId="0" borderId="0" xfId="0" applyFont="1" applyAlignment="1" applyProtection="1">
      <alignment vertical="center" shrinkToFit="1"/>
    </xf>
    <xf numFmtId="0" fontId="14" fillId="0" borderId="0" xfId="0" applyFont="1" applyAlignment="1" applyProtection="1">
      <alignment vertical="center" shrinkToFit="1"/>
    </xf>
    <xf numFmtId="199" fontId="11" fillId="0" borderId="0" xfId="0" applyNumberFormat="1" applyFont="1" applyAlignment="1" applyProtection="1">
      <alignment horizontal="distributed" vertical="center"/>
    </xf>
    <xf numFmtId="199" fontId="0" fillId="0" borderId="0" xfId="0" applyNumberFormat="1" applyAlignment="1" applyProtection="1">
      <alignment horizontal="distributed" vertical="center"/>
    </xf>
    <xf numFmtId="0" fontId="0" fillId="0" borderId="0" xfId="0" applyAlignment="1" applyProtection="1">
      <alignment horizontal="distributed" vertical="center"/>
    </xf>
    <xf numFmtId="0" fontId="16" fillId="0" borderId="0" xfId="0" applyFont="1" applyAlignment="1" applyProtection="1">
      <alignment horizontal="distributed" vertical="center"/>
    </xf>
    <xf numFmtId="0" fontId="15" fillId="0" borderId="0" xfId="0" applyFont="1" applyAlignment="1" applyProtection="1">
      <alignment horizontal="center" vertical="center" shrinkToFit="1"/>
    </xf>
    <xf numFmtId="198" fontId="33" fillId="7" borderId="0" xfId="5" applyNumberFormat="1" applyFont="1" applyFill="1" applyBorder="1" applyAlignment="1" applyProtection="1">
      <alignment horizontal="center" vertical="top" wrapText="1"/>
    </xf>
    <xf numFmtId="0" fontId="11" fillId="0" borderId="0" xfId="5" applyFont="1" applyAlignment="1" applyProtection="1">
      <alignment horizontal="distributed" shrinkToFit="1"/>
    </xf>
    <xf numFmtId="0" fontId="10" fillId="0" borderId="0" xfId="5" applyFont="1" applyAlignment="1" applyProtection="1">
      <alignment horizontal="distributed" shrinkToFit="1"/>
    </xf>
    <xf numFmtId="0" fontId="11" fillId="0" borderId="0" xfId="0" applyFont="1" applyAlignment="1" applyProtection="1">
      <alignment horizontal="distributed" vertical="center" shrinkToFit="1"/>
    </xf>
    <xf numFmtId="0" fontId="0" fillId="0" borderId="0" xfId="0" applyAlignment="1" applyProtection="1">
      <alignment horizontal="distributed" vertical="center" shrinkToFit="1"/>
    </xf>
    <xf numFmtId="0" fontId="27" fillId="0" borderId="0" xfId="0" applyFont="1" applyAlignment="1" applyProtection="1">
      <alignment vertical="center" wrapText="1"/>
    </xf>
    <xf numFmtId="0" fontId="28" fillId="0" borderId="0" xfId="0" applyFont="1" applyAlignment="1" applyProtection="1">
      <alignment vertical="center" wrapText="1"/>
    </xf>
    <xf numFmtId="0" fontId="11" fillId="0" borderId="0" xfId="0" applyFont="1" applyAlignment="1" applyProtection="1">
      <alignment vertical="center" wrapText="1"/>
    </xf>
    <xf numFmtId="0" fontId="0" fillId="0" borderId="0" xfId="0" applyAlignment="1" applyProtection="1">
      <alignment vertical="center" wrapText="1"/>
    </xf>
    <xf numFmtId="0" fontId="0" fillId="0" borderId="0" xfId="0" applyAlignment="1" applyProtection="1">
      <alignment vertical="center"/>
    </xf>
    <xf numFmtId="0" fontId="10" fillId="0" borderId="13" xfId="0" applyFont="1" applyBorder="1" applyAlignment="1" applyProtection="1">
      <alignment vertical="center" wrapText="1"/>
    </xf>
    <xf numFmtId="0" fontId="0" fillId="0" borderId="5" xfId="0" applyBorder="1" applyAlignment="1" applyProtection="1">
      <alignment vertical="center" wrapText="1"/>
    </xf>
    <xf numFmtId="0" fontId="0" fillId="0" borderId="14" xfId="0" applyBorder="1" applyAlignment="1" applyProtection="1">
      <alignment vertical="center" wrapText="1"/>
    </xf>
    <xf numFmtId="0" fontId="0" fillId="0" borderId="15" xfId="0" applyBorder="1" applyAlignment="1" applyProtection="1">
      <alignment vertical="center" wrapText="1"/>
    </xf>
    <xf numFmtId="0" fontId="0" fillId="0" borderId="0" xfId="0" applyBorder="1" applyAlignment="1" applyProtection="1">
      <alignment vertical="center" wrapText="1"/>
    </xf>
    <xf numFmtId="0" fontId="0" fillId="0" borderId="16" xfId="0" applyBorder="1" applyAlignment="1" applyProtection="1">
      <alignment vertical="center" wrapText="1"/>
    </xf>
    <xf numFmtId="0" fontId="0" fillId="0" borderId="7" xfId="0" applyBorder="1" applyAlignment="1" applyProtection="1">
      <alignment vertical="center" wrapText="1"/>
    </xf>
    <xf numFmtId="0" fontId="0" fillId="0" borderId="8" xfId="0" applyBorder="1" applyAlignment="1" applyProtection="1">
      <alignment vertical="center" wrapText="1"/>
    </xf>
    <xf numFmtId="0" fontId="0" fillId="0" borderId="9" xfId="0" applyBorder="1" applyAlignment="1" applyProtection="1">
      <alignment vertical="center" wrapText="1"/>
    </xf>
    <xf numFmtId="0" fontId="15" fillId="0" borderId="2" xfId="0" applyFont="1" applyBorder="1" applyAlignment="1">
      <alignment horizontal="distributed" vertical="center"/>
    </xf>
    <xf numFmtId="0" fontId="11" fillId="0" borderId="2" xfId="0" applyFont="1" applyBorder="1" applyAlignment="1">
      <alignment horizontal="center" vertical="center" shrinkToFit="1"/>
    </xf>
    <xf numFmtId="0" fontId="11" fillId="0" borderId="3" xfId="0" applyFont="1" applyBorder="1" applyAlignment="1">
      <alignment horizontal="center" vertical="center" shrinkToFit="1"/>
    </xf>
    <xf numFmtId="0" fontId="11" fillId="0" borderId="4" xfId="0" applyFont="1" applyBorder="1" applyAlignment="1">
      <alignment horizontal="center" vertical="center" shrinkToFit="1"/>
    </xf>
    <xf numFmtId="176" fontId="11" fillId="0" borderId="2" xfId="0" applyNumberFormat="1" applyFont="1" applyBorder="1" applyAlignment="1">
      <alignment vertical="center"/>
    </xf>
    <xf numFmtId="176" fontId="11" fillId="0" borderId="3" xfId="0" applyNumberFormat="1" applyFont="1" applyBorder="1" applyAlignment="1">
      <alignment vertical="center"/>
    </xf>
    <xf numFmtId="176" fontId="11" fillId="0" borderId="4" xfId="0" applyNumberFormat="1" applyFont="1" applyBorder="1" applyAlignment="1">
      <alignment vertical="center"/>
    </xf>
    <xf numFmtId="0" fontId="11" fillId="0" borderId="2" xfId="0" applyFont="1" applyBorder="1" applyAlignment="1">
      <alignment horizontal="distributed" vertical="center" shrinkToFit="1"/>
    </xf>
    <xf numFmtId="0" fontId="0" fillId="0" borderId="3" xfId="0" applyBorder="1" applyAlignment="1">
      <alignment horizontal="distributed" vertical="center" shrinkToFit="1"/>
    </xf>
    <xf numFmtId="0" fontId="0" fillId="0" borderId="4" xfId="0" applyBorder="1" applyAlignment="1">
      <alignment horizontal="distributed" vertical="center" shrinkToFit="1"/>
    </xf>
    <xf numFmtId="176" fontId="11" fillId="0" borderId="2" xfId="0" applyNumberFormat="1" applyFont="1" applyBorder="1" applyAlignment="1">
      <alignment horizontal="right" vertical="center" shrinkToFit="1"/>
    </xf>
    <xf numFmtId="176" fontId="0" fillId="0" borderId="3" xfId="0" applyNumberFormat="1" applyBorder="1" applyAlignment="1">
      <alignment horizontal="right" vertical="center" shrinkToFit="1"/>
    </xf>
    <xf numFmtId="176" fontId="0" fillId="0" borderId="4" xfId="0" applyNumberFormat="1" applyBorder="1" applyAlignment="1">
      <alignment horizontal="right" vertical="center" shrinkToFit="1"/>
    </xf>
    <xf numFmtId="176" fontId="11" fillId="2" borderId="2" xfId="0" applyNumberFormat="1" applyFont="1" applyFill="1" applyBorder="1" applyAlignment="1" applyProtection="1">
      <alignment vertical="center"/>
    </xf>
    <xf numFmtId="176" fontId="11" fillId="2" borderId="3" xfId="0" applyNumberFormat="1" applyFont="1" applyFill="1" applyBorder="1" applyAlignment="1" applyProtection="1">
      <alignment vertical="center"/>
    </xf>
    <xf numFmtId="176" fontId="11" fillId="2" borderId="4" xfId="0" applyNumberFormat="1" applyFont="1" applyFill="1" applyBorder="1" applyAlignment="1" applyProtection="1">
      <alignment vertical="center"/>
    </xf>
    <xf numFmtId="0" fontId="11" fillId="0" borderId="13" xfId="0" applyFont="1" applyBorder="1" applyAlignment="1">
      <alignment horizontal="center" vertical="center" shrinkToFit="1"/>
    </xf>
    <xf numFmtId="0" fontId="0" fillId="0" borderId="5" xfId="0" applyBorder="1" applyAlignment="1">
      <alignment horizontal="center" vertical="center" shrinkToFit="1"/>
    </xf>
    <xf numFmtId="0" fontId="0" fillId="0" borderId="14" xfId="0" applyBorder="1" applyAlignment="1">
      <alignment horizontal="center" vertical="center" shrinkToFit="1"/>
    </xf>
    <xf numFmtId="0" fontId="0" fillId="0" borderId="15" xfId="0" applyBorder="1" applyAlignment="1">
      <alignment vertical="center" shrinkToFit="1"/>
    </xf>
    <xf numFmtId="0" fontId="0" fillId="0" borderId="0" xfId="0" applyAlignment="1">
      <alignment vertical="center" shrinkToFit="1"/>
    </xf>
    <xf numFmtId="0" fontId="0" fillId="0" borderId="16" xfId="0" applyBorder="1" applyAlignment="1">
      <alignment vertical="center" shrinkToFit="1"/>
    </xf>
    <xf numFmtId="0" fontId="0" fillId="0" borderId="7" xfId="0" applyBorder="1" applyAlignment="1">
      <alignment vertical="center" shrinkToFit="1"/>
    </xf>
    <xf numFmtId="0" fontId="0" fillId="0" borderId="8" xfId="0" applyBorder="1" applyAlignment="1">
      <alignment vertical="center" shrinkToFit="1"/>
    </xf>
    <xf numFmtId="0" fontId="0" fillId="0" borderId="9" xfId="0" applyBorder="1" applyAlignment="1">
      <alignment vertical="center" shrinkToFit="1"/>
    </xf>
    <xf numFmtId="0" fontId="39" fillId="0" borderId="0" xfId="0" applyFont="1" applyAlignment="1">
      <alignment horizontal="center" vertical="center"/>
    </xf>
    <xf numFmtId="0" fontId="65" fillId="0" borderId="0" xfId="0" applyFont="1" applyAlignment="1">
      <alignment horizontal="center" vertical="center"/>
    </xf>
    <xf numFmtId="0" fontId="11" fillId="0" borderId="1" xfId="0" applyFont="1" applyBorder="1" applyAlignment="1">
      <alignment horizontal="center" vertical="center" shrinkToFit="1"/>
    </xf>
    <xf numFmtId="0" fontId="0" fillId="0" borderId="1" xfId="0" applyBorder="1" applyAlignment="1">
      <alignment horizontal="center" vertical="center" shrinkToFit="1"/>
    </xf>
    <xf numFmtId="176" fontId="11" fillId="0" borderId="1" xfId="0" applyNumberFormat="1" applyFont="1" applyBorder="1" applyAlignment="1">
      <alignment vertical="center"/>
    </xf>
    <xf numFmtId="176" fontId="0" fillId="0" borderId="1" xfId="0" applyNumberFormat="1" applyBorder="1" applyAlignment="1">
      <alignment vertical="center"/>
    </xf>
    <xf numFmtId="176" fontId="11" fillId="0" borderId="6" xfId="0" applyNumberFormat="1" applyFont="1" applyBorder="1" applyAlignment="1">
      <alignment vertical="center"/>
    </xf>
    <xf numFmtId="176" fontId="0" fillId="0" borderId="6" xfId="0" applyNumberFormat="1" applyBorder="1" applyAlignment="1">
      <alignment vertical="center"/>
    </xf>
    <xf numFmtId="176" fontId="11" fillId="0" borderId="11" xfId="0" applyNumberFormat="1" applyFont="1" applyBorder="1" applyAlignment="1">
      <alignment vertical="center"/>
    </xf>
    <xf numFmtId="176" fontId="0" fillId="0" borderId="11" xfId="0" applyNumberFormat="1" applyBorder="1" applyAlignment="1">
      <alignment vertical="center"/>
    </xf>
    <xf numFmtId="0" fontId="11" fillId="0" borderId="1" xfId="0" applyFont="1" applyBorder="1" applyAlignment="1">
      <alignment horizontal="center" vertical="center"/>
    </xf>
    <xf numFmtId="0" fontId="0" fillId="0" borderId="1" xfId="0" applyBorder="1" applyAlignment="1">
      <alignment horizontal="center" vertical="center"/>
    </xf>
    <xf numFmtId="176" fontId="11" fillId="2" borderId="1" xfId="0" applyNumberFormat="1" applyFont="1" applyFill="1" applyBorder="1" applyAlignment="1" applyProtection="1">
      <alignment vertical="center"/>
    </xf>
    <xf numFmtId="176" fontId="0" fillId="2" borderId="1" xfId="0" applyNumberFormat="1" applyFill="1" applyBorder="1" applyAlignment="1" applyProtection="1">
      <alignment vertical="center"/>
    </xf>
    <xf numFmtId="0" fontId="11" fillId="0" borderId="1" xfId="0" applyFont="1" applyBorder="1" applyAlignment="1">
      <alignment horizontal="distributed" vertical="center"/>
    </xf>
    <xf numFmtId="0" fontId="0" fillId="0" borderId="1" xfId="0" applyBorder="1" applyAlignment="1">
      <alignment horizontal="distributed" vertical="center"/>
    </xf>
    <xf numFmtId="176" fontId="11" fillId="2" borderId="2" xfId="0" applyNumberFormat="1" applyFont="1" applyFill="1" applyBorder="1" applyAlignment="1">
      <alignment vertical="center"/>
    </xf>
    <xf numFmtId="176" fontId="11" fillId="2" borderId="3" xfId="0" applyNumberFormat="1" applyFont="1" applyFill="1" applyBorder="1" applyAlignment="1">
      <alignment vertical="center"/>
    </xf>
    <xf numFmtId="176" fontId="11" fillId="2" borderId="4" xfId="0" applyNumberFormat="1" applyFont="1" applyFill="1" applyBorder="1" applyAlignment="1">
      <alignment vertical="center"/>
    </xf>
    <xf numFmtId="176" fontId="11" fillId="0" borderId="72" xfId="0" applyNumberFormat="1" applyFont="1" applyBorder="1" applyAlignment="1">
      <alignment vertical="center"/>
    </xf>
    <xf numFmtId="176" fontId="11" fillId="0" borderId="73" xfId="0" applyNumberFormat="1" applyFont="1" applyBorder="1" applyAlignment="1">
      <alignment vertical="center"/>
    </xf>
    <xf numFmtId="176" fontId="11" fillId="0" borderId="74" xfId="0" applyNumberFormat="1" applyFont="1" applyBorder="1" applyAlignment="1">
      <alignment vertical="center"/>
    </xf>
    <xf numFmtId="176" fontId="11" fillId="2" borderId="72" xfId="0" applyNumberFormat="1" applyFont="1" applyFill="1" applyBorder="1" applyAlignment="1">
      <alignment vertical="center"/>
    </xf>
    <xf numFmtId="176" fontId="11" fillId="2" borderId="73" xfId="0" applyNumberFormat="1" applyFont="1" applyFill="1" applyBorder="1" applyAlignment="1">
      <alignment vertical="center"/>
    </xf>
    <xf numFmtId="176" fontId="11" fillId="2" borderId="74" xfId="0" applyNumberFormat="1" applyFont="1" applyFill="1" applyBorder="1" applyAlignment="1">
      <alignment vertical="center"/>
    </xf>
    <xf numFmtId="0" fontId="11" fillId="0" borderId="2" xfId="0" applyFont="1" applyBorder="1" applyAlignment="1">
      <alignment horizontal="distributed" vertical="center"/>
    </xf>
    <xf numFmtId="0" fontId="11" fillId="0" borderId="3" xfId="0" applyFont="1" applyBorder="1" applyAlignment="1">
      <alignment horizontal="distributed" vertical="center"/>
    </xf>
    <xf numFmtId="0" fontId="11" fillId="0" borderId="4" xfId="0" applyFont="1" applyBorder="1" applyAlignment="1">
      <alignment horizontal="distributed" vertical="center"/>
    </xf>
    <xf numFmtId="0" fontId="11" fillId="0" borderId="161" xfId="0" applyFont="1" applyBorder="1" applyAlignment="1">
      <alignment vertical="center" shrinkToFit="1"/>
    </xf>
    <xf numFmtId="0" fontId="11" fillId="0" borderId="162" xfId="0" applyFont="1" applyBorder="1" applyAlignment="1">
      <alignment vertical="center" shrinkToFit="1"/>
    </xf>
    <xf numFmtId="0" fontId="11" fillId="0" borderId="171" xfId="0" applyFont="1" applyBorder="1" applyAlignment="1">
      <alignment vertical="center" shrinkToFit="1"/>
    </xf>
    <xf numFmtId="0" fontId="11" fillId="0" borderId="11" xfId="0" applyFont="1" applyBorder="1" applyAlignment="1">
      <alignment horizontal="center" vertical="center"/>
    </xf>
    <xf numFmtId="0" fontId="0" fillId="0" borderId="11" xfId="0" applyBorder="1" applyAlignment="1">
      <alignment horizontal="center" vertical="center"/>
    </xf>
    <xf numFmtId="0" fontId="11" fillId="0" borderId="11" xfId="0" applyFont="1" applyBorder="1" applyAlignment="1">
      <alignment vertical="center" shrinkToFit="1"/>
    </xf>
    <xf numFmtId="0" fontId="0" fillId="0" borderId="11" xfId="0" applyBorder="1" applyAlignment="1">
      <alignment vertical="center" shrinkToFit="1"/>
    </xf>
    <xf numFmtId="0" fontId="11" fillId="0" borderId="72" xfId="0" applyFont="1" applyBorder="1" applyAlignment="1">
      <alignment horizontal="center" vertical="center" shrinkToFit="1"/>
    </xf>
    <xf numFmtId="0" fontId="11" fillId="0" borderId="73" xfId="0" applyFont="1" applyBorder="1" applyAlignment="1">
      <alignment horizontal="center" vertical="center" shrinkToFit="1"/>
    </xf>
    <xf numFmtId="0" fontId="11" fillId="0" borderId="74" xfId="0" applyFont="1" applyBorder="1" applyAlignment="1">
      <alignment horizontal="center" vertical="center" shrinkToFit="1"/>
    </xf>
    <xf numFmtId="176" fontId="11" fillId="0" borderId="161" xfId="0" applyNumberFormat="1" applyFont="1" applyBorder="1" applyAlignment="1">
      <alignment vertical="center"/>
    </xf>
    <xf numFmtId="176" fontId="11" fillId="0" borderId="162" xfId="0" applyNumberFormat="1" applyFont="1" applyBorder="1" applyAlignment="1">
      <alignment vertical="center"/>
    </xf>
    <xf numFmtId="176" fontId="11" fillId="0" borderId="171" xfId="0" applyNumberFormat="1" applyFont="1" applyBorder="1" applyAlignment="1">
      <alignment vertical="center"/>
    </xf>
    <xf numFmtId="0" fontId="11" fillId="0" borderId="72" xfId="0" applyFont="1" applyBorder="1" applyAlignment="1">
      <alignment horizontal="distributed" vertical="center"/>
    </xf>
    <xf numFmtId="0" fontId="11" fillId="0" borderId="73" xfId="0" applyFont="1" applyBorder="1" applyAlignment="1">
      <alignment horizontal="distributed" vertical="center"/>
    </xf>
    <xf numFmtId="0" fontId="11" fillId="0" borderId="74" xfId="0" applyFont="1" applyBorder="1" applyAlignment="1">
      <alignment horizontal="distributed" vertical="center"/>
    </xf>
    <xf numFmtId="0" fontId="11" fillId="0" borderId="13" xfId="0" applyFont="1" applyBorder="1" applyAlignment="1">
      <alignment vertical="center" textRotation="255" shrinkToFit="1"/>
    </xf>
    <xf numFmtId="0" fontId="11" fillId="0" borderId="5" xfId="0" applyFont="1" applyBorder="1" applyAlignment="1">
      <alignment vertical="center" textRotation="255" shrinkToFit="1"/>
    </xf>
    <xf numFmtId="0" fontId="11" fillId="0" borderId="14" xfId="0" applyFont="1" applyBorder="1" applyAlignment="1">
      <alignment vertical="center" textRotation="255" shrinkToFit="1"/>
    </xf>
    <xf numFmtId="0" fontId="11" fillId="0" borderId="15" xfId="0" applyFont="1" applyBorder="1" applyAlignment="1">
      <alignment vertical="center" textRotation="255" shrinkToFit="1"/>
    </xf>
    <xf numFmtId="0" fontId="11" fillId="0" borderId="0" xfId="0" applyFont="1" applyBorder="1" applyAlignment="1">
      <alignment vertical="center" textRotation="255" shrinkToFit="1"/>
    </xf>
    <xf numFmtId="0" fontId="11" fillId="0" borderId="16" xfId="0" applyFont="1" applyBorder="1" applyAlignment="1">
      <alignment vertical="center" textRotation="255" shrinkToFit="1"/>
    </xf>
    <xf numFmtId="0" fontId="11" fillId="0" borderId="33" xfId="0" applyFont="1" applyBorder="1" applyAlignment="1">
      <alignment vertical="center" textRotation="255" shrinkToFit="1"/>
    </xf>
    <xf numFmtId="0" fontId="11" fillId="0" borderId="116" xfId="0" applyFont="1" applyBorder="1" applyAlignment="1">
      <alignment vertical="center" textRotation="255" shrinkToFit="1"/>
    </xf>
    <xf numFmtId="0" fontId="11" fillId="0" borderId="196" xfId="0" applyFont="1" applyBorder="1" applyAlignment="1">
      <alignment vertical="center" textRotation="255" shrinkToFit="1"/>
    </xf>
    <xf numFmtId="0" fontId="11" fillId="0" borderId="161" xfId="0" applyFont="1" applyBorder="1" applyAlignment="1">
      <alignment horizontal="center" vertical="center"/>
    </xf>
    <xf numFmtId="0" fontId="11" fillId="0" borderId="162" xfId="0" applyFont="1" applyBorder="1" applyAlignment="1">
      <alignment horizontal="center" vertical="center"/>
    </xf>
    <xf numFmtId="0" fontId="11" fillId="0" borderId="171" xfId="0" applyFont="1" applyBorder="1" applyAlignment="1">
      <alignment horizontal="center" vertical="center"/>
    </xf>
    <xf numFmtId="0" fontId="11" fillId="0" borderId="3" xfId="0" applyFont="1" applyBorder="1" applyAlignment="1">
      <alignment horizontal="distributed" vertical="center" shrinkToFit="1"/>
    </xf>
    <xf numFmtId="0" fontId="11" fillId="0" borderId="4" xfId="0" applyFont="1" applyBorder="1" applyAlignment="1">
      <alignment horizontal="distributed" vertical="center" shrinkToFit="1"/>
    </xf>
    <xf numFmtId="0" fontId="11" fillId="0" borderId="1" xfId="0" applyFont="1" applyBorder="1" applyAlignment="1">
      <alignment horizontal="center" vertical="center" wrapText="1"/>
    </xf>
    <xf numFmtId="0" fontId="0" fillId="0" borderId="1" xfId="0" applyBorder="1" applyAlignment="1">
      <alignment horizontal="center" vertical="center" wrapText="1"/>
    </xf>
    <xf numFmtId="0" fontId="11" fillId="0" borderId="6" xfId="0" applyFont="1" applyBorder="1" applyAlignment="1">
      <alignment horizontal="distributed" vertical="center"/>
    </xf>
    <xf numFmtId="0" fontId="0" fillId="0" borderId="6" xfId="0" applyBorder="1" applyAlignment="1">
      <alignment horizontal="distributed" vertical="center"/>
    </xf>
    <xf numFmtId="0" fontId="47" fillId="0" borderId="1" xfId="8" applyFont="1" applyBorder="1" applyAlignment="1" applyProtection="1">
      <alignment horizontal="center" vertical="center"/>
    </xf>
    <xf numFmtId="0" fontId="0" fillId="0" borderId="1" xfId="0" applyBorder="1" applyAlignment="1" applyProtection="1">
      <alignment horizontal="center"/>
    </xf>
    <xf numFmtId="0" fontId="47" fillId="2" borderId="1" xfId="8" applyFont="1" applyFill="1" applyBorder="1" applyAlignment="1" applyProtection="1">
      <alignment horizontal="center" vertical="center" shrinkToFit="1"/>
      <protection locked="0"/>
    </xf>
    <xf numFmtId="0" fontId="0" fillId="2" borderId="2" xfId="0" applyFill="1" applyBorder="1" applyAlignment="1" applyProtection="1">
      <alignment horizontal="center" vertical="center" shrinkToFit="1"/>
      <protection locked="0"/>
    </xf>
    <xf numFmtId="0" fontId="0" fillId="2" borderId="1" xfId="0" applyFill="1" applyBorder="1" applyAlignment="1" applyProtection="1">
      <alignment horizontal="center" vertical="center" shrinkToFit="1"/>
      <protection locked="0"/>
    </xf>
    <xf numFmtId="0" fontId="47" fillId="0" borderId="4" xfId="8" applyFont="1" applyBorder="1" applyAlignment="1" applyProtection="1">
      <alignment horizontal="center" vertical="center"/>
    </xf>
    <xf numFmtId="0" fontId="0" fillId="0" borderId="4" xfId="0" applyBorder="1" applyAlignment="1" applyProtection="1">
      <alignment horizontal="center" vertical="center"/>
    </xf>
    <xf numFmtId="0" fontId="0" fillId="0" borderId="28" xfId="0" applyBorder="1" applyAlignment="1" applyProtection="1">
      <alignment horizontal="center" vertical="center"/>
    </xf>
    <xf numFmtId="0" fontId="0" fillId="0" borderId="172" xfId="0" applyBorder="1" applyAlignment="1" applyProtection="1">
      <alignment horizontal="center" vertical="center"/>
    </xf>
    <xf numFmtId="0" fontId="10" fillId="0" borderId="2" xfId="9" applyFont="1" applyBorder="1" applyAlignment="1" applyProtection="1">
      <alignment horizontal="left" vertical="center" shrinkToFit="1"/>
    </xf>
    <xf numFmtId="0" fontId="10" fillId="0" borderId="3" xfId="9" applyFont="1" applyBorder="1" applyAlignment="1" applyProtection="1">
      <alignment horizontal="left" vertical="center" shrinkToFit="1"/>
    </xf>
    <xf numFmtId="0" fontId="0" fillId="0" borderId="3" xfId="0" applyBorder="1" applyAlignment="1" applyProtection="1">
      <alignment horizontal="left" shrinkToFit="1"/>
    </xf>
    <xf numFmtId="0" fontId="0" fillId="0" borderId="4" xfId="0" applyBorder="1" applyAlignment="1" applyProtection="1">
      <alignment horizontal="left" shrinkToFit="1"/>
    </xf>
    <xf numFmtId="0" fontId="10" fillId="0" borderId="136" xfId="9" applyFont="1" applyBorder="1" applyAlignment="1" applyProtection="1">
      <alignment horizontal="center" vertical="center"/>
    </xf>
    <xf numFmtId="0" fontId="10" fillId="0" borderId="168" xfId="9" applyFont="1" applyBorder="1" applyAlignment="1" applyProtection="1">
      <alignment horizontal="center" vertical="center"/>
    </xf>
    <xf numFmtId="0" fontId="0" fillId="0" borderId="168" xfId="0" applyBorder="1" applyAlignment="1" applyProtection="1">
      <alignment horizontal="center"/>
    </xf>
    <xf numFmtId="0" fontId="0" fillId="0" borderId="137" xfId="0" applyBorder="1" applyAlignment="1" applyProtection="1">
      <alignment horizontal="center"/>
    </xf>
    <xf numFmtId="233" fontId="47" fillId="0" borderId="2" xfId="8" applyNumberFormat="1" applyFont="1" applyBorder="1" applyAlignment="1" applyProtection="1">
      <alignment horizontal="right" vertical="center"/>
    </xf>
    <xf numFmtId="233" fontId="4" fillId="0" borderId="3" xfId="9" applyNumberFormat="1" applyBorder="1" applyAlignment="1" applyProtection="1">
      <alignment horizontal="right" vertical="center"/>
    </xf>
    <xf numFmtId="233" fontId="0" fillId="0" borderId="3" xfId="0" applyNumberFormat="1" applyBorder="1" applyAlignment="1" applyProtection="1"/>
    <xf numFmtId="233" fontId="0" fillId="0" borderId="4" xfId="0" applyNumberFormat="1" applyBorder="1" applyAlignment="1" applyProtection="1"/>
    <xf numFmtId="233" fontId="4" fillId="0" borderId="2" xfId="9" applyNumberFormat="1" applyBorder="1" applyAlignment="1" applyProtection="1">
      <alignment horizontal="right" vertical="center"/>
    </xf>
    <xf numFmtId="232" fontId="47" fillId="0" borderId="2" xfId="8" applyNumberFormat="1" applyFont="1" applyBorder="1" applyAlignment="1" applyProtection="1">
      <alignment horizontal="right" vertical="center"/>
    </xf>
    <xf numFmtId="232" fontId="4" fillId="0" borderId="3" xfId="9" applyNumberFormat="1" applyBorder="1" applyAlignment="1" applyProtection="1">
      <alignment horizontal="right" vertical="center"/>
    </xf>
    <xf numFmtId="232" fontId="0" fillId="0" borderId="3" xfId="0" applyNumberFormat="1" applyBorder="1" applyAlignment="1" applyProtection="1"/>
    <xf numFmtId="232" fontId="0" fillId="0" borderId="4" xfId="0" applyNumberFormat="1" applyBorder="1" applyAlignment="1" applyProtection="1"/>
    <xf numFmtId="232" fontId="4" fillId="0" borderId="2" xfId="9" applyNumberFormat="1" applyBorder="1" applyAlignment="1" applyProtection="1">
      <alignment horizontal="right" vertical="center"/>
    </xf>
    <xf numFmtId="0" fontId="10" fillId="0" borderId="139" xfId="9" applyFont="1" applyBorder="1" applyAlignment="1" applyProtection="1">
      <alignment horizontal="center" vertical="center"/>
    </xf>
    <xf numFmtId="0" fontId="10" fillId="0" borderId="169" xfId="9" applyFont="1" applyBorder="1" applyAlignment="1" applyProtection="1">
      <alignment horizontal="center" vertical="center"/>
    </xf>
    <xf numFmtId="0" fontId="0" fillId="0" borderId="169" xfId="0" applyBorder="1" applyAlignment="1" applyProtection="1">
      <alignment horizontal="center"/>
    </xf>
    <xf numFmtId="0" fontId="0" fillId="0" borderId="140" xfId="0" applyBorder="1" applyAlignment="1" applyProtection="1">
      <alignment horizontal="center"/>
    </xf>
    <xf numFmtId="0" fontId="47" fillId="2" borderId="13" xfId="8" applyFont="1" applyFill="1" applyBorder="1" applyAlignment="1" applyProtection="1">
      <alignment horizontal="left" vertical="center"/>
      <protection locked="0"/>
    </xf>
    <xf numFmtId="0" fontId="0" fillId="0" borderId="5" xfId="0" applyBorder="1" applyAlignment="1" applyProtection="1">
      <alignment horizontal="left"/>
      <protection locked="0"/>
    </xf>
    <xf numFmtId="0" fontId="0" fillId="0" borderId="170" xfId="0" applyBorder="1" applyAlignment="1" applyProtection="1">
      <alignment horizontal="left"/>
      <protection locked="0"/>
    </xf>
    <xf numFmtId="0" fontId="0" fillId="0" borderId="7" xfId="0" applyBorder="1" applyAlignment="1" applyProtection="1">
      <alignment horizontal="left"/>
      <protection locked="0"/>
    </xf>
    <xf numFmtId="0" fontId="0" fillId="0" borderId="8" xfId="0" applyBorder="1" applyAlignment="1" applyProtection="1">
      <alignment horizontal="left"/>
      <protection locked="0"/>
    </xf>
    <xf numFmtId="0" fontId="0" fillId="0" borderId="164" xfId="0" applyBorder="1" applyAlignment="1" applyProtection="1">
      <alignment horizontal="left"/>
      <protection locked="0"/>
    </xf>
    <xf numFmtId="0" fontId="10" fillId="0" borderId="2" xfId="8" applyFont="1" applyBorder="1" applyAlignment="1" applyProtection="1">
      <alignment horizontal="left" vertical="center" shrinkToFit="1"/>
    </xf>
    <xf numFmtId="234" fontId="47" fillId="0" borderId="2" xfId="8" applyNumberFormat="1" applyFont="1" applyBorder="1" applyAlignment="1" applyProtection="1">
      <alignment horizontal="right" vertical="center"/>
    </xf>
    <xf numFmtId="234" fontId="4" fillId="0" borderId="3" xfId="9" applyNumberFormat="1" applyBorder="1" applyAlignment="1" applyProtection="1">
      <alignment horizontal="right" vertical="center"/>
    </xf>
    <xf numFmtId="234" fontId="0" fillId="0" borderId="3" xfId="0" applyNumberFormat="1" applyBorder="1" applyAlignment="1" applyProtection="1"/>
    <xf numFmtId="234" fontId="0" fillId="0" borderId="4" xfId="0" applyNumberFormat="1" applyBorder="1" applyAlignment="1" applyProtection="1"/>
    <xf numFmtId="234" fontId="4" fillId="0" borderId="2" xfId="9" applyNumberFormat="1" applyBorder="1" applyAlignment="1" applyProtection="1">
      <alignment horizontal="right" vertical="center"/>
    </xf>
    <xf numFmtId="0" fontId="10" fillId="0" borderId="90" xfId="9" applyFont="1" applyBorder="1" applyAlignment="1" applyProtection="1">
      <alignment horizontal="center" vertical="center"/>
    </xf>
    <xf numFmtId="0" fontId="10" fillId="0" borderId="167" xfId="0" applyFont="1" applyBorder="1" applyAlignment="1" applyProtection="1">
      <alignment horizontal="center" vertical="center"/>
    </xf>
    <xf numFmtId="0" fontId="0" fillId="0" borderId="167" xfId="0" applyBorder="1" applyAlignment="1" applyProtection="1">
      <alignment horizontal="center"/>
    </xf>
    <xf numFmtId="0" fontId="0" fillId="0" borderId="91" xfId="0" applyBorder="1" applyAlignment="1" applyProtection="1">
      <alignment horizontal="center"/>
    </xf>
    <xf numFmtId="0" fontId="10" fillId="0" borderId="136" xfId="0" applyFont="1" applyBorder="1" applyAlignment="1" applyProtection="1">
      <alignment horizontal="center" vertical="center"/>
    </xf>
    <xf numFmtId="0" fontId="10" fillId="0" borderId="168" xfId="0" applyFont="1" applyBorder="1" applyAlignment="1" applyProtection="1">
      <alignment horizontal="center" vertical="center"/>
    </xf>
    <xf numFmtId="0" fontId="47" fillId="0" borderId="13" xfId="8" applyFont="1" applyBorder="1" applyAlignment="1" applyProtection="1">
      <alignment horizontal="center" vertical="center"/>
    </xf>
    <xf numFmtId="0" fontId="4" fillId="0" borderId="5" xfId="9" applyBorder="1" applyAlignment="1" applyProtection="1">
      <alignment horizontal="center" vertical="center"/>
    </xf>
    <xf numFmtId="0" fontId="0" fillId="0" borderId="5" xfId="0" applyBorder="1" applyAlignment="1" applyProtection="1">
      <alignment horizontal="center" vertical="center"/>
    </xf>
    <xf numFmtId="0" fontId="0" fillId="0" borderId="14" xfId="0" applyBorder="1" applyAlignment="1" applyProtection="1">
      <alignment horizontal="center" vertical="center"/>
    </xf>
    <xf numFmtId="0" fontId="4" fillId="0" borderId="7" xfId="9" applyBorder="1" applyAlignment="1" applyProtection="1">
      <alignment horizontal="center" vertical="center"/>
    </xf>
    <xf numFmtId="0" fontId="4" fillId="0" borderId="8" xfId="9" applyBorder="1" applyAlignment="1" applyProtection="1">
      <alignment horizontal="center" vertical="center"/>
    </xf>
    <xf numFmtId="0" fontId="0" fillId="0" borderId="8" xfId="0" applyBorder="1" applyAlignment="1" applyProtection="1">
      <alignment horizontal="center" vertical="center"/>
    </xf>
    <xf numFmtId="0" fontId="0" fillId="0" borderId="9" xfId="0" applyBorder="1" applyAlignment="1" applyProtection="1">
      <alignment horizontal="center" vertical="center"/>
    </xf>
    <xf numFmtId="0" fontId="10" fillId="0" borderId="2" xfId="8" applyFont="1" applyBorder="1" applyAlignment="1" applyProtection="1">
      <alignment horizontal="center" vertical="center"/>
    </xf>
    <xf numFmtId="0" fontId="21" fillId="0" borderId="3" xfId="0" applyFont="1" applyBorder="1" applyAlignment="1" applyProtection="1">
      <alignment horizontal="center" vertic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2" xfId="0" applyFont="1" applyBorder="1" applyAlignment="1" applyProtection="1">
      <alignment horizontal="center" vertical="center"/>
    </xf>
    <xf numFmtId="0" fontId="10" fillId="0" borderId="13" xfId="9" applyFont="1" applyBorder="1" applyAlignment="1" applyProtection="1">
      <alignment horizontal="center" vertical="center"/>
    </xf>
    <xf numFmtId="0" fontId="0" fillId="0" borderId="170" xfId="0" applyBorder="1" applyAlignment="1" applyProtection="1">
      <alignment horizontal="center" vertical="center"/>
    </xf>
    <xf numFmtId="0" fontId="0" fillId="0" borderId="7" xfId="0" applyBorder="1" applyAlignment="1" applyProtection="1">
      <alignment horizontal="center" vertical="center"/>
    </xf>
    <xf numFmtId="0" fontId="0" fillId="0" borderId="164" xfId="0" applyBorder="1" applyAlignment="1" applyProtection="1">
      <alignment horizontal="center" vertical="center"/>
    </xf>
    <xf numFmtId="0" fontId="10" fillId="0" borderId="136" xfId="8" applyFont="1" applyBorder="1" applyAlignment="1" applyProtection="1">
      <alignment horizontal="center" vertical="center"/>
    </xf>
    <xf numFmtId="0" fontId="21" fillId="0" borderId="137" xfId="9" applyFont="1" applyBorder="1" applyAlignment="1" applyProtection="1">
      <alignment horizontal="center" vertical="center"/>
    </xf>
    <xf numFmtId="0" fontId="21" fillId="0" borderId="139" xfId="9" applyFont="1" applyBorder="1" applyAlignment="1" applyProtection="1">
      <alignment horizontal="center" vertical="center"/>
    </xf>
    <xf numFmtId="0" fontId="21" fillId="0" borderId="140" xfId="9" applyFont="1" applyBorder="1" applyAlignment="1" applyProtection="1">
      <alignment horizontal="center" vertical="center"/>
    </xf>
    <xf numFmtId="0" fontId="10" fillId="0" borderId="3" xfId="8" applyFont="1" applyBorder="1" applyAlignment="1" applyProtection="1">
      <alignment horizontal="left" vertical="center" wrapText="1"/>
    </xf>
    <xf numFmtId="0" fontId="21" fillId="0" borderId="3" xfId="9" applyFont="1" applyBorder="1" applyAlignment="1" applyProtection="1">
      <alignment horizontal="left" vertical="center" wrapText="1"/>
    </xf>
    <xf numFmtId="0" fontId="21" fillId="0" borderId="3" xfId="9" applyFont="1" applyBorder="1" applyAlignment="1" applyProtection="1">
      <alignment horizontal="left" vertical="center"/>
    </xf>
    <xf numFmtId="0" fontId="21" fillId="0" borderId="3" xfId="9" applyFont="1" applyBorder="1" applyProtection="1">
      <alignment vertical="center"/>
    </xf>
    <xf numFmtId="0" fontId="21" fillId="0" borderId="4" xfId="9" applyFont="1" applyBorder="1" applyProtection="1">
      <alignment vertical="center"/>
    </xf>
    <xf numFmtId="0" fontId="53" fillId="0" borderId="8" xfId="8" applyFont="1" applyBorder="1" applyAlignment="1" applyProtection="1">
      <alignment horizontal="left"/>
    </xf>
    <xf numFmtId="0" fontId="4" fillId="0" borderId="8" xfId="9" applyBorder="1" applyAlignment="1" applyProtection="1"/>
    <xf numFmtId="0" fontId="4" fillId="0" borderId="0" xfId="9" applyBorder="1" applyAlignment="1" applyProtection="1"/>
    <xf numFmtId="0" fontId="10" fillId="0" borderId="13" xfId="8" applyFont="1" applyBorder="1" applyAlignment="1" applyProtection="1">
      <alignment horizontal="center" vertical="center" wrapText="1"/>
    </xf>
    <xf numFmtId="0" fontId="10" fillId="0" borderId="5" xfId="9" applyFont="1" applyBorder="1" applyAlignment="1" applyProtection="1">
      <alignment horizontal="center" vertical="center"/>
    </xf>
    <xf numFmtId="0" fontId="10" fillId="0" borderId="14" xfId="9" applyFont="1" applyBorder="1" applyAlignment="1" applyProtection="1">
      <alignment horizontal="center" vertical="center"/>
    </xf>
    <xf numFmtId="0" fontId="10" fillId="0" borderId="15" xfId="9" applyFont="1" applyBorder="1" applyAlignment="1" applyProtection="1">
      <alignment horizontal="center" vertical="center"/>
    </xf>
    <xf numFmtId="0" fontId="10" fillId="0" borderId="0" xfId="9" applyFont="1" applyAlignment="1" applyProtection="1">
      <alignment horizontal="center" vertical="center"/>
    </xf>
    <xf numFmtId="0" fontId="10" fillId="0" borderId="16" xfId="9" applyFont="1" applyBorder="1" applyAlignment="1" applyProtection="1">
      <alignment horizontal="center" vertical="center"/>
    </xf>
    <xf numFmtId="0" fontId="10" fillId="0" borderId="7" xfId="9" applyFont="1" applyBorder="1" applyAlignment="1" applyProtection="1">
      <alignment horizontal="center" vertical="center"/>
    </xf>
    <xf numFmtId="0" fontId="10" fillId="0" borderId="8" xfId="9" applyFont="1" applyBorder="1" applyAlignment="1" applyProtection="1">
      <alignment horizontal="center" vertical="center"/>
    </xf>
    <xf numFmtId="0" fontId="10" fillId="0" borderId="9" xfId="9" applyFont="1" applyBorder="1" applyAlignment="1" applyProtection="1">
      <alignment horizontal="center" vertical="center"/>
    </xf>
    <xf numFmtId="232" fontId="10" fillId="2" borderId="1" xfId="8" applyNumberFormat="1" applyFont="1" applyFill="1" applyBorder="1" applyAlignment="1" applyProtection="1">
      <alignment horizontal="right" vertical="center" shrinkToFit="1"/>
      <protection locked="0"/>
    </xf>
    <xf numFmtId="232" fontId="21" fillId="0" borderId="1" xfId="9" applyNumberFormat="1" applyFont="1" applyBorder="1" applyAlignment="1" applyProtection="1">
      <alignment horizontal="right" vertical="center" shrinkToFit="1"/>
      <protection locked="0"/>
    </xf>
    <xf numFmtId="193" fontId="10" fillId="0" borderId="1" xfId="8" applyNumberFormat="1" applyFont="1" applyFill="1" applyBorder="1" applyAlignment="1" applyProtection="1">
      <alignment horizontal="right" vertical="center" shrinkToFit="1"/>
    </xf>
    <xf numFmtId="193" fontId="21" fillId="0" borderId="1" xfId="9" applyNumberFormat="1" applyFont="1" applyFill="1" applyBorder="1" applyAlignment="1" applyProtection="1">
      <alignment vertical="center" shrinkToFit="1"/>
    </xf>
    <xf numFmtId="231" fontId="10" fillId="0" borderId="1" xfId="8" applyNumberFormat="1" applyFont="1" applyBorder="1" applyAlignment="1" applyProtection="1">
      <alignment horizontal="right" vertical="center" shrinkToFit="1"/>
    </xf>
    <xf numFmtId="231" fontId="21" fillId="0" borderId="1" xfId="9" applyNumberFormat="1" applyFont="1" applyBorder="1" applyAlignment="1" applyProtection="1">
      <alignment vertical="center" shrinkToFit="1"/>
    </xf>
    <xf numFmtId="215" fontId="10" fillId="0" borderId="1" xfId="8" applyNumberFormat="1" applyFont="1" applyBorder="1" applyAlignment="1" applyProtection="1">
      <alignment vertical="center" shrinkToFit="1"/>
    </xf>
    <xf numFmtId="0" fontId="21" fillId="0" borderId="1" xfId="9" applyFont="1" applyBorder="1" applyAlignment="1" applyProtection="1">
      <alignment vertical="center" shrinkToFit="1"/>
    </xf>
    <xf numFmtId="0" fontId="21" fillId="0" borderId="2" xfId="9" applyFont="1" applyBorder="1" applyAlignment="1" applyProtection="1">
      <alignment vertical="center" shrinkToFit="1"/>
    </xf>
    <xf numFmtId="0" fontId="10" fillId="0" borderId="13" xfId="9" applyFont="1" applyBorder="1" applyAlignment="1" applyProtection="1">
      <alignment horizontal="center" vertical="center" wrapText="1"/>
    </xf>
    <xf numFmtId="233" fontId="10" fillId="2" borderId="1" xfId="8" applyNumberFormat="1" applyFont="1" applyFill="1" applyBorder="1" applyAlignment="1" applyProtection="1">
      <alignment horizontal="right" vertical="center" shrinkToFit="1"/>
      <protection locked="0"/>
    </xf>
    <xf numFmtId="233" fontId="21" fillId="0" borderId="1" xfId="9" applyNumberFormat="1" applyFont="1" applyBorder="1" applyAlignment="1" applyProtection="1">
      <alignment horizontal="right" vertical="center" shrinkToFit="1"/>
      <protection locked="0"/>
    </xf>
    <xf numFmtId="217" fontId="10" fillId="0" borderId="1" xfId="8" applyNumberFormat="1" applyFont="1" applyBorder="1" applyAlignment="1" applyProtection="1">
      <alignment vertical="center" shrinkToFit="1"/>
    </xf>
    <xf numFmtId="0" fontId="10" fillId="0" borderId="15" xfId="8" applyFont="1" applyBorder="1" applyAlignment="1" applyProtection="1">
      <alignment horizontal="center" vertical="center"/>
    </xf>
    <xf numFmtId="0" fontId="21" fillId="0" borderId="136" xfId="9" applyFont="1" applyBorder="1" applyAlignment="1" applyProtection="1">
      <alignment horizontal="center" vertical="center"/>
    </xf>
    <xf numFmtId="0" fontId="10" fillId="0" borderId="13" xfId="8" applyFont="1" applyBorder="1" applyAlignment="1" applyProtection="1">
      <alignment horizontal="center" vertical="center"/>
    </xf>
    <xf numFmtId="234" fontId="10" fillId="2" borderId="13" xfId="8" applyNumberFormat="1" applyFont="1" applyFill="1" applyBorder="1" applyAlignment="1" applyProtection="1">
      <alignment horizontal="right" vertical="center" shrinkToFit="1"/>
      <protection locked="0"/>
    </xf>
    <xf numFmtId="234" fontId="21" fillId="0" borderId="5" xfId="9" applyNumberFormat="1" applyFont="1" applyBorder="1" applyAlignment="1" applyProtection="1">
      <alignment horizontal="right" vertical="center" shrinkToFit="1"/>
      <protection locked="0"/>
    </xf>
    <xf numFmtId="234" fontId="21" fillId="0" borderId="14" xfId="9" applyNumberFormat="1" applyFont="1" applyBorder="1" applyAlignment="1" applyProtection="1">
      <alignment horizontal="right" vertical="center" shrinkToFit="1"/>
      <protection locked="0"/>
    </xf>
    <xf numFmtId="234" fontId="10" fillId="2" borderId="15" xfId="8" applyNumberFormat="1" applyFont="1" applyFill="1" applyBorder="1" applyAlignment="1" applyProtection="1">
      <alignment horizontal="right" vertical="center" shrinkToFit="1"/>
      <protection locked="0"/>
    </xf>
    <xf numFmtId="234" fontId="21" fillId="0" borderId="0" xfId="9" applyNumberFormat="1" applyFont="1" applyBorder="1" applyAlignment="1" applyProtection="1">
      <alignment horizontal="right" vertical="center" shrinkToFit="1"/>
      <protection locked="0"/>
    </xf>
    <xf numFmtId="234" fontId="21" fillId="0" borderId="16" xfId="9" applyNumberFormat="1" applyFont="1" applyBorder="1" applyAlignment="1" applyProtection="1">
      <alignment horizontal="right" vertical="center" shrinkToFit="1"/>
      <protection locked="0"/>
    </xf>
    <xf numFmtId="234" fontId="21" fillId="0" borderId="7" xfId="9" applyNumberFormat="1" applyFont="1" applyBorder="1" applyAlignment="1" applyProtection="1">
      <alignment horizontal="right" vertical="center" shrinkToFit="1"/>
      <protection locked="0"/>
    </xf>
    <xf numFmtId="234" fontId="21" fillId="0" borderId="8" xfId="9" applyNumberFormat="1" applyFont="1" applyBorder="1" applyAlignment="1" applyProtection="1">
      <alignment horizontal="right" vertical="center" shrinkToFit="1"/>
      <protection locked="0"/>
    </xf>
    <xf numFmtId="234" fontId="21" fillId="0" borderId="9" xfId="9" applyNumberFormat="1" applyFont="1" applyBorder="1" applyAlignment="1" applyProtection="1">
      <alignment horizontal="right" vertical="center" shrinkToFit="1"/>
      <protection locked="0"/>
    </xf>
    <xf numFmtId="193" fontId="10" fillId="0" borderId="13" xfId="8" applyNumberFormat="1" applyFont="1" applyFill="1" applyBorder="1" applyAlignment="1" applyProtection="1">
      <alignment horizontal="right" vertical="center" shrinkToFit="1"/>
    </xf>
    <xf numFmtId="193" fontId="21" fillId="0" borderId="5" xfId="9" applyNumberFormat="1" applyFont="1" applyFill="1" applyBorder="1" applyAlignment="1" applyProtection="1">
      <alignment vertical="center" shrinkToFit="1"/>
    </xf>
    <xf numFmtId="193" fontId="21" fillId="0" borderId="14" xfId="9" applyNumberFormat="1" applyFont="1" applyFill="1" applyBorder="1" applyAlignment="1" applyProtection="1">
      <alignment vertical="center" shrinkToFit="1"/>
    </xf>
    <xf numFmtId="193" fontId="10" fillId="0" borderId="15" xfId="8" applyNumberFormat="1" applyFont="1" applyFill="1" applyBorder="1" applyAlignment="1" applyProtection="1">
      <alignment horizontal="right" vertical="center" shrinkToFit="1"/>
    </xf>
    <xf numFmtId="193" fontId="21" fillId="0" borderId="0" xfId="9" applyNumberFormat="1" applyFont="1" applyFill="1" applyBorder="1" applyAlignment="1" applyProtection="1">
      <alignment vertical="center" shrinkToFit="1"/>
    </xf>
    <xf numFmtId="193" fontId="21" fillId="0" borderId="16" xfId="9" applyNumberFormat="1" applyFont="1" applyFill="1" applyBorder="1" applyAlignment="1" applyProtection="1">
      <alignment vertical="center" shrinkToFit="1"/>
    </xf>
    <xf numFmtId="193" fontId="21" fillId="0" borderId="7" xfId="9" applyNumberFormat="1" applyFont="1" applyFill="1" applyBorder="1" applyAlignment="1" applyProtection="1">
      <alignment vertical="center" shrinkToFit="1"/>
    </xf>
    <xf numFmtId="193" fontId="21" fillId="0" borderId="8" xfId="9" applyNumberFormat="1" applyFont="1" applyFill="1" applyBorder="1" applyAlignment="1" applyProtection="1">
      <alignment vertical="center" shrinkToFit="1"/>
    </xf>
    <xf numFmtId="193" fontId="21" fillId="0" borderId="9" xfId="9" applyNumberFormat="1" applyFont="1" applyFill="1" applyBorder="1" applyAlignment="1" applyProtection="1">
      <alignment vertical="center" shrinkToFit="1"/>
    </xf>
    <xf numFmtId="216" fontId="10" fillId="0" borderId="1" xfId="8" applyNumberFormat="1" applyFont="1" applyBorder="1" applyAlignment="1" applyProtection="1">
      <alignment vertical="center" shrinkToFit="1"/>
    </xf>
    <xf numFmtId="232" fontId="10" fillId="2" borderId="13" xfId="8" applyNumberFormat="1" applyFont="1" applyFill="1" applyBorder="1" applyAlignment="1" applyProtection="1">
      <alignment horizontal="right" vertical="center" shrinkToFit="1"/>
      <protection locked="0"/>
    </xf>
    <xf numFmtId="232" fontId="21" fillId="0" borderId="5" xfId="9" applyNumberFormat="1" applyFont="1" applyBorder="1" applyAlignment="1" applyProtection="1">
      <alignment horizontal="right" vertical="center" shrinkToFit="1"/>
      <protection locked="0"/>
    </xf>
    <xf numFmtId="232" fontId="21" fillId="0" borderId="14" xfId="9" applyNumberFormat="1" applyFont="1" applyBorder="1" applyAlignment="1" applyProtection="1">
      <alignment horizontal="right" vertical="center" shrinkToFit="1"/>
      <protection locked="0"/>
    </xf>
    <xf numFmtId="232" fontId="10" fillId="2" borderId="15" xfId="8" applyNumberFormat="1" applyFont="1" applyFill="1" applyBorder="1" applyAlignment="1" applyProtection="1">
      <alignment horizontal="right" vertical="center" shrinkToFit="1"/>
      <protection locked="0"/>
    </xf>
    <xf numFmtId="232" fontId="21" fillId="0" borderId="0" xfId="9" applyNumberFormat="1" applyFont="1" applyBorder="1" applyAlignment="1" applyProtection="1">
      <alignment horizontal="right" vertical="center" shrinkToFit="1"/>
      <protection locked="0"/>
    </xf>
    <xf numFmtId="232" fontId="21" fillId="0" borderId="16" xfId="9" applyNumberFormat="1" applyFont="1" applyBorder="1" applyAlignment="1" applyProtection="1">
      <alignment horizontal="right" vertical="center" shrinkToFit="1"/>
      <protection locked="0"/>
    </xf>
    <xf numFmtId="232" fontId="21" fillId="0" borderId="7" xfId="9" applyNumberFormat="1" applyFont="1" applyBorder="1" applyAlignment="1" applyProtection="1">
      <alignment horizontal="right" vertical="center" shrinkToFit="1"/>
      <protection locked="0"/>
    </xf>
    <xf numFmtId="232" fontId="21" fillId="0" borderId="8" xfId="9" applyNumberFormat="1" applyFont="1" applyBorder="1" applyAlignment="1" applyProtection="1">
      <alignment horizontal="right" vertical="center" shrinkToFit="1"/>
      <protection locked="0"/>
    </xf>
    <xf numFmtId="232" fontId="21" fillId="0" borderId="9" xfId="9" applyNumberFormat="1" applyFont="1" applyBorder="1" applyAlignment="1" applyProtection="1">
      <alignment horizontal="right" vertical="center" shrinkToFit="1"/>
      <protection locked="0"/>
    </xf>
    <xf numFmtId="0" fontId="47" fillId="0" borderId="0" xfId="8" applyFont="1" applyProtection="1"/>
    <xf numFmtId="0" fontId="15" fillId="0" borderId="90" xfId="8" applyFont="1" applyBorder="1" applyAlignment="1" applyProtection="1">
      <alignment horizontal="center"/>
    </xf>
    <xf numFmtId="0" fontId="18" fillId="0" borderId="91" xfId="9" applyFont="1" applyBorder="1" applyAlignment="1" applyProtection="1">
      <alignment horizontal="center"/>
    </xf>
    <xf numFmtId="0" fontId="15" fillId="0" borderId="1" xfId="8" applyFont="1" applyBorder="1" applyAlignment="1" applyProtection="1">
      <alignment horizontal="center" vertical="center" shrinkToFit="1"/>
    </xf>
    <xf numFmtId="0" fontId="18" fillId="0" borderId="1" xfId="9" applyFont="1" applyBorder="1" applyAlignment="1" applyProtection="1">
      <alignment horizontal="center" vertical="center" shrinkToFit="1"/>
    </xf>
    <xf numFmtId="0" fontId="57" fillId="0" borderId="134" xfId="8" applyFont="1" applyBorder="1" applyAlignment="1" applyProtection="1">
      <alignment vertical="center" wrapText="1"/>
    </xf>
    <xf numFmtId="0" fontId="58" fillId="0" borderId="78" xfId="9" applyFont="1" applyBorder="1" applyAlignment="1" applyProtection="1">
      <alignment vertical="center" wrapText="1"/>
    </xf>
    <xf numFmtId="0" fontId="58" fillId="0" borderId="135" xfId="9" applyFont="1" applyBorder="1" applyAlignment="1" applyProtection="1">
      <alignment vertical="center" wrapText="1"/>
    </xf>
    <xf numFmtId="0" fontId="58" fillId="0" borderId="101" xfId="9" applyFont="1" applyBorder="1" applyAlignment="1" applyProtection="1">
      <alignment vertical="center" wrapText="1"/>
    </xf>
    <xf numFmtId="0" fontId="58" fillId="0" borderId="0" xfId="9" applyFont="1" applyAlignment="1" applyProtection="1">
      <alignment vertical="center" wrapText="1"/>
    </xf>
    <xf numFmtId="0" fontId="58" fillId="0" borderId="138" xfId="9" applyFont="1" applyBorder="1" applyAlignment="1" applyProtection="1">
      <alignment vertical="center" wrapText="1"/>
    </xf>
    <xf numFmtId="0" fontId="58" fillId="0" borderId="141" xfId="9" applyFont="1" applyBorder="1" applyAlignment="1" applyProtection="1">
      <alignment vertical="center" wrapText="1"/>
    </xf>
    <xf numFmtId="0" fontId="58" fillId="0" borderId="116" xfId="9" applyFont="1" applyBorder="1" applyAlignment="1" applyProtection="1">
      <alignment vertical="center" wrapText="1"/>
    </xf>
    <xf numFmtId="0" fontId="58" fillId="0" borderId="142" xfId="9" applyFont="1" applyBorder="1" applyAlignment="1" applyProtection="1">
      <alignment vertical="center" wrapText="1"/>
    </xf>
    <xf numFmtId="0" fontId="11" fillId="0" borderId="3" xfId="9" applyFont="1" applyBorder="1" applyAlignment="1" applyProtection="1">
      <alignment horizontal="center" vertical="center"/>
    </xf>
    <xf numFmtId="0" fontId="14" fillId="0" borderId="3" xfId="9" applyFont="1" applyBorder="1" applyAlignment="1" applyProtection="1">
      <alignment horizontal="center" vertical="center"/>
    </xf>
    <xf numFmtId="0" fontId="14" fillId="0" borderId="4" xfId="9" applyFont="1" applyBorder="1" applyAlignment="1" applyProtection="1">
      <alignment horizontal="center" vertical="center"/>
    </xf>
    <xf numFmtId="0" fontId="10" fillId="0" borderId="15" xfId="8" applyFont="1" applyBorder="1" applyAlignment="1" applyProtection="1">
      <alignment horizontal="center" vertical="center" wrapText="1"/>
    </xf>
    <xf numFmtId="0" fontId="21" fillId="0" borderId="0" xfId="9" applyFont="1" applyBorder="1" applyAlignment="1" applyProtection="1">
      <alignment horizontal="center" vertical="center"/>
    </xf>
    <xf numFmtId="0" fontId="21" fillId="0" borderId="16" xfId="9" applyFont="1" applyBorder="1" applyAlignment="1" applyProtection="1">
      <alignment horizontal="center" vertical="center"/>
    </xf>
    <xf numFmtId="0" fontId="21" fillId="0" borderId="7" xfId="9" applyFont="1" applyBorder="1" applyAlignment="1" applyProtection="1">
      <alignment horizontal="center" vertical="center"/>
    </xf>
    <xf numFmtId="0" fontId="21" fillId="0" borderId="8" xfId="9" applyFont="1" applyBorder="1" applyAlignment="1" applyProtection="1">
      <alignment horizontal="center" vertical="center"/>
    </xf>
    <xf numFmtId="0" fontId="21" fillId="0" borderId="9" xfId="9" applyFont="1" applyBorder="1" applyAlignment="1" applyProtection="1">
      <alignment horizontal="center" vertical="center"/>
    </xf>
    <xf numFmtId="0" fontId="53" fillId="0" borderId="136" xfId="8" applyFont="1" applyBorder="1" applyAlignment="1" applyProtection="1">
      <alignment horizontal="center" vertical="center"/>
    </xf>
    <xf numFmtId="0" fontId="59" fillId="0" borderId="137" xfId="9" applyFont="1" applyBorder="1" applyAlignment="1" applyProtection="1">
      <alignment horizontal="center" vertical="center"/>
    </xf>
    <xf numFmtId="0" fontId="59" fillId="0" borderId="139" xfId="9" applyFont="1" applyBorder="1" applyAlignment="1" applyProtection="1">
      <alignment horizontal="center" vertical="center"/>
    </xf>
    <xf numFmtId="0" fontId="59" fillId="0" borderId="140" xfId="9" applyFont="1" applyBorder="1" applyAlignment="1" applyProtection="1">
      <alignment horizontal="center" vertical="center"/>
    </xf>
    <xf numFmtId="193" fontId="53" fillId="0" borderId="1" xfId="8" applyNumberFormat="1" applyFont="1" applyBorder="1" applyAlignment="1" applyProtection="1">
      <alignment horizontal="center" vertical="center" shrinkToFit="1"/>
    </xf>
    <xf numFmtId="193" fontId="59" fillId="0" borderId="1" xfId="9" applyNumberFormat="1" applyFont="1" applyBorder="1" applyAlignment="1" applyProtection="1">
      <alignment horizontal="center" vertical="center" shrinkToFit="1"/>
    </xf>
    <xf numFmtId="0" fontId="10" fillId="0" borderId="90" xfId="8" applyFont="1" applyBorder="1" applyAlignment="1" applyProtection="1">
      <alignment horizontal="center" vertical="center"/>
    </xf>
    <xf numFmtId="0" fontId="10" fillId="0" borderId="91" xfId="9" applyFont="1" applyBorder="1" applyAlignment="1" applyProtection="1">
      <alignment horizontal="center" vertical="center"/>
    </xf>
    <xf numFmtId="0" fontId="10" fillId="0" borderId="137" xfId="9" applyFont="1" applyBorder="1" applyAlignment="1" applyProtection="1">
      <alignment horizontal="center" vertical="center"/>
    </xf>
    <xf numFmtId="0" fontId="44" fillId="0" borderId="79" xfId="8" applyFont="1" applyBorder="1" applyAlignment="1" applyProtection="1">
      <alignment horizontal="center" vertical="center"/>
    </xf>
    <xf numFmtId="0" fontId="21" fillId="0" borderId="80" xfId="9" applyFont="1" applyBorder="1" applyAlignment="1" applyProtection="1">
      <alignment horizontal="center" vertical="center"/>
    </xf>
    <xf numFmtId="0" fontId="0" fillId="0" borderId="80" xfId="0" applyBorder="1" applyAlignment="1" applyProtection="1">
      <alignment horizontal="center" vertical="center"/>
    </xf>
    <xf numFmtId="0" fontId="0" fillId="0" borderId="81" xfId="0" applyBorder="1" applyAlignment="1" applyProtection="1">
      <alignment horizontal="center" vertical="center"/>
    </xf>
    <xf numFmtId="0" fontId="21" fillId="0" borderId="82" xfId="9" applyFont="1" applyBorder="1" applyAlignment="1" applyProtection="1">
      <alignment horizontal="center" vertical="center"/>
    </xf>
    <xf numFmtId="0" fontId="21" fillId="0" borderId="83" xfId="9" applyFont="1" applyBorder="1" applyAlignment="1" applyProtection="1">
      <alignment horizontal="center" vertical="center"/>
    </xf>
    <xf numFmtId="0" fontId="0" fillId="0" borderId="83" xfId="0" applyBorder="1" applyAlignment="1" applyProtection="1">
      <alignment horizontal="center" vertical="center"/>
    </xf>
    <xf numFmtId="0" fontId="0" fillId="0" borderId="84" xfId="0" applyBorder="1" applyAlignment="1" applyProtection="1">
      <alignment horizontal="center" vertical="center"/>
    </xf>
    <xf numFmtId="0" fontId="62" fillId="0" borderId="166" xfId="9" applyFont="1" applyBorder="1" applyAlignment="1" applyProtection="1">
      <alignment horizontal="center" vertical="center"/>
    </xf>
    <xf numFmtId="0" fontId="47" fillId="0" borderId="80" xfId="0" applyFont="1" applyBorder="1" applyAlignment="1" applyProtection="1">
      <alignment horizontal="center" vertical="center"/>
    </xf>
    <xf numFmtId="0" fontId="47" fillId="0" borderId="81" xfId="0" applyFont="1" applyBorder="1" applyAlignment="1" applyProtection="1">
      <alignment horizontal="center" vertical="center"/>
    </xf>
    <xf numFmtId="0" fontId="47" fillId="0" borderId="7" xfId="0" applyFont="1" applyBorder="1" applyAlignment="1" applyProtection="1">
      <alignment horizontal="center" vertical="center"/>
    </xf>
    <xf numFmtId="0" fontId="47" fillId="0" borderId="8" xfId="0" applyFont="1" applyBorder="1" applyAlignment="1" applyProtection="1">
      <alignment horizontal="center" vertical="center"/>
    </xf>
    <xf numFmtId="0" fontId="47" fillId="0" borderId="164" xfId="0" applyFont="1" applyBorder="1" applyAlignment="1" applyProtection="1">
      <alignment horizontal="center" vertical="center"/>
    </xf>
    <xf numFmtId="0" fontId="15" fillId="4" borderId="0" xfId="8" applyFont="1" applyFill="1" applyAlignment="1" applyProtection="1">
      <alignment horizontal="left" vertical="center"/>
    </xf>
    <xf numFmtId="0" fontId="4" fillId="0" borderId="0" xfId="9" applyProtection="1">
      <alignment vertical="center"/>
    </xf>
    <xf numFmtId="0" fontId="15" fillId="0" borderId="0" xfId="8" applyFont="1" applyAlignment="1" applyProtection="1">
      <alignment vertical="center"/>
    </xf>
    <xf numFmtId="0" fontId="15" fillId="0" borderId="0" xfId="8" applyFont="1" applyAlignment="1" applyProtection="1">
      <alignment horizontal="left"/>
    </xf>
    <xf numFmtId="0" fontId="18" fillId="0" borderId="0" xfId="9" applyFont="1" applyAlignment="1" applyProtection="1"/>
    <xf numFmtId="0" fontId="15" fillId="0" borderId="0" xfId="8" applyFont="1" applyAlignment="1" applyProtection="1">
      <alignment horizontal="left" wrapText="1"/>
    </xf>
    <xf numFmtId="0" fontId="18" fillId="0" borderId="0" xfId="9" applyFont="1" applyAlignment="1" applyProtection="1">
      <alignment wrapText="1"/>
    </xf>
    <xf numFmtId="0" fontId="55" fillId="0" borderId="79" xfId="8" applyFont="1" applyBorder="1" applyAlignment="1" applyProtection="1">
      <alignment vertical="center" wrapText="1"/>
    </xf>
    <xf numFmtId="0" fontId="56" fillId="0" borderId="80" xfId="9" applyFont="1" applyBorder="1" applyProtection="1">
      <alignment vertical="center"/>
    </xf>
    <xf numFmtId="0" fontId="4" fillId="0" borderId="80" xfId="9" applyBorder="1" applyProtection="1">
      <alignment vertical="center"/>
    </xf>
    <xf numFmtId="0" fontId="4" fillId="0" borderId="81" xfId="9" applyBorder="1" applyProtection="1">
      <alignment vertical="center"/>
    </xf>
    <xf numFmtId="0" fontId="56" fillId="0" borderId="102" xfId="9" applyFont="1" applyBorder="1" applyProtection="1">
      <alignment vertical="center"/>
    </xf>
    <xf numFmtId="0" fontId="56" fillId="0" borderId="0" xfId="9" applyFont="1" applyProtection="1">
      <alignment vertical="center"/>
    </xf>
    <xf numFmtId="0" fontId="4" fillId="0" borderId="103" xfId="9" applyBorder="1" applyProtection="1">
      <alignment vertical="center"/>
    </xf>
    <xf numFmtId="0" fontId="56" fillId="0" borderId="82" xfId="9" applyFont="1" applyBorder="1" applyProtection="1">
      <alignment vertical="center"/>
    </xf>
    <xf numFmtId="0" fontId="56" fillId="0" borderId="83" xfId="9" applyFont="1" applyBorder="1" applyProtection="1">
      <alignment vertical="center"/>
    </xf>
    <xf numFmtId="0" fontId="4" fillId="0" borderId="83" xfId="9" applyBorder="1" applyProtection="1">
      <alignment vertical="center"/>
    </xf>
    <xf numFmtId="0" fontId="4" fillId="0" borderId="84" xfId="9" applyBorder="1" applyProtection="1">
      <alignment vertical="center"/>
    </xf>
    <xf numFmtId="210" fontId="10" fillId="0" borderId="86" xfId="8" applyNumberFormat="1" applyFont="1" applyBorder="1" applyAlignment="1" applyProtection="1">
      <alignment horizontal="center" vertical="center" shrinkToFit="1"/>
    </xf>
    <xf numFmtId="0" fontId="21" fillId="0" borderId="3" xfId="9" applyFont="1" applyBorder="1" applyAlignment="1" applyProtection="1">
      <alignment horizontal="center" vertical="center" shrinkToFit="1"/>
    </xf>
    <xf numFmtId="0" fontId="15" fillId="0" borderId="6" xfId="8" applyFont="1" applyBorder="1" applyAlignment="1" applyProtection="1">
      <alignment horizontal="left" vertical="center" shrinkToFit="1"/>
    </xf>
    <xf numFmtId="0" fontId="18" fillId="0" borderId="6" xfId="9" applyFont="1" applyBorder="1" applyAlignment="1" applyProtection="1">
      <alignment horizontal="left" vertical="center" shrinkToFit="1"/>
    </xf>
    <xf numFmtId="0" fontId="15" fillId="0" borderId="1" xfId="9" applyFont="1" applyBorder="1" applyAlignment="1" applyProtection="1">
      <alignment horizontal="center" vertical="center" shrinkToFit="1"/>
    </xf>
    <xf numFmtId="0" fontId="15" fillId="0" borderId="114" xfId="9" applyFont="1" applyBorder="1" applyAlignment="1" applyProtection="1">
      <alignment horizontal="center" vertical="center" shrinkToFit="1"/>
    </xf>
    <xf numFmtId="227" fontId="10" fillId="0" borderId="133" xfId="8" applyNumberFormat="1" applyFont="1" applyBorder="1" applyAlignment="1" applyProtection="1">
      <alignment horizontal="center" vertical="center" shrinkToFit="1"/>
    </xf>
    <xf numFmtId="227" fontId="21" fillId="0" borderId="107" xfId="9" applyNumberFormat="1" applyFont="1" applyBorder="1" applyAlignment="1" applyProtection="1">
      <alignment horizontal="center" vertical="center" shrinkToFit="1"/>
    </xf>
    <xf numFmtId="0" fontId="18" fillId="0" borderId="6" xfId="9" applyFont="1" applyBorder="1" applyAlignment="1" applyProtection="1">
      <alignment vertical="center" shrinkToFit="1"/>
    </xf>
    <xf numFmtId="0" fontId="43" fillId="0" borderId="72" xfId="9" applyFont="1" applyBorder="1" applyAlignment="1" applyProtection="1">
      <alignment horizontal="center" vertical="center" shrinkToFit="1"/>
    </xf>
    <xf numFmtId="0" fontId="44" fillId="0" borderId="73" xfId="9" applyFont="1" applyBorder="1" applyAlignment="1" applyProtection="1">
      <alignment horizontal="center" vertical="center" shrinkToFit="1"/>
    </xf>
    <xf numFmtId="0" fontId="44" fillId="0" borderId="131" xfId="9" applyFont="1" applyBorder="1" applyAlignment="1" applyProtection="1">
      <alignment horizontal="center" vertical="center" shrinkToFit="1"/>
    </xf>
    <xf numFmtId="212" fontId="10" fillId="0" borderId="120" xfId="8" applyNumberFormat="1" applyFont="1" applyFill="1" applyBorder="1" applyAlignment="1" applyProtection="1">
      <alignment horizontal="center" vertical="center" shrinkToFit="1"/>
    </xf>
    <xf numFmtId="0" fontId="4" fillId="0" borderId="73" xfId="9" applyFill="1" applyBorder="1" applyAlignment="1" applyProtection="1">
      <alignment horizontal="center" vertical="center" shrinkToFit="1"/>
    </xf>
    <xf numFmtId="0" fontId="4" fillId="0" borderId="129" xfId="9" applyFill="1" applyBorder="1" applyAlignment="1" applyProtection="1">
      <alignment horizontal="center" vertical="center" shrinkToFit="1"/>
    </xf>
    <xf numFmtId="0" fontId="15" fillId="0" borderId="75" xfId="8" applyFont="1" applyBorder="1" applyAlignment="1" applyProtection="1">
      <alignment horizontal="left" vertical="center" shrinkToFit="1"/>
    </xf>
    <xf numFmtId="0" fontId="18" fillId="0" borderId="40" xfId="9" applyFont="1" applyBorder="1" applyAlignment="1" applyProtection="1">
      <alignment vertical="center" shrinkToFit="1"/>
    </xf>
    <xf numFmtId="0" fontId="18" fillId="0" borderId="128" xfId="9" applyFont="1" applyBorder="1" applyAlignment="1" applyProtection="1">
      <alignment vertical="center" shrinkToFit="1"/>
    </xf>
    <xf numFmtId="0" fontId="15" fillId="0" borderId="11" xfId="8" applyFont="1" applyBorder="1" applyAlignment="1" applyProtection="1">
      <alignment horizontal="center" vertical="center" wrapText="1" shrinkToFit="1"/>
    </xf>
    <xf numFmtId="0" fontId="18" fillId="0" borderId="11" xfId="9" applyFont="1" applyBorder="1" applyAlignment="1" applyProtection="1">
      <alignment horizontal="center" vertical="center" shrinkToFit="1"/>
    </xf>
    <xf numFmtId="0" fontId="15" fillId="0" borderId="10" xfId="8" applyFont="1" applyBorder="1" applyAlignment="1" applyProtection="1">
      <alignment horizontal="center" vertical="center" shrinkToFit="1"/>
    </xf>
    <xf numFmtId="0" fontId="18" fillId="0" borderId="10" xfId="9" applyFont="1" applyBorder="1" applyAlignment="1" applyProtection="1">
      <alignment horizontal="center" vertical="center" shrinkToFit="1"/>
    </xf>
    <xf numFmtId="0" fontId="15" fillId="0" borderId="12" xfId="9" applyFont="1" applyBorder="1" applyAlignment="1" applyProtection="1">
      <alignment horizontal="center" vertical="center" shrinkToFit="1"/>
    </xf>
    <xf numFmtId="0" fontId="15" fillId="0" borderId="50" xfId="9" applyFont="1" applyBorder="1" applyAlignment="1" applyProtection="1">
      <alignment horizontal="center" vertical="center" shrinkToFit="1"/>
    </xf>
    <xf numFmtId="210" fontId="10" fillId="0" borderId="124" xfId="8" applyNumberFormat="1" applyFont="1" applyBorder="1" applyAlignment="1" applyProtection="1">
      <alignment horizontal="center" vertical="center" shrinkToFit="1"/>
    </xf>
    <xf numFmtId="0" fontId="21" fillId="0" borderId="70" xfId="9" applyFont="1" applyBorder="1" applyAlignment="1" applyProtection="1">
      <alignment horizontal="center" vertical="center" shrinkToFit="1"/>
    </xf>
    <xf numFmtId="0" fontId="15" fillId="0" borderId="125" xfId="9" applyFont="1" applyBorder="1" applyAlignment="1" applyProtection="1">
      <alignment horizontal="center" vertical="center"/>
    </xf>
    <xf numFmtId="0" fontId="4" fillId="0" borderId="127" xfId="9" applyBorder="1" applyAlignment="1" applyProtection="1">
      <alignment horizontal="center" vertical="center"/>
    </xf>
    <xf numFmtId="0" fontId="4" fillId="0" borderId="130" xfId="9" applyBorder="1" applyAlignment="1" applyProtection="1">
      <alignment horizontal="center" vertical="center"/>
    </xf>
    <xf numFmtId="0" fontId="15" fillId="0" borderId="10" xfId="8" applyFont="1" applyBorder="1" applyAlignment="1" applyProtection="1">
      <alignment horizontal="left" vertical="center" shrinkToFit="1"/>
    </xf>
    <xf numFmtId="0" fontId="18" fillId="0" borderId="10" xfId="9" applyFont="1" applyBorder="1" applyAlignment="1" applyProtection="1">
      <alignment vertical="center" shrinkToFit="1"/>
    </xf>
    <xf numFmtId="0" fontId="41" fillId="0" borderId="1" xfId="9" applyFont="1" applyBorder="1" applyAlignment="1" applyProtection="1">
      <alignment horizontal="center" vertical="center" shrinkToFit="1"/>
    </xf>
    <xf numFmtId="0" fontId="41" fillId="0" borderId="2" xfId="9" applyFont="1" applyBorder="1" applyAlignment="1" applyProtection="1">
      <alignment horizontal="center" vertical="center" shrinkToFit="1"/>
    </xf>
    <xf numFmtId="0" fontId="69" fillId="0" borderId="0" xfId="8" applyFont="1" applyAlignment="1" applyProtection="1">
      <alignment horizontal="right"/>
    </xf>
    <xf numFmtId="0" fontId="50" fillId="0" borderId="0" xfId="0" applyFont="1" applyAlignment="1" applyProtection="1">
      <alignment horizontal="right"/>
    </xf>
    <xf numFmtId="0" fontId="15" fillId="4" borderId="161" xfId="9" applyFont="1" applyFill="1" applyBorder="1" applyAlignment="1" applyProtection="1">
      <alignment horizontal="center" vertical="center" shrinkToFit="1"/>
    </xf>
    <xf numFmtId="0" fontId="18" fillId="4" borderId="162" xfId="9" applyFont="1" applyFill="1" applyBorder="1" applyAlignment="1" applyProtection="1">
      <alignment horizontal="center" vertical="center" shrinkToFit="1"/>
    </xf>
    <xf numFmtId="0" fontId="18" fillId="4" borderId="163" xfId="9" applyFont="1" applyFill="1" applyBorder="1" applyAlignment="1" applyProtection="1">
      <alignment horizontal="center" vertical="center" shrinkToFit="1"/>
    </xf>
    <xf numFmtId="226" fontId="10" fillId="10" borderId="120" xfId="8" applyNumberFormat="1" applyFont="1" applyFill="1" applyBorder="1" applyAlignment="1" applyProtection="1">
      <alignment horizontal="center" vertical="center" shrinkToFit="1"/>
    </xf>
    <xf numFmtId="226" fontId="21" fillId="0" borderId="73" xfId="9" applyNumberFormat="1" applyFont="1" applyBorder="1" applyAlignment="1" applyProtection="1">
      <alignment horizontal="center" vertical="center" shrinkToFit="1"/>
    </xf>
    <xf numFmtId="0" fontId="15" fillId="0" borderId="1" xfId="8" applyFont="1" applyBorder="1" applyAlignment="1" applyProtection="1">
      <alignment horizontal="left" vertical="center" shrinkToFit="1"/>
    </xf>
    <xf numFmtId="0" fontId="18" fillId="0" borderId="1" xfId="9" applyFont="1" applyBorder="1" applyAlignment="1" applyProtection="1">
      <alignment horizontal="left" vertical="center" shrinkToFit="1"/>
    </xf>
    <xf numFmtId="0" fontId="15" fillId="0" borderId="69" xfId="9" applyFont="1" applyBorder="1" applyAlignment="1" applyProtection="1">
      <alignment horizontal="center" vertical="center" shrinkToFit="1"/>
    </xf>
    <xf numFmtId="0" fontId="15" fillId="0" borderId="70" xfId="9" applyFont="1" applyBorder="1" applyAlignment="1" applyProtection="1">
      <alignment horizontal="center" vertical="center" shrinkToFit="1"/>
    </xf>
    <xf numFmtId="193" fontId="10" fillId="10" borderId="124" xfId="8" applyNumberFormat="1" applyFont="1" applyFill="1" applyBorder="1" applyAlignment="1" applyProtection="1">
      <alignment horizontal="center" vertical="center" shrinkToFit="1"/>
    </xf>
    <xf numFmtId="193" fontId="21" fillId="0" borderId="70" xfId="9" applyNumberFormat="1" applyFont="1" applyBorder="1" applyAlignment="1" applyProtection="1">
      <alignment horizontal="center" vertical="center" shrinkToFit="1"/>
    </xf>
    <xf numFmtId="0" fontId="18" fillId="0" borderId="1" xfId="9" applyFont="1" applyBorder="1" applyAlignment="1" applyProtection="1">
      <alignment vertical="center" shrinkToFit="1"/>
    </xf>
    <xf numFmtId="0" fontId="15" fillId="0" borderId="13" xfId="9" applyFont="1" applyBorder="1" applyAlignment="1" applyProtection="1">
      <alignment horizontal="center" vertical="center" shrinkToFit="1"/>
    </xf>
    <xf numFmtId="0" fontId="15" fillId="0" borderId="5" xfId="9" applyFont="1" applyBorder="1" applyAlignment="1" applyProtection="1">
      <alignment horizontal="center" vertical="center" shrinkToFit="1"/>
    </xf>
    <xf numFmtId="193" fontId="10" fillId="10" borderId="126" xfId="8" applyNumberFormat="1" applyFont="1" applyFill="1" applyBorder="1" applyAlignment="1" applyProtection="1">
      <alignment horizontal="center" vertical="center" shrinkToFit="1"/>
    </xf>
    <xf numFmtId="193" fontId="21" fillId="0" borderId="5" xfId="9" applyNumberFormat="1" applyFont="1" applyBorder="1" applyAlignment="1" applyProtection="1">
      <alignment horizontal="center" vertical="center" shrinkToFit="1"/>
    </xf>
    <xf numFmtId="0" fontId="43" fillId="0" borderId="13" xfId="9" applyFont="1" applyBorder="1" applyAlignment="1" applyProtection="1">
      <alignment horizontal="center" vertical="center" shrinkToFit="1"/>
    </xf>
    <xf numFmtId="0" fontId="43" fillId="0" borderId="5" xfId="9" applyFont="1" applyBorder="1" applyAlignment="1" applyProtection="1">
      <alignment horizontal="center" vertical="center" shrinkToFit="1"/>
    </xf>
    <xf numFmtId="208" fontId="10" fillId="0" borderId="120" xfId="8" applyNumberFormat="1" applyFont="1" applyBorder="1" applyAlignment="1" applyProtection="1">
      <alignment horizontal="center" vertical="center" shrinkToFit="1"/>
    </xf>
    <xf numFmtId="0" fontId="4" fillId="0" borderId="73" xfId="9" applyBorder="1" applyAlignment="1" applyProtection="1">
      <alignment horizontal="center" vertical="center" shrinkToFit="1"/>
    </xf>
    <xf numFmtId="0" fontId="4" fillId="0" borderId="129" xfId="9" applyBorder="1" applyAlignment="1" applyProtection="1">
      <alignment horizontal="center" vertical="center" shrinkToFit="1"/>
    </xf>
    <xf numFmtId="0" fontId="15" fillId="0" borderId="1" xfId="8" applyFont="1" applyBorder="1" applyAlignment="1" applyProtection="1">
      <alignment horizontal="center" vertical="center"/>
    </xf>
    <xf numFmtId="0" fontId="18" fillId="0" borderId="1" xfId="9" applyFont="1" applyBorder="1" applyProtection="1">
      <alignment vertical="center"/>
    </xf>
    <xf numFmtId="207" fontId="10" fillId="10" borderId="120" xfId="9" applyNumberFormat="1" applyFont="1" applyFill="1" applyBorder="1" applyAlignment="1" applyProtection="1">
      <alignment horizontal="center" vertical="center" shrinkToFit="1"/>
    </xf>
    <xf numFmtId="0" fontId="21" fillId="0" borderId="73" xfId="9" applyFont="1" applyBorder="1" applyAlignment="1" applyProtection="1">
      <alignment horizontal="center" vertical="center" shrinkToFit="1"/>
    </xf>
    <xf numFmtId="0" fontId="15" fillId="2" borderId="106" xfId="8" applyFont="1" applyFill="1" applyBorder="1" applyAlignment="1" applyProtection="1">
      <alignment horizontal="center" shrinkToFit="1"/>
      <protection locked="0"/>
    </xf>
    <xf numFmtId="0" fontId="18" fillId="2" borderId="107" xfId="9" applyFont="1" applyFill="1" applyBorder="1" applyAlignment="1" applyProtection="1">
      <alignment horizontal="center" shrinkToFit="1"/>
      <protection locked="0"/>
    </xf>
    <xf numFmtId="0" fontId="18" fillId="2" borderId="108" xfId="9" applyFont="1" applyFill="1" applyBorder="1" applyAlignment="1" applyProtection="1">
      <alignment horizontal="center" shrinkToFit="1"/>
      <protection locked="0"/>
    </xf>
    <xf numFmtId="0" fontId="15" fillId="0" borderId="0" xfId="8" applyFont="1" applyAlignment="1" applyProtection="1">
      <alignment horizontal="left" vertical="center" wrapText="1"/>
    </xf>
    <xf numFmtId="0" fontId="18" fillId="0" borderId="0" xfId="9" applyFont="1" applyProtection="1">
      <alignment vertical="center"/>
    </xf>
    <xf numFmtId="0" fontId="15" fillId="0" borderId="92" xfId="8" applyFont="1" applyBorder="1" applyAlignment="1" applyProtection="1">
      <alignment horizontal="center" vertical="center"/>
    </xf>
    <xf numFmtId="0" fontId="18" fillId="0" borderId="93" xfId="9" applyFont="1" applyBorder="1" applyAlignment="1" applyProtection="1">
      <alignment horizontal="center" vertical="center"/>
    </xf>
    <xf numFmtId="0" fontId="15" fillId="0" borderId="100" xfId="8" applyFont="1" applyBorder="1" applyAlignment="1" applyProtection="1">
      <alignment horizontal="center" vertical="center"/>
    </xf>
    <xf numFmtId="0" fontId="18" fillId="0" borderId="1" xfId="9" applyFont="1" applyBorder="1" applyAlignment="1" applyProtection="1">
      <alignment horizontal="center" vertical="center"/>
    </xf>
    <xf numFmtId="0" fontId="18" fillId="0" borderId="100" xfId="9" applyFont="1" applyBorder="1" applyAlignment="1" applyProtection="1">
      <alignment horizontal="center" vertical="center"/>
    </xf>
    <xf numFmtId="0" fontId="18" fillId="0" borderId="104" xfId="9" applyFont="1" applyBorder="1" applyAlignment="1" applyProtection="1">
      <alignment horizontal="center" vertical="center"/>
    </xf>
    <xf numFmtId="0" fontId="18" fillId="0" borderId="105" xfId="9" applyFont="1" applyBorder="1" applyAlignment="1" applyProtection="1">
      <alignment horizontal="center" vertical="center"/>
    </xf>
    <xf numFmtId="0" fontId="15" fillId="2" borderId="94" xfId="8" applyFont="1" applyFill="1" applyBorder="1" applyAlignment="1" applyProtection="1">
      <alignment horizontal="center" shrinkToFit="1"/>
    </xf>
    <xf numFmtId="0" fontId="18" fillId="2" borderId="95" xfId="9" applyFont="1" applyFill="1" applyBorder="1" applyAlignment="1" applyProtection="1">
      <alignment horizontal="center" shrinkToFit="1"/>
    </xf>
    <xf numFmtId="0" fontId="18" fillId="2" borderId="96" xfId="9" applyFont="1" applyFill="1" applyBorder="1" applyAlignment="1" applyProtection="1">
      <alignment horizontal="center" shrinkToFit="1"/>
    </xf>
    <xf numFmtId="0" fontId="15" fillId="2" borderId="94" xfId="8" applyFont="1" applyFill="1" applyBorder="1" applyAlignment="1" applyProtection="1">
      <alignment horizontal="center" shrinkToFit="1"/>
      <protection locked="0"/>
    </xf>
    <xf numFmtId="0" fontId="18" fillId="2" borderId="95" xfId="9" applyFont="1" applyFill="1" applyBorder="1" applyAlignment="1" applyProtection="1">
      <alignment horizontal="center" shrinkToFit="1"/>
      <protection locked="0"/>
    </xf>
    <xf numFmtId="0" fontId="18" fillId="2" borderId="96" xfId="9" applyFont="1" applyFill="1" applyBorder="1" applyAlignment="1" applyProtection="1">
      <alignment horizontal="center" shrinkToFit="1"/>
      <protection locked="0"/>
    </xf>
    <xf numFmtId="0" fontId="15" fillId="2" borderId="2" xfId="8" applyFont="1" applyFill="1" applyBorder="1" applyAlignment="1" applyProtection="1">
      <alignment horizontal="center" shrinkToFit="1"/>
      <protection locked="0"/>
    </xf>
    <xf numFmtId="0" fontId="18" fillId="0" borderId="3" xfId="9" applyFont="1" applyBorder="1" applyAlignment="1" applyProtection="1">
      <alignment horizontal="center" shrinkToFit="1"/>
      <protection locked="0"/>
    </xf>
    <xf numFmtId="0" fontId="18" fillId="0" borderId="4" xfId="9" applyFont="1" applyBorder="1" applyAlignment="1" applyProtection="1">
      <alignment horizontal="center" shrinkToFit="1"/>
      <protection locked="0"/>
    </xf>
    <xf numFmtId="0" fontId="15" fillId="0" borderId="13" xfId="8" applyFont="1" applyBorder="1" applyAlignment="1" applyProtection="1">
      <alignment horizontal="center" vertical="center"/>
    </xf>
    <xf numFmtId="0" fontId="18" fillId="0" borderId="5" xfId="9" applyFont="1" applyBorder="1" applyAlignment="1" applyProtection="1">
      <alignment horizontal="center" vertical="center"/>
    </xf>
    <xf numFmtId="0" fontId="18" fillId="0" borderId="112" xfId="9" applyFont="1" applyBorder="1" applyAlignment="1" applyProtection="1">
      <alignment horizontal="center" vertical="center"/>
    </xf>
    <xf numFmtId="0" fontId="18" fillId="0" borderId="15" xfId="9" applyFont="1" applyBorder="1" applyAlignment="1" applyProtection="1">
      <alignment horizontal="center" vertical="center"/>
    </xf>
    <xf numFmtId="0" fontId="18" fillId="0" borderId="0" xfId="9" applyFont="1" applyAlignment="1" applyProtection="1">
      <alignment horizontal="center" vertical="center"/>
    </xf>
    <xf numFmtId="0" fontId="18" fillId="0" borderId="65" xfId="9" applyFont="1" applyBorder="1" applyAlignment="1" applyProtection="1">
      <alignment horizontal="center" vertical="center"/>
    </xf>
    <xf numFmtId="0" fontId="18" fillId="0" borderId="33" xfId="9" applyFont="1" applyBorder="1" applyAlignment="1" applyProtection="1">
      <alignment horizontal="center" vertical="center"/>
    </xf>
    <xf numFmtId="0" fontId="18" fillId="0" borderId="116" xfId="9" applyFont="1" applyBorder="1" applyAlignment="1" applyProtection="1">
      <alignment horizontal="center" vertical="center"/>
    </xf>
    <xf numFmtId="0" fontId="18" fillId="0" borderId="117" xfId="9" applyFont="1" applyBorder="1" applyAlignment="1" applyProtection="1">
      <alignment horizontal="center" vertical="center"/>
    </xf>
    <xf numFmtId="0" fontId="18" fillId="0" borderId="113" xfId="9" applyFont="1" applyBorder="1" applyAlignment="1" applyProtection="1">
      <alignment horizontal="center" vertical="center"/>
    </xf>
    <xf numFmtId="0" fontId="18" fillId="2" borderId="3" xfId="9" applyFont="1" applyFill="1" applyBorder="1" applyAlignment="1" applyProtection="1">
      <alignment horizontal="center" shrinkToFit="1"/>
      <protection locked="0"/>
    </xf>
    <xf numFmtId="0" fontId="18" fillId="2" borderId="4" xfId="9" applyFont="1" applyFill="1" applyBorder="1" applyAlignment="1" applyProtection="1">
      <alignment horizontal="center" shrinkToFit="1"/>
      <protection locked="0"/>
    </xf>
    <xf numFmtId="185" fontId="39" fillId="0" borderId="110" xfId="9" applyNumberFormat="1" applyFont="1" applyBorder="1" applyAlignment="1" applyProtection="1">
      <alignment horizontal="center" vertical="center"/>
    </xf>
    <xf numFmtId="0" fontId="10" fillId="0" borderId="111" xfId="9" applyFont="1" applyBorder="1" applyAlignment="1" applyProtection="1">
      <alignment horizontal="center" vertical="center"/>
    </xf>
    <xf numFmtId="0" fontId="10" fillId="0" borderId="102" xfId="9" applyFont="1" applyBorder="1" applyAlignment="1" applyProtection="1">
      <alignment horizontal="center" vertical="center"/>
    </xf>
    <xf numFmtId="0" fontId="10" fillId="0" borderId="103" xfId="9" applyFont="1" applyBorder="1" applyAlignment="1" applyProtection="1">
      <alignment horizontal="center" vertical="center"/>
    </xf>
    <xf numFmtId="0" fontId="10" fillId="0" borderId="82" xfId="9" applyFont="1" applyBorder="1" applyAlignment="1" applyProtection="1">
      <alignment horizontal="center" vertical="center"/>
    </xf>
    <xf numFmtId="0" fontId="10" fillId="0" borderId="84" xfId="9" applyFont="1" applyBorder="1" applyAlignment="1" applyProtection="1">
      <alignment horizontal="center" vertical="center"/>
    </xf>
    <xf numFmtId="0" fontId="53" fillId="0" borderId="2" xfId="8" applyFont="1" applyBorder="1" applyAlignment="1" applyProtection="1">
      <alignment horizontal="center" vertical="center" wrapText="1"/>
    </xf>
    <xf numFmtId="0" fontId="18" fillId="0" borderId="3" xfId="9" applyFont="1" applyBorder="1" applyProtection="1">
      <alignment vertical="center"/>
    </xf>
    <xf numFmtId="0" fontId="18" fillId="0" borderId="4" xfId="9" applyFont="1" applyBorder="1" applyProtection="1">
      <alignment vertical="center"/>
    </xf>
    <xf numFmtId="0" fontId="18" fillId="0" borderId="2" xfId="9" applyFont="1" applyBorder="1" applyProtection="1">
      <alignment vertical="center"/>
    </xf>
    <xf numFmtId="185" fontId="54" fillId="0" borderId="97" xfId="8" applyNumberFormat="1" applyFont="1" applyBorder="1" applyAlignment="1" applyProtection="1">
      <alignment horizontal="center" vertical="center"/>
    </xf>
    <xf numFmtId="0" fontId="4" fillId="0" borderId="63" xfId="9" applyBorder="1" applyAlignment="1" applyProtection="1">
      <alignment horizontal="center" vertical="center"/>
    </xf>
    <xf numFmtId="0" fontId="4" fillId="0" borderId="101" xfId="9" applyBorder="1" applyAlignment="1" applyProtection="1">
      <alignment horizontal="center" vertical="center"/>
    </xf>
    <xf numFmtId="0" fontId="4" fillId="0" borderId="0" xfId="9" applyAlignment="1" applyProtection="1">
      <alignment horizontal="center" vertical="center"/>
    </xf>
    <xf numFmtId="0" fontId="4" fillId="0" borderId="109" xfId="9" applyBorder="1" applyAlignment="1" applyProtection="1">
      <alignment horizontal="center" vertical="center"/>
    </xf>
    <xf numFmtId="0" fontId="4" fillId="0" borderId="67" xfId="9" applyBorder="1" applyAlignment="1" applyProtection="1">
      <alignment horizontal="center" vertical="center"/>
    </xf>
    <xf numFmtId="185" fontId="39" fillId="0" borderId="98" xfId="9" applyNumberFormat="1" applyFont="1" applyBorder="1" applyAlignment="1" applyProtection="1">
      <alignment horizontal="center" vertical="center"/>
    </xf>
    <xf numFmtId="0" fontId="10" fillId="0" borderId="99" xfId="9" applyFont="1" applyBorder="1" applyAlignment="1" applyProtection="1">
      <alignment horizontal="center" vertical="center"/>
    </xf>
    <xf numFmtId="0" fontId="53" fillId="4" borderId="0" xfId="8" applyFont="1" applyFill="1" applyAlignment="1" applyProtection="1">
      <alignment horizontal="left" vertical="center"/>
    </xf>
    <xf numFmtId="0" fontId="15" fillId="0" borderId="6" xfId="8" applyFont="1" applyBorder="1" applyAlignment="1" applyProtection="1">
      <alignment horizontal="center" vertical="center"/>
    </xf>
    <xf numFmtId="0" fontId="18" fillId="0" borderId="6" xfId="9" applyFont="1" applyBorder="1" applyAlignment="1" applyProtection="1">
      <alignment horizontal="center" vertical="center"/>
    </xf>
    <xf numFmtId="0" fontId="15" fillId="0" borderId="13" xfId="8" applyFont="1" applyBorder="1" applyAlignment="1" applyProtection="1">
      <alignment horizontal="center"/>
    </xf>
    <xf numFmtId="0" fontId="18" fillId="0" borderId="5" xfId="9" applyFont="1" applyBorder="1" applyAlignment="1" applyProtection="1">
      <alignment horizontal="center"/>
    </xf>
    <xf numFmtId="0" fontId="15" fillId="0" borderId="89" xfId="8" applyFont="1" applyBorder="1" applyAlignment="1" applyProtection="1">
      <alignment horizontal="center"/>
    </xf>
    <xf numFmtId="0" fontId="4" fillId="0" borderId="44" xfId="9" applyBorder="1" applyAlignment="1" applyProtection="1">
      <alignment horizontal="center"/>
    </xf>
    <xf numFmtId="0" fontId="15" fillId="0" borderId="90" xfId="9" applyFont="1" applyBorder="1" applyAlignment="1" applyProtection="1">
      <alignment horizontal="center"/>
    </xf>
    <xf numFmtId="0" fontId="10" fillId="0" borderId="91" xfId="9" applyFont="1" applyBorder="1" applyAlignment="1" applyProtection="1">
      <alignment horizontal="center"/>
    </xf>
    <xf numFmtId="0" fontId="53" fillId="0" borderId="2" xfId="8" applyFont="1" applyBorder="1" applyAlignment="1" applyProtection="1">
      <alignment horizontal="center"/>
    </xf>
    <xf numFmtId="0" fontId="18" fillId="0" borderId="3" xfId="9" applyFont="1" applyBorder="1" applyAlignment="1" applyProtection="1"/>
    <xf numFmtId="0" fontId="18" fillId="0" borderId="4" xfId="9" applyFont="1" applyBorder="1" applyAlignment="1" applyProtection="1"/>
    <xf numFmtId="0" fontId="4" fillId="0" borderId="0" xfId="9" applyAlignment="1" applyProtection="1">
      <alignment horizontal="left" vertical="center" wrapText="1"/>
    </xf>
    <xf numFmtId="0" fontId="47" fillId="0" borderId="2" xfId="8" applyFont="1" applyBorder="1" applyProtection="1"/>
    <xf numFmtId="0" fontId="4" fillId="0" borderId="3" xfId="9" applyBorder="1" applyAlignment="1" applyProtection="1"/>
    <xf numFmtId="0" fontId="4" fillId="0" borderId="4" xfId="9" applyBorder="1" applyAlignment="1" applyProtection="1"/>
    <xf numFmtId="0" fontId="15" fillId="4" borderId="0" xfId="8" applyFont="1" applyFill="1" applyAlignment="1" applyProtection="1">
      <alignment horizontal="left" vertical="center" wrapText="1"/>
    </xf>
    <xf numFmtId="0" fontId="46" fillId="0" borderId="0" xfId="8" applyFont="1" applyAlignment="1" applyProtection="1">
      <alignment horizontal="center"/>
    </xf>
    <xf numFmtId="0" fontId="4" fillId="0" borderId="0" xfId="9" applyAlignment="1" applyProtection="1">
      <alignment horizontal="center"/>
    </xf>
    <xf numFmtId="0" fontId="15" fillId="0" borderId="193" xfId="8" applyFont="1" applyBorder="1" applyAlignment="1" applyProtection="1">
      <alignment horizontal="left"/>
    </xf>
    <xf numFmtId="0" fontId="18" fillId="0" borderId="194" xfId="9" applyFont="1" applyBorder="1" applyAlignment="1" applyProtection="1"/>
    <xf numFmtId="0" fontId="18" fillId="0" borderId="195" xfId="9" applyFont="1" applyBorder="1" applyAlignment="1" applyProtection="1"/>
    <xf numFmtId="0" fontId="15" fillId="0" borderId="82" xfId="8" applyFont="1" applyBorder="1" applyAlignment="1" applyProtection="1">
      <alignment horizontal="left" wrapText="1"/>
    </xf>
    <xf numFmtId="0" fontId="18" fillId="0" borderId="83" xfId="9" applyFont="1" applyBorder="1" applyAlignment="1" applyProtection="1">
      <alignment wrapText="1"/>
    </xf>
    <xf numFmtId="0" fontId="18" fillId="0" borderId="84" xfId="9" applyFont="1" applyBorder="1" applyAlignment="1" applyProtection="1">
      <alignment wrapText="1"/>
    </xf>
    <xf numFmtId="0" fontId="10" fillId="0" borderId="97" xfId="8" applyFont="1" applyBorder="1" applyAlignment="1" applyProtection="1">
      <alignment horizontal="center" vertical="center" shrinkToFit="1"/>
    </xf>
    <xf numFmtId="0" fontId="0" fillId="0" borderId="63" xfId="0" applyBorder="1" applyAlignment="1" applyProtection="1">
      <alignment horizontal="center" vertical="center" shrinkToFit="1"/>
    </xf>
    <xf numFmtId="0" fontId="0" fillId="0" borderId="181" xfId="0" applyBorder="1" applyAlignment="1" applyProtection="1">
      <alignment horizontal="center" vertical="center" shrinkToFit="1"/>
    </xf>
    <xf numFmtId="0" fontId="0" fillId="0" borderId="101" xfId="0" applyBorder="1" applyAlignment="1" applyProtection="1">
      <alignment horizontal="center" vertical="center" shrinkToFit="1"/>
    </xf>
    <xf numFmtId="0" fontId="0" fillId="0" borderId="0" xfId="0" applyAlignment="1" applyProtection="1">
      <alignment horizontal="center" vertical="center" shrinkToFit="1"/>
    </xf>
    <xf numFmtId="0" fontId="0" fillId="0" borderId="103" xfId="0" applyBorder="1" applyAlignment="1" applyProtection="1">
      <alignment horizontal="center" vertical="center" shrinkToFit="1"/>
    </xf>
    <xf numFmtId="238" fontId="10" fillId="10" borderId="86" xfId="9" applyNumberFormat="1" applyFont="1" applyFill="1" applyBorder="1" applyAlignment="1" applyProtection="1">
      <alignment horizontal="center" vertical="center" shrinkToFit="1"/>
    </xf>
    <xf numFmtId="238" fontId="10" fillId="10" borderId="3" xfId="0" applyNumberFormat="1" applyFont="1" applyFill="1" applyBorder="1" applyAlignment="1" applyProtection="1">
      <alignment horizontal="center" vertical="center" shrinkToFit="1"/>
    </xf>
    <xf numFmtId="238" fontId="10" fillId="10" borderId="182" xfId="0" applyNumberFormat="1" applyFont="1" applyFill="1" applyBorder="1" applyAlignment="1" applyProtection="1">
      <alignment horizontal="center" vertical="center" shrinkToFit="1"/>
    </xf>
    <xf numFmtId="0" fontId="0" fillId="0" borderId="1" xfId="0" applyBorder="1" applyAlignment="1" applyProtection="1">
      <alignment horizontal="center" vertical="center" shrinkToFit="1"/>
    </xf>
    <xf numFmtId="228" fontId="53" fillId="2" borderId="1" xfId="8" applyNumberFormat="1" applyFont="1" applyFill="1" applyBorder="1" applyAlignment="1" applyProtection="1">
      <alignment horizontal="center" vertical="center" shrinkToFit="1"/>
      <protection locked="0"/>
    </xf>
    <xf numFmtId="0" fontId="0" fillId="0" borderId="1" xfId="0" applyBorder="1" applyAlignment="1" applyProtection="1">
      <alignment horizontal="center" vertical="center" shrinkToFit="1"/>
      <protection locked="0"/>
    </xf>
    <xf numFmtId="229" fontId="53" fillId="2" borderId="1" xfId="8" applyNumberFormat="1" applyFont="1" applyFill="1" applyBorder="1" applyAlignment="1" applyProtection="1">
      <alignment horizontal="center" vertical="center" shrinkToFit="1"/>
      <protection locked="0"/>
    </xf>
    <xf numFmtId="0" fontId="0" fillId="0" borderId="1" xfId="0" applyBorder="1" applyAlignment="1" applyProtection="1">
      <alignment horizontal="center"/>
      <protection locked="0"/>
    </xf>
    <xf numFmtId="0" fontId="0" fillId="0" borderId="1" xfId="0" applyBorder="1" applyAlignment="1" applyProtection="1">
      <alignment horizontal="center" shrinkToFit="1"/>
    </xf>
    <xf numFmtId="0" fontId="0" fillId="0" borderId="165" xfId="0" applyBorder="1" applyAlignment="1" applyProtection="1">
      <alignment horizontal="center" shrinkToFit="1"/>
    </xf>
    <xf numFmtId="230" fontId="53" fillId="0" borderId="1" xfId="8" applyNumberFormat="1" applyFont="1" applyBorder="1" applyAlignment="1" applyProtection="1">
      <alignment horizontal="center" vertical="center" shrinkToFit="1"/>
    </xf>
    <xf numFmtId="230" fontId="0" fillId="0" borderId="1" xfId="0" applyNumberFormat="1" applyBorder="1" applyAlignment="1" applyProtection="1">
      <alignment horizontal="center" shrinkToFit="1"/>
    </xf>
    <xf numFmtId="230" fontId="0" fillId="0" borderId="165" xfId="0" applyNumberFormat="1" applyBorder="1" applyAlignment="1" applyProtection="1">
      <alignment horizontal="center" shrinkToFit="1"/>
    </xf>
    <xf numFmtId="0" fontId="21" fillId="0" borderId="5" xfId="9" applyFont="1" applyBorder="1" applyProtection="1">
      <alignment vertical="center"/>
    </xf>
    <xf numFmtId="0" fontId="21" fillId="0" borderId="0" xfId="9" applyFont="1" applyProtection="1">
      <alignment vertical="center"/>
    </xf>
    <xf numFmtId="0" fontId="21" fillId="0" borderId="15" xfId="9" applyFont="1" applyBorder="1" applyProtection="1">
      <alignment vertical="center"/>
    </xf>
    <xf numFmtId="0" fontId="21" fillId="0" borderId="7" xfId="9" applyFont="1" applyBorder="1" applyProtection="1">
      <alignment vertical="center"/>
    </xf>
    <xf numFmtId="0" fontId="21" fillId="0" borderId="8" xfId="9" applyFont="1" applyBorder="1" applyProtection="1">
      <alignment vertical="center"/>
    </xf>
    <xf numFmtId="0" fontId="18" fillId="0" borderId="94" xfId="9" applyFont="1" applyBorder="1" applyAlignment="1" applyProtection="1">
      <alignment horizontal="center" vertical="center"/>
    </xf>
    <xf numFmtId="0" fontId="15" fillId="0" borderId="85" xfId="9" applyFont="1" applyBorder="1" applyAlignment="1" applyProtection="1">
      <alignment horizontal="center" vertical="center" textRotation="255"/>
    </xf>
    <xf numFmtId="0" fontId="10" fillId="0" borderId="87" xfId="9" applyFont="1" applyBorder="1" applyAlignment="1" applyProtection="1">
      <alignment horizontal="center" vertical="center" textRotation="255"/>
    </xf>
    <xf numFmtId="0" fontId="10" fillId="0" borderId="200" xfId="0" applyFont="1" applyBorder="1" applyAlignment="1" applyProtection="1">
      <alignment horizontal="center" vertical="center" shrinkToFit="1"/>
    </xf>
    <xf numFmtId="0" fontId="10" fillId="0" borderId="162" xfId="0" applyFont="1" applyBorder="1" applyAlignment="1" applyProtection="1">
      <alignment horizontal="center" vertical="center" shrinkToFit="1"/>
    </xf>
    <xf numFmtId="0" fontId="10" fillId="0" borderId="163" xfId="0" applyFont="1" applyBorder="1" applyAlignment="1" applyProtection="1">
      <alignment horizontal="center" vertical="center" shrinkToFit="1"/>
    </xf>
    <xf numFmtId="0" fontId="10" fillId="0" borderId="125" xfId="9" applyFont="1" applyBorder="1" applyAlignment="1" applyProtection="1">
      <alignment horizontal="center" vertical="center" textRotation="255"/>
    </xf>
    <xf numFmtId="0" fontId="10" fillId="0" borderId="127" xfId="9" applyFont="1" applyBorder="1" applyAlignment="1" applyProtection="1">
      <alignment horizontal="center" vertical="center" textRotation="255"/>
    </xf>
    <xf numFmtId="0" fontId="0" fillId="0" borderId="201" xfId="0" applyBorder="1" applyAlignment="1" applyProtection="1">
      <alignment horizontal="center" vertical="center" textRotation="255"/>
    </xf>
    <xf numFmtId="258" fontId="10" fillId="0" borderId="200" xfId="9" applyNumberFormat="1" applyFont="1" applyFill="1" applyBorder="1" applyAlignment="1" applyProtection="1">
      <alignment horizontal="center" vertical="center" shrinkToFit="1"/>
    </xf>
    <xf numFmtId="258" fontId="10" fillId="0" borderId="162" xfId="0" applyNumberFormat="1" applyFont="1" applyFill="1" applyBorder="1" applyAlignment="1" applyProtection="1">
      <alignment horizontal="center" vertical="center" shrinkToFit="1"/>
    </xf>
    <xf numFmtId="258" fontId="10" fillId="0" borderId="163" xfId="0" applyNumberFormat="1" applyFont="1" applyFill="1" applyBorder="1" applyAlignment="1" applyProtection="1">
      <alignment horizontal="center" vertical="center" shrinkToFit="1"/>
    </xf>
    <xf numFmtId="240" fontId="10" fillId="0" borderId="189" xfId="8" applyNumberFormat="1" applyFont="1" applyFill="1" applyBorder="1" applyAlignment="1" applyProtection="1">
      <alignment horizontal="center" vertical="center" shrinkToFit="1"/>
    </xf>
    <xf numFmtId="240" fontId="21" fillId="0" borderId="107" xfId="0" applyNumberFormat="1" applyFont="1" applyFill="1" applyBorder="1" applyAlignment="1" applyProtection="1">
      <alignment horizontal="center" vertical="center" shrinkToFit="1"/>
    </xf>
    <xf numFmtId="240" fontId="21" fillId="0" borderId="205" xfId="0" applyNumberFormat="1" applyFont="1" applyFill="1" applyBorder="1" applyAlignment="1" applyProtection="1">
      <alignment horizontal="center" vertical="center" shrinkToFit="1"/>
    </xf>
    <xf numFmtId="0" fontId="10" fillId="0" borderId="189" xfId="9" applyFont="1" applyBorder="1" applyAlignment="1" applyProtection="1">
      <alignment horizontal="center" vertical="center" shrinkToFit="1"/>
    </xf>
    <xf numFmtId="0" fontId="21" fillId="0" borderId="107" xfId="0" applyFont="1" applyBorder="1" applyAlignment="1" applyProtection="1">
      <alignment horizontal="center" vertical="center" shrinkToFit="1"/>
    </xf>
    <xf numFmtId="0" fontId="21" fillId="0" borderId="190" xfId="0" applyFont="1" applyBorder="1" applyAlignment="1" applyProtection="1">
      <alignment horizontal="center" vertical="center" shrinkToFit="1"/>
    </xf>
    <xf numFmtId="193" fontId="10" fillId="0" borderId="189" xfId="8" applyNumberFormat="1" applyFont="1" applyFill="1" applyBorder="1" applyAlignment="1" applyProtection="1">
      <alignment horizontal="center" vertical="center" shrinkToFit="1"/>
    </xf>
    <xf numFmtId="0" fontId="21" fillId="0" borderId="107" xfId="0" applyFont="1" applyFill="1" applyBorder="1" applyAlignment="1" applyProtection="1">
      <alignment horizontal="center" vertical="center" shrinkToFit="1"/>
    </xf>
    <xf numFmtId="0" fontId="21" fillId="0" borderId="190" xfId="0" applyFont="1" applyFill="1" applyBorder="1" applyAlignment="1" applyProtection="1">
      <alignment horizontal="center" vertical="center" shrinkToFit="1"/>
    </xf>
    <xf numFmtId="252" fontId="10" fillId="0" borderId="192" xfId="8" applyNumberFormat="1" applyFont="1" applyBorder="1" applyAlignment="1" applyProtection="1">
      <alignment horizontal="center" vertical="center"/>
    </xf>
    <xf numFmtId="0" fontId="21" fillId="0" borderId="95" xfId="9" applyFont="1" applyBorder="1" applyAlignment="1" applyProtection="1">
      <alignment horizontal="center" vertical="center"/>
    </xf>
    <xf numFmtId="0" fontId="21" fillId="0" borderId="148" xfId="0" applyFont="1" applyBorder="1" applyAlignment="1" applyProtection="1"/>
    <xf numFmtId="0" fontId="21" fillId="0" borderId="148" xfId="0" applyFont="1" applyBorder="1" applyAlignment="1" applyProtection="1">
      <alignment horizontal="center" vertical="center"/>
    </xf>
    <xf numFmtId="0" fontId="47" fillId="0" borderId="0" xfId="8" applyFont="1" applyAlignment="1" applyProtection="1">
      <alignment horizontal="center" vertical="center"/>
    </xf>
    <xf numFmtId="0" fontId="0" fillId="0" borderId="0" xfId="0" applyAlignment="1" applyProtection="1">
      <alignment horizontal="center" vertical="center"/>
    </xf>
    <xf numFmtId="0" fontId="47" fillId="0" borderId="0" xfId="8" applyFont="1" applyAlignment="1" applyProtection="1">
      <alignment vertical="center" shrinkToFit="1"/>
    </xf>
    <xf numFmtId="0" fontId="0" fillId="0" borderId="0" xfId="0" applyAlignment="1" applyProtection="1">
      <alignment vertical="center" shrinkToFit="1"/>
    </xf>
    <xf numFmtId="256" fontId="10" fillId="0" borderId="1" xfId="8" applyNumberFormat="1" applyFont="1" applyBorder="1" applyAlignment="1" applyProtection="1">
      <alignment horizontal="right" vertical="center" shrinkToFit="1"/>
    </xf>
    <xf numFmtId="256" fontId="21" fillId="0" borderId="1" xfId="9" applyNumberFormat="1" applyFont="1" applyBorder="1" applyAlignment="1" applyProtection="1">
      <alignment vertical="center" shrinkToFit="1"/>
    </xf>
    <xf numFmtId="215" fontId="10" fillId="0" borderId="1" xfId="8" applyNumberFormat="1" applyFont="1" applyBorder="1" applyAlignment="1" applyProtection="1">
      <alignment horizontal="right" vertical="center" shrinkToFit="1"/>
    </xf>
    <xf numFmtId="0" fontId="21" fillId="0" borderId="1" xfId="9" applyFont="1" applyBorder="1" applyAlignment="1" applyProtection="1">
      <alignment horizontal="right" vertical="center" shrinkToFit="1"/>
    </xf>
    <xf numFmtId="0" fontId="21" fillId="0" borderId="2" xfId="9" applyFont="1" applyBorder="1" applyAlignment="1" applyProtection="1">
      <alignment horizontal="right" vertical="center" shrinkToFit="1"/>
    </xf>
    <xf numFmtId="0" fontId="10" fillId="0" borderId="100" xfId="9" applyFont="1" applyBorder="1" applyAlignment="1" applyProtection="1">
      <alignment horizontal="center" vertical="center"/>
    </xf>
    <xf numFmtId="0" fontId="10" fillId="0" borderId="1" xfId="9" applyFont="1" applyBorder="1" applyAlignment="1" applyProtection="1">
      <alignment horizontal="center" vertical="center"/>
    </xf>
    <xf numFmtId="0" fontId="21" fillId="0" borderId="1" xfId="9" applyFont="1" applyBorder="1" applyAlignment="1" applyProtection="1">
      <alignment horizontal="center" vertical="center"/>
    </xf>
    <xf numFmtId="0" fontId="10" fillId="0" borderId="92" xfId="8" applyFont="1" applyBorder="1" applyAlignment="1" applyProtection="1">
      <alignment horizontal="center" vertical="center"/>
    </xf>
    <xf numFmtId="0" fontId="21" fillId="0" borderId="93" xfId="0" applyFont="1" applyBorder="1" applyAlignment="1" applyProtection="1">
      <alignment horizontal="center" vertical="center"/>
    </xf>
    <xf numFmtId="0" fontId="0" fillId="0" borderId="93" xfId="0" applyBorder="1" applyAlignment="1" applyProtection="1">
      <alignment horizontal="center" vertical="center"/>
    </xf>
    <xf numFmtId="236" fontId="10" fillId="2" borderId="1" xfId="8" applyNumberFormat="1" applyFont="1" applyFill="1" applyBorder="1" applyAlignment="1" applyProtection="1">
      <alignment horizontal="center" vertical="center" shrinkToFit="1"/>
      <protection locked="0"/>
    </xf>
    <xf numFmtId="0" fontId="10" fillId="0" borderId="105" xfId="8" applyFont="1" applyBorder="1" applyAlignment="1" applyProtection="1">
      <alignment horizontal="center" vertical="center"/>
    </xf>
    <xf numFmtId="0" fontId="0" fillId="0" borderId="105" xfId="0" applyBorder="1" applyAlignment="1" applyProtection="1">
      <alignment horizontal="center" vertical="center"/>
    </xf>
    <xf numFmtId="0" fontId="10" fillId="0" borderId="104" xfId="9" applyFont="1" applyBorder="1" applyAlignment="1" applyProtection="1">
      <alignment horizontal="center" vertical="center"/>
    </xf>
    <xf numFmtId="0" fontId="10" fillId="0" borderId="105" xfId="9" applyFont="1" applyBorder="1" applyAlignment="1" applyProtection="1">
      <alignment horizontal="center" vertical="center"/>
    </xf>
    <xf numFmtId="0" fontId="21" fillId="0" borderId="105" xfId="9" applyFont="1" applyBorder="1" applyAlignment="1" applyProtection="1">
      <alignment horizontal="center" vertical="center"/>
    </xf>
    <xf numFmtId="0" fontId="10" fillId="0" borderId="100" xfId="8" applyFont="1" applyBorder="1" applyAlignment="1" applyProtection="1">
      <alignment horizontal="center" vertical="center" wrapText="1" shrinkToFit="1"/>
    </xf>
    <xf numFmtId="0" fontId="21" fillId="0" borderId="1" xfId="9" applyFont="1" applyBorder="1" applyAlignment="1" applyProtection="1">
      <alignment horizontal="center" vertical="center" shrinkToFit="1"/>
    </xf>
    <xf numFmtId="0" fontId="21" fillId="0" borderId="100" xfId="9" applyFont="1" applyBorder="1" applyAlignment="1" applyProtection="1">
      <alignment horizontal="center" vertical="center" shrinkToFit="1"/>
    </xf>
    <xf numFmtId="252" fontId="10" fillId="0" borderId="93" xfId="9" applyNumberFormat="1" applyFont="1" applyBorder="1" applyAlignment="1" applyProtection="1">
      <alignment horizontal="center" vertical="center"/>
    </xf>
    <xf numFmtId="184" fontId="10" fillId="0" borderId="1" xfId="8" applyNumberFormat="1" applyFont="1" applyFill="1" applyBorder="1" applyAlignment="1" applyProtection="1">
      <alignment horizontal="center" vertical="center"/>
    </xf>
    <xf numFmtId="0" fontId="0" fillId="0" borderId="1" xfId="0" applyFill="1" applyBorder="1" applyAlignment="1" applyProtection="1">
      <alignment horizontal="center" vertical="center"/>
    </xf>
    <xf numFmtId="185" fontId="10" fillId="0" borderId="1" xfId="8" applyNumberFormat="1" applyFont="1" applyFill="1" applyBorder="1" applyAlignment="1" applyProtection="1">
      <alignment horizontal="center" vertical="center"/>
    </xf>
    <xf numFmtId="0" fontId="10" fillId="0" borderId="1" xfId="8" applyFont="1" applyBorder="1" applyAlignment="1" applyProtection="1">
      <alignment horizontal="center" vertical="center"/>
    </xf>
    <xf numFmtId="218" fontId="10" fillId="0" borderId="1" xfId="8" applyNumberFormat="1" applyFont="1" applyBorder="1" applyAlignment="1" applyProtection="1">
      <alignment horizontal="center" vertical="center"/>
    </xf>
    <xf numFmtId="211" fontId="10" fillId="2" borderId="1" xfId="8" applyNumberFormat="1"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235" fontId="10" fillId="0" borderId="1" xfId="8" applyNumberFormat="1" applyFont="1" applyBorder="1" applyAlignment="1" applyProtection="1">
      <alignment horizontal="center" vertical="center" shrinkToFit="1"/>
    </xf>
    <xf numFmtId="238" fontId="10" fillId="0" borderId="1" xfId="8" applyNumberFormat="1" applyFont="1" applyFill="1" applyBorder="1" applyAlignment="1" applyProtection="1">
      <alignment horizontal="right" vertical="center" shrinkToFit="1"/>
    </xf>
    <xf numFmtId="238" fontId="10" fillId="0" borderId="1" xfId="0" applyNumberFormat="1" applyFont="1" applyFill="1" applyBorder="1" applyAlignment="1" applyProtection="1">
      <alignment horizontal="right" vertical="center" shrinkToFit="1"/>
    </xf>
    <xf numFmtId="0" fontId="10" fillId="0" borderId="1" xfId="0" applyFont="1" applyFill="1" applyBorder="1" applyAlignment="1" applyProtection="1">
      <alignment horizontal="right" vertical="center" shrinkToFit="1"/>
    </xf>
    <xf numFmtId="193" fontId="10" fillId="0" borderId="105" xfId="8" applyNumberFormat="1" applyFont="1" applyFill="1" applyBorder="1" applyAlignment="1" applyProtection="1">
      <alignment horizontal="right" vertical="center" shrinkToFit="1"/>
    </xf>
    <xf numFmtId="0" fontId="10" fillId="0" borderId="105" xfId="0" applyFont="1" applyFill="1" applyBorder="1" applyAlignment="1" applyProtection="1">
      <alignment horizontal="right" vertical="center" shrinkToFit="1"/>
    </xf>
    <xf numFmtId="240" fontId="10" fillId="0" borderId="1" xfId="8" applyNumberFormat="1" applyFont="1" applyFill="1" applyBorder="1" applyAlignment="1" applyProtection="1">
      <alignment horizontal="center" vertical="center" shrinkToFit="1"/>
    </xf>
    <xf numFmtId="240" fontId="10" fillId="0" borderId="1" xfId="0" applyNumberFormat="1" applyFont="1" applyFill="1" applyBorder="1" applyAlignment="1" applyProtection="1">
      <alignment horizontal="center" vertical="center" shrinkToFit="1"/>
    </xf>
    <xf numFmtId="240" fontId="10" fillId="0" borderId="114" xfId="0" applyNumberFormat="1" applyFont="1" applyFill="1" applyBorder="1" applyAlignment="1" applyProtection="1">
      <alignment horizontal="center" vertical="center" shrinkToFit="1"/>
    </xf>
    <xf numFmtId="240" fontId="10" fillId="0" borderId="1" xfId="8" applyNumberFormat="1" applyFont="1" applyFill="1" applyBorder="1" applyAlignment="1" applyProtection="1">
      <alignment horizontal="right" vertical="center" shrinkToFit="1"/>
    </xf>
    <xf numFmtId="240" fontId="10" fillId="0" borderId="1" xfId="0" applyNumberFormat="1" applyFont="1" applyFill="1" applyBorder="1" applyAlignment="1" applyProtection="1">
      <alignment horizontal="right" vertical="center" shrinkToFit="1"/>
    </xf>
    <xf numFmtId="240" fontId="10" fillId="0" borderId="114" xfId="0" applyNumberFormat="1" applyFont="1" applyFill="1" applyBorder="1" applyAlignment="1" applyProtection="1">
      <alignment horizontal="right" vertical="center" shrinkToFit="1"/>
    </xf>
    <xf numFmtId="240" fontId="10" fillId="0" borderId="105" xfId="8" applyNumberFormat="1" applyFont="1" applyFill="1" applyBorder="1" applyAlignment="1" applyProtection="1">
      <alignment horizontal="right" vertical="center" shrinkToFit="1"/>
    </xf>
    <xf numFmtId="240" fontId="10" fillId="0" borderId="105" xfId="0" applyNumberFormat="1" applyFont="1" applyFill="1" applyBorder="1" applyAlignment="1" applyProtection="1">
      <alignment horizontal="right" vertical="center" shrinkToFit="1"/>
    </xf>
    <xf numFmtId="240" fontId="10" fillId="0" borderId="132" xfId="0" applyNumberFormat="1" applyFont="1" applyFill="1" applyBorder="1" applyAlignment="1" applyProtection="1">
      <alignment horizontal="right" vertical="center" shrinkToFit="1"/>
    </xf>
    <xf numFmtId="0" fontId="10" fillId="0" borderId="144" xfId="0" applyFont="1" applyFill="1" applyBorder="1" applyAlignment="1" applyProtection="1">
      <alignment horizontal="center" vertical="center" shrinkToFit="1"/>
    </xf>
    <xf numFmtId="0" fontId="0" fillId="0" borderId="143" xfId="0" applyBorder="1" applyAlignment="1" applyProtection="1">
      <alignment horizontal="center" vertical="center" shrinkToFit="1"/>
    </xf>
    <xf numFmtId="0" fontId="0" fillId="0" borderId="64" xfId="0" applyBorder="1" applyAlignment="1" applyProtection="1">
      <alignment horizontal="center" vertical="center" shrinkToFit="1"/>
    </xf>
    <xf numFmtId="238" fontId="10" fillId="0" borderId="31" xfId="9" applyNumberFormat="1" applyFont="1" applyFill="1" applyBorder="1" applyAlignment="1" applyProtection="1">
      <alignment horizontal="center" vertical="center" shrinkToFit="1"/>
    </xf>
    <xf numFmtId="238" fontId="10" fillId="0" borderId="5" xfId="0" applyNumberFormat="1" applyFont="1" applyFill="1" applyBorder="1" applyAlignment="1" applyProtection="1">
      <alignment horizontal="center" vertical="center" shrinkToFit="1"/>
    </xf>
    <xf numFmtId="238" fontId="10" fillId="0" borderId="112" xfId="0" applyNumberFormat="1" applyFont="1" applyFill="1" applyBorder="1" applyAlignment="1" applyProtection="1">
      <alignment horizontal="center" vertical="center" shrinkToFit="1"/>
    </xf>
    <xf numFmtId="252" fontId="47" fillId="0" borderId="1" xfId="8" applyNumberFormat="1" applyFont="1" applyBorder="1" applyAlignment="1" applyProtection="1">
      <alignment horizontal="center" vertical="center"/>
    </xf>
    <xf numFmtId="252" fontId="0" fillId="0" borderId="1" xfId="0" applyNumberFormat="1" applyBorder="1" applyAlignment="1" applyProtection="1">
      <alignment horizontal="center" vertical="center"/>
    </xf>
    <xf numFmtId="252" fontId="0" fillId="0" borderId="1" xfId="0" applyNumberFormat="1" applyBorder="1" applyAlignment="1" applyProtection="1">
      <alignment horizontal="center"/>
    </xf>
    <xf numFmtId="260" fontId="47" fillId="2" borderId="1" xfId="8" applyNumberFormat="1" applyFont="1" applyFill="1" applyBorder="1" applyAlignment="1" applyProtection="1">
      <alignment horizontal="center" vertical="center" shrinkToFit="1"/>
      <protection locked="0"/>
    </xf>
    <xf numFmtId="260" fontId="0" fillId="2" borderId="2" xfId="0" applyNumberFormat="1" applyFill="1" applyBorder="1" applyAlignment="1" applyProtection="1">
      <alignment horizontal="center" vertical="center" shrinkToFit="1"/>
      <protection locked="0"/>
    </xf>
    <xf numFmtId="260" fontId="0" fillId="2" borderId="1" xfId="0" applyNumberFormat="1" applyFill="1" applyBorder="1" applyAlignment="1" applyProtection="1">
      <alignment horizontal="center" vertical="center" shrinkToFit="1"/>
      <protection locked="0"/>
    </xf>
    <xf numFmtId="0" fontId="10" fillId="0" borderId="62" xfId="8" applyFont="1" applyBorder="1" applyAlignment="1" applyProtection="1">
      <alignment horizontal="center" vertical="center" shrinkToFit="1"/>
    </xf>
    <xf numFmtId="0" fontId="21" fillId="0" borderId="63" xfId="0" applyFont="1" applyBorder="1" applyAlignment="1" applyProtection="1">
      <alignment horizontal="center" vertical="center" shrinkToFit="1"/>
    </xf>
    <xf numFmtId="0" fontId="21" fillId="0" borderId="64" xfId="0" applyFont="1" applyBorder="1" applyAlignment="1" applyProtection="1">
      <alignment horizontal="center" vertical="center" shrinkToFit="1"/>
    </xf>
    <xf numFmtId="0" fontId="21" fillId="0" borderId="32" xfId="0" applyFont="1" applyBorder="1" applyAlignment="1" applyProtection="1">
      <alignment horizontal="center" vertical="center" shrinkToFit="1"/>
    </xf>
    <xf numFmtId="0" fontId="21" fillId="0" borderId="0" xfId="0" applyFont="1" applyBorder="1" applyAlignment="1" applyProtection="1">
      <alignment horizontal="center" vertical="center" shrinkToFit="1"/>
    </xf>
    <xf numFmtId="0" fontId="21" fillId="0" borderId="65" xfId="0" applyFont="1" applyBorder="1" applyAlignment="1" applyProtection="1">
      <alignment horizontal="center" vertical="center" shrinkToFit="1"/>
    </xf>
    <xf numFmtId="238" fontId="10" fillId="0" borderId="151" xfId="0" applyNumberFormat="1" applyFont="1" applyFill="1" applyBorder="1" applyAlignment="1" applyProtection="1">
      <alignment horizontal="center" vertical="center" shrinkToFit="1"/>
    </xf>
    <xf numFmtId="240" fontId="10" fillId="0" borderId="149" xfId="8" applyNumberFormat="1" applyFont="1" applyFill="1" applyBorder="1" applyAlignment="1" applyProtection="1">
      <alignment horizontal="center" vertical="center" shrinkToFit="1"/>
    </xf>
    <xf numFmtId="240" fontId="21" fillId="0" borderId="70" xfId="0" applyNumberFormat="1" applyFont="1" applyFill="1" applyBorder="1" applyAlignment="1" applyProtection="1">
      <alignment horizontal="center" vertical="center" shrinkToFit="1"/>
    </xf>
    <xf numFmtId="240" fontId="21" fillId="0" borderId="150" xfId="0" applyNumberFormat="1" applyFont="1" applyFill="1" applyBorder="1" applyAlignment="1" applyProtection="1">
      <alignment horizontal="center" vertical="center" shrinkToFit="1"/>
    </xf>
    <xf numFmtId="0" fontId="10" fillId="0" borderId="100" xfId="0" applyFont="1" applyBorder="1" applyAlignment="1" applyProtection="1">
      <alignment horizontal="distributed" vertical="center" shrinkToFit="1"/>
    </xf>
    <xf numFmtId="0" fontId="10" fillId="0" borderId="1" xfId="0" applyFont="1" applyBorder="1" applyAlignment="1" applyProtection="1">
      <alignment horizontal="distributed" shrinkToFit="1"/>
    </xf>
    <xf numFmtId="0" fontId="10" fillId="0" borderId="192" xfId="0" applyFont="1" applyBorder="1" applyAlignment="1" applyProtection="1">
      <alignment horizontal="center" vertical="center" shrinkToFit="1"/>
    </xf>
    <xf numFmtId="0" fontId="0" fillId="0" borderId="95" xfId="0" applyBorder="1" applyAlignment="1" applyProtection="1">
      <alignment horizontal="center" shrinkToFit="1"/>
    </xf>
    <xf numFmtId="0" fontId="0" fillId="0" borderId="96" xfId="0" applyBorder="1" applyAlignment="1" applyProtection="1">
      <alignment horizontal="center" shrinkToFit="1"/>
    </xf>
    <xf numFmtId="0" fontId="10" fillId="0" borderId="104" xfId="8" applyFont="1" applyBorder="1" applyAlignment="1" applyProtection="1">
      <alignment horizontal="distributed" shrinkToFit="1"/>
    </xf>
    <xf numFmtId="0" fontId="10" fillId="0" borderId="105" xfId="0" applyFont="1" applyBorder="1" applyAlignment="1" applyProtection="1">
      <alignment horizontal="distributed" shrinkToFit="1"/>
    </xf>
    <xf numFmtId="0" fontId="21" fillId="0" borderId="0" xfId="0" applyFont="1" applyAlignment="1" applyProtection="1">
      <alignment horizontal="center" vertical="center" shrinkToFit="1"/>
    </xf>
    <xf numFmtId="0" fontId="21" fillId="0" borderId="191" xfId="0" applyFont="1" applyBorder="1" applyAlignment="1" applyProtection="1">
      <alignment horizontal="center" vertical="center" shrinkToFit="1"/>
    </xf>
    <xf numFmtId="0" fontId="21" fillId="0" borderId="116" xfId="0" applyFont="1" applyBorder="1" applyAlignment="1" applyProtection="1">
      <alignment horizontal="center" vertical="center" shrinkToFit="1"/>
    </xf>
    <xf numFmtId="0" fontId="21" fillId="0" borderId="117" xfId="0" applyFont="1" applyBorder="1" applyAlignment="1" applyProtection="1">
      <alignment horizontal="center" vertical="center" shrinkToFit="1"/>
    </xf>
    <xf numFmtId="0" fontId="10" fillId="0" borderId="121" xfId="9" applyFont="1" applyBorder="1" applyAlignment="1" applyProtection="1">
      <alignment horizontal="center" vertical="center"/>
    </xf>
    <xf numFmtId="0" fontId="21" fillId="0" borderId="130" xfId="0" applyFont="1" applyBorder="1" applyAlignment="1" applyProtection="1">
      <alignment horizontal="center" vertical="center"/>
    </xf>
    <xf numFmtId="0" fontId="10" fillId="0" borderId="149" xfId="9" applyFont="1" applyBorder="1" applyAlignment="1" applyProtection="1">
      <alignment horizontal="center" vertical="center" shrinkToFit="1"/>
    </xf>
    <xf numFmtId="0" fontId="21" fillId="0" borderId="70" xfId="0" applyFont="1" applyBorder="1" applyAlignment="1" applyProtection="1">
      <alignment horizontal="center" vertical="center" shrinkToFit="1"/>
    </xf>
    <xf numFmtId="0" fontId="21" fillId="0" borderId="150" xfId="0" applyFont="1" applyBorder="1" applyAlignment="1" applyProtection="1">
      <alignment horizontal="center" vertical="center" shrinkToFit="1"/>
    </xf>
    <xf numFmtId="193" fontId="10" fillId="0" borderId="149" xfId="8" applyNumberFormat="1" applyFont="1" applyFill="1" applyBorder="1" applyAlignment="1" applyProtection="1">
      <alignment horizontal="center" vertical="center" shrinkToFit="1"/>
    </xf>
    <xf numFmtId="0" fontId="21" fillId="0" borderId="70" xfId="0" applyFont="1" applyFill="1" applyBorder="1" applyAlignment="1" applyProtection="1">
      <alignment horizontal="center" vertical="center" shrinkToFit="1"/>
    </xf>
    <xf numFmtId="0" fontId="21" fillId="0" borderId="150" xfId="0" applyFont="1" applyFill="1" applyBorder="1" applyAlignment="1" applyProtection="1">
      <alignment horizontal="center" vertical="center" shrinkToFit="1"/>
    </xf>
    <xf numFmtId="0" fontId="21" fillId="0" borderId="93" xfId="9" applyFont="1" applyBorder="1" applyAlignment="1" applyProtection="1">
      <alignment horizontal="center" vertical="center"/>
    </xf>
    <xf numFmtId="0" fontId="10" fillId="0" borderId="100" xfId="8" applyFont="1" applyBorder="1" applyAlignment="1" applyProtection="1">
      <alignment horizontal="center" vertical="center"/>
    </xf>
    <xf numFmtId="0" fontId="21" fillId="0" borderId="100" xfId="9" applyFont="1" applyBorder="1" applyAlignment="1" applyProtection="1">
      <alignment horizontal="center" vertical="center"/>
    </xf>
    <xf numFmtId="0" fontId="21" fillId="0" borderId="104" xfId="9" applyFont="1" applyBorder="1" applyAlignment="1" applyProtection="1">
      <alignment horizontal="center" vertical="center"/>
    </xf>
    <xf numFmtId="0" fontId="10" fillId="2" borderId="94" xfId="8" applyFont="1" applyFill="1" applyBorder="1" applyAlignment="1" applyProtection="1">
      <alignment horizontal="center" shrinkToFit="1"/>
    </xf>
    <xf numFmtId="0" fontId="21" fillId="2" borderId="95" xfId="9" applyFont="1" applyFill="1" applyBorder="1" applyAlignment="1" applyProtection="1">
      <alignment horizontal="center" shrinkToFit="1"/>
    </xf>
    <xf numFmtId="0" fontId="21" fillId="2" borderId="96" xfId="9" applyFont="1" applyFill="1" applyBorder="1" applyAlignment="1" applyProtection="1">
      <alignment horizontal="center" shrinkToFit="1"/>
    </xf>
    <xf numFmtId="0" fontId="10" fillId="2" borderId="94" xfId="8" applyFont="1" applyFill="1" applyBorder="1" applyAlignment="1" applyProtection="1">
      <alignment horizontal="center" shrinkToFit="1"/>
      <protection locked="0"/>
    </xf>
    <xf numFmtId="0" fontId="21" fillId="2" borderId="95" xfId="9" applyFont="1" applyFill="1" applyBorder="1" applyAlignment="1" applyProtection="1">
      <alignment horizontal="center" shrinkToFit="1"/>
      <protection locked="0"/>
    </xf>
    <xf numFmtId="0" fontId="21" fillId="2" borderId="96" xfId="9" applyFont="1" applyFill="1" applyBorder="1" applyAlignment="1" applyProtection="1">
      <alignment horizontal="center" shrinkToFit="1"/>
      <protection locked="0"/>
    </xf>
    <xf numFmtId="0" fontId="10" fillId="0" borderId="100" xfId="8" applyFont="1" applyFill="1" applyBorder="1" applyAlignment="1" applyProtection="1">
      <alignment horizontal="center" vertical="center" shrinkToFit="1"/>
    </xf>
    <xf numFmtId="0" fontId="21" fillId="0" borderId="1" xfId="9" applyFont="1" applyFill="1" applyBorder="1" applyAlignment="1" applyProtection="1">
      <alignment horizontal="center" vertical="center" shrinkToFit="1"/>
    </xf>
    <xf numFmtId="0" fontId="21" fillId="0" borderId="100" xfId="9" applyFont="1" applyFill="1" applyBorder="1" applyAlignment="1" applyProtection="1">
      <alignment horizontal="center" vertical="center" shrinkToFit="1"/>
    </xf>
    <xf numFmtId="0" fontId="10" fillId="0" borderId="1" xfId="9" applyFont="1" applyFill="1" applyBorder="1" applyAlignment="1" applyProtection="1">
      <alignment horizontal="distributed" vertical="center" shrinkToFit="1"/>
    </xf>
    <xf numFmtId="0" fontId="21" fillId="0" borderId="1" xfId="9" applyFont="1" applyFill="1" applyBorder="1" applyAlignment="1" applyProtection="1">
      <alignment horizontal="distributed" vertical="center"/>
    </xf>
    <xf numFmtId="0" fontId="10" fillId="0" borderId="1" xfId="9" applyFont="1" applyFill="1" applyBorder="1" applyAlignment="1" applyProtection="1">
      <alignment horizontal="distributed" vertical="center"/>
    </xf>
    <xf numFmtId="0" fontId="10" fillId="2" borderId="106" xfId="8" applyFont="1" applyFill="1" applyBorder="1" applyAlignment="1" applyProtection="1">
      <alignment horizontal="center" shrinkToFit="1"/>
      <protection locked="0"/>
    </xf>
    <xf numFmtId="0" fontId="21" fillId="2" borderId="107" xfId="9" applyFont="1" applyFill="1" applyBorder="1" applyAlignment="1" applyProtection="1">
      <alignment horizontal="center" shrinkToFit="1"/>
      <protection locked="0"/>
    </xf>
    <xf numFmtId="0" fontId="21" fillId="2" borderId="108" xfId="9" applyFont="1" applyFill="1" applyBorder="1" applyAlignment="1" applyProtection="1">
      <alignment horizontal="center" shrinkToFit="1"/>
      <protection locked="0"/>
    </xf>
    <xf numFmtId="0" fontId="10" fillId="0" borderId="105" xfId="8" applyFont="1" applyFill="1" applyBorder="1" applyAlignment="1" applyProtection="1">
      <alignment horizontal="center" vertical="center" shrinkToFit="1"/>
    </xf>
    <xf numFmtId="0" fontId="21" fillId="0" borderId="105" xfId="0" applyFont="1" applyFill="1" applyBorder="1" applyAlignment="1" applyProtection="1">
      <alignment horizontal="center" vertical="center" shrinkToFit="1"/>
    </xf>
    <xf numFmtId="0" fontId="10" fillId="0" borderId="2" xfId="9" applyFont="1" applyBorder="1" applyAlignment="1" applyProtection="1">
      <alignment horizontal="left" vertical="center" wrapText="1" shrinkToFit="1"/>
    </xf>
    <xf numFmtId="0" fontId="10" fillId="0" borderId="2" xfId="8" applyFont="1" applyBorder="1" applyAlignment="1" applyProtection="1">
      <alignment horizontal="left" vertical="center" wrapText="1" shrinkToFit="1"/>
    </xf>
    <xf numFmtId="0" fontId="62" fillId="0" borderId="166" xfId="9" applyFont="1" applyBorder="1" applyAlignment="1" applyProtection="1">
      <alignment horizontal="center" vertical="center" wrapText="1"/>
    </xf>
    <xf numFmtId="0" fontId="18" fillId="0" borderId="2" xfId="9" applyFont="1" applyBorder="1" applyAlignment="1" applyProtection="1">
      <alignment horizontal="center" vertical="center"/>
    </xf>
    <xf numFmtId="0" fontId="18" fillId="0" borderId="3" xfId="9" applyFont="1" applyBorder="1" applyAlignment="1" applyProtection="1">
      <alignment horizontal="center" vertical="center"/>
    </xf>
    <xf numFmtId="0" fontId="18" fillId="0" borderId="4" xfId="9" applyFont="1" applyBorder="1" applyAlignment="1" applyProtection="1">
      <alignment horizontal="center" vertical="center"/>
    </xf>
    <xf numFmtId="0" fontId="15" fillId="0" borderId="2" xfId="8" applyFont="1" applyBorder="1" applyAlignment="1" applyProtection="1">
      <alignment horizontal="left" vertical="center" wrapText="1"/>
    </xf>
    <xf numFmtId="0" fontId="18" fillId="0" borderId="3" xfId="9" applyFont="1" applyBorder="1" applyAlignment="1" applyProtection="1">
      <alignment horizontal="left" vertical="center" wrapText="1"/>
    </xf>
    <xf numFmtId="0" fontId="18" fillId="0" borderId="4" xfId="9" applyFont="1" applyBorder="1" applyAlignment="1" applyProtection="1">
      <alignment horizontal="left" vertical="center" wrapText="1"/>
    </xf>
    <xf numFmtId="0" fontId="18" fillId="0" borderId="2" xfId="9" applyFont="1" applyBorder="1" applyAlignment="1" applyProtection="1">
      <alignment horizontal="left" vertical="center" wrapText="1"/>
    </xf>
    <xf numFmtId="0" fontId="43" fillId="0" borderId="63" xfId="8" applyFont="1" applyBorder="1" applyAlignment="1" applyProtection="1">
      <alignment horizontal="right"/>
    </xf>
    <xf numFmtId="0" fontId="49" fillId="0" borderId="63" xfId="9" applyFont="1" applyBorder="1" applyAlignment="1" applyProtection="1">
      <alignment horizontal="right"/>
    </xf>
    <xf numFmtId="0" fontId="49" fillId="0" borderId="0" xfId="9" applyFont="1" applyBorder="1" applyAlignment="1" applyProtection="1">
      <alignment horizontal="right"/>
    </xf>
    <xf numFmtId="0" fontId="4" fillId="0" borderId="0" xfId="9" applyAlignment="1" applyProtection="1">
      <alignment vertical="center" wrapText="1"/>
    </xf>
    <xf numFmtId="0" fontId="41" fillId="0" borderId="1" xfId="8" applyFont="1" applyBorder="1" applyAlignment="1" applyProtection="1">
      <alignment horizontal="left" vertical="center"/>
    </xf>
    <xf numFmtId="0" fontId="4" fillId="0" borderId="1" xfId="9" applyBorder="1" applyProtection="1">
      <alignment vertical="center"/>
    </xf>
    <xf numFmtId="237" fontId="10" fillId="0" borderId="1" xfId="8" applyNumberFormat="1" applyFont="1" applyFill="1" applyBorder="1" applyAlignment="1" applyProtection="1">
      <alignment horizontal="center" vertical="center" shrinkToFit="1"/>
    </xf>
    <xf numFmtId="237" fontId="21" fillId="0" borderId="1" xfId="9" applyNumberFormat="1" applyFont="1" applyFill="1" applyBorder="1" applyAlignment="1" applyProtection="1">
      <alignment horizontal="center" vertical="center" shrinkToFit="1"/>
    </xf>
    <xf numFmtId="210" fontId="10" fillId="0" borderId="1" xfId="8" applyNumberFormat="1" applyFont="1" applyFill="1" applyBorder="1" applyAlignment="1" applyProtection="1">
      <alignment horizontal="center" vertical="center" shrinkToFit="1"/>
    </xf>
    <xf numFmtId="210" fontId="21" fillId="0" borderId="1" xfId="9" applyNumberFormat="1" applyFont="1" applyFill="1" applyBorder="1" applyAlignment="1" applyProtection="1">
      <alignment horizontal="center" vertical="center" shrinkToFit="1"/>
    </xf>
    <xf numFmtId="0" fontId="10" fillId="0" borderId="1" xfId="8" applyFont="1" applyBorder="1" applyAlignment="1" applyProtection="1">
      <alignment horizontal="center" vertical="center" wrapText="1"/>
    </xf>
    <xf numFmtId="0" fontId="21" fillId="0" borderId="1" xfId="0" applyFont="1" applyBorder="1" applyAlignment="1" applyProtection="1">
      <alignment horizontal="center" vertical="center"/>
    </xf>
    <xf numFmtId="0" fontId="21" fillId="0" borderId="105" xfId="0" applyFont="1" applyBorder="1" applyAlignment="1" applyProtection="1">
      <alignment horizontal="center" vertical="center"/>
    </xf>
    <xf numFmtId="0" fontId="10" fillId="0" borderId="1" xfId="9" applyFont="1" applyBorder="1" applyAlignment="1" applyProtection="1">
      <alignment horizontal="center" vertical="center" wrapText="1"/>
    </xf>
    <xf numFmtId="0" fontId="10" fillId="0" borderId="114" xfId="9" applyFont="1" applyBorder="1" applyAlignment="1" applyProtection="1">
      <alignment horizontal="center" vertical="center" wrapText="1"/>
    </xf>
    <xf numFmtId="0" fontId="21" fillId="0" borderId="1" xfId="0" applyFont="1" applyBorder="1" applyAlignment="1" applyProtection="1">
      <alignment horizontal="center" vertical="center" wrapText="1"/>
    </xf>
    <xf numFmtId="0" fontId="21" fillId="0" borderId="114" xfId="0" applyFont="1" applyBorder="1" applyAlignment="1" applyProtection="1">
      <alignment horizontal="center" vertical="center" wrapText="1"/>
    </xf>
    <xf numFmtId="0" fontId="21" fillId="0" borderId="105" xfId="0" applyFont="1" applyBorder="1" applyAlignment="1" applyProtection="1">
      <alignment horizontal="center" vertical="center" wrapText="1"/>
    </xf>
    <xf numFmtId="0" fontId="21" fillId="0" borderId="132" xfId="0" applyFont="1" applyBorder="1" applyAlignment="1" applyProtection="1">
      <alignment horizontal="center" vertical="center" wrapText="1"/>
    </xf>
    <xf numFmtId="0" fontId="10" fillId="0" borderId="1" xfId="9" applyFont="1" applyFill="1" applyBorder="1" applyAlignment="1" applyProtection="1">
      <alignment horizontal="left" vertical="center"/>
    </xf>
    <xf numFmtId="0" fontId="10" fillId="0" borderId="114" xfId="9" applyFont="1" applyFill="1" applyBorder="1" applyAlignment="1" applyProtection="1">
      <alignment horizontal="left" vertical="center"/>
    </xf>
    <xf numFmtId="0" fontId="41" fillId="0" borderId="2" xfId="8" applyFont="1" applyFill="1" applyBorder="1" applyAlignment="1" applyProtection="1">
      <alignment horizontal="left" vertical="center"/>
    </xf>
    <xf numFmtId="0" fontId="4" fillId="0" borderId="3" xfId="9" applyFill="1" applyBorder="1" applyProtection="1">
      <alignment vertical="center"/>
    </xf>
    <xf numFmtId="0" fontId="4" fillId="0" borderId="4" xfId="9" applyFill="1" applyBorder="1" applyProtection="1">
      <alignment vertical="center"/>
    </xf>
    <xf numFmtId="222" fontId="10" fillId="0" borderId="1" xfId="8" applyNumberFormat="1" applyFont="1" applyFill="1" applyBorder="1" applyAlignment="1" applyProtection="1">
      <alignment horizontal="center" vertical="center" shrinkToFit="1"/>
    </xf>
    <xf numFmtId="222" fontId="21" fillId="0" borderId="1" xfId="9" applyNumberFormat="1" applyFont="1" applyFill="1" applyBorder="1" applyAlignment="1" applyProtection="1">
      <alignment horizontal="center" vertical="center" shrinkToFit="1"/>
    </xf>
    <xf numFmtId="0" fontId="41" fillId="0" borderId="1" xfId="8" applyFont="1" applyFill="1" applyBorder="1" applyAlignment="1" applyProtection="1">
      <alignment horizontal="left" vertical="center"/>
    </xf>
    <xf numFmtId="0" fontId="4" fillId="0" borderId="1" xfId="9" applyFill="1" applyBorder="1" applyProtection="1">
      <alignment vertical="center"/>
    </xf>
    <xf numFmtId="0" fontId="10" fillId="0" borderId="1" xfId="9" applyFont="1" applyFill="1" applyBorder="1" applyAlignment="1" applyProtection="1">
      <alignment horizontal="center" vertical="center"/>
    </xf>
    <xf numFmtId="0" fontId="10" fillId="0" borderId="114" xfId="9" applyFont="1" applyFill="1" applyBorder="1" applyAlignment="1" applyProtection="1">
      <alignment horizontal="center" vertical="center"/>
    </xf>
    <xf numFmtId="219" fontId="10" fillId="0" borderId="1" xfId="8" applyNumberFormat="1" applyFont="1" applyFill="1" applyBorder="1" applyAlignment="1" applyProtection="1">
      <alignment horizontal="center" vertical="center" shrinkToFit="1"/>
    </xf>
    <xf numFmtId="219" fontId="21" fillId="0" borderId="1" xfId="9" applyNumberFormat="1" applyFont="1" applyFill="1" applyBorder="1" applyAlignment="1" applyProtection="1">
      <alignment horizontal="center" vertical="center" shrinkToFit="1"/>
    </xf>
    <xf numFmtId="0" fontId="10" fillId="0" borderId="1" xfId="9" applyFont="1" applyBorder="1" applyAlignment="1" applyProtection="1">
      <alignment horizontal="center" vertical="center" shrinkToFit="1"/>
    </xf>
    <xf numFmtId="0" fontId="10" fillId="0" borderId="114" xfId="9" applyFont="1" applyBorder="1" applyAlignment="1" applyProtection="1">
      <alignment horizontal="center" vertical="center" shrinkToFit="1"/>
    </xf>
    <xf numFmtId="220" fontId="10" fillId="0" borderId="1" xfId="8" applyNumberFormat="1" applyFont="1" applyFill="1" applyBorder="1" applyAlignment="1" applyProtection="1">
      <alignment horizontal="center" vertical="center" shrinkToFit="1"/>
    </xf>
    <xf numFmtId="220" fontId="21" fillId="0" borderId="1" xfId="9" applyNumberFormat="1" applyFont="1" applyFill="1" applyBorder="1" applyAlignment="1" applyProtection="1">
      <alignment horizontal="center" vertical="center" shrinkToFit="1"/>
    </xf>
    <xf numFmtId="0" fontId="10" fillId="0" borderId="1" xfId="8" applyFont="1" applyFill="1" applyBorder="1" applyAlignment="1" applyProtection="1">
      <alignment horizontal="center" vertical="center" shrinkToFit="1"/>
    </xf>
    <xf numFmtId="0" fontId="21" fillId="0" borderId="1" xfId="0" applyFont="1" applyFill="1" applyBorder="1" applyAlignment="1" applyProtection="1">
      <alignment horizontal="center" vertical="center" shrinkToFit="1"/>
    </xf>
    <xf numFmtId="207" fontId="10" fillId="0" borderId="1" xfId="8" applyNumberFormat="1" applyFont="1" applyFill="1" applyBorder="1" applyAlignment="1" applyProtection="1">
      <alignment horizontal="center" vertical="center" shrinkToFit="1"/>
    </xf>
    <xf numFmtId="207" fontId="21" fillId="0" borderId="1" xfId="9" applyNumberFormat="1" applyFont="1" applyFill="1" applyBorder="1" applyAlignment="1" applyProtection="1">
      <alignment horizontal="center" vertical="center" shrinkToFit="1"/>
    </xf>
    <xf numFmtId="0" fontId="4" fillId="0" borderId="5" xfId="9" applyBorder="1" applyProtection="1">
      <alignment vertical="center"/>
    </xf>
    <xf numFmtId="0" fontId="4" fillId="0" borderId="14" xfId="9" applyBorder="1" applyProtection="1">
      <alignment vertical="center"/>
    </xf>
    <xf numFmtId="0" fontId="4" fillId="0" borderId="3" xfId="9" applyBorder="1" applyProtection="1">
      <alignment vertical="center"/>
    </xf>
    <xf numFmtId="0" fontId="4" fillId="0" borderId="4" xfId="9" applyBorder="1" applyProtection="1">
      <alignment vertical="center"/>
    </xf>
    <xf numFmtId="0" fontId="10" fillId="0" borderId="93" xfId="8" applyFont="1" applyBorder="1" applyAlignment="1" applyProtection="1">
      <alignment horizontal="center" vertical="center" wrapText="1"/>
    </xf>
    <xf numFmtId="0" fontId="10" fillId="0" borderId="93" xfId="8" applyFont="1" applyBorder="1" applyAlignment="1" applyProtection="1">
      <alignment horizontal="center" vertical="center"/>
    </xf>
    <xf numFmtId="0" fontId="21" fillId="0" borderId="113" xfId="9" applyFont="1" applyBorder="1" applyAlignment="1" applyProtection="1">
      <alignment horizontal="center" vertical="center"/>
    </xf>
    <xf numFmtId="193" fontId="10" fillId="0" borderId="1" xfId="8" applyNumberFormat="1" applyFont="1" applyFill="1" applyBorder="1" applyAlignment="1" applyProtection="1">
      <alignment horizontal="center" vertical="center" shrinkToFit="1"/>
    </xf>
    <xf numFmtId="193" fontId="21" fillId="0" borderId="1" xfId="9" applyNumberFormat="1" applyFont="1" applyFill="1" applyBorder="1" applyAlignment="1" applyProtection="1">
      <alignment horizontal="center" vertical="center" shrinkToFit="1"/>
    </xf>
    <xf numFmtId="0" fontId="10" fillId="2" borderId="2" xfId="8" applyFont="1" applyFill="1" applyBorder="1" applyAlignment="1" applyProtection="1">
      <alignment horizontal="center" shrinkToFit="1"/>
      <protection locked="0"/>
    </xf>
    <xf numFmtId="0" fontId="21" fillId="2" borderId="3" xfId="9" applyFont="1" applyFill="1" applyBorder="1" applyAlignment="1" applyProtection="1">
      <alignment horizontal="center" shrinkToFit="1"/>
      <protection locked="0"/>
    </xf>
    <xf numFmtId="0" fontId="21" fillId="2" borderId="4" xfId="9" applyFont="1" applyFill="1" applyBorder="1" applyAlignment="1" applyProtection="1">
      <alignment horizontal="center" shrinkToFit="1"/>
      <protection locked="0"/>
    </xf>
    <xf numFmtId="0" fontId="21" fillId="0" borderId="3" xfId="9" applyFont="1" applyBorder="1" applyAlignment="1" applyProtection="1">
      <alignment horizontal="center" shrinkToFit="1"/>
      <protection locked="0"/>
    </xf>
    <xf numFmtId="0" fontId="21" fillId="0" borderId="4" xfId="9" applyFont="1" applyBorder="1" applyAlignment="1" applyProtection="1">
      <alignment horizontal="center" shrinkToFit="1"/>
      <protection locked="0"/>
    </xf>
    <xf numFmtId="185" fontId="10" fillId="0" borderId="79" xfId="9" applyNumberFormat="1" applyFont="1" applyBorder="1" applyAlignment="1" applyProtection="1">
      <alignment horizontal="center" vertical="center"/>
    </xf>
    <xf numFmtId="0" fontId="10" fillId="0" borderId="81" xfId="9" applyFont="1" applyBorder="1" applyAlignment="1" applyProtection="1">
      <alignment horizontal="center" vertical="center"/>
    </xf>
    <xf numFmtId="0" fontId="10" fillId="0" borderId="145" xfId="8" applyFont="1" applyBorder="1" applyAlignment="1" applyProtection="1">
      <alignment horizontal="center" vertical="center"/>
    </xf>
    <xf numFmtId="0" fontId="21" fillId="0" borderId="45" xfId="9" applyFont="1" applyBorder="1" applyAlignment="1" applyProtection="1">
      <alignment horizontal="center" vertical="center"/>
    </xf>
    <xf numFmtId="0" fontId="10" fillId="0" borderId="146" xfId="8" applyFont="1" applyBorder="1" applyAlignment="1" applyProtection="1">
      <alignment horizontal="center"/>
    </xf>
    <xf numFmtId="0" fontId="21" fillId="0" borderId="44" xfId="9" applyFont="1" applyBorder="1" applyAlignment="1" applyProtection="1">
      <alignment horizontal="center"/>
    </xf>
    <xf numFmtId="0" fontId="21" fillId="0" borderId="147" xfId="9" applyFont="1" applyBorder="1" applyAlignment="1" applyProtection="1">
      <alignment horizontal="center"/>
    </xf>
    <xf numFmtId="0" fontId="10" fillId="0" borderId="97" xfId="8" applyFont="1" applyBorder="1" applyAlignment="1" applyProtection="1">
      <alignment horizontal="center"/>
    </xf>
    <xf numFmtId="0" fontId="21" fillId="0" borderId="63" xfId="9" applyFont="1" applyBorder="1" applyAlignment="1" applyProtection="1">
      <alignment horizontal="center"/>
    </xf>
    <xf numFmtId="0" fontId="21" fillId="0" borderId="64" xfId="9" applyFont="1" applyBorder="1" applyAlignment="1" applyProtection="1">
      <alignment horizontal="center"/>
    </xf>
    <xf numFmtId="193" fontId="10" fillId="0" borderId="70" xfId="8" applyNumberFormat="1" applyFont="1" applyFill="1" applyBorder="1" applyAlignment="1" applyProtection="1">
      <alignment horizontal="center" vertical="center" shrinkToFit="1"/>
    </xf>
    <xf numFmtId="193" fontId="10" fillId="0" borderId="150" xfId="8" applyNumberFormat="1" applyFont="1" applyFill="1" applyBorder="1" applyAlignment="1" applyProtection="1">
      <alignment horizontal="center" vertical="center" shrinkToFit="1"/>
    </xf>
    <xf numFmtId="0" fontId="10" fillId="0" borderId="107" xfId="9" applyFont="1" applyBorder="1" applyAlignment="1" applyProtection="1">
      <alignment horizontal="center" vertical="center" shrinkToFit="1"/>
    </xf>
    <xf numFmtId="0" fontId="10" fillId="0" borderId="190" xfId="9" applyFont="1" applyBorder="1" applyAlignment="1" applyProtection="1">
      <alignment horizontal="center" vertical="center" shrinkToFit="1"/>
    </xf>
    <xf numFmtId="0" fontId="18" fillId="0" borderId="0" xfId="9" applyFont="1" applyAlignment="1" applyProtection="1">
      <alignment vertical="center"/>
    </xf>
    <xf numFmtId="0" fontId="0" fillId="0" borderId="0" xfId="0" applyAlignment="1" applyProtection="1"/>
    <xf numFmtId="185" fontId="10" fillId="0" borderId="110" xfId="9" applyNumberFormat="1" applyFont="1" applyBorder="1" applyAlignment="1" applyProtection="1">
      <alignment horizontal="center" vertical="center"/>
    </xf>
    <xf numFmtId="0" fontId="57" fillId="0" borderId="0" xfId="8" applyFont="1" applyAlignment="1" applyProtection="1">
      <alignment horizontal="left"/>
    </xf>
    <xf numFmtId="0" fontId="14" fillId="0" borderId="0" xfId="0" applyFont="1" applyAlignment="1" applyProtection="1"/>
    <xf numFmtId="0" fontId="11" fillId="0" borderId="0" xfId="8" applyFont="1" applyAlignment="1" applyProtection="1">
      <alignment horizontal="left"/>
    </xf>
    <xf numFmtId="0" fontId="14" fillId="0" borderId="0" xfId="0" applyFont="1" applyAlignment="1" applyProtection="1">
      <alignment horizontal="left"/>
    </xf>
    <xf numFmtId="0" fontId="47" fillId="0" borderId="13" xfId="8" applyFont="1" applyBorder="1" applyProtection="1"/>
    <xf numFmtId="0" fontId="4" fillId="0" borderId="5" xfId="9" applyBorder="1" applyAlignment="1" applyProtection="1"/>
    <xf numFmtId="0" fontId="4" fillId="0" borderId="14" xfId="9" applyBorder="1" applyAlignment="1" applyProtection="1"/>
    <xf numFmtId="0" fontId="15" fillId="0" borderId="79" xfId="8" applyFont="1" applyBorder="1" applyAlignment="1" applyProtection="1">
      <alignment horizontal="left" vertical="top" wrapText="1"/>
    </xf>
    <xf numFmtId="0" fontId="18" fillId="0" borderId="80" xfId="9" applyFont="1" applyBorder="1" applyAlignment="1" applyProtection="1">
      <alignment vertical="top" wrapText="1"/>
    </xf>
    <xf numFmtId="0" fontId="18" fillId="0" borderId="81" xfId="9" applyFont="1" applyBorder="1" applyAlignment="1" applyProtection="1">
      <alignment vertical="top" wrapText="1"/>
    </xf>
    <xf numFmtId="0" fontId="15" fillId="0" borderId="82" xfId="8" applyFont="1" applyBorder="1" applyAlignment="1" applyProtection="1">
      <alignment horizontal="left" vertical="top" wrapText="1"/>
    </xf>
    <xf numFmtId="0" fontId="18" fillId="0" borderId="83" xfId="9" applyFont="1" applyBorder="1" applyAlignment="1" applyProtection="1">
      <alignment vertical="top" wrapText="1"/>
    </xf>
    <xf numFmtId="0" fontId="18" fillId="0" borderId="84" xfId="9" applyFont="1" applyBorder="1" applyAlignment="1" applyProtection="1">
      <alignment vertical="top" wrapText="1"/>
    </xf>
    <xf numFmtId="0" fontId="47" fillId="0" borderId="1" xfId="8" applyFont="1" applyBorder="1" applyProtection="1"/>
    <xf numFmtId="0" fontId="4" fillId="0" borderId="1" xfId="9" applyBorder="1" applyAlignment="1" applyProtection="1"/>
    <xf numFmtId="193" fontId="10" fillId="0" borderId="107" xfId="8" applyNumberFormat="1" applyFont="1" applyFill="1" applyBorder="1" applyAlignment="1" applyProtection="1">
      <alignment horizontal="center" vertical="center" shrinkToFit="1"/>
    </xf>
    <xf numFmtId="193" fontId="10" fillId="0" borderId="190" xfId="8" applyNumberFormat="1" applyFont="1" applyFill="1" applyBorder="1" applyAlignment="1" applyProtection="1">
      <alignment horizontal="center" vertical="center" shrinkToFit="1"/>
    </xf>
    <xf numFmtId="0" fontId="47" fillId="0" borderId="0" xfId="8" applyFont="1" applyAlignment="1" applyProtection="1"/>
    <xf numFmtId="0" fontId="47" fillId="0" borderId="2" xfId="8" applyFont="1" applyBorder="1" applyAlignment="1" applyProtection="1">
      <alignment shrinkToFit="1"/>
      <protection locked="0"/>
    </xf>
    <xf numFmtId="0" fontId="0" fillId="0" borderId="3" xfId="0" applyBorder="1" applyAlignment="1" applyProtection="1">
      <alignment shrinkToFit="1"/>
      <protection locked="0"/>
    </xf>
    <xf numFmtId="0" fontId="0" fillId="0" borderId="4" xfId="0" applyBorder="1" applyAlignment="1" applyProtection="1">
      <alignment shrinkToFit="1"/>
      <protection locked="0"/>
    </xf>
    <xf numFmtId="0" fontId="11" fillId="0" borderId="0" xfId="5" applyFont="1" applyAlignment="1" applyProtection="1">
      <alignment horizontal="right" vertical="center"/>
    </xf>
    <xf numFmtId="0" fontId="0" fillId="0" borderId="0" xfId="0" applyAlignment="1" applyProtection="1">
      <alignment horizontal="right" vertical="center"/>
    </xf>
    <xf numFmtId="179" fontId="11" fillId="0" borderId="0" xfId="5" applyNumberFormat="1" applyFont="1" applyAlignment="1" applyProtection="1">
      <alignment horizontal="distributed" vertical="center"/>
    </xf>
    <xf numFmtId="0" fontId="14" fillId="0" borderId="0" xfId="5" applyFont="1" applyAlignment="1" applyProtection="1">
      <alignment horizontal="distributed" vertical="center"/>
    </xf>
    <xf numFmtId="0" fontId="11" fillId="0" borderId="0" xfId="5" applyFont="1" applyAlignment="1" applyProtection="1">
      <alignment horizontal="center" vertical="center"/>
    </xf>
    <xf numFmtId="0" fontId="30" fillId="7" borderId="0" xfId="5" applyFont="1" applyFill="1" applyBorder="1" applyAlignment="1" applyProtection="1">
      <alignment horizontal="center" vertical="center"/>
    </xf>
    <xf numFmtId="0" fontId="30" fillId="7" borderId="0" xfId="5" applyFont="1" applyFill="1" applyBorder="1" applyAlignment="1" applyProtection="1">
      <alignment vertical="center" wrapText="1" shrinkToFit="1"/>
    </xf>
    <xf numFmtId="0" fontId="30" fillId="7" borderId="0" xfId="5" applyFont="1" applyFill="1" applyBorder="1" applyAlignment="1" applyProtection="1">
      <alignment vertical="center" shrinkToFit="1"/>
    </xf>
    <xf numFmtId="198" fontId="63" fillId="7" borderId="0" xfId="5" applyNumberFormat="1" applyFont="1" applyFill="1" applyBorder="1" applyAlignment="1" applyProtection="1">
      <alignment horizontal="center" vertical="center" wrapText="1"/>
    </xf>
    <xf numFmtId="0" fontId="11" fillId="0" borderId="0" xfId="5" applyFont="1" applyFill="1" applyAlignment="1" applyProtection="1">
      <alignment horizontal="left" vertical="center" shrinkToFit="1"/>
    </xf>
    <xf numFmtId="0" fontId="11" fillId="0" borderId="0" xfId="5" applyFont="1" applyAlignment="1" applyProtection="1">
      <alignment vertical="center"/>
    </xf>
    <xf numFmtId="199" fontId="11" fillId="0" borderId="0" xfId="5" applyNumberFormat="1" applyFont="1" applyAlignment="1" applyProtection="1">
      <alignment horizontal="distributed" vertical="center"/>
    </xf>
    <xf numFmtId="0" fontId="11" fillId="0" borderId="0" xfId="5" applyFont="1" applyFill="1" applyAlignment="1" applyProtection="1">
      <alignment vertical="center" shrinkToFit="1"/>
    </xf>
    <xf numFmtId="0" fontId="11" fillId="0" borderId="0" xfId="5" applyFont="1" applyAlignment="1" applyProtection="1">
      <alignment vertical="center" shrinkToFit="1"/>
    </xf>
    <xf numFmtId="0" fontId="11" fillId="0" borderId="0" xfId="5" applyFont="1" applyAlignment="1" applyProtection="1">
      <alignment horizontal="left" vertical="center" wrapText="1"/>
    </xf>
    <xf numFmtId="0" fontId="11" fillId="0" borderId="0" xfId="5" applyFont="1" applyAlignment="1" applyProtection="1">
      <alignment horizontal="left" vertical="center"/>
    </xf>
    <xf numFmtId="0" fontId="11" fillId="0" borderId="0" xfId="5" applyFont="1" applyAlignment="1" applyProtection="1">
      <alignment vertical="center" wrapText="1"/>
    </xf>
    <xf numFmtId="199" fontId="11" fillId="0" borderId="0" xfId="5" applyNumberFormat="1" applyFont="1" applyAlignment="1" applyProtection="1">
      <alignment horizontal="distributed" vertical="center" wrapText="1"/>
    </xf>
    <xf numFmtId="0" fontId="14" fillId="0" borderId="0" xfId="5" applyFont="1" applyAlignment="1" applyProtection="1">
      <alignment horizontal="distributed" vertical="center" wrapText="1"/>
    </xf>
    <xf numFmtId="199" fontId="11" fillId="0" borderId="0" xfId="5" applyNumberFormat="1" applyFont="1" applyAlignment="1" applyProtection="1">
      <alignment horizontal="left" vertical="center" wrapText="1"/>
    </xf>
    <xf numFmtId="0" fontId="14" fillId="0" borderId="0" xfId="0" applyFont="1" applyAlignment="1" applyProtection="1">
      <alignment vertical="center"/>
    </xf>
    <xf numFmtId="0" fontId="14" fillId="0" borderId="0" xfId="0" applyFont="1" applyAlignment="1" applyProtection="1">
      <alignment vertical="center" wrapText="1"/>
    </xf>
    <xf numFmtId="0" fontId="11" fillId="0" borderId="0" xfId="5" applyFont="1" applyBorder="1" applyAlignment="1" applyProtection="1">
      <alignment vertical="center"/>
    </xf>
    <xf numFmtId="0" fontId="11" fillId="0" borderId="0" xfId="5" applyFont="1" applyBorder="1" applyAlignment="1" applyProtection="1">
      <alignment vertical="center" wrapText="1"/>
    </xf>
    <xf numFmtId="0" fontId="11" fillId="0" borderId="0" xfId="5" applyFont="1" applyAlignment="1" applyProtection="1">
      <alignment horizontal="distributed" vertical="center"/>
    </xf>
    <xf numFmtId="0" fontId="30" fillId="7" borderId="0" xfId="5" applyFont="1" applyFill="1" applyBorder="1" applyAlignment="1" applyProtection="1">
      <alignment horizontal="center" vertical="center" shrinkToFit="1"/>
    </xf>
    <xf numFmtId="200" fontId="11" fillId="0" borderId="0" xfId="5" applyNumberFormat="1" applyFont="1" applyAlignment="1" applyProtection="1">
      <alignment horizontal="distributed" vertical="center"/>
    </xf>
    <xf numFmtId="0" fontId="11" fillId="0" borderId="0" xfId="5" applyFont="1" applyAlignment="1" applyProtection="1">
      <alignment horizontal="center" vertical="center" shrinkToFit="1"/>
    </xf>
    <xf numFmtId="0" fontId="11" fillId="0" borderId="0" xfId="5" applyFont="1" applyAlignment="1" applyProtection="1">
      <alignment horizontal="left" vertical="center" shrinkToFit="1"/>
    </xf>
    <xf numFmtId="179" fontId="11" fillId="0" borderId="0" xfId="5" applyNumberFormat="1" applyFont="1" applyAlignment="1" applyProtection="1">
      <alignment horizontal="center" shrinkToFit="1"/>
    </xf>
    <xf numFmtId="0" fontId="11" fillId="0" borderId="0" xfId="5" applyFont="1" applyAlignment="1" applyProtection="1">
      <alignment horizontal="center" shrinkToFit="1"/>
    </xf>
    <xf numFmtId="0" fontId="0" fillId="0" borderId="0" xfId="0" applyAlignment="1" applyProtection="1">
      <alignment horizontal="left" vertical="center" wrapText="1"/>
    </xf>
    <xf numFmtId="0" fontId="11" fillId="0" borderId="0" xfId="5" applyFont="1" applyAlignment="1" applyProtection="1">
      <alignment horizontal="distributed" vertical="center" shrinkToFit="1"/>
    </xf>
    <xf numFmtId="0" fontId="10" fillId="0" borderId="0" xfId="5" applyFont="1" applyAlignment="1" applyProtection="1">
      <alignment vertical="center" wrapText="1"/>
    </xf>
    <xf numFmtId="0" fontId="21" fillId="0" borderId="0" xfId="0" applyFont="1" applyAlignment="1" applyProtection="1">
      <alignment vertical="center" wrapText="1"/>
    </xf>
    <xf numFmtId="0" fontId="30" fillId="0" borderId="1" xfId="5" applyFont="1" applyBorder="1" applyAlignment="1" applyProtection="1">
      <alignment horizontal="left"/>
    </xf>
    <xf numFmtId="0" fontId="22" fillId="0" borderId="1" xfId="5" applyFont="1" applyBorder="1" applyAlignment="1" applyProtection="1"/>
    <xf numFmtId="0" fontId="15" fillId="0" borderId="1" xfId="5" applyFont="1" applyBorder="1" applyAlignment="1" applyProtection="1">
      <alignment horizontal="center" vertical="center" shrinkToFit="1"/>
    </xf>
    <xf numFmtId="0" fontId="15" fillId="0" borderId="13" xfId="5" applyFont="1" applyFill="1" applyBorder="1" applyAlignment="1" applyProtection="1">
      <alignment horizontal="left" vertical="center" shrinkToFit="1"/>
    </xf>
    <xf numFmtId="0" fontId="15" fillId="0" borderId="5" xfId="5" applyFont="1" applyFill="1" applyBorder="1" applyAlignment="1" applyProtection="1">
      <alignment horizontal="left" vertical="center" shrinkToFit="1"/>
    </xf>
    <xf numFmtId="0" fontId="10" fillId="0" borderId="5" xfId="5" applyFont="1" applyBorder="1" applyAlignment="1" applyProtection="1">
      <alignment horizontal="left" vertical="center" shrinkToFit="1"/>
    </xf>
    <xf numFmtId="0" fontId="10" fillId="0" borderId="14" xfId="5" applyFont="1" applyBorder="1" applyAlignment="1" applyProtection="1">
      <alignment horizontal="left" vertical="center" shrinkToFit="1"/>
    </xf>
    <xf numFmtId="0" fontId="15" fillId="0" borderId="7" xfId="5" applyFont="1" applyFill="1" applyBorder="1" applyAlignment="1" applyProtection="1">
      <alignment horizontal="left" vertical="center" shrinkToFit="1"/>
    </xf>
    <xf numFmtId="0" fontId="15" fillId="0" borderId="8" xfId="5" applyFont="1" applyFill="1" applyBorder="1" applyAlignment="1" applyProtection="1">
      <alignment horizontal="left" vertical="center" shrinkToFit="1"/>
    </xf>
    <xf numFmtId="0" fontId="10" fillId="0" borderId="8" xfId="5" applyFont="1" applyBorder="1" applyAlignment="1" applyProtection="1">
      <alignment horizontal="left" vertical="center" shrinkToFit="1"/>
    </xf>
    <xf numFmtId="0" fontId="10" fillId="0" borderId="9" xfId="5" applyFont="1" applyBorder="1" applyAlignment="1" applyProtection="1">
      <alignment horizontal="left" vertical="center" shrinkToFit="1"/>
    </xf>
    <xf numFmtId="0" fontId="39" fillId="0" borderId="0" xfId="5" applyFont="1" applyAlignment="1" applyProtection="1">
      <alignment horizontal="center" vertical="center" wrapText="1"/>
    </xf>
    <xf numFmtId="0" fontId="39" fillId="0" borderId="0" xfId="5" applyFont="1" applyAlignment="1" applyProtection="1">
      <alignment horizontal="center" vertical="center"/>
    </xf>
    <xf numFmtId="0" fontId="15" fillId="0" borderId="1" xfId="5" applyFont="1" applyFill="1" applyBorder="1" applyAlignment="1" applyProtection="1">
      <alignment horizontal="left" vertical="center" wrapText="1" shrinkToFit="1"/>
    </xf>
    <xf numFmtId="0" fontId="41" fillId="0" borderId="3" xfId="5" applyFont="1" applyFill="1" applyBorder="1" applyAlignment="1" applyProtection="1">
      <alignment horizontal="center" vertical="center"/>
    </xf>
    <xf numFmtId="0" fontId="15" fillId="0" borderId="3" xfId="5" applyFont="1" applyFill="1" applyBorder="1" applyAlignment="1" applyProtection="1">
      <alignment horizontal="center" vertical="center"/>
    </xf>
    <xf numFmtId="0" fontId="15" fillId="0" borderId="4" xfId="5" applyFont="1" applyFill="1" applyBorder="1" applyAlignment="1" applyProtection="1">
      <alignment horizontal="center" vertical="center"/>
    </xf>
    <xf numFmtId="0" fontId="15" fillId="0" borderId="1" xfId="5" applyFont="1" applyFill="1" applyBorder="1" applyAlignment="1" applyProtection="1">
      <alignment horizontal="center" vertical="center" shrinkToFit="1"/>
    </xf>
    <xf numFmtId="0" fontId="15" fillId="0" borderId="1" xfId="5" applyFont="1" applyFill="1" applyBorder="1" applyAlignment="1" applyProtection="1">
      <alignment vertical="center" shrinkToFit="1"/>
    </xf>
    <xf numFmtId="0" fontId="40" fillId="0" borderId="1" xfId="2" applyFont="1" applyFill="1" applyBorder="1" applyAlignment="1" applyProtection="1">
      <alignment vertical="center" shrinkToFit="1"/>
    </xf>
    <xf numFmtId="0" fontId="15" fillId="0" borderId="0" xfId="5" applyFont="1" applyAlignment="1" applyProtection="1">
      <alignment shrinkToFit="1"/>
    </xf>
    <xf numFmtId="0" fontId="10" fillId="0" borderId="0" xfId="5" applyFont="1" applyAlignment="1" applyProtection="1">
      <alignment shrinkToFit="1"/>
    </xf>
    <xf numFmtId="0" fontId="10" fillId="0" borderId="0" xfId="5" applyFont="1" applyAlignment="1" applyProtection="1"/>
    <xf numFmtId="0" fontId="41" fillId="0" borderId="3" xfId="5" applyFont="1" applyFill="1" applyBorder="1" applyAlignment="1" applyProtection="1">
      <alignment horizontal="center" vertical="center" shrinkToFit="1"/>
    </xf>
    <xf numFmtId="0" fontId="15" fillId="0" borderId="3" xfId="5" applyFont="1" applyFill="1" applyBorder="1" applyAlignment="1" applyProtection="1">
      <alignment horizontal="center" vertical="center" shrinkToFit="1"/>
    </xf>
    <xf numFmtId="0" fontId="15" fillId="0" borderId="4" xfId="5" applyFont="1" applyFill="1" applyBorder="1" applyAlignment="1" applyProtection="1">
      <alignment horizontal="center" vertical="center" shrinkToFit="1"/>
    </xf>
    <xf numFmtId="0" fontId="15" fillId="0" borderId="3" xfId="5" applyFont="1" applyFill="1" applyBorder="1" applyAlignment="1" applyProtection="1">
      <alignment vertical="center" shrinkToFit="1"/>
    </xf>
    <xf numFmtId="0" fontId="15" fillId="0" borderId="3" xfId="5" applyFont="1" applyFill="1" applyBorder="1" applyAlignment="1" applyProtection="1">
      <alignment vertical="center"/>
    </xf>
    <xf numFmtId="0" fontId="41" fillId="0" borderId="3" xfId="5" applyFont="1" applyFill="1" applyBorder="1" applyAlignment="1" applyProtection="1">
      <alignment vertical="center" shrinkToFit="1"/>
    </xf>
    <xf numFmtId="0" fontId="15" fillId="0" borderId="2" xfId="5" applyFont="1" applyFill="1" applyBorder="1" applyAlignment="1" applyProtection="1">
      <alignment horizontal="center" vertical="center"/>
    </xf>
    <xf numFmtId="0" fontId="41" fillId="0" borderId="2" xfId="5" applyFont="1" applyFill="1" applyBorder="1" applyAlignment="1" applyProtection="1">
      <alignment vertical="center"/>
    </xf>
    <xf numFmtId="0" fontId="15" fillId="0" borderId="13" xfId="5" applyFont="1" applyFill="1" applyBorder="1" applyAlignment="1" applyProtection="1">
      <alignment vertical="center" shrinkToFit="1"/>
    </xf>
    <xf numFmtId="0" fontId="15" fillId="0" borderId="5" xfId="5" applyFont="1" applyFill="1" applyBorder="1" applyAlignment="1" applyProtection="1">
      <alignment vertical="center"/>
    </xf>
    <xf numFmtId="0" fontId="43" fillId="0" borderId="5" xfId="5" applyFont="1" applyBorder="1" applyAlignment="1" applyProtection="1">
      <alignment horizontal="left" vertical="center"/>
    </xf>
    <xf numFmtId="0" fontId="44" fillId="0" borderId="0" xfId="5" applyFont="1" applyBorder="1" applyAlignment="1" applyProtection="1">
      <alignment horizontal="left" vertical="center"/>
    </xf>
    <xf numFmtId="0" fontId="16" fillId="0" borderId="62" xfId="5" applyFont="1" applyBorder="1" applyAlignment="1" applyProtection="1">
      <alignment horizontal="center" vertical="center" wrapText="1"/>
    </xf>
    <xf numFmtId="0" fontId="16" fillId="0" borderId="63" xfId="5" applyFont="1" applyBorder="1" applyAlignment="1" applyProtection="1">
      <alignment horizontal="center" vertical="center"/>
    </xf>
    <xf numFmtId="0" fontId="16" fillId="0" borderId="64" xfId="5" applyFont="1" applyBorder="1" applyAlignment="1" applyProtection="1">
      <alignment horizontal="center" vertical="center"/>
    </xf>
    <xf numFmtId="0" fontId="16" fillId="0" borderId="32" xfId="5" applyFont="1" applyBorder="1" applyAlignment="1" applyProtection="1">
      <alignment horizontal="center" vertical="center"/>
    </xf>
    <xf numFmtId="0" fontId="16" fillId="0" borderId="0" xfId="5" applyFont="1" applyBorder="1" applyAlignment="1" applyProtection="1">
      <alignment horizontal="center" vertical="center"/>
    </xf>
    <xf numFmtId="0" fontId="16" fillId="0" borderId="65" xfId="5" applyFont="1" applyBorder="1" applyAlignment="1" applyProtection="1">
      <alignment horizontal="center" vertical="center"/>
    </xf>
    <xf numFmtId="0" fontId="16" fillId="0" borderId="66" xfId="5" applyFont="1" applyBorder="1" applyAlignment="1" applyProtection="1">
      <alignment horizontal="center" vertical="center"/>
    </xf>
    <xf numFmtId="0" fontId="16" fillId="0" borderId="67" xfId="5" applyFont="1" applyBorder="1" applyAlignment="1" applyProtection="1">
      <alignment horizontal="center" vertical="center"/>
    </xf>
    <xf numFmtId="0" fontId="16" fillId="0" borderId="68" xfId="5" applyFont="1" applyBorder="1" applyAlignment="1" applyProtection="1">
      <alignment horizontal="center" vertical="center"/>
    </xf>
    <xf numFmtId="0" fontId="15" fillId="0" borderId="6" xfId="5" applyFont="1" applyBorder="1" applyAlignment="1" applyProtection="1">
      <alignment horizontal="center" vertical="center" textRotation="255" shrinkToFit="1"/>
    </xf>
    <xf numFmtId="0" fontId="0" fillId="0" borderId="20" xfId="0" applyBorder="1" applyAlignment="1">
      <alignment vertical="center" shrinkToFit="1"/>
    </xf>
    <xf numFmtId="0" fontId="0" fillId="0" borderId="10" xfId="0" applyBorder="1" applyAlignment="1">
      <alignment vertical="center" shrinkToFit="1"/>
    </xf>
    <xf numFmtId="0" fontId="15" fillId="0" borderId="2" xfId="5" applyFont="1" applyFill="1" applyBorder="1" applyAlignment="1" applyProtection="1">
      <alignment horizontal="left" vertical="center" shrinkToFit="1"/>
    </xf>
    <xf numFmtId="0" fontId="15" fillId="0" borderId="3" xfId="5" applyFont="1" applyFill="1" applyBorder="1" applyAlignment="1" applyProtection="1">
      <alignment horizontal="left" vertical="center" shrinkToFit="1"/>
    </xf>
    <xf numFmtId="0" fontId="41" fillId="0" borderId="2" xfId="5" applyFont="1" applyFill="1" applyBorder="1" applyAlignment="1" applyProtection="1">
      <alignment horizontal="left" vertical="center" shrinkToFit="1"/>
    </xf>
    <xf numFmtId="0" fontId="10" fillId="0" borderId="3" xfId="5" applyFont="1" applyFill="1" applyBorder="1" applyAlignment="1" applyProtection="1">
      <alignment horizontal="left" vertical="center" shrinkToFit="1"/>
    </xf>
    <xf numFmtId="0" fontId="10" fillId="0" borderId="4" xfId="5" applyFont="1" applyFill="1" applyBorder="1" applyAlignment="1" applyProtection="1">
      <alignment horizontal="left" vertical="center" shrinkToFit="1"/>
    </xf>
    <xf numFmtId="0" fontId="15" fillId="0" borderId="2" xfId="5" applyFont="1" applyFill="1" applyBorder="1" applyAlignment="1" applyProtection="1">
      <alignment vertical="center" shrinkToFit="1"/>
    </xf>
    <xf numFmtId="0" fontId="10" fillId="0" borderId="3" xfId="5" applyFont="1" applyFill="1" applyBorder="1" applyAlignment="1" applyProtection="1">
      <alignment vertical="center"/>
    </xf>
    <xf numFmtId="0" fontId="41" fillId="0" borderId="4" xfId="5" applyFont="1" applyFill="1" applyBorder="1" applyAlignment="1" applyProtection="1">
      <alignment horizontal="center" vertical="center" shrinkToFit="1"/>
    </xf>
    <xf numFmtId="0" fontId="15" fillId="0" borderId="2" xfId="5" applyFont="1" applyFill="1" applyBorder="1" applyAlignment="1" applyProtection="1">
      <alignment horizontal="left" vertical="center" shrinkToFit="1"/>
      <protection locked="0"/>
    </xf>
    <xf numFmtId="0" fontId="10" fillId="0" borderId="3" xfId="5" applyFont="1" applyFill="1" applyBorder="1" applyAlignment="1" applyProtection="1">
      <alignment horizontal="left" vertical="center" shrinkToFit="1"/>
      <protection locked="0"/>
    </xf>
    <xf numFmtId="0" fontId="15" fillId="0" borderId="4" xfId="5" applyFont="1" applyFill="1" applyBorder="1" applyAlignment="1" applyProtection="1">
      <alignment vertical="center" shrinkToFit="1"/>
    </xf>
    <xf numFmtId="0" fontId="34" fillId="0" borderId="1" xfId="5" applyFont="1" applyBorder="1" applyAlignment="1" applyProtection="1">
      <alignment horizontal="distributed" vertical="center"/>
    </xf>
    <xf numFmtId="0" fontId="5" fillId="0" borderId="1" xfId="5" applyBorder="1" applyAlignment="1" applyProtection="1">
      <alignment horizontal="distributed" vertical="center"/>
    </xf>
    <xf numFmtId="0" fontId="34" fillId="0" borderId="1" xfId="5" applyNumberFormat="1" applyFont="1" applyFill="1" applyBorder="1" applyAlignment="1" applyProtection="1">
      <alignment horizontal="center" vertical="center"/>
    </xf>
    <xf numFmtId="0" fontId="5" fillId="0" borderId="1" xfId="5" applyNumberFormat="1" applyFill="1" applyBorder="1" applyAlignment="1" applyProtection="1">
      <alignment horizontal="center" vertical="center"/>
    </xf>
    <xf numFmtId="201" fontId="34" fillId="0" borderId="0" xfId="5" applyNumberFormat="1" applyFont="1" applyBorder="1" applyAlignment="1" applyProtection="1">
      <alignment horizontal="center" vertical="center"/>
    </xf>
    <xf numFmtId="0" fontId="34" fillId="0" borderId="1" xfId="5" applyFont="1" applyBorder="1" applyAlignment="1" applyProtection="1">
      <alignment horizontal="center" vertical="center"/>
    </xf>
    <xf numFmtId="0" fontId="5" fillId="0" borderId="1" xfId="5" applyBorder="1" applyAlignment="1" applyProtection="1">
      <alignment horizontal="center" vertical="center"/>
    </xf>
    <xf numFmtId="0" fontId="34" fillId="0" borderId="0" xfId="5" applyFont="1" applyAlignment="1" applyProtection="1">
      <alignment vertical="center"/>
    </xf>
    <xf numFmtId="0" fontId="5" fillId="0" borderId="0" xfId="5" applyAlignment="1" applyProtection="1">
      <alignment vertical="center"/>
    </xf>
    <xf numFmtId="0" fontId="34" fillId="0" borderId="0" xfId="5" applyFont="1" applyAlignment="1" applyProtection="1">
      <alignment horizontal="distributed" vertical="center" wrapText="1"/>
    </xf>
    <xf numFmtId="0" fontId="35" fillId="0" borderId="0" xfId="5" applyFont="1" applyAlignment="1" applyProtection="1">
      <alignment horizontal="distributed" vertical="center" wrapText="1"/>
    </xf>
    <xf numFmtId="0" fontId="34" fillId="0" borderId="0" xfId="5" applyFont="1" applyAlignment="1" applyProtection="1">
      <alignment horizontal="left" vertical="center" shrinkToFit="1"/>
    </xf>
    <xf numFmtId="0" fontId="35" fillId="0" borderId="0" xfId="5" applyFont="1" applyAlignment="1" applyProtection="1">
      <alignment horizontal="left" vertical="center" shrinkToFit="1"/>
    </xf>
    <xf numFmtId="0" fontId="36" fillId="0" borderId="0" xfId="5" applyFont="1" applyAlignment="1" applyProtection="1">
      <alignment horizontal="center" vertical="center"/>
    </xf>
    <xf numFmtId="0" fontId="37" fillId="0" borderId="0" xfId="5" applyFont="1" applyAlignment="1" applyProtection="1">
      <alignment horizontal="center" vertical="center"/>
    </xf>
    <xf numFmtId="0" fontId="34" fillId="0" borderId="0" xfId="5" applyFont="1" applyAlignment="1" applyProtection="1">
      <alignment vertical="center" wrapText="1"/>
    </xf>
    <xf numFmtId="0" fontId="5" fillId="0" borderId="0" xfId="5" applyAlignment="1" applyProtection="1">
      <alignment vertical="center" wrapText="1"/>
    </xf>
    <xf numFmtId="0" fontId="34" fillId="0" borderId="0" xfId="5" applyFont="1" applyAlignment="1" applyProtection="1">
      <alignment horizontal="center" vertical="center"/>
    </xf>
    <xf numFmtId="0" fontId="5" fillId="0" borderId="0" xfId="5" applyAlignment="1" applyProtection="1">
      <alignment horizontal="center" vertical="center"/>
    </xf>
    <xf numFmtId="0" fontId="10" fillId="0" borderId="21" xfId="4" applyFont="1" applyBorder="1" applyAlignment="1" applyProtection="1">
      <alignment horizontal="left" vertical="center" wrapText="1"/>
    </xf>
    <xf numFmtId="0" fontId="10" fillId="0" borderId="26" xfId="4" applyFont="1" applyBorder="1" applyAlignment="1" applyProtection="1">
      <alignment horizontal="left" vertical="center" wrapText="1"/>
    </xf>
    <xf numFmtId="0" fontId="6" fillId="0" borderId="26" xfId="4" applyBorder="1" applyAlignment="1" applyProtection="1">
      <alignment horizontal="left" vertical="center" wrapText="1"/>
    </xf>
    <xf numFmtId="0" fontId="6" fillId="0" borderId="30" xfId="4" applyBorder="1" applyAlignment="1" applyProtection="1">
      <alignment horizontal="left" vertical="center" wrapText="1"/>
    </xf>
    <xf numFmtId="0" fontId="10" fillId="0" borderId="6" xfId="4" applyFont="1" applyBorder="1" applyAlignment="1" applyProtection="1">
      <alignment horizontal="left" vertical="center" wrapText="1"/>
    </xf>
    <xf numFmtId="0" fontId="10" fillId="0" borderId="10" xfId="4" applyFont="1" applyBorder="1" applyAlignment="1" applyProtection="1">
      <alignment horizontal="left" vertical="center" wrapText="1"/>
    </xf>
    <xf numFmtId="0" fontId="10" fillId="0" borderId="22" xfId="4" applyFont="1" applyBorder="1" applyAlignment="1" applyProtection="1">
      <alignment horizontal="left" vertical="center" wrapText="1"/>
    </xf>
    <xf numFmtId="0" fontId="10" fillId="0" borderId="186" xfId="4" applyFont="1" applyFill="1" applyBorder="1" applyAlignment="1" applyProtection="1">
      <alignment horizontal="center" vertical="center"/>
    </xf>
    <xf numFmtId="0" fontId="0" fillId="0" borderId="77" xfId="0" applyBorder="1" applyAlignment="1">
      <alignment horizontal="center" vertical="center"/>
    </xf>
    <xf numFmtId="0" fontId="0" fillId="0" borderId="66" xfId="0" applyFill="1" applyBorder="1" applyAlignment="1">
      <alignment horizontal="center" vertical="center"/>
    </xf>
    <xf numFmtId="0" fontId="0" fillId="0" borderId="197" xfId="0" applyBorder="1" applyAlignment="1">
      <alignment horizontal="center" vertical="center"/>
    </xf>
    <xf numFmtId="0" fontId="10" fillId="0" borderId="6" xfId="4" applyFont="1" applyFill="1" applyBorder="1" applyAlignment="1" applyProtection="1">
      <alignment horizontal="left" vertical="center" wrapText="1"/>
    </xf>
    <xf numFmtId="0" fontId="10" fillId="0" borderId="10" xfId="4" applyFont="1" applyFill="1" applyBorder="1" applyAlignment="1" applyProtection="1">
      <alignment horizontal="left" vertical="center" wrapText="1"/>
    </xf>
    <xf numFmtId="0" fontId="10" fillId="0" borderId="48" xfId="4" applyFont="1" applyBorder="1" applyAlignment="1" applyProtection="1">
      <alignment horizontal="left" vertical="center" wrapText="1"/>
    </xf>
    <xf numFmtId="0" fontId="10" fillId="0" borderId="6" xfId="4" applyFont="1" applyBorder="1" applyAlignment="1" applyProtection="1">
      <alignment horizontal="left" vertical="center" shrinkToFit="1"/>
    </xf>
    <xf numFmtId="0" fontId="10" fillId="0" borderId="10" xfId="4" applyFont="1" applyBorder="1" applyAlignment="1" applyProtection="1">
      <alignment horizontal="left" vertical="center" shrinkToFit="1"/>
    </xf>
    <xf numFmtId="0" fontId="10" fillId="0" borderId="6" xfId="4" applyFont="1" applyBorder="1" applyAlignment="1" applyProtection="1">
      <alignment horizontal="left" vertical="center" wrapText="1" shrinkToFit="1"/>
    </xf>
    <xf numFmtId="0" fontId="10" fillId="0" borderId="46" xfId="4" applyFont="1" applyBorder="1" applyAlignment="1" applyProtection="1">
      <alignment horizontal="left" vertical="center" wrapText="1"/>
    </xf>
    <xf numFmtId="0" fontId="6" fillId="0" borderId="47" xfId="4" applyBorder="1" applyAlignment="1" applyProtection="1">
      <alignment horizontal="left" vertical="center" wrapText="1"/>
    </xf>
    <xf numFmtId="0" fontId="0" fillId="0" borderId="47" xfId="0" applyBorder="1" applyAlignment="1">
      <alignment horizontal="left" vertical="center" wrapText="1"/>
    </xf>
    <xf numFmtId="0" fontId="0" fillId="0" borderId="65" xfId="0" applyBorder="1" applyAlignment="1">
      <alignment horizontal="left" vertical="center" wrapText="1"/>
    </xf>
    <xf numFmtId="0" fontId="0" fillId="0" borderId="68" xfId="0" applyBorder="1" applyAlignment="1">
      <alignment horizontal="left" vertical="center" wrapText="1"/>
    </xf>
    <xf numFmtId="0" fontId="10" fillId="0" borderId="0" xfId="4" applyFont="1" applyAlignment="1" applyProtection="1">
      <alignment horizontal="center" vertical="center" shrinkToFit="1"/>
    </xf>
    <xf numFmtId="0" fontId="0" fillId="0" borderId="0" xfId="0" applyAlignment="1">
      <alignment horizontal="center" vertical="center" shrinkToFit="1"/>
    </xf>
    <xf numFmtId="0" fontId="10" fillId="0" borderId="0" xfId="4" applyFont="1" applyAlignment="1" applyProtection="1">
      <alignment horizontal="center" vertical="center"/>
    </xf>
    <xf numFmtId="0" fontId="10" fillId="0" borderId="0" xfId="4" applyFont="1" applyBorder="1" applyAlignment="1" applyProtection="1">
      <alignment horizontal="center" vertical="center" shrinkToFit="1"/>
    </xf>
    <xf numFmtId="0" fontId="6" fillId="0" borderId="0" xfId="4" applyAlignment="1" applyProtection="1">
      <alignment horizontal="center" vertical="center" shrinkToFit="1"/>
    </xf>
    <xf numFmtId="179" fontId="10" fillId="0" borderId="8" xfId="4" applyNumberFormat="1" applyFont="1" applyFill="1" applyBorder="1" applyAlignment="1" applyProtection="1">
      <alignment horizontal="center" vertical="center"/>
    </xf>
    <xf numFmtId="0" fontId="0" fillId="0" borderId="32" xfId="0" applyFill="1" applyBorder="1" applyAlignment="1">
      <alignment horizontal="center" vertical="center"/>
    </xf>
    <xf numFmtId="0" fontId="0" fillId="0" borderId="16" xfId="0" applyBorder="1" applyAlignment="1">
      <alignment horizontal="center" vertical="center"/>
    </xf>
    <xf numFmtId="176" fontId="11" fillId="0" borderId="38" xfId="4" applyNumberFormat="1" applyFont="1" applyFill="1" applyBorder="1" applyAlignment="1" applyProtection="1">
      <alignment vertical="center" shrinkToFit="1"/>
    </xf>
    <xf numFmtId="0" fontId="14" fillId="0" borderId="35" xfId="4" applyFont="1" applyFill="1" applyBorder="1" applyAlignment="1" applyProtection="1">
      <alignment vertical="center" shrinkToFit="1"/>
    </xf>
    <xf numFmtId="0" fontId="14" fillId="0" borderId="39" xfId="4" applyFont="1" applyFill="1" applyBorder="1" applyAlignment="1" applyProtection="1">
      <alignment vertical="center" shrinkToFit="1"/>
    </xf>
    <xf numFmtId="0" fontId="11" fillId="0" borderId="2" xfId="4" applyFont="1" applyFill="1" applyBorder="1" applyAlignment="1" applyProtection="1">
      <alignment horizontal="center" vertical="center" wrapText="1"/>
    </xf>
    <xf numFmtId="0" fontId="11" fillId="0" borderId="3" xfId="4" applyFont="1" applyFill="1" applyBorder="1" applyAlignment="1" applyProtection="1">
      <alignment horizontal="center" vertical="center" wrapText="1"/>
    </xf>
    <xf numFmtId="0" fontId="11" fillId="0" borderId="3" xfId="4" applyFont="1" applyFill="1" applyBorder="1" applyAlignment="1" applyProtection="1">
      <alignment horizontal="center" vertical="center"/>
    </xf>
    <xf numFmtId="0" fontId="11" fillId="0" borderId="4" xfId="4" applyFont="1" applyFill="1" applyBorder="1" applyAlignment="1" applyProtection="1">
      <alignment horizontal="center" vertical="center"/>
    </xf>
    <xf numFmtId="0" fontId="11" fillId="0" borderId="38" xfId="4" applyFont="1" applyBorder="1" applyAlignment="1" applyProtection="1">
      <alignment vertical="center"/>
    </xf>
    <xf numFmtId="0" fontId="0" fillId="0" borderId="35" xfId="0" applyBorder="1" applyAlignment="1">
      <alignment vertical="center"/>
    </xf>
    <xf numFmtId="0" fontId="0" fillId="0" borderId="39" xfId="0" applyBorder="1" applyAlignment="1">
      <alignment vertical="center"/>
    </xf>
    <xf numFmtId="0" fontId="11" fillId="0" borderId="0" xfId="4" applyFont="1" applyAlignment="1" applyProtection="1">
      <alignment horizontal="center" vertical="center"/>
    </xf>
    <xf numFmtId="0" fontId="0" fillId="0" borderId="0" xfId="0" applyAlignment="1">
      <alignment horizontal="center" vertical="center"/>
    </xf>
    <xf numFmtId="0" fontId="11" fillId="0" borderId="26" xfId="4" applyFont="1" applyBorder="1" applyAlignment="1" applyProtection="1">
      <alignment horizontal="center" vertical="center" wrapText="1"/>
    </xf>
    <xf numFmtId="0" fontId="6" fillId="0" borderId="26" xfId="4" applyBorder="1" applyAlignment="1" applyProtection="1">
      <alignment horizontal="center" vertical="center" wrapText="1"/>
    </xf>
    <xf numFmtId="0" fontId="6" fillId="0" borderId="30" xfId="4" applyBorder="1" applyAlignment="1" applyProtection="1">
      <alignment horizontal="center" vertical="center" wrapText="1"/>
    </xf>
    <xf numFmtId="176" fontId="11" fillId="0" borderId="76" xfId="4" applyNumberFormat="1" applyFont="1" applyBorder="1" applyAlignment="1" applyProtection="1">
      <alignment vertical="center" shrinkToFit="1"/>
    </xf>
    <xf numFmtId="0" fontId="14" fillId="0" borderId="78" xfId="4" applyFont="1" applyBorder="1" applyAlignment="1" applyProtection="1">
      <alignment vertical="center" shrinkToFit="1"/>
    </xf>
    <xf numFmtId="0" fontId="14" fillId="0" borderId="187" xfId="4" applyFont="1" applyBorder="1" applyAlignment="1" applyProtection="1">
      <alignment vertical="center" shrinkToFit="1"/>
    </xf>
    <xf numFmtId="0" fontId="11" fillId="0" borderId="2" xfId="4" applyFont="1" applyFill="1" applyBorder="1" applyAlignment="1" applyProtection="1">
      <alignment horizontal="center" vertical="center"/>
    </xf>
    <xf numFmtId="0" fontId="11" fillId="0" borderId="198" xfId="4" applyFont="1" applyFill="1" applyBorder="1" applyAlignment="1" applyProtection="1">
      <alignment horizontal="center" vertical="center"/>
    </xf>
    <xf numFmtId="0" fontId="11" fillId="0" borderId="199" xfId="4" applyFont="1" applyFill="1" applyBorder="1" applyAlignment="1" applyProtection="1">
      <alignment horizontal="center" vertical="center"/>
    </xf>
    <xf numFmtId="0" fontId="11" fillId="0" borderId="21" xfId="4" applyFont="1" applyBorder="1" applyAlignment="1" applyProtection="1">
      <alignment horizontal="center" vertical="center" wrapText="1"/>
    </xf>
    <xf numFmtId="0" fontId="11" fillId="0" borderId="1" xfId="4" applyFont="1" applyFill="1" applyBorder="1" applyAlignment="1" applyProtection="1">
      <alignment horizontal="center" vertical="center" wrapText="1"/>
    </xf>
    <xf numFmtId="0" fontId="11" fillId="0" borderId="38" xfId="4" applyFont="1" applyFill="1" applyBorder="1" applyAlignment="1" applyProtection="1">
      <alignment vertical="center" shrinkToFit="1"/>
    </xf>
    <xf numFmtId="0" fontId="0" fillId="0" borderId="37" xfId="0" applyBorder="1" applyAlignment="1">
      <alignment vertical="center"/>
    </xf>
    <xf numFmtId="0" fontId="11" fillId="0" borderId="1" xfId="4" applyFont="1" applyFill="1" applyBorder="1" applyAlignment="1" applyProtection="1">
      <alignment horizontal="center" vertical="center"/>
    </xf>
    <xf numFmtId="0" fontId="39" fillId="0" borderId="0" xfId="4" applyFont="1" applyAlignment="1" applyProtection="1">
      <alignment horizontal="center" vertical="center"/>
    </xf>
    <xf numFmtId="0" fontId="65" fillId="0" borderId="0" xfId="4" applyFont="1" applyAlignment="1" applyProtection="1">
      <alignment vertical="center"/>
    </xf>
    <xf numFmtId="0" fontId="22" fillId="0" borderId="1" xfId="7" applyFont="1" applyBorder="1" applyAlignment="1" applyProtection="1">
      <alignment horizontal="center" vertical="center"/>
    </xf>
    <xf numFmtId="0" fontId="41" fillId="0" borderId="0" xfId="7" applyFont="1" applyAlignment="1" applyProtection="1">
      <alignment horizontal="center" vertical="center"/>
    </xf>
    <xf numFmtId="0" fontId="22" fillId="0" borderId="6" xfId="7" applyFont="1" applyBorder="1" applyAlignment="1" applyProtection="1">
      <alignment horizontal="center" vertical="center"/>
    </xf>
    <xf numFmtId="0" fontId="10" fillId="0" borderId="10" xfId="5" applyFont="1" applyBorder="1" applyAlignment="1" applyProtection="1">
      <alignment horizontal="center" vertical="center"/>
    </xf>
    <xf numFmtId="0" fontId="10" fillId="0" borderId="1" xfId="5" applyFont="1" applyBorder="1" applyAlignment="1" applyProtection="1">
      <alignment vertical="center"/>
    </xf>
    <xf numFmtId="0" fontId="22" fillId="2" borderId="6" xfId="7" applyFont="1" applyFill="1" applyBorder="1" applyAlignment="1" applyProtection="1">
      <alignment vertical="center" wrapText="1" shrinkToFit="1"/>
      <protection locked="0"/>
    </xf>
    <xf numFmtId="0" fontId="10" fillId="2" borderId="20" xfId="5" applyFont="1" applyFill="1" applyBorder="1" applyAlignment="1" applyProtection="1">
      <alignment vertical="center" wrapText="1" shrinkToFit="1"/>
      <protection locked="0"/>
    </xf>
    <xf numFmtId="0" fontId="10" fillId="2" borderId="10" xfId="5" applyFont="1" applyFill="1" applyBorder="1" applyAlignment="1" applyProtection="1">
      <alignment vertical="center" wrapText="1" shrinkToFit="1"/>
      <protection locked="0"/>
    </xf>
    <xf numFmtId="0" fontId="22" fillId="2" borderId="6" xfId="7" applyFont="1" applyFill="1" applyBorder="1" applyAlignment="1" applyProtection="1">
      <alignment vertical="center" wrapText="1"/>
      <protection locked="0"/>
    </xf>
    <xf numFmtId="0" fontId="10" fillId="2" borderId="20" xfId="5" applyFont="1" applyFill="1" applyBorder="1" applyAlignment="1" applyProtection="1">
      <alignment vertical="center" wrapText="1"/>
      <protection locked="0"/>
    </xf>
    <xf numFmtId="0" fontId="10" fillId="2" borderId="10" xfId="5" applyFont="1" applyFill="1" applyBorder="1" applyAlignment="1" applyProtection="1">
      <alignment vertical="center" wrapText="1"/>
      <protection locked="0"/>
    </xf>
    <xf numFmtId="176" fontId="22" fillId="2" borderId="6" xfId="7" applyNumberFormat="1" applyFont="1" applyFill="1" applyBorder="1" applyAlignment="1" applyProtection="1">
      <alignment horizontal="right" vertical="center" shrinkToFit="1"/>
      <protection locked="0"/>
    </xf>
    <xf numFmtId="176" fontId="10" fillId="2" borderId="20" xfId="0" applyNumberFormat="1" applyFont="1" applyFill="1" applyBorder="1" applyAlignment="1" applyProtection="1">
      <alignment vertical="center" shrinkToFit="1"/>
      <protection locked="0"/>
    </xf>
    <xf numFmtId="176" fontId="10" fillId="2" borderId="10" xfId="0" applyNumberFormat="1" applyFont="1" applyFill="1" applyBorder="1" applyAlignment="1" applyProtection="1">
      <alignment vertical="center" shrinkToFit="1"/>
      <protection locked="0"/>
    </xf>
    <xf numFmtId="0" fontId="10" fillId="0" borderId="20" xfId="5" applyFont="1" applyBorder="1" applyAlignment="1" applyProtection="1">
      <alignment horizontal="center" vertical="center"/>
    </xf>
    <xf numFmtId="0" fontId="10" fillId="0" borderId="1" xfId="5" applyFont="1" applyBorder="1" applyAlignment="1" applyProtection="1">
      <alignment horizontal="center" vertical="center"/>
    </xf>
    <xf numFmtId="0" fontId="22" fillId="0" borderId="4" xfId="7" applyFont="1" applyBorder="1" applyAlignment="1" applyProtection="1">
      <alignment horizontal="center" vertical="center"/>
    </xf>
    <xf numFmtId="0" fontId="22" fillId="0" borderId="2" xfId="7" applyFont="1" applyBorder="1" applyAlignment="1" applyProtection="1">
      <alignment horizontal="center" vertical="center"/>
    </xf>
    <xf numFmtId="0" fontId="22" fillId="0" borderId="6" xfId="7" applyFont="1" applyBorder="1" applyAlignment="1" applyProtection="1">
      <alignment vertical="center" wrapText="1"/>
    </xf>
    <xf numFmtId="0" fontId="10" fillId="0" borderId="6" xfId="5" applyFont="1" applyBorder="1" applyAlignment="1" applyProtection="1">
      <alignment vertical="center" wrapText="1"/>
    </xf>
    <xf numFmtId="0" fontId="10" fillId="0" borderId="20" xfId="5" applyFont="1" applyBorder="1" applyAlignment="1" applyProtection="1">
      <alignment vertical="center" wrapText="1"/>
    </xf>
    <xf numFmtId="0" fontId="10" fillId="0" borderId="10" xfId="5" applyFont="1" applyBorder="1" applyAlignment="1" applyProtection="1">
      <alignment vertical="center" wrapText="1"/>
    </xf>
    <xf numFmtId="202" fontId="22" fillId="0" borderId="0" xfId="7" applyNumberFormat="1" applyFont="1" applyAlignment="1" applyProtection="1">
      <alignment horizontal="distributed" vertical="center"/>
    </xf>
    <xf numFmtId="0" fontId="10" fillId="0" borderId="0" xfId="5" applyFont="1" applyAlignment="1" applyProtection="1">
      <alignment horizontal="distributed" vertical="center"/>
    </xf>
    <xf numFmtId="0" fontId="10" fillId="0" borderId="5" xfId="0" applyFont="1" applyBorder="1" applyAlignment="1" applyProtection="1">
      <alignment horizontal="center" vertical="center" shrinkToFit="1"/>
    </xf>
    <xf numFmtId="0" fontId="0" fillId="0" borderId="9" xfId="0" applyBorder="1" applyAlignment="1" applyProtection="1">
      <alignment horizontal="center" vertical="center" shrinkToFit="1"/>
    </xf>
    <xf numFmtId="0" fontId="10" fillId="0" borderId="5" xfId="0" applyFont="1" applyBorder="1" applyAlignment="1" applyProtection="1">
      <alignment horizontal="center" vertical="center"/>
    </xf>
    <xf numFmtId="0" fontId="10" fillId="0" borderId="6" xfId="0" applyFont="1" applyBorder="1" applyAlignment="1" applyProtection="1">
      <alignment horizontal="center" vertical="center"/>
    </xf>
    <xf numFmtId="0" fontId="0" fillId="0" borderId="10" xfId="0" applyBorder="1" applyAlignment="1" applyProtection="1">
      <alignment horizontal="center" vertical="center"/>
    </xf>
    <xf numFmtId="0" fontId="10" fillId="0" borderId="5" xfId="0" applyFont="1" applyBorder="1" applyAlignment="1" applyProtection="1">
      <alignment vertical="center"/>
    </xf>
    <xf numFmtId="0" fontId="0" fillId="0" borderId="8" xfId="0" applyBorder="1" applyAlignment="1" applyProtection="1">
      <alignment vertical="center"/>
    </xf>
    <xf numFmtId="0" fontId="10" fillId="0" borderId="1" xfId="0" applyFont="1" applyBorder="1" applyAlignment="1" applyProtection="1">
      <alignment vertical="center"/>
    </xf>
    <xf numFmtId="0" fontId="10" fillId="0" borderId="0" xfId="0" applyFont="1" applyAlignment="1" applyProtection="1">
      <alignment vertical="center" wrapText="1"/>
    </xf>
    <xf numFmtId="0" fontId="10" fillId="2" borderId="2" xfId="0" applyFont="1" applyFill="1" applyBorder="1" applyAlignment="1" applyProtection="1">
      <alignment vertical="top" wrapText="1"/>
      <protection locked="0"/>
    </xf>
    <xf numFmtId="0" fontId="21" fillId="2" borderId="3" xfId="0" applyFont="1" applyFill="1" applyBorder="1" applyAlignment="1" applyProtection="1">
      <alignment vertical="top" wrapText="1"/>
      <protection locked="0"/>
    </xf>
    <xf numFmtId="0" fontId="21" fillId="2" borderId="4" xfId="0" applyFont="1" applyFill="1" applyBorder="1" applyAlignment="1" applyProtection="1">
      <alignment vertical="top" wrapText="1"/>
      <protection locked="0"/>
    </xf>
    <xf numFmtId="0" fontId="15" fillId="0" borderId="13" xfId="0" applyFont="1" applyBorder="1" applyAlignment="1" applyProtection="1">
      <alignment horizontal="center" vertical="center" shrinkToFit="1"/>
    </xf>
    <xf numFmtId="0" fontId="18" fillId="0" borderId="5" xfId="0" applyFont="1" applyBorder="1" applyAlignment="1" applyProtection="1">
      <alignment horizontal="center" vertical="center" shrinkToFit="1"/>
    </xf>
    <xf numFmtId="0" fontId="18" fillId="0" borderId="14" xfId="0" applyFont="1" applyBorder="1" applyAlignment="1" applyProtection="1">
      <alignment horizontal="center" vertical="center" shrinkToFit="1"/>
    </xf>
    <xf numFmtId="0" fontId="0" fillId="0" borderId="7" xfId="0" applyBorder="1" applyAlignment="1" applyProtection="1">
      <alignment vertical="center" shrinkToFit="1"/>
    </xf>
    <xf numFmtId="0" fontId="0" fillId="0" borderId="8" xfId="0" applyBorder="1" applyAlignment="1" applyProtection="1">
      <alignment vertical="center" shrinkToFit="1"/>
    </xf>
    <xf numFmtId="0" fontId="0" fillId="0" borderId="9" xfId="0" applyBorder="1" applyAlignment="1" applyProtection="1">
      <alignment vertical="center" shrinkToFit="1"/>
    </xf>
    <xf numFmtId="0" fontId="10" fillId="3" borderId="2" xfId="0" applyFont="1" applyFill="1" applyBorder="1" applyAlignment="1" applyProtection="1">
      <alignment horizontal="center" vertical="center" shrinkToFit="1"/>
    </xf>
    <xf numFmtId="0" fontId="10" fillId="3" borderId="3" xfId="0" applyFont="1" applyFill="1" applyBorder="1" applyAlignment="1" applyProtection="1">
      <alignment horizontal="center" vertical="center" shrinkToFit="1"/>
    </xf>
    <xf numFmtId="0" fontId="10" fillId="3" borderId="4" xfId="0" applyFont="1" applyFill="1" applyBorder="1" applyAlignment="1" applyProtection="1">
      <alignment horizontal="center" vertical="center" shrinkToFit="1"/>
    </xf>
    <xf numFmtId="0" fontId="10" fillId="3" borderId="6" xfId="0" applyFont="1" applyFill="1" applyBorder="1" applyAlignment="1" applyProtection="1">
      <alignment horizontal="center" vertical="center" shrinkToFit="1"/>
    </xf>
    <xf numFmtId="0" fontId="10" fillId="3" borderId="10" xfId="0" applyFont="1" applyFill="1" applyBorder="1" applyAlignment="1" applyProtection="1">
      <alignment vertical="center" shrinkToFit="1"/>
    </xf>
    <xf numFmtId="0" fontId="10" fillId="3" borderId="1" xfId="0" applyFont="1" applyFill="1" applyBorder="1" applyAlignment="1" applyProtection="1">
      <alignment horizontal="center" vertical="center" shrinkToFit="1"/>
    </xf>
    <xf numFmtId="0" fontId="10" fillId="0" borderId="0" xfId="0" applyFont="1" applyAlignment="1" applyProtection="1">
      <alignment horizontal="center" vertical="center" shrinkToFit="1"/>
    </xf>
    <xf numFmtId="0" fontId="10" fillId="0" borderId="5" xfId="0" applyFont="1" applyBorder="1" applyAlignment="1" applyProtection="1">
      <alignment horizontal="right" vertical="center"/>
    </xf>
    <xf numFmtId="0" fontId="0" fillId="0" borderId="5" xfId="0" applyBorder="1" applyAlignment="1" applyProtection="1">
      <alignment horizontal="right" vertical="center"/>
    </xf>
    <xf numFmtId="0" fontId="0" fillId="0" borderId="0" xfId="0" applyBorder="1" applyAlignment="1" applyProtection="1">
      <alignment horizontal="right" vertical="center"/>
    </xf>
    <xf numFmtId="0" fontId="10" fillId="4" borderId="0" xfId="0" applyFont="1" applyFill="1" applyAlignment="1" applyProtection="1">
      <alignment vertical="center"/>
    </xf>
    <xf numFmtId="0" fontId="10" fillId="0" borderId="2" xfId="0" applyFont="1" applyBorder="1" applyAlignment="1" applyProtection="1">
      <alignment horizontal="center" vertical="center"/>
    </xf>
    <xf numFmtId="0" fontId="0" fillId="0" borderId="4" xfId="0" applyBorder="1" applyAlignment="1" applyProtection="1">
      <alignment vertical="center"/>
    </xf>
    <xf numFmtId="0" fontId="10" fillId="0" borderId="6" xfId="10" applyFont="1" applyBorder="1" applyAlignment="1" applyProtection="1">
      <alignment horizontal="center" vertical="center"/>
    </xf>
    <xf numFmtId="0" fontId="10" fillId="0" borderId="10" xfId="10" applyFont="1" applyBorder="1" applyAlignment="1" applyProtection="1">
      <alignment horizontal="center" vertical="center"/>
    </xf>
    <xf numFmtId="242" fontId="10" fillId="0" borderId="6" xfId="10" applyNumberFormat="1" applyFont="1" applyBorder="1" applyAlignment="1" applyProtection="1">
      <alignment vertical="center" shrinkToFit="1"/>
    </xf>
    <xf numFmtId="242" fontId="3" fillId="0" borderId="10" xfId="10" applyNumberFormat="1" applyBorder="1" applyAlignment="1" applyProtection="1">
      <alignment vertical="center" shrinkToFit="1"/>
    </xf>
    <xf numFmtId="188" fontId="10" fillId="0" borderId="6" xfId="10" applyNumberFormat="1" applyFont="1" applyFill="1" applyBorder="1" applyAlignment="1" applyProtection="1">
      <alignment vertical="center" shrinkToFit="1"/>
    </xf>
    <xf numFmtId="188" fontId="3" fillId="0" borderId="10" xfId="10" applyNumberFormat="1" applyFill="1" applyBorder="1" applyAlignment="1" applyProtection="1">
      <alignment vertical="center" shrinkToFit="1"/>
    </xf>
    <xf numFmtId="243" fontId="10" fillId="0" borderId="6" xfId="10" applyNumberFormat="1" applyFont="1" applyFill="1" applyBorder="1" applyAlignment="1" applyProtection="1">
      <alignment vertical="center" shrinkToFit="1"/>
    </xf>
    <xf numFmtId="243" fontId="3" fillId="0" borderId="10" xfId="10" applyNumberFormat="1" applyFill="1" applyBorder="1" applyAlignment="1" applyProtection="1">
      <alignment vertical="center" shrinkToFit="1"/>
    </xf>
    <xf numFmtId="0" fontId="3" fillId="0" borderId="10" xfId="10" applyFill="1" applyBorder="1" applyAlignment="1" applyProtection="1">
      <alignment vertical="center" shrinkToFit="1"/>
    </xf>
    <xf numFmtId="0" fontId="10" fillId="0" borderId="6" xfId="10" applyFont="1" applyBorder="1" applyAlignment="1" applyProtection="1">
      <alignment horizontal="center" vertical="center" wrapText="1"/>
    </xf>
    <xf numFmtId="0" fontId="10" fillId="0" borderId="20" xfId="10" applyFont="1" applyBorder="1" applyAlignment="1" applyProtection="1">
      <alignment horizontal="center" vertical="center" wrapText="1"/>
    </xf>
    <xf numFmtId="0" fontId="10" fillId="0" borderId="10" xfId="10" applyFont="1" applyBorder="1" applyAlignment="1" applyProtection="1">
      <alignment horizontal="center" vertical="center" wrapText="1"/>
    </xf>
    <xf numFmtId="0" fontId="10" fillId="0" borderId="20" xfId="10" applyFont="1" applyBorder="1" applyAlignment="1" applyProtection="1">
      <alignment horizontal="center" vertical="center"/>
    </xf>
    <xf numFmtId="245" fontId="10" fillId="0" borderId="6" xfId="10" applyNumberFormat="1" applyFont="1" applyBorder="1" applyAlignment="1" applyProtection="1">
      <alignment vertical="center" shrinkToFit="1"/>
    </xf>
    <xf numFmtId="245" fontId="3" fillId="0" borderId="20" xfId="10" applyNumberFormat="1" applyBorder="1" applyAlignment="1" applyProtection="1">
      <alignment vertical="center" shrinkToFit="1"/>
    </xf>
    <xf numFmtId="245" fontId="3" fillId="0" borderId="10" xfId="10" applyNumberFormat="1" applyBorder="1" applyAlignment="1" applyProtection="1">
      <alignment vertical="center" shrinkToFit="1"/>
    </xf>
    <xf numFmtId="189" fontId="10" fillId="0" borderId="6" xfId="10" applyNumberFormat="1" applyFont="1" applyFill="1" applyBorder="1" applyAlignment="1" applyProtection="1">
      <alignment vertical="center" shrinkToFit="1"/>
    </xf>
    <xf numFmtId="189" fontId="3" fillId="0" borderId="20" xfId="10" applyNumberFormat="1" applyFill="1" applyBorder="1" applyAlignment="1" applyProtection="1">
      <alignment vertical="center" shrinkToFit="1"/>
    </xf>
    <xf numFmtId="189" fontId="3" fillId="0" borderId="10" xfId="10" applyNumberFormat="1" applyFill="1" applyBorder="1" applyAlignment="1" applyProtection="1">
      <alignment vertical="center" shrinkToFit="1"/>
    </xf>
    <xf numFmtId="246" fontId="10" fillId="0" borderId="6" xfId="10" applyNumberFormat="1" applyFont="1" applyFill="1" applyBorder="1" applyAlignment="1" applyProtection="1">
      <alignment vertical="center" shrinkToFit="1"/>
    </xf>
    <xf numFmtId="246" fontId="3" fillId="0" borderId="20" xfId="10" applyNumberFormat="1" applyFill="1" applyBorder="1" applyAlignment="1" applyProtection="1">
      <alignment vertical="center" shrinkToFit="1"/>
    </xf>
    <xf numFmtId="246" fontId="3" fillId="0" borderId="10" xfId="10" applyNumberFormat="1" applyFill="1" applyBorder="1" applyAlignment="1" applyProtection="1">
      <alignment vertical="center" shrinkToFit="1"/>
    </xf>
    <xf numFmtId="0" fontId="3" fillId="0" borderId="20" xfId="10" applyFill="1" applyBorder="1" applyAlignment="1" applyProtection="1">
      <alignment vertical="center" shrinkToFit="1"/>
    </xf>
    <xf numFmtId="0" fontId="22" fillId="2" borderId="2" xfId="10" applyFont="1" applyFill="1" applyBorder="1" applyAlignment="1" applyProtection="1">
      <alignment horizontal="left" vertical="center" shrinkToFit="1"/>
      <protection locked="0"/>
    </xf>
    <xf numFmtId="0" fontId="21" fillId="2" borderId="3" xfId="10" applyFont="1" applyFill="1" applyBorder="1" applyAlignment="1" applyProtection="1">
      <alignment horizontal="left" vertical="center" shrinkToFit="1"/>
      <protection locked="0"/>
    </xf>
    <xf numFmtId="0" fontId="21" fillId="2" borderId="4" xfId="10" applyFont="1" applyFill="1" applyBorder="1" applyAlignment="1" applyProtection="1">
      <alignment horizontal="left" vertical="center" shrinkToFit="1"/>
      <protection locked="0"/>
    </xf>
    <xf numFmtId="0" fontId="10" fillId="0" borderId="15" xfId="10" applyFont="1" applyBorder="1" applyAlignment="1" applyProtection="1">
      <alignment vertical="center" wrapText="1"/>
    </xf>
    <xf numFmtId="0" fontId="10" fillId="0" borderId="0" xfId="10" applyFont="1" applyAlignment="1" applyProtection="1">
      <alignment vertical="center" wrapText="1"/>
    </xf>
    <xf numFmtId="0" fontId="10" fillId="0" borderId="6" xfId="10" applyFont="1" applyBorder="1" applyAlignment="1" applyProtection="1">
      <alignment vertical="center" wrapText="1"/>
    </xf>
    <xf numFmtId="0" fontId="10" fillId="0" borderId="10" xfId="10" applyFont="1" applyBorder="1" applyAlignment="1" applyProtection="1">
      <alignment vertical="center" wrapText="1"/>
    </xf>
    <xf numFmtId="0" fontId="22" fillId="0" borderId="215" xfId="10" applyFont="1" applyFill="1" applyBorder="1" applyAlignment="1" applyProtection="1">
      <alignment horizontal="left" vertical="center" shrinkToFit="1"/>
    </xf>
    <xf numFmtId="0" fontId="21" fillId="0" borderId="216" xfId="10" applyFont="1" applyFill="1" applyBorder="1" applyAlignment="1" applyProtection="1">
      <alignment horizontal="left" vertical="center" shrinkToFit="1"/>
    </xf>
    <xf numFmtId="0" fontId="21" fillId="0" borderId="217" xfId="10" applyFont="1" applyFill="1" applyBorder="1" applyAlignment="1" applyProtection="1">
      <alignment horizontal="left" vertical="center" shrinkToFit="1"/>
    </xf>
    <xf numFmtId="0" fontId="22" fillId="2" borderId="7" xfId="10" applyFont="1" applyFill="1" applyBorder="1" applyAlignment="1" applyProtection="1">
      <alignment horizontal="left" vertical="center" shrinkToFit="1"/>
      <protection locked="0"/>
    </xf>
    <xf numFmtId="0" fontId="21" fillId="2" borderId="8" xfId="10" applyFont="1" applyFill="1" applyBorder="1" applyAlignment="1" applyProtection="1">
      <alignment horizontal="left" vertical="center" shrinkToFit="1"/>
      <protection locked="0"/>
    </xf>
    <xf numFmtId="0" fontId="21" fillId="2" borderId="9" xfId="10" applyFont="1" applyFill="1" applyBorder="1" applyAlignment="1" applyProtection="1">
      <alignment horizontal="left" vertical="center" shrinkToFit="1"/>
      <protection locked="0"/>
    </xf>
    <xf numFmtId="0" fontId="22" fillId="0" borderId="2" xfId="10" applyFont="1" applyFill="1" applyBorder="1" applyAlignment="1" applyProtection="1">
      <alignment horizontal="left" vertical="center" shrinkToFit="1"/>
    </xf>
    <xf numFmtId="0" fontId="21" fillId="0" borderId="3" xfId="10" applyFont="1" applyFill="1" applyBorder="1" applyAlignment="1" applyProtection="1">
      <alignment horizontal="left" vertical="center" shrinkToFit="1"/>
    </xf>
    <xf numFmtId="0" fontId="21" fillId="0" borderId="4" xfId="10" applyFont="1" applyFill="1" applyBorder="1" applyAlignment="1" applyProtection="1">
      <alignment horizontal="left" vertical="center" shrinkToFit="1"/>
    </xf>
    <xf numFmtId="183" fontId="15" fillId="0" borderId="0" xfId="10" applyNumberFormat="1" applyFont="1" applyAlignment="1" applyProtection="1">
      <alignment horizontal="right" vertical="center" shrinkToFit="1"/>
    </xf>
    <xf numFmtId="183" fontId="18" fillId="0" borderId="0" xfId="10" applyNumberFormat="1" applyFont="1" applyAlignment="1" applyProtection="1">
      <alignment horizontal="right" vertical="center" shrinkToFit="1"/>
    </xf>
    <xf numFmtId="176" fontId="10" fillId="0" borderId="2" xfId="10" applyNumberFormat="1" applyFont="1" applyBorder="1" applyAlignment="1" applyProtection="1">
      <alignment horizontal="right" vertical="center" shrinkToFit="1"/>
    </xf>
    <xf numFmtId="0" fontId="3" fillId="0" borderId="4" xfId="10" applyBorder="1" applyAlignment="1" applyProtection="1">
      <alignment horizontal="right" vertical="center" shrinkToFit="1"/>
    </xf>
    <xf numFmtId="0" fontId="22" fillId="0" borderId="0" xfId="10" applyFont="1" applyAlignment="1" applyProtection="1">
      <alignment horizontal="left" vertical="center" wrapText="1"/>
    </xf>
    <xf numFmtId="0" fontId="21" fillId="0" borderId="0" xfId="10" applyFont="1" applyAlignment="1" applyProtection="1">
      <alignment horizontal="left" vertical="center" wrapText="1"/>
    </xf>
    <xf numFmtId="0" fontId="10" fillId="0" borderId="1" xfId="10" applyFont="1" applyBorder="1" applyAlignment="1" applyProtection="1">
      <alignment horizontal="center" vertical="center" wrapText="1"/>
    </xf>
    <xf numFmtId="0" fontId="21" fillId="0" borderId="1" xfId="10" applyFont="1" applyBorder="1" applyAlignment="1" applyProtection="1">
      <alignment horizontal="center" vertical="center"/>
    </xf>
    <xf numFmtId="176" fontId="10" fillId="2" borderId="1" xfId="10" applyNumberFormat="1" applyFont="1" applyFill="1" applyBorder="1" applyAlignment="1" applyProtection="1">
      <alignment horizontal="right" vertical="center" wrapText="1"/>
      <protection locked="0"/>
    </xf>
    <xf numFmtId="176" fontId="21" fillId="2" borderId="1" xfId="10" applyNumberFormat="1" applyFont="1" applyFill="1" applyBorder="1" applyAlignment="1" applyProtection="1">
      <alignment horizontal="right" vertical="center"/>
      <protection locked="0"/>
    </xf>
    <xf numFmtId="0" fontId="3" fillId="0" borderId="0" xfId="10" applyAlignment="1" applyProtection="1">
      <alignment vertical="center" wrapText="1"/>
    </xf>
    <xf numFmtId="0" fontId="3" fillId="0" borderId="15" xfId="10" applyBorder="1" applyAlignment="1" applyProtection="1">
      <alignment vertical="center" wrapText="1"/>
    </xf>
    <xf numFmtId="186" fontId="10" fillId="0" borderId="1" xfId="10" applyNumberFormat="1" applyFont="1" applyBorder="1" applyAlignment="1" applyProtection="1">
      <alignment horizontal="right" vertical="center" wrapText="1"/>
    </xf>
    <xf numFmtId="186" fontId="21" fillId="0" borderId="1" xfId="10" applyNumberFormat="1" applyFont="1" applyBorder="1" applyAlignment="1" applyProtection="1">
      <alignment horizontal="right" vertical="center"/>
    </xf>
    <xf numFmtId="0" fontId="12" fillId="5" borderId="13" xfId="10" applyFont="1" applyFill="1" applyBorder="1" applyAlignment="1" applyProtection="1">
      <alignment horizontal="center" vertical="center" wrapText="1" shrinkToFit="1"/>
    </xf>
    <xf numFmtId="0" fontId="0" fillId="0" borderId="5" xfId="0" applyBorder="1" applyAlignment="1" applyProtection="1">
      <alignment horizontal="center" vertical="center" shrinkToFit="1"/>
    </xf>
    <xf numFmtId="0" fontId="0" fillId="0" borderId="14" xfId="0" applyBorder="1" applyAlignment="1" applyProtection="1">
      <alignment horizontal="center" vertical="center" shrinkToFit="1"/>
    </xf>
    <xf numFmtId="0" fontId="11" fillId="4" borderId="0" xfId="10" applyFont="1" applyFill="1" applyAlignment="1" applyProtection="1">
      <alignment horizontal="left" vertical="center"/>
    </xf>
    <xf numFmtId="0" fontId="14" fillId="4" borderId="0" xfId="10" applyFont="1" applyFill="1" applyAlignment="1" applyProtection="1">
      <alignment horizontal="left" vertical="center"/>
    </xf>
    <xf numFmtId="0" fontId="10" fillId="0" borderId="0" xfId="10" applyFont="1" applyAlignment="1" applyProtection="1">
      <alignment horizontal="left" vertical="center" wrapText="1"/>
    </xf>
    <xf numFmtId="0" fontId="12" fillId="5" borderId="13" xfId="10" applyFont="1" applyFill="1" applyBorder="1" applyAlignment="1" applyProtection="1">
      <alignment horizontal="center" vertical="center" shrinkToFit="1"/>
    </xf>
    <xf numFmtId="0" fontId="19" fillId="0" borderId="5" xfId="10" applyFont="1" applyBorder="1" applyAlignment="1" applyProtection="1">
      <alignment horizontal="center" vertical="center" shrinkToFit="1"/>
    </xf>
    <xf numFmtId="0" fontId="19" fillId="0" borderId="14" xfId="10" applyFont="1" applyBorder="1" applyAlignment="1" applyProtection="1">
      <alignment horizontal="center" vertical="center" shrinkToFit="1"/>
    </xf>
    <xf numFmtId="0" fontId="22" fillId="0" borderId="207" xfId="10" applyFont="1" applyFill="1" applyBorder="1" applyAlignment="1" applyProtection="1">
      <alignment horizontal="left" vertical="center" shrinkToFit="1"/>
    </xf>
    <xf numFmtId="0" fontId="21" fillId="0" borderId="208" xfId="10" applyFont="1" applyFill="1" applyBorder="1" applyAlignment="1" applyProtection="1">
      <alignment horizontal="left" vertical="center" shrinkToFit="1"/>
    </xf>
    <xf numFmtId="0" fontId="21" fillId="0" borderId="209" xfId="10" applyFont="1" applyFill="1" applyBorder="1" applyAlignment="1" applyProtection="1">
      <alignment horizontal="left" vertical="center" shrinkToFit="1"/>
    </xf>
    <xf numFmtId="0" fontId="10" fillId="0" borderId="2" xfId="10" applyFont="1" applyBorder="1" applyAlignment="1" applyProtection="1">
      <alignment horizontal="center" vertical="center"/>
    </xf>
    <xf numFmtId="14" fontId="72" fillId="0" borderId="6" xfId="12" applyNumberFormat="1" applyFont="1" applyBorder="1" applyAlignment="1">
      <alignment horizontal="center" vertical="center" shrinkToFit="1"/>
    </xf>
    <xf numFmtId="0" fontId="72" fillId="0" borderId="20" xfId="12" applyFont="1" applyBorder="1" applyAlignment="1">
      <alignment horizontal="center" vertical="center" shrinkToFit="1"/>
    </xf>
    <xf numFmtId="225" fontId="74" fillId="9" borderId="2" xfId="12" applyNumberFormat="1" applyFont="1" applyFill="1" applyBorder="1" applyAlignment="1">
      <alignment horizontal="center" vertical="center" shrinkToFit="1"/>
    </xf>
    <xf numFmtId="0" fontId="74" fillId="0" borderId="3" xfId="12" applyFont="1" applyBorder="1" applyAlignment="1">
      <alignment horizontal="center" vertical="center" shrinkToFit="1"/>
    </xf>
    <xf numFmtId="14" fontId="72" fillId="0" borderId="13" xfId="12" applyNumberFormat="1" applyFont="1" applyBorder="1" applyAlignment="1">
      <alignment horizontal="center" vertical="center" shrinkToFit="1"/>
    </xf>
    <xf numFmtId="0" fontId="72" fillId="0" borderId="5" xfId="12" applyFont="1" applyBorder="1" applyAlignment="1">
      <alignment horizontal="center" vertical="center" shrinkToFit="1"/>
    </xf>
    <xf numFmtId="0" fontId="72" fillId="0" borderId="15" xfId="12" applyFont="1" applyBorder="1" applyAlignment="1">
      <alignment horizontal="center" vertical="center" shrinkToFit="1"/>
    </xf>
    <xf numFmtId="0" fontId="72" fillId="0" borderId="0" xfId="12" applyFont="1" applyBorder="1" applyAlignment="1">
      <alignment horizontal="center" vertical="center" shrinkToFit="1"/>
    </xf>
    <xf numFmtId="0" fontId="0" fillId="0" borderId="16" xfId="0" applyBorder="1" applyAlignment="1">
      <alignment horizontal="center" vertical="center" shrinkToFit="1"/>
    </xf>
    <xf numFmtId="178" fontId="29" fillId="0" borderId="2" xfId="12" applyNumberFormat="1" applyFont="1" applyBorder="1" applyAlignment="1">
      <alignment vertical="center"/>
    </xf>
    <xf numFmtId="178" fontId="0" fillId="0" borderId="4" xfId="0" applyNumberFormat="1" applyBorder="1" applyAlignment="1">
      <alignment vertical="center"/>
    </xf>
    <xf numFmtId="0" fontId="29" fillId="0" borderId="2" xfId="12" applyFont="1" applyBorder="1" applyAlignment="1">
      <alignment horizontal="center" vertical="center" wrapText="1"/>
    </xf>
    <xf numFmtId="0" fontId="0" fillId="0" borderId="4" xfId="0" applyBorder="1" applyAlignment="1">
      <alignment horizontal="center" vertical="center"/>
    </xf>
    <xf numFmtId="0" fontId="22" fillId="2" borderId="2" xfId="9" applyFont="1" applyFill="1" applyBorder="1" applyAlignment="1" applyProtection="1">
      <alignment horizontal="left" vertical="center" shrinkToFit="1"/>
      <protection locked="0"/>
    </xf>
    <xf numFmtId="0" fontId="21" fillId="2" borderId="3" xfId="9" applyFont="1" applyFill="1" applyBorder="1" applyAlignment="1" applyProtection="1">
      <alignment horizontal="left" vertical="center" shrinkToFit="1"/>
      <protection locked="0"/>
    </xf>
    <xf numFmtId="0" fontId="21" fillId="2" borderId="4" xfId="9" applyFont="1" applyFill="1" applyBorder="1" applyAlignment="1" applyProtection="1">
      <alignment horizontal="left" vertical="center" shrinkToFit="1"/>
      <protection locked="0"/>
    </xf>
    <xf numFmtId="0" fontId="10" fillId="0" borderId="15" xfId="9" applyFont="1" applyBorder="1" applyAlignment="1" applyProtection="1">
      <alignment vertical="center" wrapText="1"/>
    </xf>
    <xf numFmtId="0" fontId="10" fillId="0" borderId="0" xfId="9" applyFont="1" applyAlignment="1" applyProtection="1">
      <alignment vertical="center" wrapText="1"/>
    </xf>
    <xf numFmtId="0" fontId="10" fillId="0" borderId="6" xfId="9" applyFont="1" applyBorder="1" applyAlignment="1" applyProtection="1">
      <alignment horizontal="center" vertical="center"/>
    </xf>
    <xf numFmtId="0" fontId="10" fillId="0" borderId="10" xfId="9" applyFont="1" applyBorder="1" applyAlignment="1" applyProtection="1">
      <alignment horizontal="center" vertical="center"/>
    </xf>
    <xf numFmtId="0" fontId="10" fillId="0" borderId="6" xfId="9" applyFont="1" applyBorder="1" applyAlignment="1" applyProtection="1">
      <alignment vertical="center" wrapText="1"/>
    </xf>
    <xf numFmtId="0" fontId="10" fillId="0" borderId="10" xfId="9" applyFont="1" applyBorder="1" applyAlignment="1" applyProtection="1">
      <alignment vertical="center" wrapText="1"/>
    </xf>
    <xf numFmtId="0" fontId="10" fillId="0" borderId="0" xfId="9" applyFont="1" applyAlignment="1" applyProtection="1">
      <alignment horizontal="left" vertical="center" wrapText="1"/>
    </xf>
    <xf numFmtId="0" fontId="21" fillId="0" borderId="0" xfId="9" applyFont="1" applyAlignment="1" applyProtection="1">
      <alignment horizontal="left" vertical="center" wrapText="1"/>
    </xf>
    <xf numFmtId="0" fontId="12" fillId="5" borderId="2" xfId="9" applyFont="1" applyFill="1" applyBorder="1" applyAlignment="1" applyProtection="1">
      <alignment horizontal="center" vertical="center" shrinkToFit="1"/>
    </xf>
    <xf numFmtId="0" fontId="19" fillId="0" borderId="3" xfId="9" applyFont="1" applyBorder="1" applyAlignment="1" applyProtection="1">
      <alignment horizontal="center" vertical="center" shrinkToFit="1"/>
    </xf>
    <xf numFmtId="0" fontId="19" fillId="0" borderId="4" xfId="9" applyFont="1" applyBorder="1" applyAlignment="1" applyProtection="1">
      <alignment horizontal="center" vertical="center" shrinkToFit="1"/>
    </xf>
    <xf numFmtId="0" fontId="22" fillId="2" borderId="3" xfId="9" applyFont="1" applyFill="1" applyBorder="1" applyAlignment="1" applyProtection="1">
      <alignment horizontal="left" vertical="center" shrinkToFit="1"/>
      <protection locked="0"/>
    </xf>
    <xf numFmtId="0" fontId="22" fillId="2" borderId="4" xfId="9" applyFont="1" applyFill="1" applyBorder="1" applyAlignment="1" applyProtection="1">
      <alignment horizontal="left" vertical="center" shrinkToFit="1"/>
      <protection locked="0"/>
    </xf>
    <xf numFmtId="0" fontId="12" fillId="5" borderId="2" xfId="10" applyFont="1" applyFill="1" applyBorder="1" applyAlignment="1" applyProtection="1">
      <alignment horizontal="center" vertical="center" wrapText="1" shrinkToFit="1"/>
    </xf>
    <xf numFmtId="0" fontId="0" fillId="0" borderId="3" xfId="0" applyBorder="1" applyAlignment="1">
      <alignment horizontal="center" vertical="center" shrinkToFit="1"/>
    </xf>
    <xf numFmtId="0" fontId="0" fillId="0" borderId="4" xfId="0" applyBorder="1" applyAlignment="1">
      <alignment horizontal="center" vertical="center" shrinkToFit="1"/>
    </xf>
    <xf numFmtId="0" fontId="11" fillId="4" borderId="0" xfId="9" applyFont="1" applyFill="1" applyAlignment="1" applyProtection="1">
      <alignment horizontal="left" vertical="center"/>
    </xf>
    <xf numFmtId="0" fontId="14" fillId="4" borderId="0" xfId="9" applyFont="1" applyFill="1" applyAlignment="1" applyProtection="1">
      <alignment horizontal="left" vertical="center"/>
    </xf>
    <xf numFmtId="183" fontId="10" fillId="0" borderId="0" xfId="9" applyNumberFormat="1" applyFont="1" applyAlignment="1" applyProtection="1">
      <alignment horizontal="right" vertical="center" shrinkToFit="1"/>
    </xf>
    <xf numFmtId="183" fontId="21" fillId="0" borderId="0" xfId="9" applyNumberFormat="1" applyFont="1" applyAlignment="1" applyProtection="1">
      <alignment horizontal="right" vertical="center" shrinkToFit="1"/>
    </xf>
    <xf numFmtId="176" fontId="10" fillId="0" borderId="2" xfId="9" applyNumberFormat="1" applyFont="1" applyBorder="1" applyAlignment="1" applyProtection="1">
      <alignment horizontal="right" vertical="center" shrinkToFit="1"/>
    </xf>
    <xf numFmtId="176" fontId="4" fillId="0" borderId="4" xfId="9" applyNumberFormat="1" applyBorder="1" applyAlignment="1" applyProtection="1">
      <alignment horizontal="right" vertical="center" shrinkToFit="1"/>
    </xf>
    <xf numFmtId="0" fontId="22" fillId="0" borderId="0" xfId="9" applyFont="1" applyAlignment="1" applyProtection="1">
      <alignment horizontal="left" vertical="center" wrapText="1"/>
    </xf>
    <xf numFmtId="0" fontId="10" fillId="0" borderId="2" xfId="9" applyFont="1" applyBorder="1" applyAlignment="1" applyProtection="1">
      <alignment horizontal="center" vertical="center" wrapText="1"/>
    </xf>
    <xf numFmtId="0" fontId="10" fillId="0" borderId="3" xfId="9" applyFont="1" applyBorder="1" applyAlignment="1" applyProtection="1">
      <alignment horizontal="center" vertical="center" wrapText="1"/>
    </xf>
    <xf numFmtId="176" fontId="10" fillId="2" borderId="2" xfId="9" applyNumberFormat="1" applyFont="1" applyFill="1" applyBorder="1" applyAlignment="1" applyProtection="1">
      <alignment horizontal="right" vertical="center" wrapText="1"/>
      <protection locked="0"/>
    </xf>
    <xf numFmtId="0" fontId="4" fillId="0" borderId="4" xfId="9" applyBorder="1" applyProtection="1">
      <alignment vertical="center"/>
      <protection locked="0"/>
    </xf>
    <xf numFmtId="0" fontId="4" fillId="0" borderId="15" xfId="9" applyBorder="1" applyAlignment="1" applyProtection="1">
      <alignment vertical="center" wrapText="1"/>
    </xf>
    <xf numFmtId="186" fontId="10" fillId="0" borderId="2" xfId="9" applyNumberFormat="1" applyFont="1" applyBorder="1" applyAlignment="1" applyProtection="1">
      <alignment horizontal="right" vertical="center" wrapText="1"/>
    </xf>
    <xf numFmtId="0" fontId="4" fillId="0" borderId="4" xfId="9" applyBorder="1" applyAlignment="1" applyProtection="1">
      <alignment vertical="center" wrapText="1"/>
    </xf>
    <xf numFmtId="0" fontId="10" fillId="0" borderId="0" xfId="9" applyFont="1" applyAlignment="1" applyProtection="1">
      <alignment horizontal="right" vertical="center"/>
    </xf>
    <xf numFmtId="0" fontId="10" fillId="0" borderId="2" xfId="9" applyFont="1" applyBorder="1" applyAlignment="1" applyProtection="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wrapText="1"/>
    </xf>
    <xf numFmtId="176" fontId="11" fillId="2" borderId="1" xfId="0" applyNumberFormat="1" applyFont="1" applyFill="1" applyBorder="1" applyAlignment="1" applyProtection="1">
      <alignment horizontal="right" vertical="center" shrinkToFit="1"/>
      <protection locked="0"/>
    </xf>
    <xf numFmtId="176" fontId="14" fillId="2" borderId="1" xfId="0" applyNumberFormat="1" applyFont="1" applyFill="1" applyBorder="1" applyAlignment="1" applyProtection="1">
      <alignment horizontal="right" vertical="center" shrinkToFit="1"/>
      <protection locked="0"/>
    </xf>
    <xf numFmtId="0" fontId="11" fillId="0" borderId="1" xfId="0" applyFont="1" applyBorder="1" applyAlignment="1">
      <alignment horizontal="center" shrinkToFit="1"/>
    </xf>
    <xf numFmtId="0" fontId="14" fillId="0" borderId="1" xfId="0" applyFont="1" applyBorder="1" applyAlignment="1">
      <alignment horizontal="center" shrinkToFit="1"/>
    </xf>
    <xf numFmtId="0" fontId="11" fillId="0" borderId="1" xfId="0" applyFont="1" applyBorder="1" applyAlignment="1">
      <alignment shrinkToFit="1"/>
    </xf>
    <xf numFmtId="0" fontId="14" fillId="0" borderId="1" xfId="0" applyFont="1" applyBorder="1" applyAlignment="1">
      <alignment shrinkToFit="1"/>
    </xf>
    <xf numFmtId="0" fontId="15" fillId="0" borderId="0" xfId="0" applyFont="1" applyAlignment="1">
      <alignment horizontal="right" vertical="center" shrinkToFit="1"/>
    </xf>
    <xf numFmtId="0" fontId="18" fillId="0" borderId="0" xfId="0" applyFont="1" applyAlignment="1">
      <alignment horizontal="right" vertical="center" shrinkToFit="1"/>
    </xf>
    <xf numFmtId="0" fontId="39" fillId="0" borderId="0" xfId="0" applyFont="1" applyAlignment="1">
      <alignment horizontal="center" vertical="center" shrinkToFit="1"/>
    </xf>
    <xf numFmtId="0" fontId="65" fillId="0" borderId="0" xfId="0" applyFont="1" applyAlignment="1">
      <alignment horizontal="center" vertical="center" shrinkToFit="1"/>
    </xf>
    <xf numFmtId="0" fontId="11" fillId="0" borderId="0" xfId="0" applyFont="1" applyAlignment="1">
      <alignment vertical="center" wrapText="1" shrinkToFit="1"/>
    </xf>
    <xf numFmtId="0" fontId="14" fillId="0" borderId="0" xfId="0" applyFont="1" applyAlignment="1">
      <alignment vertical="center" shrinkToFit="1"/>
    </xf>
    <xf numFmtId="0" fontId="15" fillId="4" borderId="0" xfId="0" applyFont="1" applyFill="1" applyAlignment="1">
      <alignment vertical="center" shrinkToFit="1"/>
    </xf>
    <xf numFmtId="0" fontId="18" fillId="4" borderId="0" xfId="0" applyFont="1" applyFill="1" applyAlignment="1">
      <alignment vertical="center" shrinkToFit="1"/>
    </xf>
    <xf numFmtId="0" fontId="11" fillId="0" borderId="1" xfId="0" applyFont="1" applyBorder="1" applyAlignment="1">
      <alignment horizontal="distributed" vertical="center" shrinkToFit="1"/>
    </xf>
    <xf numFmtId="0" fontId="14" fillId="0" borderId="1" xfId="0" applyFont="1" applyBorder="1" applyAlignment="1">
      <alignment horizontal="distributed" vertical="center" shrinkToFit="1"/>
    </xf>
    <xf numFmtId="0" fontId="14" fillId="0" borderId="5" xfId="0" applyFont="1" applyBorder="1" applyAlignment="1">
      <alignment horizontal="center" vertical="center" shrinkToFit="1"/>
    </xf>
    <xf numFmtId="0" fontId="14" fillId="0" borderId="14" xfId="0" applyFont="1" applyBorder="1" applyAlignment="1">
      <alignment horizontal="center" vertical="center" shrinkToFit="1"/>
    </xf>
    <xf numFmtId="0" fontId="11" fillId="0" borderId="1" xfId="0" applyFont="1" applyBorder="1" applyAlignment="1">
      <alignment vertical="center" shrinkToFit="1"/>
    </xf>
    <xf numFmtId="0" fontId="0" fillId="0" borderId="1" xfId="0" applyBorder="1" applyAlignment="1">
      <alignment vertical="center" shrinkToFit="1"/>
    </xf>
    <xf numFmtId="0" fontId="11" fillId="2" borderId="1" xfId="0" applyFont="1" applyFill="1" applyBorder="1" applyAlignment="1" applyProtection="1">
      <alignment horizontal="distributed" vertical="center" shrinkToFit="1"/>
      <protection locked="0"/>
    </xf>
    <xf numFmtId="0" fontId="14" fillId="2" borderId="1" xfId="0" applyFont="1" applyFill="1" applyBorder="1" applyAlignment="1" applyProtection="1">
      <alignment horizontal="distributed" vertical="center" shrinkToFit="1"/>
      <protection locked="0"/>
    </xf>
    <xf numFmtId="247" fontId="11" fillId="2" borderId="1" xfId="0" applyNumberFormat="1" applyFont="1" applyFill="1" applyBorder="1" applyAlignment="1" applyProtection="1">
      <alignment horizontal="right" vertical="center" shrinkToFit="1"/>
      <protection locked="0"/>
    </xf>
    <xf numFmtId="247" fontId="14" fillId="2" borderId="1" xfId="0" applyNumberFormat="1" applyFont="1" applyFill="1" applyBorder="1" applyAlignment="1" applyProtection="1">
      <alignment horizontal="right" vertical="center" shrinkToFit="1"/>
      <protection locked="0"/>
    </xf>
    <xf numFmtId="176" fontId="11" fillId="0" borderId="1" xfId="0" applyNumberFormat="1" applyFont="1" applyBorder="1" applyAlignment="1">
      <alignment horizontal="right" vertical="center" shrinkToFit="1"/>
    </xf>
    <xf numFmtId="176" fontId="14" fillId="0" borderId="1" xfId="0" applyNumberFormat="1" applyFont="1" applyBorder="1" applyAlignment="1">
      <alignment horizontal="right" vertical="center" shrinkToFit="1"/>
    </xf>
    <xf numFmtId="176" fontId="11" fillId="0" borderId="13" xfId="0" applyNumberFormat="1" applyFont="1" applyBorder="1" applyAlignment="1">
      <alignment horizontal="right" vertical="center" shrinkToFit="1"/>
    </xf>
    <xf numFmtId="176" fontId="14" fillId="0" borderId="5" xfId="0" applyNumberFormat="1" applyFont="1" applyBorder="1" applyAlignment="1">
      <alignment horizontal="right" vertical="center" shrinkToFit="1"/>
    </xf>
    <xf numFmtId="176" fontId="14" fillId="0" borderId="14" xfId="0" applyNumberFormat="1" applyFont="1" applyBorder="1" applyAlignment="1">
      <alignment horizontal="right" vertical="center" shrinkToFit="1"/>
    </xf>
    <xf numFmtId="176" fontId="0" fillId="0" borderId="15" xfId="0" applyNumberFormat="1" applyBorder="1" applyAlignment="1">
      <alignment horizontal="right" vertical="center" shrinkToFit="1"/>
    </xf>
    <xf numFmtId="176" fontId="0" fillId="0" borderId="0" xfId="0" applyNumberFormat="1" applyAlignment="1">
      <alignment horizontal="right" vertical="center" shrinkToFit="1"/>
    </xf>
    <xf numFmtId="176" fontId="0" fillId="0" borderId="16" xfId="0" applyNumberFormat="1" applyBorder="1" applyAlignment="1">
      <alignment horizontal="right" vertical="center" shrinkToFit="1"/>
    </xf>
    <xf numFmtId="176" fontId="0" fillId="0" borderId="15" xfId="0" applyNumberFormat="1" applyBorder="1" applyAlignment="1">
      <alignment horizontal="right" shrinkToFit="1"/>
    </xf>
    <xf numFmtId="176" fontId="0" fillId="0" borderId="0" xfId="0" applyNumberFormat="1" applyAlignment="1">
      <alignment horizontal="right" shrinkToFit="1"/>
    </xf>
    <xf numFmtId="176" fontId="0" fillId="0" borderId="16" xfId="0" applyNumberFormat="1" applyBorder="1" applyAlignment="1">
      <alignment horizontal="right" shrinkToFit="1"/>
    </xf>
    <xf numFmtId="176" fontId="0" fillId="0" borderId="7" xfId="0" applyNumberFormat="1" applyBorder="1" applyAlignment="1">
      <alignment horizontal="right" shrinkToFit="1"/>
    </xf>
    <xf numFmtId="176" fontId="0" fillId="0" borderId="8" xfId="0" applyNumberFormat="1" applyBorder="1" applyAlignment="1">
      <alignment horizontal="right" shrinkToFit="1"/>
    </xf>
    <xf numFmtId="176" fontId="0" fillId="0" borderId="9" xfId="0" applyNumberFormat="1" applyBorder="1" applyAlignment="1">
      <alignment horizontal="right" shrinkToFit="1"/>
    </xf>
    <xf numFmtId="0" fontId="10" fillId="0" borderId="1" xfId="0" applyFont="1" applyBorder="1" applyAlignment="1">
      <alignment horizontal="center" vertical="center" shrinkToFit="1"/>
    </xf>
    <xf numFmtId="0" fontId="11" fillId="2" borderId="1" xfId="0" applyFont="1" applyFill="1" applyBorder="1" applyAlignment="1" applyProtection="1">
      <alignment horizontal="left" vertical="center" shrinkToFit="1"/>
      <protection locked="0"/>
    </xf>
    <xf numFmtId="0" fontId="0" fillId="2" borderId="1" xfId="0" applyFill="1" applyBorder="1" applyAlignment="1" applyProtection="1">
      <alignment horizontal="left" vertical="center" shrinkToFit="1"/>
      <protection locked="0"/>
    </xf>
    <xf numFmtId="248" fontId="11" fillId="2" borderId="1" xfId="0" applyNumberFormat="1" applyFont="1" applyFill="1" applyBorder="1" applyAlignment="1" applyProtection="1">
      <alignment horizontal="center" vertical="center" shrinkToFit="1"/>
      <protection locked="0"/>
    </xf>
    <xf numFmtId="248" fontId="0" fillId="2" borderId="1" xfId="0" applyNumberFormat="1" applyFill="1" applyBorder="1" applyAlignment="1" applyProtection="1">
      <alignment horizontal="center" vertical="center" shrinkToFit="1"/>
      <protection locked="0"/>
    </xf>
    <xf numFmtId="0" fontId="10" fillId="0" borderId="1" xfId="0" applyFont="1" applyBorder="1" applyAlignment="1">
      <alignment horizontal="left" vertical="center" shrinkToFit="1"/>
    </xf>
    <xf numFmtId="0" fontId="0" fillId="0" borderId="1" xfId="0" applyBorder="1" applyAlignment="1">
      <alignment horizontal="left" vertical="center" shrinkToFit="1"/>
    </xf>
    <xf numFmtId="0" fontId="10" fillId="0" borderId="0" xfId="0" applyFont="1" applyAlignment="1">
      <alignment horizontal="center" shrinkToFit="1"/>
    </xf>
    <xf numFmtId="0" fontId="0" fillId="0" borderId="0" xfId="0" applyAlignment="1">
      <alignment horizontal="center" shrinkToFit="1"/>
    </xf>
    <xf numFmtId="0" fontId="10" fillId="0" borderId="0" xfId="0" applyFont="1" applyAlignment="1">
      <alignment shrinkToFit="1"/>
    </xf>
    <xf numFmtId="0" fontId="0" fillId="0" borderId="0" xfId="0" applyAlignment="1">
      <alignment shrinkToFit="1"/>
    </xf>
    <xf numFmtId="0" fontId="11" fillId="0" borderId="0" xfId="0" applyFont="1" applyAlignment="1">
      <alignment vertical="center" shrinkToFit="1"/>
    </xf>
    <xf numFmtId="0" fontId="11" fillId="0" borderId="0" xfId="0" applyFont="1" applyAlignment="1">
      <alignment horizontal="center" vertical="center" shrinkToFit="1"/>
    </xf>
    <xf numFmtId="249" fontId="11" fillId="2" borderId="1" xfId="0" applyNumberFormat="1" applyFont="1" applyFill="1" applyBorder="1" applyAlignment="1" applyProtection="1">
      <alignment horizontal="center" vertical="center" shrinkToFit="1"/>
      <protection locked="0"/>
    </xf>
    <xf numFmtId="249" fontId="0" fillId="2" borderId="1" xfId="0" applyNumberFormat="1" applyFill="1" applyBorder="1" applyAlignment="1" applyProtection="1">
      <alignment horizontal="center" vertical="center" shrinkToFit="1"/>
      <protection locked="0"/>
    </xf>
    <xf numFmtId="0" fontId="11" fillId="0" borderId="15" xfId="0" applyFont="1" applyBorder="1" applyAlignment="1">
      <alignment horizontal="center" vertical="center" shrinkToFit="1"/>
    </xf>
    <xf numFmtId="0" fontId="0" fillId="0" borderId="15" xfId="0" applyBorder="1" applyAlignment="1">
      <alignment horizontal="center" vertical="center" shrinkToFit="1"/>
    </xf>
    <xf numFmtId="0" fontId="11" fillId="0" borderId="6" xfId="0" applyFont="1" applyBorder="1" applyAlignment="1">
      <alignment horizontal="center" vertical="center" shrinkToFit="1"/>
    </xf>
    <xf numFmtId="0" fontId="0" fillId="0" borderId="6" xfId="0" applyBorder="1" applyAlignment="1">
      <alignment horizontal="center" vertical="center" shrinkToFit="1"/>
    </xf>
    <xf numFmtId="0" fontId="10" fillId="0" borderId="6" xfId="0" applyFont="1" applyBorder="1" applyAlignment="1">
      <alignment horizontal="left" vertical="center" shrinkToFit="1"/>
    </xf>
    <xf numFmtId="0" fontId="0" fillId="0" borderId="6" xfId="0" applyBorder="1" applyAlignment="1">
      <alignment horizontal="left" vertical="center" shrinkToFit="1"/>
    </xf>
    <xf numFmtId="250" fontId="10" fillId="2" borderId="13" xfId="0" applyNumberFormat="1" applyFont="1" applyFill="1" applyBorder="1" applyAlignment="1" applyProtection="1">
      <alignment horizontal="center" vertical="center" shrinkToFit="1"/>
      <protection locked="0"/>
    </xf>
    <xf numFmtId="250" fontId="0" fillId="2" borderId="5" xfId="0" applyNumberFormat="1" applyFill="1" applyBorder="1" applyAlignment="1" applyProtection="1">
      <alignment horizontal="center" vertical="center" shrinkToFit="1"/>
      <protection locked="0"/>
    </xf>
    <xf numFmtId="250" fontId="0" fillId="2" borderId="14" xfId="0" applyNumberFormat="1" applyFill="1" applyBorder="1" applyAlignment="1" applyProtection="1">
      <alignment horizontal="center" vertical="center" shrinkToFit="1"/>
      <protection locked="0"/>
    </xf>
    <xf numFmtId="250" fontId="0" fillId="2" borderId="7" xfId="0" applyNumberFormat="1" applyFill="1" applyBorder="1" applyAlignment="1" applyProtection="1">
      <alignment horizontal="center" vertical="center" shrinkToFit="1"/>
      <protection locked="0"/>
    </xf>
    <xf numFmtId="250" fontId="0" fillId="2" borderId="8" xfId="0" applyNumberFormat="1" applyFill="1" applyBorder="1" applyAlignment="1" applyProtection="1">
      <alignment horizontal="center" vertical="center" shrinkToFit="1"/>
      <protection locked="0"/>
    </xf>
    <xf numFmtId="250" fontId="0" fillId="2" borderId="9" xfId="0" applyNumberFormat="1" applyFill="1" applyBorder="1" applyAlignment="1" applyProtection="1">
      <alignment horizontal="center" vertical="center" shrinkToFit="1"/>
      <protection locked="0"/>
    </xf>
    <xf numFmtId="0" fontId="10" fillId="0" borderId="0" xfId="0" applyFont="1" applyAlignment="1">
      <alignment horizontal="center" vertical="center" shrinkToFit="1"/>
    </xf>
    <xf numFmtId="176" fontId="10" fillId="0" borderId="13" xfId="0" applyNumberFormat="1" applyFont="1" applyBorder="1" applyAlignment="1">
      <alignment horizontal="center" vertical="center" shrinkToFit="1"/>
    </xf>
    <xf numFmtId="176" fontId="0" fillId="0" borderId="5" xfId="0" applyNumberFormat="1" applyBorder="1" applyAlignment="1">
      <alignment horizontal="center" vertical="center" shrinkToFit="1"/>
    </xf>
    <xf numFmtId="176" fontId="0" fillId="0" borderId="14" xfId="0" applyNumberFormat="1" applyBorder="1" applyAlignment="1">
      <alignment shrinkToFit="1"/>
    </xf>
    <xf numFmtId="176" fontId="0" fillId="0" borderId="7" xfId="0" applyNumberFormat="1" applyBorder="1" applyAlignment="1">
      <alignment horizontal="center" vertical="center" shrinkToFit="1"/>
    </xf>
    <xf numFmtId="176" fontId="0" fillId="0" borderId="8" xfId="0" applyNumberFormat="1" applyBorder="1" applyAlignment="1">
      <alignment horizontal="center" vertical="center" shrinkToFit="1"/>
    </xf>
    <xf numFmtId="176" fontId="0" fillId="0" borderId="9" xfId="0" applyNumberFormat="1" applyBorder="1" applyAlignment="1">
      <alignment shrinkToFit="1"/>
    </xf>
    <xf numFmtId="0" fontId="0" fillId="0" borderId="7" xfId="0" applyBorder="1" applyAlignment="1">
      <alignment horizontal="center" vertical="center" shrinkToFit="1"/>
    </xf>
    <xf numFmtId="0" fontId="0" fillId="0" borderId="8" xfId="0" applyBorder="1" applyAlignment="1">
      <alignment horizontal="center" vertical="center" shrinkToFit="1"/>
    </xf>
    <xf numFmtId="0" fontId="0" fillId="0" borderId="9" xfId="0" applyBorder="1" applyAlignment="1">
      <alignment horizontal="center" vertical="center" shrinkToFit="1"/>
    </xf>
    <xf numFmtId="249" fontId="10" fillId="0" borderId="13" xfId="0" applyNumberFormat="1" applyFont="1" applyBorder="1" applyAlignment="1">
      <alignment horizontal="center" vertical="center" shrinkToFit="1"/>
    </xf>
    <xf numFmtId="249" fontId="0" fillId="0" borderId="5" xfId="0" applyNumberFormat="1" applyBorder="1" applyAlignment="1">
      <alignment horizontal="center" vertical="center" shrinkToFit="1"/>
    </xf>
    <xf numFmtId="249" fontId="0" fillId="0" borderId="14" xfId="0" applyNumberFormat="1" applyBorder="1" applyAlignment="1">
      <alignment horizontal="center" vertical="center" shrinkToFit="1"/>
    </xf>
    <xf numFmtId="249" fontId="0" fillId="0" borderId="7" xfId="0" applyNumberFormat="1" applyBorder="1" applyAlignment="1">
      <alignment horizontal="center" vertical="center" shrinkToFit="1"/>
    </xf>
    <xf numFmtId="249" fontId="0" fillId="0" borderId="8" xfId="0" applyNumberFormat="1" applyBorder="1" applyAlignment="1">
      <alignment horizontal="center" vertical="center" shrinkToFit="1"/>
    </xf>
    <xf numFmtId="249" fontId="0" fillId="0" borderId="9" xfId="0" applyNumberFormat="1" applyBorder="1" applyAlignment="1">
      <alignment horizontal="center" vertical="center" shrinkToFit="1"/>
    </xf>
    <xf numFmtId="0" fontId="15" fillId="0" borderId="5" xfId="9" applyFont="1" applyBorder="1" applyAlignment="1" applyProtection="1">
      <alignment horizontal="right" vertical="center" shrinkToFit="1"/>
    </xf>
    <xf numFmtId="0" fontId="15" fillId="0" borderId="5" xfId="0" applyFont="1" applyBorder="1" applyAlignment="1" applyProtection="1">
      <alignment horizontal="right" vertical="center" shrinkToFit="1"/>
    </xf>
    <xf numFmtId="176" fontId="15" fillId="0" borderId="5" xfId="9" applyNumberFormat="1" applyFont="1" applyBorder="1" applyAlignment="1" applyProtection="1">
      <alignment vertical="center" shrinkToFit="1"/>
    </xf>
    <xf numFmtId="0" fontId="15" fillId="0" borderId="5" xfId="0" applyFont="1" applyBorder="1" applyAlignment="1" applyProtection="1">
      <alignment vertical="center" shrinkToFit="1"/>
    </xf>
    <xf numFmtId="176" fontId="15" fillId="0" borderId="1" xfId="9" applyNumberFormat="1" applyFont="1" applyBorder="1" applyAlignment="1" applyProtection="1">
      <alignment vertical="center" shrinkToFit="1"/>
    </xf>
    <xf numFmtId="176" fontId="4" fillId="0" borderId="1" xfId="9" applyNumberFormat="1" applyBorder="1" applyAlignment="1" applyProtection="1">
      <alignment vertical="center" shrinkToFit="1"/>
    </xf>
    <xf numFmtId="0" fontId="15" fillId="0" borderId="69" xfId="9" applyFont="1" applyBorder="1" applyAlignment="1" applyProtection="1">
      <alignment horizontal="right" vertical="center" shrinkToFit="1"/>
    </xf>
    <xf numFmtId="0" fontId="4" fillId="0" borderId="70" xfId="9" applyBorder="1" applyAlignment="1" applyProtection="1">
      <alignment horizontal="right" vertical="center" shrinkToFit="1"/>
    </xf>
    <xf numFmtId="192" fontId="15" fillId="0" borderId="69" xfId="9" applyNumberFormat="1" applyFont="1" applyBorder="1" applyAlignment="1" applyProtection="1">
      <alignment horizontal="right" vertical="center" shrinkToFit="1"/>
    </xf>
    <xf numFmtId="192" fontId="15" fillId="0" borderId="71" xfId="9" applyNumberFormat="1" applyFont="1" applyBorder="1" applyAlignment="1" applyProtection="1">
      <alignment vertical="center" shrinkToFit="1"/>
    </xf>
    <xf numFmtId="0" fontId="4" fillId="0" borderId="69" xfId="9" applyBorder="1" applyAlignment="1" applyProtection="1">
      <alignment horizontal="right" vertical="center" shrinkToFit="1"/>
    </xf>
    <xf numFmtId="0" fontId="4" fillId="0" borderId="70" xfId="9" applyBorder="1" applyAlignment="1" applyProtection="1">
      <alignment vertical="center" shrinkToFit="1"/>
    </xf>
    <xf numFmtId="0" fontId="4" fillId="0" borderId="71" xfId="9" applyBorder="1" applyAlignment="1" applyProtection="1">
      <alignment vertical="center" shrinkToFit="1"/>
    </xf>
    <xf numFmtId="176" fontId="15" fillId="0" borderId="69" xfId="9" applyNumberFormat="1" applyFont="1" applyBorder="1" applyAlignment="1" applyProtection="1">
      <alignment vertical="center" shrinkToFit="1"/>
    </xf>
    <xf numFmtId="0" fontId="15" fillId="2" borderId="72" xfId="9" applyFont="1" applyFill="1" applyBorder="1" applyAlignment="1" applyProtection="1">
      <alignment horizontal="center" vertical="center" shrinkToFit="1"/>
      <protection locked="0"/>
    </xf>
    <xf numFmtId="0" fontId="4" fillId="2" borderId="73" xfId="9" applyFill="1" applyBorder="1" applyAlignment="1" applyProtection="1">
      <alignment horizontal="center" vertical="center" shrinkToFit="1"/>
      <protection locked="0"/>
    </xf>
    <xf numFmtId="0" fontId="15" fillId="2" borderId="72" xfId="9" applyFont="1" applyFill="1" applyBorder="1" applyAlignment="1" applyProtection="1">
      <alignment horizontal="left" vertical="center" shrinkToFit="1"/>
      <protection locked="0"/>
    </xf>
    <xf numFmtId="0" fontId="15" fillId="2" borderId="73" xfId="9" applyFont="1" applyFill="1" applyBorder="1" applyAlignment="1" applyProtection="1">
      <alignment horizontal="left" vertical="center" shrinkToFit="1"/>
      <protection locked="0"/>
    </xf>
    <xf numFmtId="0" fontId="15" fillId="2" borderId="74" xfId="9" applyFont="1" applyFill="1" applyBorder="1" applyAlignment="1" applyProtection="1">
      <alignment horizontal="left" vertical="center" shrinkToFit="1"/>
      <protection locked="0"/>
    </xf>
    <xf numFmtId="192" fontId="15" fillId="2" borderId="6" xfId="9" applyNumberFormat="1" applyFont="1" applyFill="1" applyBorder="1" applyAlignment="1" applyProtection="1">
      <alignment vertical="center" shrinkToFit="1"/>
      <protection locked="0"/>
    </xf>
    <xf numFmtId="192" fontId="4" fillId="2" borderId="6" xfId="9" applyNumberFormat="1" applyFill="1" applyBorder="1" applyAlignment="1" applyProtection="1">
      <alignment vertical="center" shrinkToFit="1"/>
      <protection locked="0"/>
    </xf>
    <xf numFmtId="176" fontId="15" fillId="2" borderId="6" xfId="9" applyNumberFormat="1" applyFont="1" applyFill="1" applyBorder="1" applyAlignment="1" applyProtection="1">
      <alignment vertical="center" shrinkToFit="1"/>
      <protection locked="0"/>
    </xf>
    <xf numFmtId="176" fontId="4" fillId="2" borderId="6" xfId="9" applyNumberFormat="1" applyFill="1" applyBorder="1" applyAlignment="1" applyProtection="1">
      <alignment vertical="center" shrinkToFit="1"/>
      <protection locked="0"/>
    </xf>
    <xf numFmtId="0" fontId="4" fillId="0" borderId="1" xfId="9" applyBorder="1" applyAlignment="1" applyProtection="1">
      <alignment vertical="center" shrinkToFit="1"/>
    </xf>
    <xf numFmtId="0" fontId="15" fillId="2" borderId="2" xfId="9" applyFont="1" applyFill="1" applyBorder="1" applyAlignment="1" applyProtection="1">
      <alignment horizontal="center" vertical="center" shrinkToFit="1"/>
      <protection locked="0"/>
    </xf>
    <xf numFmtId="0" fontId="4" fillId="2" borderId="3" xfId="9" applyFill="1" applyBorder="1" applyAlignment="1" applyProtection="1">
      <alignment horizontal="center" vertical="center" shrinkToFit="1"/>
      <protection locked="0"/>
    </xf>
    <xf numFmtId="0" fontId="15" fillId="2" borderId="2" xfId="9" applyFont="1" applyFill="1" applyBorder="1" applyAlignment="1" applyProtection="1">
      <alignment horizontal="left" vertical="center" shrinkToFit="1"/>
      <protection locked="0"/>
    </xf>
    <xf numFmtId="0" fontId="15" fillId="2" borderId="3" xfId="9" applyFont="1" applyFill="1" applyBorder="1" applyAlignment="1" applyProtection="1">
      <alignment horizontal="left" vertical="center" shrinkToFit="1"/>
      <protection locked="0"/>
    </xf>
    <xf numFmtId="0" fontId="15" fillId="2" borderId="4" xfId="9" applyFont="1" applyFill="1" applyBorder="1" applyAlignment="1" applyProtection="1">
      <alignment horizontal="left" vertical="center" shrinkToFit="1"/>
      <protection locked="0"/>
    </xf>
    <xf numFmtId="192" fontId="15" fillId="2" borderId="1" xfId="9" applyNumberFormat="1" applyFont="1" applyFill="1" applyBorder="1" applyAlignment="1" applyProtection="1">
      <alignment vertical="center" shrinkToFit="1"/>
      <protection locked="0"/>
    </xf>
    <xf numFmtId="192" fontId="4" fillId="2" borderId="1" xfId="9" applyNumberFormat="1" applyFill="1" applyBorder="1" applyAlignment="1" applyProtection="1">
      <alignment vertical="center" shrinkToFit="1"/>
      <protection locked="0"/>
    </xf>
    <xf numFmtId="176" fontId="15" fillId="2" borderId="1" xfId="9" applyNumberFormat="1" applyFont="1" applyFill="1" applyBorder="1" applyAlignment="1" applyProtection="1">
      <alignment vertical="center" shrinkToFit="1"/>
      <protection locked="0"/>
    </xf>
    <xf numFmtId="176" fontId="4" fillId="2" borderId="1" xfId="9" applyNumberFormat="1" applyFill="1" applyBorder="1" applyAlignment="1" applyProtection="1">
      <alignment vertical="center" shrinkToFit="1"/>
      <protection locked="0"/>
    </xf>
    <xf numFmtId="0" fontId="4" fillId="0" borderId="1" xfId="9" applyBorder="1" applyAlignment="1" applyProtection="1">
      <alignment horizontal="center" vertical="center" shrinkToFit="1"/>
    </xf>
    <xf numFmtId="0" fontId="15" fillId="0" borderId="2" xfId="9" applyFont="1" applyBorder="1" applyAlignment="1" applyProtection="1">
      <alignment horizontal="center" vertical="center"/>
    </xf>
    <xf numFmtId="0" fontId="4" fillId="0" borderId="3" xfId="9" applyBorder="1" applyAlignment="1" applyProtection="1">
      <alignment horizontal="center" vertical="center"/>
    </xf>
    <xf numFmtId="0" fontId="15" fillId="0" borderId="3" xfId="9" applyFont="1" applyBorder="1" applyAlignment="1" applyProtection="1">
      <alignment horizontal="center" vertical="center"/>
    </xf>
    <xf numFmtId="0" fontId="15" fillId="0" borderId="4" xfId="9" applyFont="1" applyBorder="1" applyAlignment="1" applyProtection="1">
      <alignment horizontal="center" vertical="center"/>
    </xf>
    <xf numFmtId="0" fontId="15" fillId="0" borderId="1" xfId="9" applyFont="1" applyBorder="1" applyAlignment="1" applyProtection="1">
      <alignment horizontal="center" vertical="center"/>
    </xf>
    <xf numFmtId="0" fontId="4" fillId="0" borderId="1" xfId="9" applyBorder="1" applyAlignment="1" applyProtection="1">
      <alignment horizontal="center" vertical="center"/>
    </xf>
    <xf numFmtId="0" fontId="15" fillId="0" borderId="153" xfId="9" applyFont="1" applyBorder="1" applyAlignment="1" applyProtection="1">
      <alignment vertical="top" wrapText="1"/>
    </xf>
    <xf numFmtId="0" fontId="4" fillId="0" borderId="153" xfId="9" applyBorder="1" applyAlignment="1" applyProtection="1">
      <alignment vertical="top"/>
    </xf>
    <xf numFmtId="0" fontId="4" fillId="0" borderId="154" xfId="9" applyBorder="1" applyAlignment="1" applyProtection="1">
      <alignment vertical="top"/>
    </xf>
    <xf numFmtId="0" fontId="4" fillId="2" borderId="73" xfId="9" applyFill="1" applyBorder="1" applyAlignment="1" applyProtection="1">
      <alignment horizontal="left" vertical="center" shrinkToFit="1"/>
      <protection locked="0"/>
    </xf>
    <xf numFmtId="176" fontId="15" fillId="0" borderId="6" xfId="9" applyNumberFormat="1" applyFont="1" applyBorder="1" applyAlignment="1" applyProtection="1">
      <alignment vertical="center" shrinkToFit="1"/>
    </xf>
    <xf numFmtId="176" fontId="4" fillId="0" borderId="6" xfId="9" applyNumberFormat="1" applyBorder="1" applyAlignment="1" applyProtection="1">
      <alignment vertical="center" shrinkToFit="1"/>
    </xf>
    <xf numFmtId="176" fontId="15" fillId="0" borderId="72" xfId="9" applyNumberFormat="1" applyFont="1" applyBorder="1" applyAlignment="1" applyProtection="1">
      <alignment vertical="center" shrinkToFit="1"/>
    </xf>
    <xf numFmtId="176" fontId="15" fillId="0" borderId="73" xfId="9" applyNumberFormat="1" applyFont="1" applyBorder="1" applyAlignment="1" applyProtection="1">
      <alignment vertical="center" shrinkToFit="1"/>
    </xf>
    <xf numFmtId="176" fontId="15" fillId="0" borderId="74" xfId="9" applyNumberFormat="1" applyFont="1" applyBorder="1" applyAlignment="1" applyProtection="1">
      <alignment vertical="center" shrinkToFit="1"/>
    </xf>
    <xf numFmtId="0" fontId="15" fillId="0" borderId="70" xfId="0" applyFont="1" applyBorder="1" applyAlignment="1" applyProtection="1">
      <alignment vertical="center" shrinkToFit="1"/>
    </xf>
    <xf numFmtId="0" fontId="15" fillId="0" borderId="71" xfId="0" applyFont="1" applyBorder="1" applyAlignment="1" applyProtection="1">
      <alignment vertical="center" shrinkToFit="1"/>
    </xf>
    <xf numFmtId="0" fontId="4" fillId="2" borderId="3" xfId="9" applyFill="1" applyBorder="1" applyAlignment="1" applyProtection="1">
      <alignment horizontal="left" vertical="center" shrinkToFit="1"/>
      <protection locked="0"/>
    </xf>
    <xf numFmtId="176" fontId="15" fillId="0" borderId="2" xfId="9" applyNumberFormat="1" applyFont="1" applyBorder="1" applyAlignment="1" applyProtection="1">
      <alignment vertical="center" shrinkToFit="1"/>
    </xf>
    <xf numFmtId="176" fontId="15" fillId="0" borderId="3" xfId="9" applyNumberFormat="1" applyFont="1" applyBorder="1" applyAlignment="1" applyProtection="1">
      <alignment vertical="center" shrinkToFit="1"/>
    </xf>
    <xf numFmtId="176" fontId="15" fillId="0" borderId="4" xfId="9" applyNumberFormat="1" applyFont="1" applyBorder="1" applyAlignment="1" applyProtection="1">
      <alignment vertical="center" shrinkToFit="1"/>
    </xf>
    <xf numFmtId="176" fontId="15" fillId="0" borderId="1" xfId="9" applyNumberFormat="1" applyFont="1" applyBorder="1" applyAlignment="1" applyProtection="1">
      <alignment horizontal="right" vertical="center" shrinkToFit="1"/>
    </xf>
    <xf numFmtId="0" fontId="4" fillId="0" borderId="1" xfId="9" applyBorder="1" applyAlignment="1" applyProtection="1">
      <alignment horizontal="right" vertical="center" shrinkToFit="1"/>
    </xf>
    <xf numFmtId="0" fontId="15" fillId="0" borderId="153" xfId="9" applyFont="1" applyBorder="1" applyProtection="1">
      <alignment vertical="center"/>
    </xf>
    <xf numFmtId="0" fontId="4" fillId="0" borderId="153" xfId="9" applyBorder="1" applyProtection="1">
      <alignment vertical="center"/>
    </xf>
    <xf numFmtId="0" fontId="4" fillId="0" borderId="154" xfId="9" applyBorder="1" applyProtection="1">
      <alignment vertical="center"/>
    </xf>
    <xf numFmtId="0" fontId="15" fillId="0" borderId="0" xfId="9" applyFont="1" applyProtection="1">
      <alignment vertical="center"/>
    </xf>
    <xf numFmtId="0" fontId="4" fillId="0" borderId="156" xfId="9" applyBorder="1" applyProtection="1">
      <alignment vertical="center"/>
    </xf>
    <xf numFmtId="176" fontId="15" fillId="2" borderId="1" xfId="9" applyNumberFormat="1" applyFont="1" applyFill="1" applyBorder="1" applyAlignment="1" applyProtection="1">
      <alignment horizontal="right" vertical="center" shrinkToFit="1"/>
    </xf>
    <xf numFmtId="0" fontId="4" fillId="2" borderId="1" xfId="9" applyFill="1" applyBorder="1" applyAlignment="1" applyProtection="1">
      <alignment horizontal="right" vertical="center" shrinkToFit="1"/>
    </xf>
    <xf numFmtId="0" fontId="43" fillId="0" borderId="0" xfId="9" applyFont="1" applyAlignment="1" applyProtection="1">
      <alignment vertical="center" wrapText="1"/>
    </xf>
    <xf numFmtId="0" fontId="50" fillId="0" borderId="0" xfId="9" applyFont="1" applyAlignment="1" applyProtection="1">
      <alignment vertical="center" wrapText="1"/>
    </xf>
    <xf numFmtId="0" fontId="15" fillId="0" borderId="2" xfId="9" applyFont="1" applyBorder="1" applyAlignment="1" applyProtection="1">
      <alignment horizontal="right" vertical="center" shrinkToFit="1"/>
    </xf>
    <xf numFmtId="0" fontId="4" fillId="0" borderId="3" xfId="9" applyBorder="1" applyAlignment="1" applyProtection="1">
      <alignment horizontal="right" vertical="center" shrinkToFit="1"/>
    </xf>
    <xf numFmtId="0" fontId="15" fillId="0" borderId="3" xfId="9" applyFont="1" applyBorder="1" applyAlignment="1" applyProtection="1">
      <alignment horizontal="right" vertical="center" shrinkToFit="1"/>
    </xf>
    <xf numFmtId="0" fontId="15" fillId="0" borderId="4" xfId="9" applyFont="1" applyBorder="1" applyAlignment="1" applyProtection="1">
      <alignment horizontal="right" vertical="center" shrinkToFit="1"/>
    </xf>
    <xf numFmtId="0" fontId="15" fillId="0" borderId="70" xfId="9" applyFont="1" applyBorder="1" applyAlignment="1" applyProtection="1">
      <alignment horizontal="right" vertical="center" shrinkToFit="1"/>
    </xf>
    <xf numFmtId="0" fontId="15" fillId="0" borderId="71" xfId="9" applyFont="1" applyBorder="1" applyAlignment="1" applyProtection="1">
      <alignment horizontal="right" vertical="center" shrinkToFit="1"/>
    </xf>
    <xf numFmtId="176" fontId="15" fillId="0" borderId="11" xfId="9" applyNumberFormat="1" applyFont="1" applyBorder="1" applyAlignment="1" applyProtection="1">
      <alignment vertical="center" shrinkToFit="1"/>
    </xf>
    <xf numFmtId="0" fontId="4" fillId="0" borderId="11" xfId="9" applyBorder="1" applyAlignment="1" applyProtection="1">
      <alignment vertical="center" shrinkToFit="1"/>
    </xf>
    <xf numFmtId="0" fontId="15" fillId="2" borderId="1" xfId="9" applyFont="1" applyFill="1" applyBorder="1" applyAlignment="1" applyProtection="1">
      <alignment horizontal="center" vertical="center" shrinkToFit="1"/>
      <protection locked="0"/>
    </xf>
    <xf numFmtId="0" fontId="4" fillId="2" borderId="1" xfId="9" applyFill="1" applyBorder="1" applyAlignment="1" applyProtection="1">
      <alignment horizontal="center" vertical="center" shrinkToFit="1"/>
      <protection locked="0"/>
    </xf>
    <xf numFmtId="0" fontId="15" fillId="2" borderId="1" xfId="9" applyFont="1" applyFill="1" applyBorder="1" applyAlignment="1" applyProtection="1">
      <alignment vertical="center" shrinkToFit="1"/>
      <protection locked="0"/>
    </xf>
    <xf numFmtId="0" fontId="4" fillId="2" borderId="1" xfId="9" applyFill="1" applyBorder="1" applyAlignment="1" applyProtection="1">
      <alignment vertical="center" shrinkToFit="1"/>
      <protection locked="0"/>
    </xf>
    <xf numFmtId="0" fontId="15" fillId="0" borderId="0" xfId="9" applyFont="1" applyAlignment="1" applyProtection="1">
      <alignment vertical="center" shrinkToFit="1"/>
    </xf>
    <xf numFmtId="0" fontId="4" fillId="0" borderId="0" xfId="9" applyAlignment="1" applyProtection="1">
      <alignment vertical="center" shrinkToFit="1"/>
    </xf>
    <xf numFmtId="0" fontId="4" fillId="0" borderId="156" xfId="9" applyBorder="1" applyAlignment="1" applyProtection="1">
      <alignment vertical="center" shrinkToFit="1"/>
    </xf>
    <xf numFmtId="0" fontId="15" fillId="0" borderId="158" xfId="9" applyFont="1" applyBorder="1" applyAlignment="1" applyProtection="1">
      <alignment vertical="center" shrinkToFit="1"/>
    </xf>
    <xf numFmtId="0" fontId="4" fillId="0" borderId="158" xfId="9" applyBorder="1" applyAlignment="1" applyProtection="1">
      <alignment vertical="center" shrinkToFit="1"/>
    </xf>
    <xf numFmtId="0" fontId="4" fillId="0" borderId="159" xfId="9" applyBorder="1" applyAlignment="1" applyProtection="1">
      <alignment vertical="center" shrinkToFit="1"/>
    </xf>
    <xf numFmtId="0" fontId="15" fillId="0" borderId="6" xfId="9" applyFont="1" applyBorder="1" applyAlignment="1" applyProtection="1">
      <alignment horizontal="center" vertical="center"/>
    </xf>
    <xf numFmtId="0" fontId="4" fillId="0" borderId="20" xfId="9" applyBorder="1" applyAlignment="1" applyProtection="1">
      <alignment horizontal="center" vertical="center"/>
    </xf>
    <xf numFmtId="0" fontId="4" fillId="0" borderId="10" xfId="9" applyBorder="1" applyAlignment="1" applyProtection="1">
      <alignment horizontal="center" vertical="center"/>
    </xf>
    <xf numFmtId="0" fontId="15" fillId="0" borderId="1" xfId="9" applyFont="1" applyBorder="1" applyProtection="1">
      <alignment vertical="center"/>
    </xf>
    <xf numFmtId="192" fontId="15" fillId="0" borderId="1" xfId="9" applyNumberFormat="1" applyFont="1" applyBorder="1" applyProtection="1">
      <alignment vertical="center"/>
    </xf>
    <xf numFmtId="192" fontId="4" fillId="0" borderId="1" xfId="9" applyNumberFormat="1" applyBorder="1" applyProtection="1">
      <alignment vertical="center"/>
    </xf>
    <xf numFmtId="176" fontId="15" fillId="0" borderId="1" xfId="9" applyNumberFormat="1" applyFont="1" applyBorder="1" applyProtection="1">
      <alignment vertical="center"/>
    </xf>
    <xf numFmtId="0" fontId="43" fillId="0" borderId="0" xfId="9" applyFont="1" applyAlignment="1" applyProtection="1">
      <alignment vertical="center" shrinkToFit="1"/>
    </xf>
    <xf numFmtId="0" fontId="50" fillId="0" borderId="0" xfId="9" applyFont="1" applyAlignment="1" applyProtection="1">
      <alignment vertical="center" shrinkToFit="1"/>
    </xf>
    <xf numFmtId="0" fontId="15" fillId="0" borderId="8" xfId="9" applyFont="1" applyBorder="1" applyAlignment="1" applyProtection="1">
      <alignment horizontal="right" vertical="center"/>
    </xf>
    <xf numFmtId="0" fontId="18" fillId="0" borderId="8" xfId="9" applyFont="1" applyBorder="1" applyAlignment="1" applyProtection="1">
      <alignment horizontal="right" vertical="center"/>
    </xf>
    <xf numFmtId="0" fontId="16" fillId="0" borderId="0" xfId="9" applyFont="1" applyProtection="1">
      <alignment vertical="center"/>
    </xf>
    <xf numFmtId="0" fontId="61" fillId="0" borderId="0" xfId="9" applyFont="1" applyProtection="1">
      <alignment vertical="center"/>
    </xf>
    <xf numFmtId="0" fontId="10" fillId="2" borderId="1" xfId="9" applyFont="1" applyFill="1" applyBorder="1" applyAlignment="1" applyProtection="1">
      <alignment horizontal="center" vertical="center"/>
      <protection locked="0"/>
    </xf>
    <xf numFmtId="0" fontId="0" fillId="0" borderId="1" xfId="0" applyBorder="1" applyAlignment="1" applyProtection="1">
      <alignment vertical="center"/>
      <protection locked="0"/>
    </xf>
    <xf numFmtId="0" fontId="15" fillId="2" borderId="6" xfId="9" applyFont="1" applyFill="1" applyBorder="1" applyAlignment="1" applyProtection="1">
      <alignment horizontal="center" vertical="center" shrinkToFit="1"/>
      <protection locked="0"/>
    </xf>
    <xf numFmtId="0" fontId="4" fillId="2" borderId="6" xfId="9" applyFill="1" applyBorder="1" applyAlignment="1" applyProtection="1">
      <alignment horizontal="center" vertical="center" shrinkToFit="1"/>
      <protection locked="0"/>
    </xf>
    <xf numFmtId="0" fontId="15" fillId="2" borderId="6" xfId="9" applyFont="1" applyFill="1" applyBorder="1" applyAlignment="1" applyProtection="1">
      <alignment vertical="center" shrinkToFit="1"/>
      <protection locked="0"/>
    </xf>
    <xf numFmtId="0" fontId="4" fillId="2" borderId="6" xfId="9" applyFill="1" applyBorder="1" applyAlignment="1" applyProtection="1">
      <alignment vertical="center" shrinkToFit="1"/>
      <protection locked="0"/>
    </xf>
    <xf numFmtId="0" fontId="4" fillId="0" borderId="4" xfId="9" applyBorder="1" applyAlignment="1" applyProtection="1">
      <alignment horizontal="right" vertical="center" shrinkToFit="1"/>
    </xf>
    <xf numFmtId="0" fontId="12" fillId="0" borderId="0" xfId="0" applyFont="1" applyAlignment="1" applyProtection="1">
      <alignment vertical="center" wrapText="1"/>
    </xf>
    <xf numFmtId="0" fontId="19" fillId="0" borderId="0" xfId="0" applyFont="1" applyAlignment="1" applyProtection="1">
      <alignment vertical="center" wrapText="1"/>
    </xf>
    <xf numFmtId="0" fontId="10" fillId="0" borderId="0" xfId="0" applyFont="1" applyBorder="1" applyAlignment="1" applyProtection="1">
      <alignment horizontal="right" vertical="center"/>
    </xf>
    <xf numFmtId="0" fontId="39" fillId="0" borderId="0" xfId="11" applyFont="1" applyAlignment="1">
      <alignment horizontal="center" vertical="center"/>
    </xf>
    <xf numFmtId="0" fontId="11" fillId="0" borderId="0" xfId="11" applyFont="1" applyAlignment="1">
      <alignment horizontal="left" vertical="center" wrapText="1"/>
    </xf>
  </cellXfs>
  <cellStyles count="13">
    <cellStyle name="ハイパーリンク" xfId="2" builtinId="8"/>
    <cellStyle name="桁区切り" xfId="1" builtinId="6"/>
    <cellStyle name="桁区切り 2" xfId="6" xr:uid="{00000000-0005-0000-0000-000002000000}"/>
    <cellStyle name="標準" xfId="0" builtinId="0"/>
    <cellStyle name="標準 2" xfId="3" xr:uid="{00000000-0005-0000-0000-000004000000}"/>
    <cellStyle name="標準 2 2" xfId="7" xr:uid="{00000000-0005-0000-0000-000005000000}"/>
    <cellStyle name="標準 3" xfId="4" xr:uid="{00000000-0005-0000-0000-000006000000}"/>
    <cellStyle name="標準 3 2" xfId="8" xr:uid="{1EC4AB21-3816-45B3-9E51-1E51A9E348A1}"/>
    <cellStyle name="標準 4" xfId="5" xr:uid="{00000000-0005-0000-0000-000007000000}"/>
    <cellStyle name="標準 5" xfId="9" xr:uid="{97341606-1419-4118-946A-90985332C7CA}"/>
    <cellStyle name="標準 6" xfId="10" xr:uid="{24CD5BB0-DFEE-4545-B848-3E989BCDD77F}"/>
    <cellStyle name="標準 7" xfId="11" xr:uid="{0F5E9B3A-F9F8-4545-9952-350D2D4A2ED9}"/>
    <cellStyle name="標準 8" xfId="12" xr:uid="{05C5A0C2-5357-4412-BD66-B6819DA764FB}"/>
  </cellStyles>
  <dxfs count="38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auto="1"/>
      </font>
      <fill>
        <patternFill>
          <bgColor theme="0" tint="-0.14996795556505021"/>
        </patternFill>
      </fill>
    </dxf>
    <dxf>
      <font>
        <color rgb="FF006100"/>
      </font>
      <fill>
        <patternFill>
          <bgColor rgb="FFC6EF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99FF"/>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ctrlProps/ctrlProp1.xml><?xml version="1.0" encoding="utf-8"?>
<formControlPr xmlns="http://schemas.microsoft.com/office/spreadsheetml/2009/9/main" objectType="CheckBox" fmlaLink="$AN$3" lockText="1" noThreeD="1"/>
</file>

<file path=xl/ctrlProps/ctrlProp2.xml><?xml version="1.0" encoding="utf-8"?>
<formControlPr xmlns="http://schemas.microsoft.com/office/spreadsheetml/2009/9/main" objectType="CheckBox" fmlaLink="$AN$4" lockText="1" noThreeD="1"/>
</file>

<file path=xl/ctrlProps/ctrlProp3.xml><?xml version="1.0" encoding="utf-8"?>
<formControlPr xmlns="http://schemas.microsoft.com/office/spreadsheetml/2009/9/main" objectType="CheckBox" fmlaLink="$AN$5" lockText="1" noThreeD="1"/>
</file>

<file path=xl/ctrlProps/ctrlProp4.xml><?xml version="1.0" encoding="utf-8"?>
<formControlPr xmlns="http://schemas.microsoft.com/office/spreadsheetml/2009/9/main" objectType="CheckBox" fmlaLink="$AF$54" lockText="1" noThreeD="1"/>
</file>

<file path=xl/ctrlProps/ctrlProp5.xml><?xml version="1.0" encoding="utf-8"?>
<formControlPr xmlns="http://schemas.microsoft.com/office/spreadsheetml/2009/9/main" objectType="CheckBox" fmlaLink="$AF$55" lockText="1" noThreeD="1"/>
</file>

<file path=xl/ctrlProps/ctrlProp6.xml><?xml version="1.0" encoding="utf-8"?>
<formControlPr xmlns="http://schemas.microsoft.com/office/spreadsheetml/2009/9/main" objectType="CheckBox" fmlaLink="$AF$56"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image" Target="../media/image16.emf"/><Relationship Id="rId1" Type="http://schemas.openxmlformats.org/officeDocument/2006/relationships/image" Target="../media/image15.emf"/></Relationships>
</file>

<file path=xl/drawings/_rels/drawing11.xml.rels><?xml version="1.0" encoding="UTF-8" standalone="yes"?>
<Relationships xmlns="http://schemas.openxmlformats.org/package/2006/relationships"><Relationship Id="rId1" Type="http://schemas.openxmlformats.org/officeDocument/2006/relationships/image" Target="../media/image21.emf"/></Relationships>
</file>

<file path=xl/drawings/_rels/drawing12.xml.rels><?xml version="1.0" encoding="UTF-8" standalone="yes"?>
<Relationships xmlns="http://schemas.openxmlformats.org/package/2006/relationships"><Relationship Id="rId2" Type="http://schemas.openxmlformats.org/officeDocument/2006/relationships/image" Target="../media/image24.emf"/><Relationship Id="rId1" Type="http://schemas.openxmlformats.org/officeDocument/2006/relationships/image" Target="../media/image23.emf"/></Relationships>
</file>

<file path=xl/drawings/_rels/drawing14.xml.rels><?xml version="1.0" encoding="UTF-8" standalone="yes"?>
<Relationships xmlns="http://schemas.openxmlformats.org/package/2006/relationships"><Relationship Id="rId1" Type="http://schemas.openxmlformats.org/officeDocument/2006/relationships/image" Target="../media/image27.emf"/></Relationships>
</file>

<file path=xl/drawings/_rels/drawing15.xml.rels><?xml version="1.0" encoding="UTF-8" standalone="yes"?>
<Relationships xmlns="http://schemas.openxmlformats.org/package/2006/relationships"><Relationship Id="rId1" Type="http://schemas.openxmlformats.org/officeDocument/2006/relationships/image" Target="../media/image29.emf"/></Relationships>
</file>

<file path=xl/drawings/_rels/drawing16.xml.rels><?xml version="1.0" encoding="UTF-8" standalone="yes"?>
<Relationships xmlns="http://schemas.openxmlformats.org/package/2006/relationships"><Relationship Id="rId1" Type="http://schemas.openxmlformats.org/officeDocument/2006/relationships/image" Target="../media/image31.emf"/></Relationships>
</file>

<file path=xl/drawings/_rels/drawing17.xml.rels><?xml version="1.0" encoding="UTF-8" standalone="yes"?>
<Relationships xmlns="http://schemas.openxmlformats.org/package/2006/relationships"><Relationship Id="rId1" Type="http://schemas.openxmlformats.org/officeDocument/2006/relationships/image" Target="../media/image33.emf"/></Relationships>
</file>

<file path=xl/drawings/_rels/drawing18.xml.rels><?xml version="1.0" encoding="UTF-8" standalone="yes"?>
<Relationships xmlns="http://schemas.openxmlformats.org/package/2006/relationships"><Relationship Id="rId1" Type="http://schemas.openxmlformats.org/officeDocument/2006/relationships/image" Target="../media/image35.emf"/></Relationships>
</file>

<file path=xl/drawings/_rels/drawing19.xml.rels><?xml version="1.0" encoding="UTF-8" standalone="yes"?>
<Relationships xmlns="http://schemas.openxmlformats.org/package/2006/relationships"><Relationship Id="rId1" Type="http://schemas.openxmlformats.org/officeDocument/2006/relationships/image" Target="../media/image37.emf"/></Relationships>
</file>

<file path=xl/drawings/_rels/drawing2.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image" Target="../media/image39.emf"/></Relationships>
</file>

<file path=xl/drawings/_rels/drawing21.xml.rels><?xml version="1.0" encoding="UTF-8" standalone="yes"?>
<Relationships xmlns="http://schemas.openxmlformats.org/package/2006/relationships"><Relationship Id="rId1" Type="http://schemas.openxmlformats.org/officeDocument/2006/relationships/image" Target="../media/image41.emf"/></Relationships>
</file>

<file path=xl/drawings/_rels/drawing22.xml.rels><?xml version="1.0" encoding="UTF-8" standalone="yes"?>
<Relationships xmlns="http://schemas.openxmlformats.org/package/2006/relationships"><Relationship Id="rId1" Type="http://schemas.openxmlformats.org/officeDocument/2006/relationships/image" Target="../media/image43.emf"/></Relationships>
</file>

<file path=xl/drawings/_rels/drawing23.xml.rels><?xml version="1.0" encoding="UTF-8" standalone="yes"?>
<Relationships xmlns="http://schemas.openxmlformats.org/package/2006/relationships"><Relationship Id="rId1" Type="http://schemas.openxmlformats.org/officeDocument/2006/relationships/image" Target="../media/image45.emf"/></Relationships>
</file>

<file path=xl/drawings/_rels/drawing24.xml.rels><?xml version="1.0" encoding="UTF-8" standalone="yes"?>
<Relationships xmlns="http://schemas.openxmlformats.org/package/2006/relationships"><Relationship Id="rId1" Type="http://schemas.openxmlformats.org/officeDocument/2006/relationships/image" Target="../media/image47.emf"/></Relationships>
</file>

<file path=xl/drawings/_rels/drawing5.x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8.emf"/></Relationships>
</file>

<file path=xl/drawings/_rels/drawing7.xml.rels><?xml version="1.0" encoding="UTF-8" standalone="yes"?>
<Relationships xmlns="http://schemas.openxmlformats.org/package/2006/relationships"><Relationship Id="rId1" Type="http://schemas.openxmlformats.org/officeDocument/2006/relationships/image" Target="../media/image9.emf"/></Relationships>
</file>

<file path=xl/drawings/_rels/drawing8.xml.rels><?xml version="1.0" encoding="UTF-8" standalone="yes"?>
<Relationships xmlns="http://schemas.openxmlformats.org/package/2006/relationships"><Relationship Id="rId1" Type="http://schemas.openxmlformats.org/officeDocument/2006/relationships/image" Target="../media/image11.emf"/></Relationships>
</file>

<file path=xl/drawings/_rels/drawing9.x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6.emf"/><Relationship Id="rId1" Type="http://schemas.openxmlformats.org/officeDocument/2006/relationships/image" Target="../media/image25.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30.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34.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36.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38.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40.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42.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4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46.e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48.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4.emf"/></Relationships>
</file>

<file path=xl/drawings/_rels/vmlDrawing8.vml.rels><?xml version="1.0" encoding="UTF-8" standalone="yes"?>
<Relationships xmlns="http://schemas.openxmlformats.org/package/2006/relationships"><Relationship Id="rId3" Type="http://schemas.openxmlformats.org/officeDocument/2006/relationships/image" Target="../media/image20.emf"/><Relationship Id="rId2" Type="http://schemas.openxmlformats.org/officeDocument/2006/relationships/image" Target="../media/image19.emf"/><Relationship Id="rId1" Type="http://schemas.openxmlformats.org/officeDocument/2006/relationships/image" Target="../media/image18.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2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85725</xdr:colOff>
          <xdr:row>2</xdr:row>
          <xdr:rowOff>28575</xdr:rowOff>
        </xdr:from>
        <xdr:to>
          <xdr:col>7</xdr:col>
          <xdr:colOff>304800</xdr:colOff>
          <xdr:row>2</xdr:row>
          <xdr:rowOff>333375</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00000000-0008-0000-03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xdr:row>
          <xdr:rowOff>47625</xdr:rowOff>
        </xdr:from>
        <xdr:to>
          <xdr:col>7</xdr:col>
          <xdr:colOff>352425</xdr:colOff>
          <xdr:row>3</xdr:row>
          <xdr:rowOff>333375</xdr:rowOff>
        </xdr:to>
        <xdr:sp macro="" textlink="">
          <xdr:nvSpPr>
            <xdr:cNvPr id="5122" name="Check Box 2" hidden="1">
              <a:extLst>
                <a:ext uri="{63B3BB69-23CF-44E3-9099-C40C66FF867C}">
                  <a14:compatExt spid="_x0000_s5122"/>
                </a:ext>
                <a:ext uri="{FF2B5EF4-FFF2-40B4-BE49-F238E27FC236}">
                  <a16:creationId xmlns:a16="http://schemas.microsoft.com/office/drawing/2014/main" id="{00000000-0008-0000-0300-00000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4</xdr:row>
          <xdr:rowOff>19050</xdr:rowOff>
        </xdr:from>
        <xdr:to>
          <xdr:col>7</xdr:col>
          <xdr:colOff>428625</xdr:colOff>
          <xdr:row>4</xdr:row>
          <xdr:rowOff>361950</xdr:rowOff>
        </xdr:to>
        <xdr:sp macro="" textlink="">
          <xdr:nvSpPr>
            <xdr:cNvPr id="5123" name="Check Box 3" hidden="1">
              <a:extLst>
                <a:ext uri="{63B3BB69-23CF-44E3-9099-C40C66FF867C}">
                  <a14:compatExt spid="_x0000_s5123"/>
                </a:ext>
                <a:ext uri="{FF2B5EF4-FFF2-40B4-BE49-F238E27FC236}">
                  <a16:creationId xmlns:a16="http://schemas.microsoft.com/office/drawing/2014/main" id="{00000000-0008-0000-0300-00000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53</xdr:row>
          <xdr:rowOff>19050</xdr:rowOff>
        </xdr:from>
        <xdr:to>
          <xdr:col>8</xdr:col>
          <xdr:colOff>352425</xdr:colOff>
          <xdr:row>53</xdr:row>
          <xdr:rowOff>352425</xdr:rowOff>
        </xdr:to>
        <xdr:sp macro="" textlink="">
          <xdr:nvSpPr>
            <xdr:cNvPr id="5124" name="Check Box 4" hidden="1">
              <a:extLst>
                <a:ext uri="{63B3BB69-23CF-44E3-9099-C40C66FF867C}">
                  <a14:compatExt spid="_x0000_s5124"/>
                </a:ext>
                <a:ext uri="{FF2B5EF4-FFF2-40B4-BE49-F238E27FC236}">
                  <a16:creationId xmlns:a16="http://schemas.microsoft.com/office/drawing/2014/main" id="{00000000-0008-0000-0300-00000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53</xdr:row>
          <xdr:rowOff>361950</xdr:rowOff>
        </xdr:from>
        <xdr:to>
          <xdr:col>8</xdr:col>
          <xdr:colOff>352425</xdr:colOff>
          <xdr:row>54</xdr:row>
          <xdr:rowOff>361950</xdr:rowOff>
        </xdr:to>
        <xdr:sp macro="" textlink="">
          <xdr:nvSpPr>
            <xdr:cNvPr id="5125" name="Check Box 5" hidden="1">
              <a:extLst>
                <a:ext uri="{63B3BB69-23CF-44E3-9099-C40C66FF867C}">
                  <a14:compatExt spid="_x0000_s5125"/>
                </a:ext>
                <a:ext uri="{FF2B5EF4-FFF2-40B4-BE49-F238E27FC236}">
                  <a16:creationId xmlns:a16="http://schemas.microsoft.com/office/drawing/2014/main" id="{00000000-0008-0000-0300-00000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54</xdr:row>
          <xdr:rowOff>361950</xdr:rowOff>
        </xdr:from>
        <xdr:to>
          <xdr:col>8</xdr:col>
          <xdr:colOff>352425</xdr:colOff>
          <xdr:row>55</xdr:row>
          <xdr:rowOff>361950</xdr:rowOff>
        </xdr:to>
        <xdr:sp macro="" textlink="">
          <xdr:nvSpPr>
            <xdr:cNvPr id="5126" name="Check Box 6" hidden="1">
              <a:extLst>
                <a:ext uri="{63B3BB69-23CF-44E3-9099-C40C66FF867C}">
                  <a14:compatExt spid="_x0000_s5126"/>
                </a:ext>
                <a:ext uri="{FF2B5EF4-FFF2-40B4-BE49-F238E27FC236}">
                  <a16:creationId xmlns:a16="http://schemas.microsoft.com/office/drawing/2014/main" id="{00000000-0008-0000-0300-00000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219074</xdr:colOff>
          <xdr:row>8</xdr:row>
          <xdr:rowOff>317500</xdr:rowOff>
        </xdr:from>
        <xdr:to>
          <xdr:col>35</xdr:col>
          <xdr:colOff>2596868</xdr:colOff>
          <xdr:row>15</xdr:row>
          <xdr:rowOff>219075</xdr:rowOff>
        </xdr:to>
        <xdr:pic>
          <xdr:nvPicPr>
            <xdr:cNvPr id="2" name="図 1">
              <a:extLst>
                <a:ext uri="{FF2B5EF4-FFF2-40B4-BE49-F238E27FC236}">
                  <a16:creationId xmlns:a16="http://schemas.microsoft.com/office/drawing/2014/main" id="{00000000-0008-0000-0300-000002000000}"/>
                </a:ext>
              </a:extLst>
            </xdr:cNvPr>
            <xdr:cNvPicPr>
              <a:picLocks noChangeAspect="1" noChangeArrowheads="1"/>
              <a:extLst>
                <a:ext uri="{84589F7E-364E-4C9E-8A38-B11213B215E9}">
                  <a14:cameraTool cellRange="テーブル!$D$23:$G$31" spid="_x0000_s5220"/>
                </a:ext>
              </a:extLst>
            </xdr:cNvPicPr>
          </xdr:nvPicPr>
          <xdr:blipFill>
            <a:blip xmlns:r="http://schemas.openxmlformats.org/officeDocument/2006/relationships" r:embed="rId1"/>
            <a:srcRect/>
            <a:stretch>
              <a:fillRect/>
            </a:stretch>
          </xdr:blipFill>
          <xdr:spPr bwMode="auto">
            <a:xfrm>
              <a:off x="16919574" y="4127500"/>
              <a:ext cx="4711419" cy="25685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twoCellAnchor>
    <xdr:from>
      <xdr:col>18</xdr:col>
      <xdr:colOff>301624</xdr:colOff>
      <xdr:row>11</xdr:row>
      <xdr:rowOff>31750</xdr:rowOff>
    </xdr:from>
    <xdr:to>
      <xdr:col>26</xdr:col>
      <xdr:colOff>412749</xdr:colOff>
      <xdr:row>11</xdr:row>
      <xdr:rowOff>365125</xdr:rowOff>
    </xdr:to>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8937624" y="4984750"/>
          <a:ext cx="3794125" cy="333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日付は、</a:t>
          </a:r>
          <a:r>
            <a:rPr kumimoji="1" lang="en-US" altLang="ja-JP" sz="1100" b="1">
              <a:solidFill>
                <a:srgbClr val="FF0000"/>
              </a:solidFill>
            </a:rPr>
            <a:t>3/31</a:t>
          </a:r>
          <a:r>
            <a:rPr kumimoji="1" lang="ja-JP" altLang="en-US" sz="1100" b="1">
              <a:solidFill>
                <a:srgbClr val="FF0000"/>
              </a:solidFill>
            </a:rPr>
            <a:t>の固定で御提出ください。（入力不要）</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25</xdr:col>
      <xdr:colOff>219075</xdr:colOff>
      <xdr:row>10</xdr:row>
      <xdr:rowOff>349250</xdr:rowOff>
    </xdr:from>
    <xdr:to>
      <xdr:col>27</xdr:col>
      <xdr:colOff>873125</xdr:colOff>
      <xdr:row>10</xdr:row>
      <xdr:rowOff>1349375</xdr:rowOff>
    </xdr:to>
    <xdr:sp macro="" textlink="">
      <xdr:nvSpPr>
        <xdr:cNvPr id="5" name="吹き出し: 角を丸めた四角形 2">
          <a:extLst>
            <a:ext uri="{FF2B5EF4-FFF2-40B4-BE49-F238E27FC236}">
              <a16:creationId xmlns:a16="http://schemas.microsoft.com/office/drawing/2014/main" id="{00000000-0008-0000-1100-000005000000}"/>
            </a:ext>
          </a:extLst>
        </xdr:cNvPr>
        <xdr:cNvSpPr/>
      </xdr:nvSpPr>
      <xdr:spPr>
        <a:xfrm>
          <a:off x="15062200" y="2952750"/>
          <a:ext cx="2590800" cy="1000125"/>
        </a:xfrm>
        <a:prstGeom prst="wedgeRoundRectCallout">
          <a:avLst>
            <a:gd name="adj1" fmla="val -120279"/>
            <a:gd name="adj2" fmla="val 78798"/>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000" b="1">
              <a:latin typeface="+mn-ea"/>
              <a:ea typeface="+mn-ea"/>
            </a:rPr>
            <a:t>交付申請の際は見積書、カタログ等の提出は不要ですので必要情報が入力されると「－」が表示されます。</a:t>
          </a:r>
        </a:p>
      </xdr:txBody>
    </xdr:sp>
    <xdr:clientData/>
  </xdr:twoCellAnchor>
  <mc:AlternateContent xmlns:mc="http://schemas.openxmlformats.org/markup-compatibility/2006">
    <mc:Choice xmlns:a14="http://schemas.microsoft.com/office/drawing/2010/main" Requires="a14">
      <xdr:twoCellAnchor editAs="oneCell">
        <xdr:from>
          <xdr:col>25</xdr:col>
          <xdr:colOff>142875</xdr:colOff>
          <xdr:row>0</xdr:row>
          <xdr:rowOff>234497</xdr:rowOff>
        </xdr:from>
        <xdr:to>
          <xdr:col>33</xdr:col>
          <xdr:colOff>857250</xdr:colOff>
          <xdr:row>4</xdr:row>
          <xdr:rowOff>170997</xdr:rowOff>
        </xdr:to>
        <xdr:pic>
          <xdr:nvPicPr>
            <xdr:cNvPr id="3" name="図 2">
              <a:extLst>
                <a:ext uri="{FF2B5EF4-FFF2-40B4-BE49-F238E27FC236}">
                  <a16:creationId xmlns:a16="http://schemas.microsoft.com/office/drawing/2014/main" id="{00000000-0008-0000-1100-000003000000}"/>
                </a:ext>
              </a:extLst>
            </xdr:cNvPr>
            <xdr:cNvPicPr>
              <a:picLocks noChangeAspect="1" noChangeArrowheads="1"/>
              <a:extLst>
                <a:ext uri="{84589F7E-364E-4C9E-8A38-B11213B215E9}">
                  <a14:cameraTool cellRange="$AS$117:$AV$120" spid="_x0000_s183991"/>
                </a:ext>
              </a:extLst>
            </xdr:cNvPicPr>
          </xdr:nvPicPr>
          <xdr:blipFill>
            <a:blip xmlns:r="http://schemas.openxmlformats.org/officeDocument/2006/relationships" r:embed="rId1"/>
            <a:srcRect/>
            <a:stretch>
              <a:fillRect/>
            </a:stretch>
          </xdr:blipFill>
          <xdr:spPr bwMode="auto">
            <a:xfrm>
              <a:off x="14986000" y="234497"/>
              <a:ext cx="8461375" cy="10160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twoCellAnchor>
    <xdr:from>
      <xdr:col>6</xdr:col>
      <xdr:colOff>555625</xdr:colOff>
      <xdr:row>9</xdr:row>
      <xdr:rowOff>15875</xdr:rowOff>
    </xdr:from>
    <xdr:to>
      <xdr:col>8</xdr:col>
      <xdr:colOff>444500</xdr:colOff>
      <xdr:row>10</xdr:row>
      <xdr:rowOff>1222375</xdr:rowOff>
    </xdr:to>
    <xdr:cxnSp macro="">
      <xdr:nvCxnSpPr>
        <xdr:cNvPr id="4" name="直線矢印コネクタ 3">
          <a:extLst>
            <a:ext uri="{FF2B5EF4-FFF2-40B4-BE49-F238E27FC236}">
              <a16:creationId xmlns:a16="http://schemas.microsoft.com/office/drawing/2014/main" id="{00000000-0008-0000-1100-000004000000}"/>
            </a:ext>
          </a:extLst>
        </xdr:cNvPr>
        <xdr:cNvCxnSpPr/>
      </xdr:nvCxnSpPr>
      <xdr:spPr>
        <a:xfrm flipH="1" flipV="1">
          <a:off x="5641975" y="2263775"/>
          <a:ext cx="1203325" cy="1520825"/>
        </a:xfrm>
        <a:prstGeom prst="straightConnector1">
          <a:avLst/>
        </a:prstGeom>
        <a:ln w="28575">
          <a:solidFill>
            <a:srgbClr val="FFC000"/>
          </a:solidFill>
          <a:prstDash val="dash"/>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47625</xdr:colOff>
      <xdr:row>5</xdr:row>
      <xdr:rowOff>15875</xdr:rowOff>
    </xdr:from>
    <xdr:to>
      <xdr:col>3</xdr:col>
      <xdr:colOff>111125</xdr:colOff>
      <xdr:row>7</xdr:row>
      <xdr:rowOff>15875</xdr:rowOff>
    </xdr:to>
    <xdr:sp macro="" textlink="">
      <xdr:nvSpPr>
        <xdr:cNvPr id="6" name="右中かっこ 5">
          <a:extLst>
            <a:ext uri="{FF2B5EF4-FFF2-40B4-BE49-F238E27FC236}">
              <a16:creationId xmlns:a16="http://schemas.microsoft.com/office/drawing/2014/main" id="{00000000-0008-0000-1100-000006000000}"/>
            </a:ext>
          </a:extLst>
        </xdr:cNvPr>
        <xdr:cNvSpPr/>
      </xdr:nvSpPr>
      <xdr:spPr>
        <a:xfrm>
          <a:off x="2705100" y="1330325"/>
          <a:ext cx="63500" cy="495300"/>
        </a:xfrm>
        <a:prstGeom prst="rightBrac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xdr:col>
      <xdr:colOff>238125</xdr:colOff>
      <xdr:row>1</xdr:row>
      <xdr:rowOff>158750</xdr:rowOff>
    </xdr:from>
    <xdr:to>
      <xdr:col>4</xdr:col>
      <xdr:colOff>523875</xdr:colOff>
      <xdr:row>5</xdr:row>
      <xdr:rowOff>222250</xdr:rowOff>
    </xdr:to>
    <xdr:cxnSp macro="">
      <xdr:nvCxnSpPr>
        <xdr:cNvPr id="7" name="直線矢印コネクタ 6">
          <a:extLst>
            <a:ext uri="{FF2B5EF4-FFF2-40B4-BE49-F238E27FC236}">
              <a16:creationId xmlns:a16="http://schemas.microsoft.com/office/drawing/2014/main" id="{00000000-0008-0000-1100-000007000000}"/>
            </a:ext>
          </a:extLst>
        </xdr:cNvPr>
        <xdr:cNvCxnSpPr/>
      </xdr:nvCxnSpPr>
      <xdr:spPr>
        <a:xfrm flipH="1">
          <a:off x="2895600" y="539750"/>
          <a:ext cx="1095375" cy="99695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508000</xdr:colOff>
      <xdr:row>0</xdr:row>
      <xdr:rowOff>206374</xdr:rowOff>
    </xdr:from>
    <xdr:to>
      <xdr:col>10</xdr:col>
      <xdr:colOff>682625</xdr:colOff>
      <xdr:row>3</xdr:row>
      <xdr:rowOff>126999</xdr:rowOff>
    </xdr:to>
    <xdr:sp macro="" textlink="">
      <xdr:nvSpPr>
        <xdr:cNvPr id="8" name="テキスト ボックス 7">
          <a:extLst>
            <a:ext uri="{FF2B5EF4-FFF2-40B4-BE49-F238E27FC236}">
              <a16:creationId xmlns:a16="http://schemas.microsoft.com/office/drawing/2014/main" id="{00000000-0008-0000-1100-000008000000}"/>
            </a:ext>
          </a:extLst>
        </xdr:cNvPr>
        <xdr:cNvSpPr txBox="1"/>
      </xdr:nvSpPr>
      <xdr:spPr>
        <a:xfrm>
          <a:off x="3975100" y="206374"/>
          <a:ext cx="4956175" cy="673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「基礎情報」シートに入力された</a:t>
          </a:r>
          <a:endParaRPr kumimoji="1" lang="en-US" altLang="ja-JP" sz="1100" b="1">
            <a:solidFill>
              <a:srgbClr val="FF0000"/>
            </a:solidFill>
          </a:endParaRPr>
        </a:p>
        <a:p>
          <a:r>
            <a:rPr kumimoji="1" lang="ja-JP" altLang="en-US" sz="1100" b="1">
              <a:solidFill>
                <a:srgbClr val="FF0000"/>
              </a:solidFill>
            </a:rPr>
            <a:t>「診療日数」及び１日あたり平均の「常勤換算配置員数」が表示されます。</a:t>
          </a:r>
        </a:p>
      </xdr:txBody>
    </xdr:sp>
    <xdr:clientData/>
  </xdr:twoCellAnchor>
  <mc:AlternateContent xmlns:mc="http://schemas.openxmlformats.org/markup-compatibility/2006">
    <mc:Choice xmlns:a14="http://schemas.microsoft.com/office/drawing/2010/main" Requires="a14">
      <xdr:twoCellAnchor editAs="oneCell">
        <xdr:from>
          <xdr:col>20</xdr:col>
          <xdr:colOff>69850</xdr:colOff>
          <xdr:row>11</xdr:row>
          <xdr:rowOff>6350</xdr:rowOff>
        </xdr:from>
        <xdr:to>
          <xdr:col>28</xdr:col>
          <xdr:colOff>933450</xdr:colOff>
          <xdr:row>212</xdr:row>
          <xdr:rowOff>22225</xdr:rowOff>
        </xdr:to>
        <xdr:pic>
          <xdr:nvPicPr>
            <xdr:cNvPr id="11" name="図 10">
              <a:extLst>
                <a:ext uri="{FF2B5EF4-FFF2-40B4-BE49-F238E27FC236}">
                  <a16:creationId xmlns:a16="http://schemas.microsoft.com/office/drawing/2014/main" id="{00000000-0008-0000-1100-00000B000000}"/>
                </a:ext>
              </a:extLst>
            </xdr:cNvPr>
            <xdr:cNvPicPr>
              <a:picLocks noChangeAspect="1" noChangeArrowheads="1"/>
              <a:extLst>
                <a:ext uri="{84589F7E-364E-4C9E-8A38-B11213B215E9}">
                  <a14:cameraTool cellRange="$AK$12:$AM$212" spid="_x0000_s183992"/>
                </a:ext>
              </a:extLst>
            </xdr:cNvPicPr>
          </xdr:nvPicPr>
          <xdr:blipFill>
            <a:blip xmlns:r="http://schemas.openxmlformats.org/officeDocument/2006/relationships" r:embed="rId2"/>
            <a:srcRect/>
            <a:stretch>
              <a:fillRect/>
            </a:stretch>
          </xdr:blipFill>
          <xdr:spPr bwMode="auto">
            <a:xfrm>
              <a:off x="15557500" y="4178300"/>
              <a:ext cx="8331200" cy="500602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323850</xdr:colOff>
          <xdr:row>3</xdr:row>
          <xdr:rowOff>95251</xdr:rowOff>
        </xdr:from>
        <xdr:to>
          <xdr:col>19</xdr:col>
          <xdr:colOff>546100</xdr:colOff>
          <xdr:row>10</xdr:row>
          <xdr:rowOff>1321368</xdr:rowOff>
        </xdr:to>
        <xdr:pic>
          <xdr:nvPicPr>
            <xdr:cNvPr id="9" name="図 8">
              <a:extLst>
                <a:ext uri="{FF2B5EF4-FFF2-40B4-BE49-F238E27FC236}">
                  <a16:creationId xmlns:a16="http://schemas.microsoft.com/office/drawing/2014/main" id="{00000000-0008-0000-1100-000009000000}"/>
                </a:ext>
              </a:extLst>
            </xdr:cNvPr>
            <xdr:cNvPicPr>
              <a:picLocks noChangeAspect="1" noChangeArrowheads="1"/>
              <a:extLst>
                <a:ext uri="{84589F7E-364E-4C9E-8A38-B11213B215E9}">
                  <a14:cameraTool cellRange="$AX$122:$BE$139" spid="_x0000_s183993"/>
                </a:ext>
              </a:extLst>
            </xdr:cNvPicPr>
          </xdr:nvPicPr>
          <xdr:blipFill>
            <a:blip xmlns:r="http://schemas.openxmlformats.org/officeDocument/2006/relationships" r:embed="rId3"/>
            <a:srcRect/>
            <a:stretch>
              <a:fillRect/>
            </a:stretch>
          </xdr:blipFill>
          <xdr:spPr bwMode="auto">
            <a:xfrm>
              <a:off x="8667750" y="857251"/>
              <a:ext cx="6699250" cy="3112067"/>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twoCellAnchor>
    <xdr:from>
      <xdr:col>8</xdr:col>
      <xdr:colOff>476250</xdr:colOff>
      <xdr:row>12</xdr:row>
      <xdr:rowOff>133350</xdr:rowOff>
    </xdr:from>
    <xdr:to>
      <xdr:col>18</xdr:col>
      <xdr:colOff>1033508</xdr:colOff>
      <xdr:row>21</xdr:row>
      <xdr:rowOff>152215</xdr:rowOff>
    </xdr:to>
    <xdr:sp macro="" textlink="">
      <xdr:nvSpPr>
        <xdr:cNvPr id="10" name="テキスト ボックス 9">
          <a:extLst>
            <a:ext uri="{FF2B5EF4-FFF2-40B4-BE49-F238E27FC236}">
              <a16:creationId xmlns:a16="http://schemas.microsoft.com/office/drawing/2014/main" id="{00000000-0008-0000-1100-00000A000000}"/>
            </a:ext>
          </a:extLst>
        </xdr:cNvPr>
        <xdr:cNvSpPr txBox="1"/>
      </xdr:nvSpPr>
      <xdr:spPr>
        <a:xfrm>
          <a:off x="6953250" y="4819650"/>
          <a:ext cx="7701008" cy="2247715"/>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○赤枠内には、補助対象期間の期首（令和５年</a:t>
          </a:r>
          <a:r>
            <a:rPr kumimoji="1" lang="en-US" altLang="ja-JP" sz="1400" b="1">
              <a:solidFill>
                <a:srgbClr val="FF0000"/>
              </a:solidFill>
            </a:rPr>
            <a:t>10</a:t>
          </a:r>
          <a:r>
            <a:rPr kumimoji="1" lang="ja-JP" altLang="en-US" sz="1400" b="1">
              <a:solidFill>
                <a:srgbClr val="FF0000"/>
              </a:solidFill>
            </a:rPr>
            <a:t>月１日）時点でのコロナ対応に供する用途である各品目の備蓄量（自費購入分及び国からの物資配布分を含む）を入力してください。</a:t>
          </a:r>
          <a:endParaRPr kumimoji="1" lang="en-US" altLang="ja-JP" sz="1400" b="1">
            <a:solidFill>
              <a:srgbClr val="FF0000"/>
            </a:solidFill>
          </a:endParaRPr>
        </a:p>
        <a:p>
          <a:r>
            <a:rPr kumimoji="1" lang="ja-JP" altLang="en-US" sz="1400" b="1">
              <a:solidFill>
                <a:srgbClr val="FF0000"/>
              </a:solidFill>
            </a:rPr>
            <a:t>○箱当たりの入数が異なる場合は、「内容量</a:t>
          </a:r>
          <a:r>
            <a:rPr kumimoji="1" lang="en-US" altLang="ja-JP" sz="1400" b="1">
              <a:solidFill>
                <a:srgbClr val="FF0000"/>
              </a:solidFill>
            </a:rPr>
            <a:t>/</a:t>
          </a:r>
          <a:r>
            <a:rPr kumimoji="1" lang="ja-JP" altLang="en-US" sz="1400" b="1">
              <a:solidFill>
                <a:srgbClr val="FF0000"/>
              </a:solidFill>
            </a:rPr>
            <a:t>箱」を「</a:t>
          </a:r>
          <a:r>
            <a:rPr kumimoji="1" lang="en-US" altLang="ja-JP" sz="1400" b="1">
              <a:solidFill>
                <a:srgbClr val="FF0000"/>
              </a:solidFill>
            </a:rPr>
            <a:t>1</a:t>
          </a:r>
          <a:r>
            <a:rPr kumimoji="1" lang="ja-JP" altLang="en-US" sz="1400" b="1">
              <a:solidFill>
                <a:srgbClr val="FF0000"/>
              </a:solidFill>
            </a:rPr>
            <a:t>」、箱数を在庫の数量としてください。</a:t>
          </a:r>
          <a:endParaRPr kumimoji="1" lang="en-US" altLang="ja-JP" sz="1400" b="1">
            <a:solidFill>
              <a:srgbClr val="FF0000"/>
            </a:solidFill>
          </a:endParaRPr>
        </a:p>
        <a:p>
          <a:r>
            <a:rPr kumimoji="1" lang="ja-JP" altLang="en-US" sz="1400" b="1">
              <a:solidFill>
                <a:srgbClr val="FF0000"/>
              </a:solidFill>
            </a:rPr>
            <a:t>厳密算定が難しい場合は、平常時備蓄している平均的な量を入力するようにしてください。</a:t>
          </a:r>
          <a:endParaRPr kumimoji="1" lang="en-US" altLang="ja-JP" sz="1400" b="1">
            <a:solidFill>
              <a:srgbClr val="FF0000"/>
            </a:solidFill>
          </a:endParaRPr>
        </a:p>
        <a:p>
          <a:r>
            <a:rPr kumimoji="1" lang="ja-JP" altLang="en-US" sz="1400" b="1">
              <a:solidFill>
                <a:srgbClr val="FF0000"/>
              </a:solidFill>
            </a:rPr>
            <a:t>○また、期間中において国からの物資配布を受けている場合、太枠内の記載に倣い、配布を受けた日付とともに数量等を記載するようにしてください。</a:t>
          </a:r>
          <a:endParaRPr kumimoji="1" lang="en-US" altLang="ja-JP" sz="1400" b="1">
            <a:solidFill>
              <a:srgbClr val="FF0000"/>
            </a:solidFill>
          </a:endParaRPr>
        </a:p>
        <a:p>
          <a:r>
            <a:rPr kumimoji="1" lang="ja-JP" altLang="en-US" sz="1400" b="1" u="sng">
              <a:solidFill>
                <a:srgbClr val="FF0000"/>
              </a:solidFill>
            </a:rPr>
            <a:t>○赤枠内の空欄は、すべて埋めるようにしてください。</a:t>
          </a:r>
          <a:endParaRPr kumimoji="1" lang="en-US" altLang="ja-JP" sz="1400" b="1" u="sng">
            <a:solidFill>
              <a:srgbClr val="FF0000"/>
            </a:solidFill>
          </a:endParaRPr>
        </a:p>
      </xdr:txBody>
    </xdr:sp>
    <xdr:clientData/>
  </xdr:twoCellAnchor>
  <xdr:twoCellAnchor>
    <xdr:from>
      <xdr:col>8</xdr:col>
      <xdr:colOff>476250</xdr:colOff>
      <xdr:row>22</xdr:row>
      <xdr:rowOff>19050</xdr:rowOff>
    </xdr:from>
    <xdr:to>
      <xdr:col>18</xdr:col>
      <xdr:colOff>1033507</xdr:colOff>
      <xdr:row>27</xdr:row>
      <xdr:rowOff>114300</xdr:rowOff>
    </xdr:to>
    <xdr:sp macro="" textlink="">
      <xdr:nvSpPr>
        <xdr:cNvPr id="12" name="テキスト ボックス 11">
          <a:extLst>
            <a:ext uri="{FF2B5EF4-FFF2-40B4-BE49-F238E27FC236}">
              <a16:creationId xmlns:a16="http://schemas.microsoft.com/office/drawing/2014/main" id="{00000000-0008-0000-1100-00000C000000}"/>
            </a:ext>
          </a:extLst>
        </xdr:cNvPr>
        <xdr:cNvSpPr txBox="1"/>
      </xdr:nvSpPr>
      <xdr:spPr>
        <a:xfrm>
          <a:off x="6953250" y="7181850"/>
          <a:ext cx="7701007" cy="133350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○補助交付を希望する補助対象期間中の納品分の情報は、</a:t>
          </a:r>
          <a:r>
            <a:rPr kumimoji="1" lang="en-US" altLang="ja-JP" sz="1400" b="1">
              <a:solidFill>
                <a:srgbClr val="FF0000"/>
              </a:solidFill>
            </a:rPr>
            <a:t>18</a:t>
          </a:r>
          <a:r>
            <a:rPr kumimoji="1" lang="ja-JP" altLang="en-US" sz="1400" b="1">
              <a:solidFill>
                <a:srgbClr val="FF0000"/>
              </a:solidFill>
            </a:rPr>
            <a:t>行目以下に入力してください。</a:t>
          </a:r>
          <a:endParaRPr kumimoji="1" lang="en-US" altLang="ja-JP" sz="1400" b="1">
            <a:solidFill>
              <a:srgbClr val="FF0000"/>
            </a:solidFill>
          </a:endParaRPr>
        </a:p>
        <a:p>
          <a:r>
            <a:rPr kumimoji="1" lang="ja-JP" altLang="en-US" sz="1400" b="1">
              <a:solidFill>
                <a:srgbClr val="FF0000"/>
              </a:solidFill>
            </a:rPr>
            <a:t>○補助対象は、</a:t>
          </a:r>
          <a:r>
            <a:rPr kumimoji="1" lang="en-US" altLang="ja-JP" sz="1400" b="1">
              <a:solidFill>
                <a:srgbClr val="FF0000"/>
              </a:solidFill>
            </a:rPr>
            <a:t>1/24-3/12</a:t>
          </a:r>
          <a:r>
            <a:rPr kumimoji="1" lang="ja-JP" altLang="en-US" sz="1400" b="1">
              <a:solidFill>
                <a:srgbClr val="FF0000"/>
              </a:solidFill>
            </a:rPr>
            <a:t>の使用分ですが、納品時期については</a:t>
          </a:r>
          <a:r>
            <a:rPr kumimoji="1" lang="en-US" altLang="ja-JP" sz="1400" b="1">
              <a:solidFill>
                <a:srgbClr val="FF0000"/>
              </a:solidFill>
            </a:rPr>
            <a:t>10/1-3/12</a:t>
          </a:r>
          <a:r>
            <a:rPr kumimoji="1" lang="ja-JP" altLang="en-US" sz="1400" b="1">
              <a:solidFill>
                <a:srgbClr val="FF0000"/>
              </a:solidFill>
            </a:rPr>
            <a:t>の納品分となります。</a:t>
          </a:r>
          <a:endParaRPr kumimoji="1" lang="en-US" altLang="ja-JP" sz="1400" b="1">
            <a:solidFill>
              <a:srgbClr val="FF0000"/>
            </a:solidFill>
          </a:endParaRPr>
        </a:p>
        <a:p>
          <a:r>
            <a:rPr kumimoji="1" lang="ja-JP" altLang="en-US" sz="1400" b="1">
              <a:solidFill>
                <a:srgbClr val="FF0000"/>
              </a:solidFill>
            </a:rPr>
            <a:t>（例えば２月に納品され、補助対象期間中に使用された分は補助対象となります。）</a:t>
          </a:r>
          <a:endParaRPr kumimoji="1" lang="en-US" altLang="ja-JP" sz="1400" b="1">
            <a:solidFill>
              <a:srgbClr val="FF0000"/>
            </a:solidFill>
          </a:endParaRPr>
        </a:p>
        <a:p>
          <a:r>
            <a:rPr kumimoji="1" lang="ja-JP" altLang="en-US" sz="1400" b="1" u="sng">
              <a:solidFill>
                <a:srgbClr val="FF0000"/>
              </a:solidFill>
            </a:rPr>
            <a:t>○</a:t>
          </a:r>
          <a:r>
            <a:rPr kumimoji="1" lang="en-US" altLang="ja-JP" sz="1400" b="1" u="sng">
              <a:solidFill>
                <a:srgbClr val="FF0000"/>
              </a:solidFill>
            </a:rPr>
            <a:t>1/24-3/12</a:t>
          </a:r>
          <a:r>
            <a:rPr kumimoji="1" lang="ja-JP" altLang="en-US" sz="1400" b="1" u="sng">
              <a:solidFill>
                <a:srgbClr val="FF0000"/>
              </a:solidFill>
            </a:rPr>
            <a:t>に使用した納品分のみ記載し、使用していない納品分は記載不要です。</a:t>
          </a:r>
          <a:endParaRPr kumimoji="1" lang="en-US" altLang="ja-JP" sz="1400" b="1" u="sng">
            <a:solidFill>
              <a:srgbClr val="FF0000"/>
            </a:solidFill>
          </a:endParaRPr>
        </a:p>
      </xdr:txBody>
    </xdr:sp>
    <xdr:clientData/>
  </xdr:twoCellAnchor>
  <xdr:twoCellAnchor>
    <xdr:from>
      <xdr:col>12</xdr:col>
      <xdr:colOff>38100</xdr:colOff>
      <xdr:row>27</xdr:row>
      <xdr:rowOff>57150</xdr:rowOff>
    </xdr:from>
    <xdr:to>
      <xdr:col>12</xdr:col>
      <xdr:colOff>643218</xdr:colOff>
      <xdr:row>28</xdr:row>
      <xdr:rowOff>195356</xdr:rowOff>
    </xdr:to>
    <xdr:sp macro="" textlink="">
      <xdr:nvSpPr>
        <xdr:cNvPr id="13" name="矢印: 下 12">
          <a:extLst>
            <a:ext uri="{FF2B5EF4-FFF2-40B4-BE49-F238E27FC236}">
              <a16:creationId xmlns:a16="http://schemas.microsoft.com/office/drawing/2014/main" id="{00000000-0008-0000-1100-00000D000000}"/>
            </a:ext>
          </a:extLst>
        </xdr:cNvPr>
        <xdr:cNvSpPr/>
      </xdr:nvSpPr>
      <xdr:spPr>
        <a:xfrm>
          <a:off x="10325100" y="8458200"/>
          <a:ext cx="605118" cy="385856"/>
        </a:xfrm>
        <a:prstGeom prst="downArrow">
          <a:avLst/>
        </a:prstGeom>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0</xdr:colOff>
      <xdr:row>16</xdr:row>
      <xdr:rowOff>133351</xdr:rowOff>
    </xdr:from>
    <xdr:to>
      <xdr:col>8</xdr:col>
      <xdr:colOff>396993</xdr:colOff>
      <xdr:row>18</xdr:row>
      <xdr:rowOff>120023</xdr:rowOff>
    </xdr:to>
    <xdr:sp macro="" textlink="">
      <xdr:nvSpPr>
        <xdr:cNvPr id="14" name="矢印: 下 13">
          <a:extLst>
            <a:ext uri="{FF2B5EF4-FFF2-40B4-BE49-F238E27FC236}">
              <a16:creationId xmlns:a16="http://schemas.microsoft.com/office/drawing/2014/main" id="{00000000-0008-0000-1100-00000E000000}"/>
            </a:ext>
          </a:extLst>
        </xdr:cNvPr>
        <xdr:cNvSpPr/>
      </xdr:nvSpPr>
      <xdr:spPr>
        <a:xfrm rot="5400000">
          <a:off x="6434511" y="5852740"/>
          <a:ext cx="481972" cy="396993"/>
        </a:xfrm>
        <a:prstGeom prst="downArrow">
          <a:avLst/>
        </a:prstGeom>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76200</xdr:colOff>
          <xdr:row>0</xdr:row>
          <xdr:rowOff>0</xdr:rowOff>
        </xdr:from>
        <xdr:to>
          <xdr:col>26</xdr:col>
          <xdr:colOff>457200</xdr:colOff>
          <xdr:row>76</xdr:row>
          <xdr:rowOff>15875</xdr:rowOff>
        </xdr:to>
        <xdr:pic>
          <xdr:nvPicPr>
            <xdr:cNvPr id="2" name="図 1">
              <a:extLst>
                <a:ext uri="{FF2B5EF4-FFF2-40B4-BE49-F238E27FC236}">
                  <a16:creationId xmlns:a16="http://schemas.microsoft.com/office/drawing/2014/main" id="{00000000-0008-0000-1300-000002000000}"/>
                </a:ext>
              </a:extLst>
            </xdr:cNvPr>
            <xdr:cNvPicPr>
              <a:picLocks noChangeAspect="1" noChangeArrowheads="1"/>
              <a:extLst>
                <a:ext uri="{84589F7E-364E-4C9E-8A38-B11213B215E9}">
                  <a14:cameraTool cellRange="$AB$1:$AE$75" spid="_x0000_s44467"/>
                </a:ext>
              </a:extLst>
            </xdr:cNvPicPr>
          </xdr:nvPicPr>
          <xdr:blipFill>
            <a:blip xmlns:r="http://schemas.openxmlformats.org/officeDocument/2006/relationships" r:embed="rId1"/>
            <a:srcRect/>
            <a:stretch>
              <a:fillRect/>
            </a:stretch>
          </xdr:blipFill>
          <xdr:spPr bwMode="auto">
            <a:xfrm>
              <a:off x="14458950" y="0"/>
              <a:ext cx="4286250" cy="219075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36</xdr:col>
      <xdr:colOff>91280</xdr:colOff>
      <xdr:row>32</xdr:row>
      <xdr:rowOff>71439</xdr:rowOff>
    </xdr:from>
    <xdr:to>
      <xdr:col>41</xdr:col>
      <xdr:colOff>247650</xdr:colOff>
      <xdr:row>43</xdr:row>
      <xdr:rowOff>1</xdr:rowOff>
    </xdr:to>
    <xdr:sp macro="" textlink="">
      <xdr:nvSpPr>
        <xdr:cNvPr id="2" name="テキスト ボックス 1">
          <a:extLst>
            <a:ext uri="{FF2B5EF4-FFF2-40B4-BE49-F238E27FC236}">
              <a16:creationId xmlns:a16="http://schemas.microsoft.com/office/drawing/2014/main" id="{00000000-0008-0000-1400-000002000000}"/>
            </a:ext>
          </a:extLst>
        </xdr:cNvPr>
        <xdr:cNvSpPr txBox="1"/>
      </xdr:nvSpPr>
      <xdr:spPr>
        <a:xfrm>
          <a:off x="30773210" y="9550719"/>
          <a:ext cx="5231290" cy="2694622"/>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ysClr val="windowText" lastClr="000000"/>
              </a:solidFill>
              <a:latin typeface="ＭＳ ゴシック" panose="020B0609070205080204" pitchFamily="49" charset="-128"/>
              <a:ea typeface="ＭＳ ゴシック" panose="020B0609070205080204" pitchFamily="49" charset="-128"/>
            </a:rPr>
            <a:t>＜留意事項＞</a:t>
          </a:r>
          <a:endParaRPr kumimoji="1" lang="en-US" altLang="ja-JP" sz="1100" b="1">
            <a:solidFill>
              <a:sysClr val="windowText" lastClr="000000"/>
            </a:solidFill>
            <a:latin typeface="ＭＳ ゴシック" panose="020B0609070205080204" pitchFamily="49" charset="-128"/>
            <a:ea typeface="ＭＳ ゴシック" panose="020B0609070205080204" pitchFamily="49" charset="-128"/>
          </a:endParaRPr>
        </a:p>
        <a:p>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①</a:t>
          </a:r>
          <a:r>
            <a:rPr kumimoji="1"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「種類」欄はプルダウンリストから選択してください。</a:t>
          </a:r>
          <a:endParaRPr kumimoji="1" lang="en-US"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申請できる個人防護具の種類は、</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マスク、ゴーグル、ガウン、グローブ、キャップ、フェイスシールド</a:t>
          </a:r>
          <a:endPar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です。</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令和</a:t>
          </a:r>
          <a:r>
            <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3</a:t>
          </a: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年</a:t>
          </a:r>
          <a:r>
            <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4</a:t>
          </a: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月</a:t>
          </a:r>
          <a:r>
            <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1</a:t>
          </a: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日（診療・検査医療機関の指定を受けた日が</a:t>
          </a:r>
          <a:r>
            <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4</a:t>
          </a: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月</a:t>
          </a:r>
          <a:r>
            <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1</a:t>
          </a: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日以降の場合は、指定日）から令和</a:t>
          </a:r>
          <a:r>
            <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3</a:t>
          </a: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年</a:t>
          </a:r>
          <a:r>
            <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9</a:t>
          </a: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月</a:t>
          </a:r>
          <a:r>
            <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30</a:t>
          </a: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日（または、診療・検査医療機関の指定取り下げ日）までの期間内に使用する分を申請してください。</a:t>
          </a:r>
          <a:endParaRPr kumimoji="1" lang="en-US" altLang="ja-JP" sz="1100">
            <a:solidFill>
              <a:sysClr val="windowText" lastClr="000000"/>
            </a:solidFill>
            <a:latin typeface="ＭＳ ゴシック" panose="020B0609070205080204" pitchFamily="49" charset="-128"/>
            <a:ea typeface="ＭＳ ゴシック" panose="020B0609070205080204" pitchFamily="49" charset="-128"/>
          </a:endParaRPr>
        </a:p>
        <a:p>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②「単価（税抜）」欄と「単価（税込）」欄については、</a:t>
          </a:r>
          <a:r>
            <a:rPr kumimoji="1" lang="ja-JP" altLang="en-US" sz="1100">
              <a:solidFill>
                <a:srgbClr val="FF0000"/>
              </a:solidFill>
              <a:latin typeface="ＭＳ ゴシック" panose="020B0609070205080204" pitchFamily="49" charset="-128"/>
              <a:ea typeface="ＭＳ ゴシック" panose="020B0609070205080204" pitchFamily="49" charset="-128"/>
            </a:rPr>
            <a:t>どちらか一方を</a:t>
          </a:r>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入力して下さい。（最終的に、</a:t>
          </a:r>
          <a:r>
            <a:rPr kumimoji="1" lang="ja-JP" altLang="en-US" sz="1100">
              <a:solidFill>
                <a:srgbClr val="FF0000"/>
              </a:solidFill>
              <a:latin typeface="ＭＳ ゴシック" panose="020B0609070205080204" pitchFamily="49" charset="-128"/>
              <a:ea typeface="ＭＳ ゴシック" panose="020B0609070205080204" pitchFamily="49" charset="-128"/>
            </a:rPr>
            <a:t>「金額（税込）」欄が、見積書等（発注・契約書、納品書、請求書、領収書など）と一致</a:t>
          </a:r>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するようにしてください。）</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③「添付書類番号」欄に番号を入力いただき、照合できるように、</a:t>
          </a:r>
          <a:r>
            <a:rPr kumimoji="1" lang="ja-JP" altLang="en-US" sz="1100">
              <a:solidFill>
                <a:srgbClr val="FF0000"/>
              </a:solidFill>
              <a:latin typeface="ＭＳ ゴシック" panose="020B0609070205080204" pitchFamily="49" charset="-128"/>
              <a:ea typeface="ＭＳ ゴシック" panose="020B0609070205080204" pitchFamily="49" charset="-128"/>
            </a:rPr>
            <a:t>各品目に対する見積書等（発注・契約書、納品書、請求書、領収書など）に番号を付記してください。</a:t>
          </a:r>
          <a:endParaRPr kumimoji="1" lang="en-US" altLang="ja-JP" sz="1100">
            <a:solidFill>
              <a:srgbClr val="FF0000"/>
            </a:solidFill>
            <a:latin typeface="ＭＳ ゴシック" panose="020B0609070205080204" pitchFamily="49" charset="-128"/>
            <a:ea typeface="ＭＳ ゴシック" panose="020B0609070205080204" pitchFamily="49" charset="-128"/>
          </a:endParaRPr>
        </a:p>
        <a:p>
          <a:endParaRPr kumimoji="1" lang="en-US" altLang="ja-JP" sz="1100">
            <a:latin typeface="ＭＳ ゴシック" panose="020B0609070205080204" pitchFamily="49" charset="-128"/>
            <a:ea typeface="ＭＳ ゴシック" panose="020B0609070205080204" pitchFamily="49" charset="-128"/>
          </a:endParaRPr>
        </a:p>
        <a:p>
          <a:endParaRPr kumimoji="1" lang="ja-JP" altLang="en-US" sz="1100">
            <a:latin typeface="ＭＳ ゴシック" panose="020B0609070205080204" pitchFamily="49" charset="-128"/>
            <a:ea typeface="ＭＳ ゴシック" panose="020B0609070205080204" pitchFamily="49" charset="-128"/>
          </a:endParaRPr>
        </a:p>
      </xdr:txBody>
    </xdr:sp>
    <xdr:clientData/>
  </xdr:twoCellAnchor>
  <mc:AlternateContent xmlns:mc="http://schemas.openxmlformats.org/markup-compatibility/2006">
    <mc:Choice xmlns:a14="http://schemas.microsoft.com/office/drawing/2010/main" Requires="a14">
      <xdr:twoCellAnchor editAs="oneCell">
        <xdr:from>
          <xdr:col>20</xdr:col>
          <xdr:colOff>194129</xdr:colOff>
          <xdr:row>10</xdr:row>
          <xdr:rowOff>1472747</xdr:rowOff>
        </xdr:from>
        <xdr:to>
          <xdr:col>28</xdr:col>
          <xdr:colOff>493487</xdr:colOff>
          <xdr:row>110</xdr:row>
          <xdr:rowOff>166462</xdr:rowOff>
        </xdr:to>
        <xdr:pic>
          <xdr:nvPicPr>
            <xdr:cNvPr id="3" name="図 2">
              <a:extLst>
                <a:ext uri="{FF2B5EF4-FFF2-40B4-BE49-F238E27FC236}">
                  <a16:creationId xmlns:a16="http://schemas.microsoft.com/office/drawing/2014/main" id="{00000000-0008-0000-1400-000003000000}"/>
                </a:ext>
              </a:extLst>
            </xdr:cNvPr>
            <xdr:cNvPicPr>
              <a:picLocks noChangeAspect="1" noChangeArrowheads="1"/>
              <a:extLst>
                <a:ext uri="{84589F7E-364E-4C9E-8A38-B11213B215E9}">
                  <a14:cameraTool cellRange="$AF$12:$AI$112" spid="_x0000_s163824"/>
                </a:ext>
              </a:extLst>
            </xdr:cNvPicPr>
          </xdr:nvPicPr>
          <xdr:blipFill>
            <a:blip xmlns:r="http://schemas.openxmlformats.org/officeDocument/2006/relationships" r:embed="rId1"/>
            <a:srcRect/>
            <a:stretch>
              <a:fillRect/>
            </a:stretch>
          </xdr:blipFill>
          <xdr:spPr bwMode="auto">
            <a:xfrm>
              <a:off x="12413343" y="4248604"/>
              <a:ext cx="8545286" cy="24724179"/>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155394</xdr:colOff>
          <xdr:row>4</xdr:row>
          <xdr:rowOff>423727</xdr:rowOff>
        </xdr:from>
        <xdr:to>
          <xdr:col>25</xdr:col>
          <xdr:colOff>563608</xdr:colOff>
          <xdr:row>10</xdr:row>
          <xdr:rowOff>219620</xdr:rowOff>
        </xdr:to>
        <xdr:pic>
          <xdr:nvPicPr>
            <xdr:cNvPr id="4" name="図 3">
              <a:extLst>
                <a:ext uri="{FF2B5EF4-FFF2-40B4-BE49-F238E27FC236}">
                  <a16:creationId xmlns:a16="http://schemas.microsoft.com/office/drawing/2014/main" id="{00000000-0008-0000-1400-000004000000}"/>
                </a:ext>
              </a:extLst>
            </xdr:cNvPr>
            <xdr:cNvPicPr>
              <a:picLocks noChangeAspect="1" noChangeArrowheads="1"/>
              <a:extLst>
                <a:ext uri="{84589F7E-364E-4C9E-8A38-B11213B215E9}">
                  <a14:cameraTool cellRange="$AO$117:$AR$120" spid="_x0000_s163825"/>
                </a:ext>
              </a:extLst>
            </xdr:cNvPicPr>
          </xdr:nvPicPr>
          <xdr:blipFill>
            <a:blip xmlns:r="http://schemas.openxmlformats.org/officeDocument/2006/relationships" r:embed="rId2"/>
            <a:srcRect/>
            <a:stretch>
              <a:fillRect/>
            </a:stretch>
          </xdr:blipFill>
          <xdr:spPr bwMode="auto">
            <a:xfrm>
              <a:off x="9775644" y="1471477"/>
              <a:ext cx="8395607" cy="15240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twoCellAnchor>
    <xdr:from>
      <xdr:col>6</xdr:col>
      <xdr:colOff>414262</xdr:colOff>
      <xdr:row>8</xdr:row>
      <xdr:rowOff>201082</xdr:rowOff>
    </xdr:from>
    <xdr:to>
      <xdr:col>7</xdr:col>
      <xdr:colOff>244929</xdr:colOff>
      <xdr:row>10</xdr:row>
      <xdr:rowOff>1251856</xdr:rowOff>
    </xdr:to>
    <xdr:cxnSp macro="">
      <xdr:nvCxnSpPr>
        <xdr:cNvPr id="5" name="直線矢印コネクタ 4">
          <a:extLst>
            <a:ext uri="{FF2B5EF4-FFF2-40B4-BE49-F238E27FC236}">
              <a16:creationId xmlns:a16="http://schemas.microsoft.com/office/drawing/2014/main" id="{00000000-0008-0000-1400-000005000000}"/>
            </a:ext>
          </a:extLst>
        </xdr:cNvPr>
        <xdr:cNvCxnSpPr/>
      </xdr:nvCxnSpPr>
      <xdr:spPr>
        <a:xfrm flipH="1" flipV="1">
          <a:off x="4454767" y="2591857"/>
          <a:ext cx="487892" cy="1618464"/>
        </a:xfrm>
        <a:prstGeom prst="straightConnector1">
          <a:avLst/>
        </a:prstGeom>
        <a:ln w="28575">
          <a:solidFill>
            <a:srgbClr val="FFC000"/>
          </a:solidFill>
          <a:prstDash val="dash"/>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16</xdr:col>
      <xdr:colOff>76199</xdr:colOff>
      <xdr:row>10</xdr:row>
      <xdr:rowOff>340179</xdr:rowOff>
    </xdr:from>
    <xdr:to>
      <xdr:col>20</xdr:col>
      <xdr:colOff>993321</xdr:colOff>
      <xdr:row>10</xdr:row>
      <xdr:rowOff>1347106</xdr:rowOff>
    </xdr:to>
    <xdr:sp macro="" textlink="">
      <xdr:nvSpPr>
        <xdr:cNvPr id="6" name="吹き出し: 角を丸めた四角形 2">
          <a:extLst>
            <a:ext uri="{FF2B5EF4-FFF2-40B4-BE49-F238E27FC236}">
              <a16:creationId xmlns:a16="http://schemas.microsoft.com/office/drawing/2014/main" id="{00000000-0008-0000-1400-000006000000}"/>
            </a:ext>
          </a:extLst>
        </xdr:cNvPr>
        <xdr:cNvSpPr/>
      </xdr:nvSpPr>
      <xdr:spPr>
        <a:xfrm>
          <a:off x="10512878" y="3116036"/>
          <a:ext cx="2699657" cy="1006927"/>
        </a:xfrm>
        <a:prstGeom prst="wedgeRoundRectCallout">
          <a:avLst>
            <a:gd name="adj1" fmla="val -92965"/>
            <a:gd name="adj2" fmla="val 101070"/>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000" b="1">
              <a:latin typeface="+mn-ea"/>
              <a:ea typeface="+mn-ea"/>
            </a:rPr>
            <a:t>交付申請の際は見積書、カタログ等の提出は不要ですので必要情報が入力されると「－」が表示されます。</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37</xdr:col>
      <xdr:colOff>253999</xdr:colOff>
      <xdr:row>10</xdr:row>
      <xdr:rowOff>47625</xdr:rowOff>
    </xdr:from>
    <xdr:to>
      <xdr:col>47</xdr:col>
      <xdr:colOff>47625</xdr:colOff>
      <xdr:row>16</xdr:row>
      <xdr:rowOff>79375</xdr:rowOff>
    </xdr:to>
    <xdr:sp macro="" textlink="">
      <xdr:nvSpPr>
        <xdr:cNvPr id="2" name="テキスト ボックス 1">
          <a:extLst>
            <a:ext uri="{FF2B5EF4-FFF2-40B4-BE49-F238E27FC236}">
              <a16:creationId xmlns:a16="http://schemas.microsoft.com/office/drawing/2014/main" id="{00000000-0008-0000-1500-000002000000}"/>
            </a:ext>
          </a:extLst>
        </xdr:cNvPr>
        <xdr:cNvSpPr txBox="1"/>
      </xdr:nvSpPr>
      <xdr:spPr>
        <a:xfrm>
          <a:off x="10405744" y="2903220"/>
          <a:ext cx="5001896" cy="1908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600" b="1"/>
            <a:t>賃金情報については、</a:t>
          </a:r>
          <a:endParaRPr kumimoji="1" lang="en-US" altLang="ja-JP" sz="1600" b="1"/>
        </a:p>
        <a:p>
          <a:r>
            <a:rPr kumimoji="1" lang="ja-JP" altLang="en-US" sz="1600" b="1"/>
            <a:t>「月例給の場合」または「時給雇用の場合」</a:t>
          </a:r>
          <a:endParaRPr kumimoji="1" lang="en-US" altLang="ja-JP" sz="1600" b="1"/>
        </a:p>
        <a:p>
          <a:r>
            <a:rPr kumimoji="1" lang="ja-JP" altLang="en-US" sz="1600" b="1"/>
            <a:t>のいずれかのみ入力するようにしてください。</a:t>
          </a:r>
          <a:endParaRPr kumimoji="1" lang="en-US" altLang="ja-JP" sz="1600" b="1"/>
        </a:p>
        <a:p>
          <a:r>
            <a:rPr kumimoji="1" lang="ja-JP" altLang="en-US" sz="1600" b="1"/>
            <a:t>（いずれも入力すると判定が「</a:t>
          </a:r>
          <a:r>
            <a:rPr kumimoji="1" lang="en-US" altLang="ja-JP" sz="1600" b="1"/>
            <a:t>×</a:t>
          </a:r>
          <a:r>
            <a:rPr kumimoji="1" lang="ja-JP" altLang="en-US" sz="1600" b="1"/>
            <a:t>」になります。）</a:t>
          </a:r>
          <a:endParaRPr kumimoji="1" lang="en-US" altLang="ja-JP" sz="1600" b="1"/>
        </a:p>
      </xdr:txBody>
    </xdr:sp>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38</xdr:col>
          <xdr:colOff>71436</xdr:colOff>
          <xdr:row>0</xdr:row>
          <xdr:rowOff>190496</xdr:rowOff>
        </xdr:from>
        <xdr:to>
          <xdr:col>50</xdr:col>
          <xdr:colOff>4761</xdr:colOff>
          <xdr:row>63</xdr:row>
          <xdr:rowOff>14284</xdr:rowOff>
        </xdr:to>
        <xdr:pic>
          <xdr:nvPicPr>
            <xdr:cNvPr id="3" name="図 2">
              <a:extLst>
                <a:ext uri="{FF2B5EF4-FFF2-40B4-BE49-F238E27FC236}">
                  <a16:creationId xmlns:a16="http://schemas.microsoft.com/office/drawing/2014/main" id="{00000000-0008-0000-1600-000003000000}"/>
                </a:ext>
              </a:extLst>
            </xdr:cNvPr>
            <xdr:cNvPicPr>
              <a:picLocks noChangeAspect="1" noChangeArrowheads="1"/>
              <a:extLst>
                <a:ext uri="{84589F7E-364E-4C9E-8A38-B11213B215E9}">
                  <a14:cameraTool cellRange="$BF$2:$BI$63" spid="_x0000_s205896"/>
                </a:ext>
              </a:extLst>
            </xdr:cNvPicPr>
          </xdr:nvPicPr>
          <xdr:blipFill>
            <a:blip xmlns:r="http://schemas.openxmlformats.org/officeDocument/2006/relationships" r:embed="rId1"/>
            <a:srcRect/>
            <a:stretch>
              <a:fillRect/>
            </a:stretch>
          </xdr:blipFill>
          <xdr:spPr bwMode="auto">
            <a:xfrm>
              <a:off x="11215686" y="190496"/>
              <a:ext cx="9648825" cy="19540538"/>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41275</xdr:colOff>
          <xdr:row>0</xdr:row>
          <xdr:rowOff>211137</xdr:rowOff>
        </xdr:from>
        <xdr:to>
          <xdr:col>23</xdr:col>
          <xdr:colOff>596900</xdr:colOff>
          <xdr:row>75</xdr:row>
          <xdr:rowOff>211137</xdr:rowOff>
        </xdr:to>
        <xdr:pic>
          <xdr:nvPicPr>
            <xdr:cNvPr id="2" name="図 1">
              <a:extLst>
                <a:ext uri="{FF2B5EF4-FFF2-40B4-BE49-F238E27FC236}">
                  <a16:creationId xmlns:a16="http://schemas.microsoft.com/office/drawing/2014/main" id="{00000000-0008-0000-1700-000002000000}"/>
                </a:ext>
              </a:extLst>
            </xdr:cNvPr>
            <xdr:cNvPicPr>
              <a:picLocks noChangeAspect="1" noChangeArrowheads="1"/>
              <a:extLst>
                <a:ext uri="{84589F7E-364E-4C9E-8A38-B11213B215E9}">
                  <a14:cameraTool cellRange="$AB$1:$AE$75" spid="_x0000_s45478"/>
                </a:ext>
              </a:extLst>
            </xdr:cNvPicPr>
          </xdr:nvPicPr>
          <xdr:blipFill>
            <a:blip xmlns:r="http://schemas.openxmlformats.org/officeDocument/2006/relationships" r:embed="rId1"/>
            <a:srcRect/>
            <a:stretch>
              <a:fillRect/>
            </a:stretch>
          </xdr:blipFill>
          <xdr:spPr bwMode="auto">
            <a:xfrm>
              <a:off x="11820525" y="211137"/>
              <a:ext cx="4286250" cy="2141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69850</xdr:colOff>
          <xdr:row>1</xdr:row>
          <xdr:rowOff>100012</xdr:rowOff>
        </xdr:from>
        <xdr:to>
          <xdr:col>23</xdr:col>
          <xdr:colOff>613569</xdr:colOff>
          <xdr:row>75</xdr:row>
          <xdr:rowOff>84137</xdr:rowOff>
        </xdr:to>
        <xdr:pic>
          <xdr:nvPicPr>
            <xdr:cNvPr id="2" name="図 1">
              <a:extLst>
                <a:ext uri="{FF2B5EF4-FFF2-40B4-BE49-F238E27FC236}">
                  <a16:creationId xmlns:a16="http://schemas.microsoft.com/office/drawing/2014/main" id="{00000000-0008-0000-1800-000002000000}"/>
                </a:ext>
              </a:extLst>
            </xdr:cNvPr>
            <xdr:cNvPicPr>
              <a:picLocks noChangeAspect="1" noChangeArrowheads="1"/>
              <a:extLst>
                <a:ext uri="{84589F7E-364E-4C9E-8A38-B11213B215E9}">
                  <a14:cameraTool cellRange="$AB$1:$AE$75" spid="_x0000_s47524"/>
                </a:ext>
              </a:extLst>
            </xdr:cNvPicPr>
          </xdr:nvPicPr>
          <xdr:blipFill>
            <a:blip xmlns:r="http://schemas.openxmlformats.org/officeDocument/2006/relationships" r:embed="rId1"/>
            <a:srcRect/>
            <a:stretch>
              <a:fillRect/>
            </a:stretch>
          </xdr:blipFill>
          <xdr:spPr bwMode="auto">
            <a:xfrm>
              <a:off x="11849100" y="354012"/>
              <a:ext cx="4274344" cy="208915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47625</xdr:colOff>
          <xdr:row>0</xdr:row>
          <xdr:rowOff>161925</xdr:rowOff>
        </xdr:from>
        <xdr:to>
          <xdr:col>23</xdr:col>
          <xdr:colOff>47625</xdr:colOff>
          <xdr:row>75</xdr:row>
          <xdr:rowOff>171450</xdr:rowOff>
        </xdr:to>
        <xdr:pic>
          <xdr:nvPicPr>
            <xdr:cNvPr id="2" name="図 1">
              <a:extLst>
                <a:ext uri="{FF2B5EF4-FFF2-40B4-BE49-F238E27FC236}">
                  <a16:creationId xmlns:a16="http://schemas.microsoft.com/office/drawing/2014/main" id="{00000000-0008-0000-1900-000002000000}"/>
                </a:ext>
              </a:extLst>
            </xdr:cNvPr>
            <xdr:cNvPicPr>
              <a:picLocks noChangeAspect="1" noChangeArrowheads="1"/>
              <a:extLst>
                <a:ext uri="{84589F7E-364E-4C9E-8A38-B11213B215E9}">
                  <a14:cameraTool cellRange="$AC$1:$AD$75" spid="_x0000_s206915"/>
                </a:ext>
              </a:extLst>
            </xdr:cNvPicPr>
          </xdr:nvPicPr>
          <xdr:blipFill>
            <a:blip xmlns:r="http://schemas.openxmlformats.org/officeDocument/2006/relationships" r:embed="rId1"/>
            <a:srcRect/>
            <a:stretch>
              <a:fillRect/>
            </a:stretch>
          </xdr:blipFill>
          <xdr:spPr bwMode="auto">
            <a:xfrm>
              <a:off x="11826875" y="161925"/>
              <a:ext cx="3730625" cy="209169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123825</xdr:colOff>
          <xdr:row>0</xdr:row>
          <xdr:rowOff>52387</xdr:rowOff>
        </xdr:from>
        <xdr:to>
          <xdr:col>19</xdr:col>
          <xdr:colOff>492919</xdr:colOff>
          <xdr:row>75</xdr:row>
          <xdr:rowOff>52387</xdr:rowOff>
        </xdr:to>
        <xdr:pic>
          <xdr:nvPicPr>
            <xdr:cNvPr id="2" name="図 1">
              <a:extLst>
                <a:ext uri="{FF2B5EF4-FFF2-40B4-BE49-F238E27FC236}">
                  <a16:creationId xmlns:a16="http://schemas.microsoft.com/office/drawing/2014/main" id="{00000000-0008-0000-1A00-000002000000}"/>
                </a:ext>
              </a:extLst>
            </xdr:cNvPr>
            <xdr:cNvPicPr>
              <a:picLocks noChangeAspect="1" noChangeArrowheads="1"/>
              <a:extLst>
                <a:ext uri="{84589F7E-364E-4C9E-8A38-B11213B215E9}">
                  <a14:cameraTool cellRange="$Y$1:$AB$75" spid="_x0000_s49569"/>
                </a:ext>
              </a:extLst>
            </xdr:cNvPicPr>
          </xdr:nvPicPr>
          <xdr:blipFill>
            <a:blip xmlns:r="http://schemas.openxmlformats.org/officeDocument/2006/relationships" r:embed="rId1"/>
            <a:srcRect/>
            <a:stretch>
              <a:fillRect/>
            </a:stretch>
          </xdr:blipFill>
          <xdr:spPr bwMode="auto">
            <a:xfrm>
              <a:off x="11101388" y="52387"/>
              <a:ext cx="4298156" cy="21216938"/>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123825</xdr:colOff>
          <xdr:row>0</xdr:row>
          <xdr:rowOff>52387</xdr:rowOff>
        </xdr:from>
        <xdr:to>
          <xdr:col>19</xdr:col>
          <xdr:colOff>504825</xdr:colOff>
          <xdr:row>75</xdr:row>
          <xdr:rowOff>52387</xdr:rowOff>
        </xdr:to>
        <xdr:pic>
          <xdr:nvPicPr>
            <xdr:cNvPr id="2" name="図 1">
              <a:extLst>
                <a:ext uri="{FF2B5EF4-FFF2-40B4-BE49-F238E27FC236}">
                  <a16:creationId xmlns:a16="http://schemas.microsoft.com/office/drawing/2014/main" id="{00000000-0008-0000-1B00-000002000000}"/>
                </a:ext>
              </a:extLst>
            </xdr:cNvPr>
            <xdr:cNvPicPr>
              <a:picLocks noChangeAspect="1" noChangeArrowheads="1"/>
              <a:extLst>
                <a:ext uri="{84589F7E-364E-4C9E-8A38-B11213B215E9}">
                  <a14:cameraTool cellRange="$Y$1:$AB$75" spid="_x0000_s50588"/>
                </a:ext>
              </a:extLst>
            </xdr:cNvPicPr>
          </xdr:nvPicPr>
          <xdr:blipFill>
            <a:blip xmlns:r="http://schemas.openxmlformats.org/officeDocument/2006/relationships" r:embed="rId1"/>
            <a:srcRect/>
            <a:stretch>
              <a:fillRect/>
            </a:stretch>
          </xdr:blipFill>
          <xdr:spPr bwMode="auto">
            <a:xfrm>
              <a:off x="11093450" y="52387"/>
              <a:ext cx="4286250" cy="211455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38</xdr:col>
      <xdr:colOff>28576</xdr:colOff>
      <xdr:row>49</xdr:row>
      <xdr:rowOff>19051</xdr:rowOff>
    </xdr:from>
    <xdr:to>
      <xdr:col>41</xdr:col>
      <xdr:colOff>342901</xdr:colOff>
      <xdr:row>55</xdr:row>
      <xdr:rowOff>200026</xdr:rowOff>
    </xdr:to>
    <xdr:pic>
      <xdr:nvPicPr>
        <xdr:cNvPr id="2" name="図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045826" y="17735551"/>
          <a:ext cx="2282825" cy="233997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29</xdr:col>
          <xdr:colOff>37647</xdr:colOff>
          <xdr:row>21</xdr:row>
          <xdr:rowOff>59420</xdr:rowOff>
        </xdr:from>
        <xdr:to>
          <xdr:col>34</xdr:col>
          <xdr:colOff>209385</xdr:colOff>
          <xdr:row>27</xdr:row>
          <xdr:rowOff>120199</xdr:rowOff>
        </xdr:to>
        <xdr:pic>
          <xdr:nvPicPr>
            <xdr:cNvPr id="4" name="図 3">
              <a:extLst>
                <a:ext uri="{FF2B5EF4-FFF2-40B4-BE49-F238E27FC236}">
                  <a16:creationId xmlns:a16="http://schemas.microsoft.com/office/drawing/2014/main" id="{00000000-0008-0000-0400-000004000000}"/>
                </a:ext>
              </a:extLst>
            </xdr:cNvPr>
            <xdr:cNvPicPr>
              <a:picLocks noChangeAspect="1" noChangeArrowheads="1"/>
              <a:extLst>
                <a:ext uri="{84589F7E-364E-4C9E-8A38-B11213B215E9}">
                  <a14:cameraTool cellRange="$AM$50:$AP$56" spid="_x0000_s110946"/>
                </a:ext>
              </a:extLst>
            </xdr:cNvPicPr>
          </xdr:nvPicPr>
          <xdr:blipFill>
            <a:blip xmlns:r="http://schemas.openxmlformats.org/officeDocument/2006/relationships" r:embed="rId2"/>
            <a:srcRect/>
            <a:stretch>
              <a:fillRect/>
            </a:stretch>
          </xdr:blipFill>
          <xdr:spPr bwMode="auto">
            <a:xfrm>
              <a:off x="7864022" y="7996920"/>
              <a:ext cx="1521113" cy="1584779"/>
            </a:xfrm>
            <a:prstGeom prst="rect">
              <a:avLst/>
            </a:prstGeom>
            <a:noFill/>
            <a:ln w="9525">
              <a:noFill/>
              <a:miter lim="800000"/>
              <a:headEnd/>
              <a:tailEnd/>
            </a:ln>
          </xdr:spPr>
        </xdr:pic>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123825</xdr:colOff>
          <xdr:row>0</xdr:row>
          <xdr:rowOff>52387</xdr:rowOff>
        </xdr:from>
        <xdr:to>
          <xdr:col>19</xdr:col>
          <xdr:colOff>492919</xdr:colOff>
          <xdr:row>75</xdr:row>
          <xdr:rowOff>52387</xdr:rowOff>
        </xdr:to>
        <xdr:pic>
          <xdr:nvPicPr>
            <xdr:cNvPr id="2" name="図 1">
              <a:extLst>
                <a:ext uri="{FF2B5EF4-FFF2-40B4-BE49-F238E27FC236}">
                  <a16:creationId xmlns:a16="http://schemas.microsoft.com/office/drawing/2014/main" id="{00000000-0008-0000-1C00-000002000000}"/>
                </a:ext>
              </a:extLst>
            </xdr:cNvPr>
            <xdr:cNvPicPr>
              <a:picLocks noChangeAspect="1" noChangeArrowheads="1"/>
              <a:extLst>
                <a:ext uri="{84589F7E-364E-4C9E-8A38-B11213B215E9}">
                  <a14:cameraTool cellRange="$Y$1:$AB$75" spid="_x0000_s51611"/>
                </a:ext>
              </a:extLst>
            </xdr:cNvPicPr>
          </xdr:nvPicPr>
          <xdr:blipFill>
            <a:blip xmlns:r="http://schemas.openxmlformats.org/officeDocument/2006/relationships" r:embed="rId1"/>
            <a:srcRect/>
            <a:stretch>
              <a:fillRect/>
            </a:stretch>
          </xdr:blipFill>
          <xdr:spPr bwMode="auto">
            <a:xfrm>
              <a:off x="11101388" y="52387"/>
              <a:ext cx="4298156" cy="21216938"/>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123825</xdr:colOff>
          <xdr:row>0</xdr:row>
          <xdr:rowOff>52387</xdr:rowOff>
        </xdr:from>
        <xdr:to>
          <xdr:col>19</xdr:col>
          <xdr:colOff>492919</xdr:colOff>
          <xdr:row>76</xdr:row>
          <xdr:rowOff>84137</xdr:rowOff>
        </xdr:to>
        <xdr:pic>
          <xdr:nvPicPr>
            <xdr:cNvPr id="2" name="図 1">
              <a:extLst>
                <a:ext uri="{FF2B5EF4-FFF2-40B4-BE49-F238E27FC236}">
                  <a16:creationId xmlns:a16="http://schemas.microsoft.com/office/drawing/2014/main" id="{00000000-0008-0000-1D00-000002000000}"/>
                </a:ext>
              </a:extLst>
            </xdr:cNvPr>
            <xdr:cNvPicPr>
              <a:picLocks noChangeAspect="1" noChangeArrowheads="1"/>
              <a:extLst>
                <a:ext uri="{84589F7E-364E-4C9E-8A38-B11213B215E9}">
                  <a14:cameraTool cellRange="$Y$1:$AB$75" spid="_x0000_s52639"/>
                </a:ext>
              </a:extLst>
            </xdr:cNvPicPr>
          </xdr:nvPicPr>
          <xdr:blipFill>
            <a:blip xmlns:r="http://schemas.openxmlformats.org/officeDocument/2006/relationships" r:embed="rId1"/>
            <a:srcRect/>
            <a:stretch>
              <a:fillRect/>
            </a:stretch>
          </xdr:blipFill>
          <xdr:spPr bwMode="auto">
            <a:xfrm>
              <a:off x="11101388" y="52387"/>
              <a:ext cx="4298156" cy="20966906"/>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123825</xdr:colOff>
          <xdr:row>0</xdr:row>
          <xdr:rowOff>52387</xdr:rowOff>
        </xdr:from>
        <xdr:to>
          <xdr:col>19</xdr:col>
          <xdr:colOff>492919</xdr:colOff>
          <xdr:row>76</xdr:row>
          <xdr:rowOff>84137</xdr:rowOff>
        </xdr:to>
        <xdr:pic>
          <xdr:nvPicPr>
            <xdr:cNvPr id="2" name="図 1">
              <a:extLst>
                <a:ext uri="{FF2B5EF4-FFF2-40B4-BE49-F238E27FC236}">
                  <a16:creationId xmlns:a16="http://schemas.microsoft.com/office/drawing/2014/main" id="{00000000-0008-0000-1E00-000002000000}"/>
                </a:ext>
              </a:extLst>
            </xdr:cNvPr>
            <xdr:cNvPicPr>
              <a:picLocks noChangeAspect="1" noChangeArrowheads="1"/>
              <a:extLst>
                <a:ext uri="{84589F7E-364E-4C9E-8A38-B11213B215E9}">
                  <a14:cameraTool cellRange="$Y$1:$AB$75" spid="_x0000_s53666"/>
                </a:ext>
              </a:extLst>
            </xdr:cNvPicPr>
          </xdr:nvPicPr>
          <xdr:blipFill>
            <a:blip xmlns:r="http://schemas.openxmlformats.org/officeDocument/2006/relationships" r:embed="rId1"/>
            <a:srcRect/>
            <a:stretch>
              <a:fillRect/>
            </a:stretch>
          </xdr:blipFill>
          <xdr:spPr bwMode="auto">
            <a:xfrm>
              <a:off x="11101388" y="52387"/>
              <a:ext cx="4298156" cy="21216938"/>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123825</xdr:colOff>
          <xdr:row>0</xdr:row>
          <xdr:rowOff>52387</xdr:rowOff>
        </xdr:from>
        <xdr:to>
          <xdr:col>19</xdr:col>
          <xdr:colOff>504825</xdr:colOff>
          <xdr:row>76</xdr:row>
          <xdr:rowOff>84137</xdr:rowOff>
        </xdr:to>
        <xdr:pic>
          <xdr:nvPicPr>
            <xdr:cNvPr id="2" name="図 1">
              <a:extLst>
                <a:ext uri="{FF2B5EF4-FFF2-40B4-BE49-F238E27FC236}">
                  <a16:creationId xmlns:a16="http://schemas.microsoft.com/office/drawing/2014/main" id="{00000000-0008-0000-1F00-000002000000}"/>
                </a:ext>
              </a:extLst>
            </xdr:cNvPr>
            <xdr:cNvPicPr>
              <a:picLocks noChangeAspect="1" noChangeArrowheads="1"/>
              <a:extLst>
                <a:ext uri="{84589F7E-364E-4C9E-8A38-B11213B215E9}">
                  <a14:cameraTool cellRange="$Y$1:$AB$75" spid="_x0000_s54690"/>
                </a:ext>
              </a:extLst>
            </xdr:cNvPicPr>
          </xdr:nvPicPr>
          <xdr:blipFill>
            <a:blip xmlns:r="http://schemas.openxmlformats.org/officeDocument/2006/relationships" r:embed="rId1"/>
            <a:srcRect/>
            <a:stretch>
              <a:fillRect/>
            </a:stretch>
          </xdr:blipFill>
          <xdr:spPr bwMode="auto">
            <a:xfrm>
              <a:off x="11093450" y="52387"/>
              <a:ext cx="4286250" cy="216535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123825</xdr:colOff>
          <xdr:row>0</xdr:row>
          <xdr:rowOff>52387</xdr:rowOff>
        </xdr:from>
        <xdr:to>
          <xdr:col>19</xdr:col>
          <xdr:colOff>504825</xdr:colOff>
          <xdr:row>75</xdr:row>
          <xdr:rowOff>52387</xdr:rowOff>
        </xdr:to>
        <xdr:pic>
          <xdr:nvPicPr>
            <xdr:cNvPr id="2" name="図 1">
              <a:extLst>
                <a:ext uri="{FF2B5EF4-FFF2-40B4-BE49-F238E27FC236}">
                  <a16:creationId xmlns:a16="http://schemas.microsoft.com/office/drawing/2014/main" id="{00000000-0008-0000-2000-000002000000}"/>
                </a:ext>
              </a:extLst>
            </xdr:cNvPr>
            <xdr:cNvPicPr>
              <a:picLocks noChangeAspect="1" noChangeArrowheads="1"/>
              <a:extLst>
                <a:ext uri="{84589F7E-364E-4C9E-8A38-B11213B215E9}">
                  <a14:cameraTool cellRange="$Y$1:$AB$75" spid="_x0000_s55709"/>
                </a:ext>
              </a:extLst>
            </xdr:cNvPicPr>
          </xdr:nvPicPr>
          <xdr:blipFill>
            <a:blip xmlns:r="http://schemas.openxmlformats.org/officeDocument/2006/relationships" r:embed="rId1"/>
            <a:srcRect/>
            <a:stretch>
              <a:fillRect/>
            </a:stretch>
          </xdr:blipFill>
          <xdr:spPr bwMode="auto">
            <a:xfrm>
              <a:off x="11104789" y="52387"/>
              <a:ext cx="4299857" cy="21404036"/>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25.xml><?xml version="1.0" encoding="utf-8"?>
<xdr:wsDr xmlns:xdr="http://schemas.openxmlformats.org/drawingml/2006/spreadsheetDrawing" xmlns:a="http://schemas.openxmlformats.org/drawingml/2006/main">
  <xdr:twoCellAnchor>
    <xdr:from>
      <xdr:col>5</xdr:col>
      <xdr:colOff>174625</xdr:colOff>
      <xdr:row>1</xdr:row>
      <xdr:rowOff>0</xdr:rowOff>
    </xdr:from>
    <xdr:to>
      <xdr:col>9</xdr:col>
      <xdr:colOff>206375</xdr:colOff>
      <xdr:row>10</xdr:row>
      <xdr:rowOff>158750</xdr:rowOff>
    </xdr:to>
    <xdr:sp macro="" textlink="">
      <xdr:nvSpPr>
        <xdr:cNvPr id="2" name="テキスト ボックス 1">
          <a:extLst>
            <a:ext uri="{FF2B5EF4-FFF2-40B4-BE49-F238E27FC236}">
              <a16:creationId xmlns:a16="http://schemas.microsoft.com/office/drawing/2014/main" id="{00000000-0008-0000-2100-000002000000}"/>
            </a:ext>
          </a:extLst>
        </xdr:cNvPr>
        <xdr:cNvSpPr txBox="1"/>
      </xdr:nvSpPr>
      <xdr:spPr>
        <a:xfrm>
          <a:off x="16287750" y="206375"/>
          <a:ext cx="2762250" cy="3683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申請（または事前協議）内容の審査の結果、補正等が必要である場合、本シートに指摘事項を記載の上、データをメールにてお送りします。</a:t>
          </a:r>
          <a:endParaRPr kumimoji="1" lang="en-US" altLang="ja-JP" sz="1400" b="1">
            <a:solidFill>
              <a:srgbClr val="FF0000"/>
            </a:solidFill>
          </a:endParaRPr>
        </a:p>
        <a:p>
          <a:r>
            <a:rPr kumimoji="1" lang="ja-JP" altLang="en-US" sz="1400" b="1">
              <a:solidFill>
                <a:srgbClr val="FF0000"/>
              </a:solidFill>
            </a:rPr>
            <a:t>内容を確認の上、申請（または事前協議）内容を修正し、対応内容につき個別の指摘事項の右欄（回答欄）に対応内容を記載し、県からのメールあて返信によりご回答ください。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29</xdr:col>
      <xdr:colOff>0</xdr:colOff>
      <xdr:row>77</xdr:row>
      <xdr:rowOff>19050</xdr:rowOff>
    </xdr:from>
    <xdr:to>
      <xdr:col>33</xdr:col>
      <xdr:colOff>266700</xdr:colOff>
      <xdr:row>77</xdr:row>
      <xdr:rowOff>266700</xdr:rowOff>
    </xdr:to>
    <xdr:cxnSp macro="">
      <xdr:nvCxnSpPr>
        <xdr:cNvPr id="3" name="直線矢印コネクタ 2">
          <a:extLst>
            <a:ext uri="{FF2B5EF4-FFF2-40B4-BE49-F238E27FC236}">
              <a16:creationId xmlns:a16="http://schemas.microsoft.com/office/drawing/2014/main" id="{00000000-0008-0000-0600-000003000000}"/>
            </a:ext>
          </a:extLst>
        </xdr:cNvPr>
        <xdr:cNvCxnSpPr/>
      </xdr:nvCxnSpPr>
      <xdr:spPr>
        <a:xfrm flipH="1">
          <a:off x="7955280" y="25420320"/>
          <a:ext cx="1363980" cy="167640"/>
        </a:xfrm>
        <a:prstGeom prst="straightConnector1">
          <a:avLst/>
        </a:prstGeom>
        <a:ln w="158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214312</xdr:colOff>
      <xdr:row>65</xdr:row>
      <xdr:rowOff>309562</xdr:rowOff>
    </xdr:from>
    <xdr:to>
      <xdr:col>50</xdr:col>
      <xdr:colOff>62932</xdr:colOff>
      <xdr:row>67</xdr:row>
      <xdr:rowOff>544286</xdr:rowOff>
    </xdr:to>
    <xdr:sp macro="" textlink="">
      <xdr:nvSpPr>
        <xdr:cNvPr id="4" name="テキスト ボックス 3">
          <a:extLst>
            <a:ext uri="{FF2B5EF4-FFF2-40B4-BE49-F238E27FC236}">
              <a16:creationId xmlns:a16="http://schemas.microsoft.com/office/drawing/2014/main" id="{00000000-0008-0000-0600-000004000000}"/>
            </a:ext>
          </a:extLst>
        </xdr:cNvPr>
        <xdr:cNvSpPr txBox="1"/>
      </xdr:nvSpPr>
      <xdr:spPr>
        <a:xfrm>
          <a:off x="11465242" y="21706522"/>
          <a:ext cx="2315595" cy="1109119"/>
        </a:xfrm>
        <a:prstGeom prst="rect">
          <a:avLst/>
        </a:prstGeom>
        <a:solidFill>
          <a:schemeClr val="lt1"/>
        </a:solidFill>
        <a:ln w="25400" cmpd="dbl">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400" b="1">
              <a:solidFill>
                <a:srgbClr val="FF0000"/>
              </a:solidFill>
            </a:rPr>
            <a:t>個人防護具の経費を申請に計上しない場合は入力不要です。</a:t>
          </a:r>
        </a:p>
      </xdr:txBody>
    </xdr:sp>
    <xdr:clientData/>
  </xdr:twoCellAnchor>
  <xdr:twoCellAnchor>
    <xdr:from>
      <xdr:col>21</xdr:col>
      <xdr:colOff>127000</xdr:colOff>
      <xdr:row>15</xdr:row>
      <xdr:rowOff>111125</xdr:rowOff>
    </xdr:from>
    <xdr:to>
      <xdr:col>45</xdr:col>
      <xdr:colOff>158750</xdr:colOff>
      <xdr:row>18</xdr:row>
      <xdr:rowOff>79375</xdr:rowOff>
    </xdr:to>
    <xdr:sp macro="" textlink="">
      <xdr:nvSpPr>
        <xdr:cNvPr id="5" name="テキスト ボックス 4">
          <a:extLst>
            <a:ext uri="{FF2B5EF4-FFF2-40B4-BE49-F238E27FC236}">
              <a16:creationId xmlns:a16="http://schemas.microsoft.com/office/drawing/2014/main" id="{00000000-0008-0000-0600-000005000000}"/>
            </a:ext>
          </a:extLst>
        </xdr:cNvPr>
        <xdr:cNvSpPr txBox="1"/>
      </xdr:nvSpPr>
      <xdr:spPr>
        <a:xfrm>
          <a:off x="5794375" y="4603750"/>
          <a:ext cx="6508750" cy="682625"/>
        </a:xfrm>
        <a:prstGeom prst="rect">
          <a:avLst/>
        </a:prstGeom>
        <a:solidFill>
          <a:schemeClr val="lt1"/>
        </a:solidFill>
        <a:ln w="19050" cmpd="dbl">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rgbClr val="FF0000"/>
              </a:solidFill>
            </a:rPr>
            <a:t>以下、黄色枠は全欄入力するようにしてください。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29</xdr:col>
      <xdr:colOff>0</xdr:colOff>
      <xdr:row>110</xdr:row>
      <xdr:rowOff>19050</xdr:rowOff>
    </xdr:from>
    <xdr:to>
      <xdr:col>33</xdr:col>
      <xdr:colOff>266700</xdr:colOff>
      <xdr:row>110</xdr:row>
      <xdr:rowOff>266700</xdr:rowOff>
    </xdr:to>
    <xdr:cxnSp macro="">
      <xdr:nvCxnSpPr>
        <xdr:cNvPr id="5" name="直線矢印コネクタ 4">
          <a:extLst>
            <a:ext uri="{FF2B5EF4-FFF2-40B4-BE49-F238E27FC236}">
              <a16:creationId xmlns:a16="http://schemas.microsoft.com/office/drawing/2014/main" id="{00000000-0008-0000-0700-000005000000}"/>
            </a:ext>
          </a:extLst>
        </xdr:cNvPr>
        <xdr:cNvCxnSpPr/>
      </xdr:nvCxnSpPr>
      <xdr:spPr>
        <a:xfrm flipH="1">
          <a:off x="7955280" y="23622000"/>
          <a:ext cx="1363980" cy="243840"/>
        </a:xfrm>
        <a:prstGeom prst="straightConnector1">
          <a:avLst/>
        </a:prstGeom>
        <a:ln w="158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0</xdr:colOff>
      <xdr:row>110</xdr:row>
      <xdr:rowOff>19050</xdr:rowOff>
    </xdr:from>
    <xdr:to>
      <xdr:col>33</xdr:col>
      <xdr:colOff>266700</xdr:colOff>
      <xdr:row>110</xdr:row>
      <xdr:rowOff>266700</xdr:rowOff>
    </xdr:to>
    <xdr:cxnSp macro="">
      <xdr:nvCxnSpPr>
        <xdr:cNvPr id="6" name="直線矢印コネクタ 5">
          <a:extLst>
            <a:ext uri="{FF2B5EF4-FFF2-40B4-BE49-F238E27FC236}">
              <a16:creationId xmlns:a16="http://schemas.microsoft.com/office/drawing/2014/main" id="{00000000-0008-0000-0700-000006000000}"/>
            </a:ext>
          </a:extLst>
        </xdr:cNvPr>
        <xdr:cNvCxnSpPr/>
      </xdr:nvCxnSpPr>
      <xdr:spPr>
        <a:xfrm flipH="1">
          <a:off x="7955280" y="23622000"/>
          <a:ext cx="1363980" cy="243840"/>
        </a:xfrm>
        <a:prstGeom prst="straightConnector1">
          <a:avLst/>
        </a:prstGeom>
        <a:ln w="158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163286</xdr:colOff>
      <xdr:row>98</xdr:row>
      <xdr:rowOff>163285</xdr:rowOff>
    </xdr:from>
    <xdr:to>
      <xdr:col>50</xdr:col>
      <xdr:colOff>27214</xdr:colOff>
      <xdr:row>100</xdr:row>
      <xdr:rowOff>408214</xdr:rowOff>
    </xdr:to>
    <xdr:sp macro="" textlink="">
      <xdr:nvSpPr>
        <xdr:cNvPr id="7" name="テキスト ボックス 6">
          <a:extLst>
            <a:ext uri="{FF2B5EF4-FFF2-40B4-BE49-F238E27FC236}">
              <a16:creationId xmlns:a16="http://schemas.microsoft.com/office/drawing/2014/main" id="{00000000-0008-0000-0700-000007000000}"/>
            </a:ext>
          </a:extLst>
        </xdr:cNvPr>
        <xdr:cNvSpPr txBox="1"/>
      </xdr:nvSpPr>
      <xdr:spPr>
        <a:xfrm>
          <a:off x="11408501" y="19836220"/>
          <a:ext cx="2336618" cy="1125039"/>
        </a:xfrm>
        <a:prstGeom prst="rect">
          <a:avLst/>
        </a:prstGeom>
        <a:solidFill>
          <a:schemeClr val="lt1"/>
        </a:solidFill>
        <a:ln w="25400" cmpd="dbl">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400" b="1">
              <a:solidFill>
                <a:srgbClr val="FF0000"/>
              </a:solidFill>
            </a:rPr>
            <a:t>個人防護具の経費を申請に計上しない場合は入力不要です。</a:t>
          </a:r>
        </a:p>
      </xdr:txBody>
    </xdr:sp>
    <xdr:clientData/>
  </xdr:twoCellAnchor>
  <xdr:twoCellAnchor>
    <xdr:from>
      <xdr:col>47</xdr:col>
      <xdr:colOff>127000</xdr:colOff>
      <xdr:row>14</xdr:row>
      <xdr:rowOff>222250</xdr:rowOff>
    </xdr:from>
    <xdr:to>
      <xdr:col>50</xdr:col>
      <xdr:colOff>158750</xdr:colOff>
      <xdr:row>40</xdr:row>
      <xdr:rowOff>0</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12811125" y="5080000"/>
          <a:ext cx="841375" cy="5969000"/>
        </a:xfrm>
        <a:prstGeom prst="rect">
          <a:avLst/>
        </a:prstGeom>
        <a:solidFill>
          <a:schemeClr val="lt1"/>
        </a:solidFill>
        <a:ln w="15875" cmpd="dbl">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200" b="1">
              <a:solidFill>
                <a:srgbClr val="FF0000"/>
              </a:solidFill>
            </a:rPr>
            <a:t>黄色枠は全欄入力するようにしてください。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38</xdr:col>
      <xdr:colOff>28575</xdr:colOff>
      <xdr:row>50</xdr:row>
      <xdr:rowOff>19050</xdr:rowOff>
    </xdr:from>
    <xdr:to>
      <xdr:col>41</xdr:col>
      <xdr:colOff>342899</xdr:colOff>
      <xdr:row>56</xdr:row>
      <xdr:rowOff>213360</xdr:rowOff>
    </xdr:to>
    <xdr:pic>
      <xdr:nvPicPr>
        <xdr:cNvPr id="2" name="図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094700" y="13830300"/>
          <a:ext cx="2282824" cy="235331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14</xdr:col>
          <xdr:colOff>201135</xdr:colOff>
          <xdr:row>13</xdr:row>
          <xdr:rowOff>25212</xdr:rowOff>
        </xdr:from>
        <xdr:to>
          <xdr:col>17</xdr:col>
          <xdr:colOff>285749</xdr:colOff>
          <xdr:row>17</xdr:row>
          <xdr:rowOff>152118</xdr:rowOff>
        </xdr:to>
        <xdr:pic>
          <xdr:nvPicPr>
            <xdr:cNvPr id="3" name="図 2">
              <a:extLst>
                <a:ext uri="{FF2B5EF4-FFF2-40B4-BE49-F238E27FC236}">
                  <a16:creationId xmlns:a16="http://schemas.microsoft.com/office/drawing/2014/main" id="{00000000-0008-0000-0800-000003000000}"/>
                </a:ext>
              </a:extLst>
            </xdr:cNvPr>
            <xdr:cNvPicPr>
              <a:picLocks noChangeAspect="1" noChangeArrowheads="1"/>
              <a:extLst>
                <a:ext uri="{84589F7E-364E-4C9E-8A38-B11213B215E9}">
                  <a14:cameraTool cellRange="$AM$51:$AP$57" spid="_x0000_s57755"/>
                </a:ext>
              </a:extLst>
            </xdr:cNvPicPr>
          </xdr:nvPicPr>
          <xdr:blipFill>
            <a:blip xmlns:r="http://schemas.openxmlformats.org/officeDocument/2006/relationships" r:embed="rId2"/>
            <a:srcRect/>
            <a:stretch>
              <a:fillRect/>
            </a:stretch>
          </xdr:blipFill>
          <xdr:spPr bwMode="auto">
            <a:xfrm>
              <a:off x="5900260" y="4025712"/>
              <a:ext cx="1370489" cy="1396906"/>
            </a:xfrm>
            <a:prstGeom prst="rect">
              <a:avLst/>
            </a:prstGeom>
            <a:noFill/>
            <a:ln w="9525">
              <a:noFill/>
              <a:miter lim="800000"/>
              <a:headEnd/>
              <a:tailEnd/>
            </a:ln>
          </xdr:spPr>
        </xdr:pic>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6</xdr:col>
      <xdr:colOff>15875</xdr:colOff>
      <xdr:row>40</xdr:row>
      <xdr:rowOff>190500</xdr:rowOff>
    </xdr:from>
    <xdr:to>
      <xdr:col>30</xdr:col>
      <xdr:colOff>174625</xdr:colOff>
      <xdr:row>55</xdr:row>
      <xdr:rowOff>95250</xdr:rowOff>
    </xdr:to>
    <xdr:sp macro="" textlink="">
      <xdr:nvSpPr>
        <xdr:cNvPr id="2" name="テキスト ボックス 1">
          <a:extLst>
            <a:ext uri="{FF2B5EF4-FFF2-40B4-BE49-F238E27FC236}">
              <a16:creationId xmlns:a16="http://schemas.microsoft.com/office/drawing/2014/main" id="{00000000-0008-0000-0900-000002000000}"/>
            </a:ext>
          </a:extLst>
        </xdr:cNvPr>
        <xdr:cNvSpPr txBox="1"/>
      </xdr:nvSpPr>
      <xdr:spPr>
        <a:xfrm>
          <a:off x="1635125" y="10414000"/>
          <a:ext cx="6635750" cy="1936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400"/>
        </a:p>
        <a:p>
          <a:r>
            <a:rPr kumimoji="1" lang="ja-JP" altLang="en-US" sz="1800"/>
            <a:t>　　</a:t>
          </a:r>
          <a:r>
            <a:rPr kumimoji="1" lang="en-US" altLang="ja-JP" sz="1800" b="1"/>
            <a:t>【</a:t>
          </a:r>
          <a:r>
            <a:rPr kumimoji="1" lang="ja-JP" altLang="en-US" sz="1800" b="1"/>
            <a:t>郵送先</a:t>
          </a:r>
          <a:r>
            <a:rPr kumimoji="1" lang="en-US" altLang="ja-JP" sz="1800" b="1"/>
            <a:t>】</a:t>
          </a:r>
        </a:p>
        <a:p>
          <a:r>
            <a:rPr kumimoji="1" lang="ja-JP" altLang="en-US" sz="1800" b="1"/>
            <a:t>　　　〒４６０－８５０１</a:t>
          </a:r>
          <a:endParaRPr kumimoji="1" lang="en-US" altLang="ja-JP" sz="1800" b="1"/>
        </a:p>
        <a:p>
          <a:r>
            <a:rPr kumimoji="1" lang="ja-JP" altLang="en-US" sz="1800" b="1"/>
            <a:t>　　　名古屋市中区三の丸３－１－２</a:t>
          </a:r>
          <a:endParaRPr kumimoji="1" lang="en-US" altLang="ja-JP" sz="1800" b="1"/>
        </a:p>
        <a:p>
          <a:r>
            <a:rPr kumimoji="1" lang="ja-JP" altLang="en-US" sz="1800" b="1"/>
            <a:t>　　　愛知県感染症対策課助成グループ　宛</a:t>
          </a:r>
        </a:p>
      </xdr:txBody>
    </xdr:sp>
    <xdr:clientData/>
  </xdr:twoCellAnchor>
  <xdr:twoCellAnchor>
    <xdr:from>
      <xdr:col>0</xdr:col>
      <xdr:colOff>200025</xdr:colOff>
      <xdr:row>6</xdr:row>
      <xdr:rowOff>180975</xdr:rowOff>
    </xdr:from>
    <xdr:to>
      <xdr:col>12</xdr:col>
      <xdr:colOff>151039</xdr:colOff>
      <xdr:row>16</xdr:row>
      <xdr:rowOff>51707</xdr:rowOff>
    </xdr:to>
    <xdr:sp macro="" textlink="">
      <xdr:nvSpPr>
        <xdr:cNvPr id="4" name="テキスト ボックス 3">
          <a:extLst>
            <a:ext uri="{FF2B5EF4-FFF2-40B4-BE49-F238E27FC236}">
              <a16:creationId xmlns:a16="http://schemas.microsoft.com/office/drawing/2014/main" id="{00000000-0008-0000-0900-000004000000}"/>
            </a:ext>
          </a:extLst>
        </xdr:cNvPr>
        <xdr:cNvSpPr txBox="1"/>
      </xdr:nvSpPr>
      <xdr:spPr>
        <a:xfrm>
          <a:off x="200025" y="1704975"/>
          <a:ext cx="3265714" cy="2347232"/>
        </a:xfrm>
        <a:prstGeom prst="rect">
          <a:avLst/>
        </a:prstGeom>
        <a:solidFill>
          <a:schemeClr val="accent4">
            <a:lumMod val="20000"/>
            <a:lumOff val="80000"/>
          </a:schemeClr>
        </a:solidFill>
        <a:ln w="15875" cmpd="dbl">
          <a:solidFill>
            <a:schemeClr val="accent2">
              <a:lumMod val="60000"/>
              <a:lumOff val="4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kumimoji="1" lang="ja-JP" altLang="en-US" sz="1600" b="0">
              <a:latin typeface="ＭＳ ゴシック" panose="020B0609070205080204" pitchFamily="49" charset="-128"/>
              <a:ea typeface="ＭＳ ゴシック" panose="020B0609070205080204" pitchFamily="49" charset="-128"/>
            </a:rPr>
            <a:t>「はじめに入力してください」シートに入力した内容が自動表示されますので、本シートは入力　不要です。</a:t>
          </a:r>
          <a:endParaRPr kumimoji="1" lang="en-US" altLang="ja-JP" sz="1600" b="0">
            <a:latin typeface="ＭＳ ゴシック" panose="020B0609070205080204" pitchFamily="49" charset="-128"/>
            <a:ea typeface="ＭＳ ゴシック" panose="020B0609070205080204" pitchFamily="49" charset="-128"/>
          </a:endParaRPr>
        </a:p>
        <a:p>
          <a:pPr algn="just"/>
          <a:endParaRPr kumimoji="1" lang="en-US" altLang="ja-JP" sz="1600" b="0">
            <a:latin typeface="ＭＳ ゴシック" panose="020B0609070205080204" pitchFamily="49" charset="-128"/>
            <a:ea typeface="ＭＳ ゴシック" panose="020B0609070205080204" pitchFamily="49" charset="-128"/>
          </a:endParaRPr>
        </a:p>
        <a:p>
          <a:pPr algn="just"/>
          <a:r>
            <a:rPr kumimoji="1" lang="ja-JP" altLang="en-US" sz="1600" b="0">
              <a:latin typeface="ＭＳ ゴシック" panose="020B0609070205080204" pitchFamily="49" charset="-128"/>
              <a:ea typeface="ＭＳ ゴシック" panose="020B0609070205080204" pitchFamily="49" charset="-128"/>
            </a:rPr>
            <a:t>また、申請額は関係シートに経費情報が入力されると自動で表示　されます。</a:t>
          </a:r>
        </a:p>
      </xdr:txBody>
    </xdr:sp>
    <xdr:clientData/>
  </xdr:twoCellAnchor>
  <xdr:twoCellAnchor editAs="oneCell">
    <xdr:from>
      <xdr:col>0</xdr:col>
      <xdr:colOff>254001</xdr:colOff>
      <xdr:row>58</xdr:row>
      <xdr:rowOff>31751</xdr:rowOff>
    </xdr:from>
    <xdr:to>
      <xdr:col>35</xdr:col>
      <xdr:colOff>79376</xdr:colOff>
      <xdr:row>65</xdr:row>
      <xdr:rowOff>71041</xdr:rowOff>
    </xdr:to>
    <xdr:pic>
      <xdr:nvPicPr>
        <xdr:cNvPr id="5" name="図 4">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4001" y="12985751"/>
          <a:ext cx="9271000" cy="1595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142875</xdr:colOff>
          <xdr:row>3</xdr:row>
          <xdr:rowOff>114300</xdr:rowOff>
        </xdr:from>
        <xdr:to>
          <xdr:col>15</xdr:col>
          <xdr:colOff>619125</xdr:colOff>
          <xdr:row>13</xdr:row>
          <xdr:rowOff>114300</xdr:rowOff>
        </xdr:to>
        <xdr:pic>
          <xdr:nvPicPr>
            <xdr:cNvPr id="2" name="図 1">
              <a:extLst>
                <a:ext uri="{FF2B5EF4-FFF2-40B4-BE49-F238E27FC236}">
                  <a16:creationId xmlns:a16="http://schemas.microsoft.com/office/drawing/2014/main" id="{00000000-0008-0000-0D00-000002000000}"/>
                </a:ext>
              </a:extLst>
            </xdr:cNvPr>
            <xdr:cNvPicPr>
              <a:picLocks noChangeAspect="1" noChangeArrowheads="1"/>
              <a:extLst>
                <a:ext uri="{84589F7E-364E-4C9E-8A38-B11213B215E9}">
                  <a14:cameraTool cellRange="$Y$4:$AE$13" spid="_x0000_s68997"/>
                </a:ext>
              </a:extLst>
            </xdr:cNvPicPr>
          </xdr:nvPicPr>
          <xdr:blipFill>
            <a:blip xmlns:r="http://schemas.openxmlformats.org/officeDocument/2006/relationships" r:embed="rId1"/>
            <a:srcRect/>
            <a:stretch>
              <a:fillRect/>
            </a:stretch>
          </xdr:blipFill>
          <xdr:spPr bwMode="auto">
            <a:xfrm>
              <a:off x="7112000" y="1019175"/>
              <a:ext cx="4778375" cy="19050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44450</xdr:colOff>
          <xdr:row>0</xdr:row>
          <xdr:rowOff>0</xdr:rowOff>
        </xdr:from>
        <xdr:to>
          <xdr:col>23</xdr:col>
          <xdr:colOff>588169</xdr:colOff>
          <xdr:row>77</xdr:row>
          <xdr:rowOff>174625</xdr:rowOff>
        </xdr:to>
        <xdr:pic>
          <xdr:nvPicPr>
            <xdr:cNvPr id="3" name="図 2">
              <a:extLst>
                <a:ext uri="{FF2B5EF4-FFF2-40B4-BE49-F238E27FC236}">
                  <a16:creationId xmlns:a16="http://schemas.microsoft.com/office/drawing/2014/main" id="{00000000-0008-0000-0F00-000003000000}"/>
                </a:ext>
              </a:extLst>
            </xdr:cNvPr>
            <xdr:cNvPicPr>
              <a:picLocks noChangeAspect="1" noChangeArrowheads="1"/>
              <a:extLst>
                <a:ext uri="{84589F7E-364E-4C9E-8A38-B11213B215E9}">
                  <a14:cameraTool cellRange="$AB$1:$AE$75" spid="_x0000_s7672"/>
                </a:ext>
              </a:extLst>
            </xdr:cNvPicPr>
          </xdr:nvPicPr>
          <xdr:blipFill>
            <a:blip xmlns:r="http://schemas.openxmlformats.org/officeDocument/2006/relationships" r:embed="rId1"/>
            <a:srcRect/>
            <a:stretch>
              <a:fillRect/>
            </a:stretch>
          </xdr:blipFill>
          <xdr:spPr bwMode="auto">
            <a:xfrm>
              <a:off x="11823700" y="0"/>
              <a:ext cx="4274344" cy="213995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44450</xdr:colOff>
          <xdr:row>0</xdr:row>
          <xdr:rowOff>163512</xdr:rowOff>
        </xdr:from>
        <xdr:to>
          <xdr:col>23</xdr:col>
          <xdr:colOff>600075</xdr:colOff>
          <xdr:row>75</xdr:row>
          <xdr:rowOff>147637</xdr:rowOff>
        </xdr:to>
        <xdr:pic>
          <xdr:nvPicPr>
            <xdr:cNvPr id="2" name="図 1">
              <a:extLst>
                <a:ext uri="{FF2B5EF4-FFF2-40B4-BE49-F238E27FC236}">
                  <a16:creationId xmlns:a16="http://schemas.microsoft.com/office/drawing/2014/main" id="{00000000-0008-0000-1000-000002000000}"/>
                </a:ext>
              </a:extLst>
            </xdr:cNvPr>
            <xdr:cNvPicPr>
              <a:picLocks noChangeAspect="1" noChangeArrowheads="1"/>
              <a:extLst>
                <a:ext uri="{84589F7E-364E-4C9E-8A38-B11213B215E9}">
                  <a14:cameraTool cellRange="$AB$1:$AE$75" spid="_x0000_s43430"/>
                </a:ext>
              </a:extLst>
            </xdr:cNvPicPr>
          </xdr:nvPicPr>
          <xdr:blipFill>
            <a:blip xmlns:r="http://schemas.openxmlformats.org/officeDocument/2006/relationships" r:embed="rId1"/>
            <a:srcRect/>
            <a:stretch>
              <a:fillRect/>
            </a:stretch>
          </xdr:blipFill>
          <xdr:spPr bwMode="auto">
            <a:xfrm>
              <a:off x="11823700" y="163512"/>
              <a:ext cx="4286250" cy="211455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4.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5.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6.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7.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8.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9.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0.xml"/><Relationship Id="rId1" Type="http://schemas.openxmlformats.org/officeDocument/2006/relationships/printerSettings" Target="../printerSettings/printerSettings28.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1.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2.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3.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4.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dimension ref="A1:AA197"/>
  <sheetViews>
    <sheetView showGridLines="0" topLeftCell="A25" zoomScale="90" zoomScaleNormal="90" workbookViewId="0">
      <selection activeCell="G32" sqref="G32"/>
    </sheetView>
  </sheetViews>
  <sheetFormatPr defaultColWidth="8.625" defaultRowHeight="9.75"/>
  <cols>
    <col min="1" max="3" width="12.625" style="21" customWidth="1"/>
    <col min="4" max="4" width="3.625" style="24" customWidth="1"/>
    <col min="5" max="6" width="12.625" style="24" customWidth="1"/>
    <col min="7" max="8" width="12.625" style="21" customWidth="1"/>
    <col min="9" max="12" width="8.625" style="21"/>
    <col min="13" max="13" width="12.625" style="21" customWidth="1"/>
    <col min="14" max="14" width="90.625" style="22" customWidth="1"/>
    <col min="15" max="15" width="8.625" style="21"/>
    <col min="16" max="16" width="15.625" style="21" customWidth="1"/>
    <col min="17" max="16384" width="8.625" style="21"/>
  </cols>
  <sheetData>
    <row r="1" spans="2:24" ht="15" customHeight="1">
      <c r="I1" s="29" t="s">
        <v>1355</v>
      </c>
      <c r="J1" s="29" t="s">
        <v>1356</v>
      </c>
      <c r="K1" s="29" t="s">
        <v>1357</v>
      </c>
      <c r="P1" s="712"/>
      <c r="Q1" s="711" t="s">
        <v>1428</v>
      </c>
      <c r="R1" s="711"/>
      <c r="S1" s="711"/>
      <c r="T1" s="711"/>
      <c r="U1" s="711" t="s">
        <v>1433</v>
      </c>
      <c r="V1" s="711"/>
      <c r="W1" s="711"/>
      <c r="X1" s="711"/>
    </row>
    <row r="2" spans="2:24" ht="15" customHeight="1">
      <c r="C2" s="27" t="s">
        <v>482</v>
      </c>
      <c r="I2" s="593">
        <f xml:space="preserve">
IF(表紙!$X$2="事前協議",5,
IF(表紙!$X$2="交付申請（２次）",5,
IF(表紙!$X$2="変更申請",5,
IF(表紙!$X$2="実績報告（１次）",5,
IF(表紙!$X$2="実績報告（２次）",5,
IF(表紙!$X$2="交付申請兼実績報告",5))))))</f>
        <v>5</v>
      </c>
      <c r="J2" s="593">
        <f xml:space="preserve">
IF(表紙!$X$2="事前協議",10,
IF(表紙!$X$2="交付申請（２次）",10,
IF(表紙!$X$2="変更申請",10,
IF(表紙!$X$2="実績報告（１次）",4,
IF(表紙!$X$2="実績報告（２次）",10,
IF(表紙!$X$2="交付申請兼実績報告",10))))))</f>
        <v>10</v>
      </c>
      <c r="K2" s="29">
        <v>1</v>
      </c>
      <c r="P2" s="713"/>
      <c r="Q2" s="640" t="s">
        <v>1429</v>
      </c>
      <c r="R2" s="640" t="s">
        <v>1430</v>
      </c>
      <c r="S2" s="640" t="s">
        <v>1431</v>
      </c>
      <c r="T2" s="640" t="s">
        <v>1432</v>
      </c>
      <c r="U2" s="640" t="s">
        <v>1429</v>
      </c>
      <c r="V2" s="640" t="s">
        <v>1430</v>
      </c>
      <c r="W2" s="640" t="s">
        <v>1431</v>
      </c>
      <c r="X2" s="640" t="s">
        <v>1432</v>
      </c>
    </row>
    <row r="3" spans="2:24" ht="15" customHeight="1">
      <c r="C3" s="28" t="s">
        <v>419</v>
      </c>
      <c r="I3" s="593">
        <f xml:space="preserve">
IF(表紙!$X$2="事前協議",6,
IF(表紙!$X$2="交付申請（２次）",6,
IF(表紙!$X$2="変更申請",6,
IF(表紙!$X$2="実績報告（１次）","",
IF(表紙!$X$2="実績報告（２次）",6,
IF(表紙!$X$2="交付申請兼実績報告",6))))))</f>
        <v>6</v>
      </c>
      <c r="J3" s="593">
        <f xml:space="preserve">
IF(表紙!$X$2="事前協議",11,
IF(表紙!$X$2="交付申請（２次）",11,
IF(表紙!$X$2="変更申請",11,
IF(表紙!$X$2="実績報告（１次）",5,
IF(表紙!$X$2="実績報告（２次）",11,
IF(表紙!$X$2="交付申請兼実績報告",11))))))</f>
        <v>11</v>
      </c>
      <c r="K3" s="29">
        <v>2</v>
      </c>
      <c r="P3" s="709" t="s">
        <v>1434</v>
      </c>
      <c r="Q3" s="640" t="s">
        <v>1437</v>
      </c>
      <c r="R3" s="640" t="s">
        <v>1444</v>
      </c>
      <c r="S3" s="640" t="s">
        <v>1445</v>
      </c>
      <c r="T3" s="640" t="s">
        <v>1446</v>
      </c>
      <c r="U3" s="640" t="s">
        <v>1437</v>
      </c>
      <c r="V3" s="640" t="s">
        <v>1444</v>
      </c>
      <c r="W3" s="640" t="s">
        <v>1445</v>
      </c>
      <c r="X3" s="640" t="s">
        <v>1446</v>
      </c>
    </row>
    <row r="4" spans="2:24" ht="15" customHeight="1">
      <c r="C4" s="28" t="s">
        <v>1346</v>
      </c>
      <c r="I4" s="594"/>
      <c r="J4" s="593">
        <f xml:space="preserve">
IF(表紙!$X$2="事前協議",12,
IF(表紙!$X$2="交付申請（２次）",12,
IF(表紙!$X$2="変更申請",12,
IF(表紙!$X$2="実績報告（１次）",6,
IF(表紙!$X$2="実績報告（２次）",12,
IF(表紙!$X$2="交付申請兼実績報告",12))))))</f>
        <v>12</v>
      </c>
      <c r="K4" s="29">
        <v>3</v>
      </c>
      <c r="P4" s="710" t="s">
        <v>1435</v>
      </c>
      <c r="Q4" s="640" t="s">
        <v>1438</v>
      </c>
      <c r="R4" s="640" t="s">
        <v>1447</v>
      </c>
      <c r="S4" s="640" t="s">
        <v>1447</v>
      </c>
      <c r="T4" s="640" t="s">
        <v>1438</v>
      </c>
      <c r="U4" s="640" t="s">
        <v>1441</v>
      </c>
      <c r="V4" s="640" t="s">
        <v>1450</v>
      </c>
      <c r="W4" s="640" t="s">
        <v>1450</v>
      </c>
      <c r="X4" s="640" t="s">
        <v>1441</v>
      </c>
    </row>
    <row r="5" spans="2:24" ht="15" customHeight="1">
      <c r="C5" s="28" t="s">
        <v>481</v>
      </c>
      <c r="I5" s="594"/>
      <c r="J5" s="593">
        <f xml:space="preserve">
IF(表紙!$X$2="事前協議",1,
IF(表紙!$X$2="交付申請（２次）",1,
IF(表紙!$X$2="変更申請",1,
IF(表紙!$X$2="実績報告（１次）",7,
IF(表紙!$X$2="実績報告（２次）",1,
IF(表紙!$X$2="交付申請兼実績報告",1))))))</f>
        <v>1</v>
      </c>
      <c r="K5" s="29">
        <v>4</v>
      </c>
      <c r="P5" s="710" t="s">
        <v>1436</v>
      </c>
      <c r="Q5" s="640" t="s">
        <v>1439</v>
      </c>
      <c r="R5" s="640" t="s">
        <v>1448</v>
      </c>
      <c r="S5" s="640" t="s">
        <v>1448</v>
      </c>
      <c r="T5" s="640" t="s">
        <v>1439</v>
      </c>
      <c r="U5" s="640" t="s">
        <v>1449</v>
      </c>
      <c r="V5" s="640" t="s">
        <v>1451</v>
      </c>
      <c r="W5" s="640" t="s">
        <v>1451</v>
      </c>
      <c r="X5" s="640" t="s">
        <v>1449</v>
      </c>
    </row>
    <row r="6" spans="2:24" ht="15" customHeight="1">
      <c r="C6" s="28" t="s">
        <v>1347</v>
      </c>
      <c r="I6" s="594"/>
      <c r="J6" s="593">
        <f xml:space="preserve">
IF(表紙!$X$2="事前協議",2,
IF(表紙!$X$2="交付申請（２次）",2,
IF(表紙!$X$2="変更申請",2,
IF(表紙!$X$2="実績報告（１次）",8,
IF(表紙!$X$2="実績報告（２次）",2,
IF(表紙!$X$2="交付申請兼実績報告",2))))))</f>
        <v>2</v>
      </c>
      <c r="K6" s="29">
        <v>5</v>
      </c>
      <c r="P6" s="710" t="s">
        <v>1442</v>
      </c>
      <c r="Q6" s="640" t="s">
        <v>1440</v>
      </c>
      <c r="R6" s="640" t="s">
        <v>1443</v>
      </c>
      <c r="S6" s="640" t="s">
        <v>1443</v>
      </c>
      <c r="T6" s="640" t="s">
        <v>1440</v>
      </c>
      <c r="U6" s="640" t="s">
        <v>1440</v>
      </c>
      <c r="V6" s="640" t="s">
        <v>1443</v>
      </c>
      <c r="W6" s="640" t="s">
        <v>1443</v>
      </c>
      <c r="X6" s="640" t="s">
        <v>1440</v>
      </c>
    </row>
    <row r="7" spans="2:24" ht="15" customHeight="1">
      <c r="C7" s="28" t="s">
        <v>1348</v>
      </c>
      <c r="I7" s="592"/>
      <c r="J7" s="29">
        <f xml:space="preserve">
IF(表紙!$X$2="事前協議",3,
IF(表紙!$X$2="交付申請（２次）",3,
IF(表紙!$X$2="変更申請",3,
IF(表紙!$X$2="実績報告（１次）","9",
IF(表紙!$X$2="実績報告（２次）",3,
IF(表紙!$X$2="交付申請兼実績報告",3))))))</f>
        <v>3</v>
      </c>
      <c r="K7" s="29">
        <v>6</v>
      </c>
    </row>
    <row r="8" spans="2:24" ht="15" customHeight="1">
      <c r="C8" s="28" t="s">
        <v>1000</v>
      </c>
      <c r="I8" s="592"/>
      <c r="J8" s="29"/>
      <c r="K8" s="29">
        <v>7</v>
      </c>
    </row>
    <row r="9" spans="2:24" ht="15" customHeight="1">
      <c r="D9" s="21"/>
      <c r="E9" s="21"/>
      <c r="F9" s="21"/>
      <c r="H9" s="590"/>
      <c r="I9" s="592"/>
      <c r="J9" s="29"/>
      <c r="K9" s="29">
        <v>8</v>
      </c>
    </row>
    <row r="10" spans="2:24" ht="15" customHeight="1">
      <c r="B10" s="26"/>
      <c r="C10" s="26"/>
      <c r="D10" s="26"/>
      <c r="E10" s="26"/>
      <c r="F10" s="26"/>
      <c r="G10" s="26"/>
      <c r="H10" s="591"/>
      <c r="I10" s="592"/>
      <c r="J10" s="29"/>
      <c r="K10" s="29">
        <v>9</v>
      </c>
      <c r="M10" s="21" t="str">
        <f>IF(テーブル!G14&gt;テーブル!G11,"○","×")</f>
        <v>×</v>
      </c>
    </row>
    <row r="11" spans="2:24" ht="15" customHeight="1">
      <c r="B11" s="26"/>
      <c r="C11" s="26"/>
      <c r="D11" s="26"/>
      <c r="E11" s="26"/>
      <c r="F11" s="26"/>
      <c r="G11" s="26"/>
      <c r="H11" s="591"/>
      <c r="I11" s="592"/>
      <c r="J11" s="29"/>
      <c r="K11" s="29">
        <v>10</v>
      </c>
    </row>
    <row r="12" spans="2:24" ht="15" customHeight="1">
      <c r="B12" s="25"/>
      <c r="C12" s="25"/>
      <c r="D12" s="25"/>
      <c r="E12" s="25"/>
      <c r="F12" s="25"/>
      <c r="G12" s="25"/>
      <c r="H12" s="591"/>
      <c r="I12" s="592"/>
      <c r="J12" s="29"/>
      <c r="K12" s="29">
        <v>11</v>
      </c>
    </row>
    <row r="13" spans="2:24" ht="15" customHeight="1">
      <c r="B13" s="25"/>
      <c r="C13" s="25"/>
      <c r="D13" s="25"/>
      <c r="E13" s="25"/>
      <c r="F13" s="25"/>
      <c r="G13" s="25"/>
      <c r="H13" s="591"/>
      <c r="I13" s="592"/>
      <c r="J13" s="29"/>
      <c r="K13" s="29">
        <v>12</v>
      </c>
    </row>
    <row r="14" spans="2:24" ht="15" customHeight="1">
      <c r="B14" s="26"/>
      <c r="C14" s="26"/>
      <c r="D14" s="26"/>
      <c r="E14" s="26"/>
      <c r="F14" s="26"/>
      <c r="G14" s="26"/>
      <c r="H14" s="591"/>
      <c r="I14" s="592"/>
      <c r="J14" s="29"/>
      <c r="K14" s="29">
        <v>13</v>
      </c>
    </row>
    <row r="15" spans="2:24" ht="15" customHeight="1">
      <c r="B15" s="26"/>
      <c r="C15" s="26"/>
      <c r="D15" s="26"/>
      <c r="E15" s="26"/>
      <c r="F15" s="26"/>
      <c r="G15" s="26"/>
      <c r="H15" s="591"/>
      <c r="I15" s="592"/>
      <c r="J15" s="592"/>
      <c r="K15" s="29">
        <v>14</v>
      </c>
    </row>
    <row r="16" spans="2:24" ht="15" customHeight="1">
      <c r="B16" s="26"/>
      <c r="C16" s="26"/>
      <c r="D16" s="26"/>
      <c r="E16" s="26"/>
      <c r="F16" s="26"/>
      <c r="G16" s="26"/>
      <c r="H16" s="591"/>
      <c r="I16" s="592"/>
      <c r="J16" s="592"/>
      <c r="K16" s="29">
        <v>15</v>
      </c>
    </row>
    <row r="17" spans="2:11" ht="15" customHeight="1">
      <c r="B17" s="26"/>
      <c r="C17" s="26"/>
      <c r="D17" s="26"/>
      <c r="E17" s="26"/>
      <c r="F17" s="26"/>
      <c r="G17" s="26"/>
      <c r="H17" s="591"/>
      <c r="I17" s="592"/>
      <c r="J17" s="592"/>
      <c r="K17" s="29">
        <v>16</v>
      </c>
    </row>
    <row r="18" spans="2:11" ht="15" customHeight="1">
      <c r="B18" s="25"/>
      <c r="C18" s="25"/>
      <c r="D18" s="25"/>
      <c r="E18" s="25"/>
      <c r="F18" s="25"/>
      <c r="G18" s="25"/>
      <c r="H18" s="591"/>
      <c r="I18" s="592"/>
      <c r="J18" s="592"/>
      <c r="K18" s="29">
        <v>17</v>
      </c>
    </row>
    <row r="19" spans="2:11" ht="15" customHeight="1">
      <c r="B19" s="21" t="s">
        <v>984</v>
      </c>
      <c r="C19" s="24">
        <v>1</v>
      </c>
      <c r="I19" s="592"/>
      <c r="J19" s="592"/>
      <c r="K19" s="29">
        <v>18</v>
      </c>
    </row>
    <row r="20" spans="2:11" ht="15" customHeight="1">
      <c r="C20" s="24">
        <v>2</v>
      </c>
      <c r="I20" s="592"/>
      <c r="J20" s="592"/>
      <c r="K20" s="29">
        <v>19</v>
      </c>
    </row>
    <row r="21" spans="2:11" ht="15" customHeight="1">
      <c r="B21" s="21" t="s">
        <v>1143</v>
      </c>
      <c r="C21" s="24" t="s">
        <v>1144</v>
      </c>
      <c r="I21" s="592"/>
      <c r="J21" s="592"/>
      <c r="K21" s="29">
        <v>20</v>
      </c>
    </row>
    <row r="22" spans="2:11" ht="15" customHeight="1">
      <c r="C22" s="24" t="s">
        <v>1145</v>
      </c>
      <c r="I22" s="592"/>
      <c r="J22" s="592"/>
      <c r="K22" s="29">
        <v>21</v>
      </c>
    </row>
    <row r="23" spans="2:11" ht="15" customHeight="1">
      <c r="D23" s="21"/>
      <c r="E23" s="24" t="s">
        <v>1406</v>
      </c>
      <c r="F23" s="24" t="s">
        <v>1407</v>
      </c>
      <c r="G23" s="24" t="s">
        <v>1408</v>
      </c>
      <c r="I23" s="592"/>
      <c r="J23" s="592"/>
      <c r="K23" s="29">
        <v>22</v>
      </c>
    </row>
    <row r="24" spans="2:11" ht="15" customHeight="1">
      <c r="D24" s="24">
        <v>24</v>
      </c>
      <c r="E24" s="29" t="s">
        <v>1401</v>
      </c>
      <c r="F24" s="29" t="s">
        <v>1402</v>
      </c>
      <c r="G24" s="29" t="s">
        <v>1403</v>
      </c>
      <c r="I24" s="592"/>
      <c r="J24" s="592"/>
      <c r="K24" s="29">
        <v>23</v>
      </c>
    </row>
    <row r="25" spans="2:11" ht="15" customHeight="1">
      <c r="D25" s="24">
        <v>25</v>
      </c>
      <c r="E25" s="27" t="s">
        <v>482</v>
      </c>
      <c r="F25" s="30">
        <v>45323</v>
      </c>
      <c r="G25" s="30">
        <v>45351</v>
      </c>
      <c r="I25" s="592"/>
      <c r="J25" s="592"/>
      <c r="K25" s="29">
        <v>24</v>
      </c>
    </row>
    <row r="26" spans="2:11" ht="15" customHeight="1">
      <c r="D26" s="24">
        <v>26</v>
      </c>
      <c r="E26" s="28" t="s">
        <v>419</v>
      </c>
      <c r="F26" s="30" t="s">
        <v>1404</v>
      </c>
      <c r="G26" s="30" t="s">
        <v>1404</v>
      </c>
      <c r="I26" s="592"/>
      <c r="J26" s="592"/>
      <c r="K26" s="29">
        <v>25</v>
      </c>
    </row>
    <row r="27" spans="2:11" ht="15" customHeight="1">
      <c r="D27" s="24">
        <v>27</v>
      </c>
      <c r="E27" s="28" t="s">
        <v>1346</v>
      </c>
      <c r="F27" s="30">
        <v>45323</v>
      </c>
      <c r="G27" s="30">
        <v>45351</v>
      </c>
      <c r="I27" s="592"/>
      <c r="J27" s="592"/>
      <c r="K27" s="29">
        <v>26</v>
      </c>
    </row>
    <row r="28" spans="2:11" ht="15" customHeight="1">
      <c r="D28" s="24">
        <v>28</v>
      </c>
      <c r="E28" s="28" t="s">
        <v>481</v>
      </c>
      <c r="F28" s="30">
        <v>45352</v>
      </c>
      <c r="G28" s="30">
        <v>45382</v>
      </c>
      <c r="I28" s="592"/>
      <c r="J28" s="592"/>
      <c r="K28" s="29">
        <v>27</v>
      </c>
    </row>
    <row r="29" spans="2:11" ht="15" customHeight="1">
      <c r="D29" s="24">
        <v>29</v>
      </c>
      <c r="E29" s="28" t="s">
        <v>1347</v>
      </c>
      <c r="F29" s="657">
        <f xml:space="preserve">
DATE(2023,10,3)</f>
        <v>45202</v>
      </c>
      <c r="G29" s="657">
        <v>45230</v>
      </c>
      <c r="I29" s="592"/>
      <c r="J29" s="592"/>
      <c r="K29" s="29">
        <v>28</v>
      </c>
    </row>
    <row r="30" spans="2:11" ht="15" customHeight="1">
      <c r="D30" s="24">
        <v>30</v>
      </c>
      <c r="E30" s="28" t="s">
        <v>1348</v>
      </c>
      <c r="F30" s="657">
        <f>MIN(
DATE(2024,3,31),
IF(COUNTIF(はじめに入力してください!$AF$30:$AF$40,"")=11,DATE(2024,3,31),MAX(はじめに入力してください!$AF$30:$AF$47)),
IFERROR(VLOOKUP(はじめに入力してください!$L$18,リスト!$A:$DZ,130,FALSE),DATE(2024,3,31)))</f>
        <v>0</v>
      </c>
      <c r="G30" s="657">
        <f>F30+30</f>
        <v>30</v>
      </c>
      <c r="I30" s="592"/>
      <c r="J30" s="592"/>
      <c r="K30" s="29">
        <v>29</v>
      </c>
    </row>
    <row r="31" spans="2:11" ht="15" customHeight="1">
      <c r="D31" s="24">
        <v>31</v>
      </c>
      <c r="E31" s="28" t="s">
        <v>1000</v>
      </c>
      <c r="F31" s="30">
        <v>45372</v>
      </c>
      <c r="G31" s="30">
        <v>45382</v>
      </c>
      <c r="I31" s="592"/>
      <c r="J31" s="592"/>
      <c r="K31" s="29">
        <v>30</v>
      </c>
    </row>
    <row r="32" spans="2:11" ht="15" customHeight="1">
      <c r="I32" s="592"/>
      <c r="J32" s="592"/>
      <c r="K32" s="29">
        <v>31</v>
      </c>
    </row>
    <row r="33" spans="1:27" ht="15" customHeight="1"/>
    <row r="34" spans="1:27" ht="15" customHeight="1"/>
    <row r="35" spans="1:27" ht="15" customHeight="1"/>
    <row r="36" spans="1:27" ht="15" customHeight="1"/>
    <row r="37" spans="1:27" ht="29.25">
      <c r="M37" s="16" t="s">
        <v>420</v>
      </c>
      <c r="N37" s="18" t="s">
        <v>1237</v>
      </c>
      <c r="O37" s="17" t="s">
        <v>435</v>
      </c>
    </row>
    <row r="38" spans="1:27" ht="48.75">
      <c r="M38" s="16" t="s">
        <v>421</v>
      </c>
      <c r="N38" s="18" t="s">
        <v>1188</v>
      </c>
      <c r="O38" s="17" t="s">
        <v>436</v>
      </c>
    </row>
    <row r="39" spans="1:27">
      <c r="M39" s="16" t="s">
        <v>422</v>
      </c>
      <c r="N39" s="18"/>
      <c r="O39" s="17" t="s">
        <v>437</v>
      </c>
    </row>
    <row r="40" spans="1:27" ht="78">
      <c r="M40" s="16" t="s">
        <v>423</v>
      </c>
      <c r="N40" s="18" t="s">
        <v>1246</v>
      </c>
      <c r="O40" s="17" t="s">
        <v>438</v>
      </c>
    </row>
    <row r="41" spans="1:27" ht="48.75">
      <c r="M41" s="16" t="s">
        <v>424</v>
      </c>
      <c r="N41" s="18" t="s">
        <v>1247</v>
      </c>
      <c r="O41" s="17" t="s">
        <v>439</v>
      </c>
    </row>
    <row r="42" spans="1:27" ht="58.5">
      <c r="M42" s="16" t="s">
        <v>425</v>
      </c>
      <c r="N42" s="18" t="s">
        <v>1238</v>
      </c>
      <c r="O42" s="17" t="s">
        <v>440</v>
      </c>
    </row>
    <row r="43" spans="1:27" ht="48.75">
      <c r="M43" s="16" t="s">
        <v>426</v>
      </c>
      <c r="N43" s="18" t="s">
        <v>1248</v>
      </c>
      <c r="O43" s="17" t="s">
        <v>441</v>
      </c>
    </row>
    <row r="44" spans="1:27" ht="39">
      <c r="M44" s="16" t="s">
        <v>427</v>
      </c>
      <c r="N44" s="18" t="s">
        <v>1295</v>
      </c>
      <c r="O44" s="17" t="s">
        <v>442</v>
      </c>
    </row>
    <row r="45" spans="1:27" ht="48.75">
      <c r="M45" s="16" t="s">
        <v>428</v>
      </c>
      <c r="N45" s="23" t="s">
        <v>1239</v>
      </c>
      <c r="O45" s="17" t="s">
        <v>443</v>
      </c>
    </row>
    <row r="46" spans="1:27" ht="48.75">
      <c r="A46" s="11"/>
      <c r="B46" s="11" t="s">
        <v>540</v>
      </c>
      <c r="C46" s="11" t="s">
        <v>542</v>
      </c>
      <c r="D46" s="11" t="s">
        <v>544</v>
      </c>
      <c r="E46" s="11" t="s">
        <v>545</v>
      </c>
      <c r="M46" s="16" t="s">
        <v>429</v>
      </c>
      <c r="N46" s="23" t="s">
        <v>1249</v>
      </c>
      <c r="O46" s="17" t="s">
        <v>444</v>
      </c>
      <c r="W46" s="29"/>
      <c r="X46" s="29" t="s">
        <v>539</v>
      </c>
      <c r="Y46" s="29" t="s">
        <v>541</v>
      </c>
      <c r="Z46" s="29" t="s">
        <v>543</v>
      </c>
      <c r="AA46" s="94"/>
    </row>
    <row r="47" spans="1:27" ht="66">
      <c r="A47" s="11">
        <v>47</v>
      </c>
      <c r="B47" s="11"/>
      <c r="C47" s="11" t="s">
        <v>100</v>
      </c>
      <c r="D47" s="11" t="s">
        <v>101</v>
      </c>
      <c r="E47" s="11" t="s">
        <v>102</v>
      </c>
      <c r="M47" s="16" t="s">
        <v>430</v>
      </c>
      <c r="N47" s="23" t="s">
        <v>1240</v>
      </c>
      <c r="O47" s="17" t="s">
        <v>445</v>
      </c>
      <c r="R47" s="21" t="e">
        <f t="array" aca="1" ref="R47" ca="1">OFFSET(テーブル!$X$48, 0, MATCH(D31,テーブル!$Y$47:$Z$47,0), COUNTA(OFFSET(テーブル!$X$48,0,MATCH(D31,テーブル!$Y$47:$Z$47,0),$X$30,1)),1)</f>
        <v>#N/A</v>
      </c>
      <c r="W47" s="29">
        <v>47</v>
      </c>
      <c r="X47" s="29"/>
      <c r="Y47" s="29" t="s">
        <v>100</v>
      </c>
      <c r="Z47" s="29" t="s">
        <v>669</v>
      </c>
      <c r="AA47" s="94"/>
    </row>
    <row r="48" spans="1:27" ht="66">
      <c r="A48" s="11">
        <v>48</v>
      </c>
      <c r="B48" s="11" t="s">
        <v>100</v>
      </c>
      <c r="C48" s="11" t="s">
        <v>104</v>
      </c>
      <c r="D48" s="11" t="s">
        <v>105</v>
      </c>
      <c r="E48" s="11" t="s">
        <v>106</v>
      </c>
      <c r="M48" s="16" t="s">
        <v>431</v>
      </c>
      <c r="N48" s="23" t="s">
        <v>1250</v>
      </c>
      <c r="O48" s="17" t="s">
        <v>446</v>
      </c>
      <c r="W48" s="29">
        <v>48</v>
      </c>
      <c r="X48" s="29" t="s">
        <v>100</v>
      </c>
      <c r="Y48" s="29" t="s">
        <v>820</v>
      </c>
      <c r="Z48" s="29" t="s">
        <v>670</v>
      </c>
      <c r="AA48" s="94"/>
    </row>
    <row r="49" spans="1:27" ht="66">
      <c r="A49" s="11">
        <v>49</v>
      </c>
      <c r="B49" s="11" t="s">
        <v>101</v>
      </c>
      <c r="C49" s="11"/>
      <c r="D49" s="11" t="s">
        <v>108</v>
      </c>
      <c r="E49" s="11" t="s">
        <v>109</v>
      </c>
      <c r="M49" s="16" t="s">
        <v>432</v>
      </c>
      <c r="N49" s="23" t="s">
        <v>1241</v>
      </c>
      <c r="O49" s="17" t="s">
        <v>447</v>
      </c>
      <c r="W49" s="29">
        <v>49</v>
      </c>
      <c r="X49" s="29" t="s">
        <v>669</v>
      </c>
      <c r="Y49" s="29" t="s">
        <v>821</v>
      </c>
      <c r="Z49" s="29" t="s">
        <v>671</v>
      </c>
      <c r="AA49" s="94"/>
    </row>
    <row r="50" spans="1:27" ht="66">
      <c r="A50" s="11">
        <v>50</v>
      </c>
      <c r="B50" s="11" t="s">
        <v>102</v>
      </c>
      <c r="C50" s="11"/>
      <c r="D50" s="11" t="s">
        <v>111</v>
      </c>
      <c r="E50" s="11" t="s">
        <v>112</v>
      </c>
      <c r="M50" s="16" t="s">
        <v>433</v>
      </c>
      <c r="N50" s="18" t="s">
        <v>1242</v>
      </c>
      <c r="O50" s="17" t="s">
        <v>448</v>
      </c>
      <c r="W50" s="29">
        <v>50</v>
      </c>
      <c r="X50" s="29"/>
      <c r="Y50" s="29" t="s">
        <v>822</v>
      </c>
      <c r="Z50" s="29" t="s">
        <v>672</v>
      </c>
      <c r="AA50" s="94"/>
    </row>
    <row r="51" spans="1:27" ht="66">
      <c r="A51" s="11">
        <v>51</v>
      </c>
      <c r="B51" s="11"/>
      <c r="C51" s="11"/>
      <c r="D51" s="11" t="s">
        <v>114</v>
      </c>
      <c r="E51" s="11" t="s">
        <v>115</v>
      </c>
      <c r="M51" s="16" t="s">
        <v>434</v>
      </c>
      <c r="N51" s="18" t="s">
        <v>1243</v>
      </c>
      <c r="O51" s="17" t="s">
        <v>449</v>
      </c>
      <c r="W51" s="29">
        <v>51</v>
      </c>
      <c r="X51" s="29"/>
      <c r="Y51" s="29" t="s">
        <v>823</v>
      </c>
      <c r="Z51" s="29" t="s">
        <v>673</v>
      </c>
      <c r="AA51" s="94"/>
    </row>
    <row r="52" spans="1:27" ht="15" customHeight="1">
      <c r="A52" s="11">
        <v>52</v>
      </c>
      <c r="B52" s="11"/>
      <c r="C52" s="11"/>
      <c r="D52" s="11" t="s">
        <v>117</v>
      </c>
      <c r="E52" s="11" t="s">
        <v>118</v>
      </c>
      <c r="W52" s="29">
        <v>52</v>
      </c>
      <c r="X52" s="29"/>
      <c r="Y52" s="29" t="s">
        <v>824</v>
      </c>
      <c r="Z52" s="29" t="s">
        <v>674</v>
      </c>
      <c r="AA52" s="94"/>
    </row>
    <row r="53" spans="1:27" ht="15" customHeight="1">
      <c r="A53" s="11">
        <v>53</v>
      </c>
      <c r="B53" s="11"/>
      <c r="C53" s="11"/>
      <c r="D53" s="11" t="s">
        <v>120</v>
      </c>
      <c r="E53" s="11" t="s">
        <v>121</v>
      </c>
      <c r="W53" s="29">
        <v>53</v>
      </c>
      <c r="X53" s="29"/>
      <c r="Y53" s="29" t="s">
        <v>825</v>
      </c>
      <c r="Z53" s="29" t="s">
        <v>675</v>
      </c>
      <c r="AA53" s="94"/>
    </row>
    <row r="54" spans="1:27" ht="15" customHeight="1">
      <c r="A54" s="11">
        <v>54</v>
      </c>
      <c r="B54" s="11"/>
      <c r="C54" s="11"/>
      <c r="D54" s="11" t="s">
        <v>122</v>
      </c>
      <c r="E54" s="11" t="s">
        <v>123</v>
      </c>
      <c r="W54" s="29">
        <v>54</v>
      </c>
      <c r="X54" s="29"/>
      <c r="Y54" s="29" t="s">
        <v>826</v>
      </c>
      <c r="Z54" s="29" t="s">
        <v>676</v>
      </c>
      <c r="AA54" s="94"/>
    </row>
    <row r="55" spans="1:27" ht="15" customHeight="1">
      <c r="A55" s="11">
        <v>55</v>
      </c>
      <c r="B55" s="11"/>
      <c r="C55" s="11"/>
      <c r="D55" s="11" t="s">
        <v>124</v>
      </c>
      <c r="E55" s="11" t="s">
        <v>125</v>
      </c>
      <c r="W55" s="29">
        <v>55</v>
      </c>
      <c r="X55" s="29"/>
      <c r="Y55" s="29" t="s">
        <v>827</v>
      </c>
      <c r="Z55" s="29" t="s">
        <v>677</v>
      </c>
      <c r="AA55" s="94"/>
    </row>
    <row r="56" spans="1:27" ht="15" customHeight="1">
      <c r="A56" s="11">
        <v>56</v>
      </c>
      <c r="B56" s="11"/>
      <c r="C56" s="11"/>
      <c r="D56" s="11" t="s">
        <v>127</v>
      </c>
      <c r="E56" s="11" t="s">
        <v>128</v>
      </c>
      <c r="W56" s="29">
        <v>56</v>
      </c>
      <c r="X56" s="29"/>
      <c r="Y56" s="29" t="s">
        <v>828</v>
      </c>
      <c r="Z56" s="29" t="s">
        <v>678</v>
      </c>
      <c r="AA56" s="94"/>
    </row>
    <row r="57" spans="1:27" ht="15" customHeight="1">
      <c r="A57" s="11">
        <v>57</v>
      </c>
      <c r="B57" s="11"/>
      <c r="C57" s="11"/>
      <c r="D57" s="11" t="s">
        <v>130</v>
      </c>
      <c r="E57" s="11" t="s">
        <v>131</v>
      </c>
      <c r="W57" s="29">
        <v>57</v>
      </c>
      <c r="X57" s="29"/>
      <c r="Y57" s="29" t="s">
        <v>829</v>
      </c>
      <c r="Z57" s="29" t="s">
        <v>679</v>
      </c>
      <c r="AA57" s="94"/>
    </row>
    <row r="58" spans="1:27" ht="15" customHeight="1">
      <c r="A58" s="11">
        <v>58</v>
      </c>
      <c r="B58" s="11"/>
      <c r="C58" s="11"/>
      <c r="D58" s="11" t="s">
        <v>132</v>
      </c>
      <c r="E58" s="11" t="s">
        <v>133</v>
      </c>
      <c r="W58" s="29">
        <v>58</v>
      </c>
      <c r="X58" s="29"/>
      <c r="Y58" s="29" t="s">
        <v>830</v>
      </c>
      <c r="Z58" s="29" t="s">
        <v>680</v>
      </c>
      <c r="AA58" s="94"/>
    </row>
    <row r="59" spans="1:27" ht="15" customHeight="1">
      <c r="A59" s="11">
        <v>59</v>
      </c>
      <c r="B59" s="11"/>
      <c r="C59" s="11"/>
      <c r="D59" s="11" t="s">
        <v>134</v>
      </c>
      <c r="E59" s="11" t="s">
        <v>135</v>
      </c>
      <c r="W59" s="29">
        <v>59</v>
      </c>
      <c r="X59" s="29"/>
      <c r="Y59" s="29" t="s">
        <v>831</v>
      </c>
      <c r="Z59" s="29" t="s">
        <v>681</v>
      </c>
      <c r="AA59" s="94"/>
    </row>
    <row r="60" spans="1:27" ht="15" customHeight="1">
      <c r="A60" s="11">
        <v>60</v>
      </c>
      <c r="B60" s="11"/>
      <c r="C60" s="11"/>
      <c r="D60" s="11" t="s">
        <v>136</v>
      </c>
      <c r="E60" s="11" t="s">
        <v>137</v>
      </c>
      <c r="W60" s="29">
        <v>60</v>
      </c>
      <c r="X60" s="29"/>
      <c r="Y60" s="29" t="s">
        <v>832</v>
      </c>
      <c r="Z60" s="29" t="s">
        <v>682</v>
      </c>
      <c r="AA60" s="94"/>
    </row>
    <row r="61" spans="1:27" ht="15" customHeight="1">
      <c r="A61" s="11">
        <v>61</v>
      </c>
      <c r="B61" s="11"/>
      <c r="C61" s="11"/>
      <c r="D61" s="11" t="s">
        <v>138</v>
      </c>
      <c r="E61" s="11" t="s">
        <v>139</v>
      </c>
      <c r="W61" s="29">
        <v>61</v>
      </c>
      <c r="X61" s="29"/>
      <c r="Y61" s="29" t="s">
        <v>833</v>
      </c>
      <c r="Z61" s="29" t="s">
        <v>683</v>
      </c>
      <c r="AA61" s="94"/>
    </row>
    <row r="62" spans="1:27" ht="15" customHeight="1">
      <c r="A62" s="11">
        <v>62</v>
      </c>
      <c r="B62" s="11"/>
      <c r="C62" s="11"/>
      <c r="D62" s="11" t="s">
        <v>140</v>
      </c>
      <c r="E62" s="11" t="s">
        <v>141</v>
      </c>
      <c r="W62" s="29">
        <v>62</v>
      </c>
      <c r="X62" s="29"/>
      <c r="Y62" s="29" t="s">
        <v>834</v>
      </c>
      <c r="Z62" s="29" t="s">
        <v>684</v>
      </c>
      <c r="AA62" s="94"/>
    </row>
    <row r="63" spans="1:27" ht="15" customHeight="1">
      <c r="A63" s="11">
        <v>63</v>
      </c>
      <c r="B63" s="11"/>
      <c r="C63" s="11"/>
      <c r="D63" s="11" t="s">
        <v>142</v>
      </c>
      <c r="E63" s="11" t="s">
        <v>143</v>
      </c>
      <c r="W63" s="29">
        <v>63</v>
      </c>
      <c r="X63" s="29"/>
      <c r="Y63" s="29" t="s">
        <v>835</v>
      </c>
      <c r="Z63" s="29" t="s">
        <v>685</v>
      </c>
      <c r="AA63" s="94"/>
    </row>
    <row r="64" spans="1:27" ht="15" customHeight="1">
      <c r="A64" s="11">
        <v>64</v>
      </c>
      <c r="B64" s="11"/>
      <c r="C64" s="11"/>
      <c r="D64" s="11" t="s">
        <v>144</v>
      </c>
      <c r="E64" s="11" t="s">
        <v>145</v>
      </c>
      <c r="W64" s="29">
        <v>64</v>
      </c>
      <c r="X64" s="29"/>
      <c r="Y64" s="29" t="s">
        <v>836</v>
      </c>
      <c r="Z64" s="29" t="s">
        <v>686</v>
      </c>
      <c r="AA64" s="94"/>
    </row>
    <row r="65" spans="1:27" ht="15" customHeight="1">
      <c r="A65" s="11">
        <v>65</v>
      </c>
      <c r="B65" s="11"/>
      <c r="C65" s="11"/>
      <c r="D65" s="11" t="s">
        <v>146</v>
      </c>
      <c r="E65" s="11" t="s">
        <v>147</v>
      </c>
      <c r="W65" s="29">
        <v>65</v>
      </c>
      <c r="X65" s="29"/>
      <c r="Y65" s="29" t="s">
        <v>837</v>
      </c>
      <c r="Z65" s="29" t="s">
        <v>687</v>
      </c>
      <c r="AA65" s="94"/>
    </row>
    <row r="66" spans="1:27" ht="15" customHeight="1">
      <c r="A66" s="11">
        <v>66</v>
      </c>
      <c r="B66" s="11"/>
      <c r="C66" s="11"/>
      <c r="D66" s="11" t="s">
        <v>148</v>
      </c>
      <c r="E66" s="11" t="s">
        <v>149</v>
      </c>
      <c r="W66" s="29">
        <v>66</v>
      </c>
      <c r="X66" s="29"/>
      <c r="Y66" s="29" t="s">
        <v>838</v>
      </c>
      <c r="Z66" s="29" t="s">
        <v>688</v>
      </c>
      <c r="AA66" s="94"/>
    </row>
    <row r="67" spans="1:27" ht="15" customHeight="1">
      <c r="A67" s="11">
        <v>67</v>
      </c>
      <c r="B67" s="11"/>
      <c r="C67" s="11"/>
      <c r="D67" s="11" t="s">
        <v>150</v>
      </c>
      <c r="E67" s="11" t="s">
        <v>151</v>
      </c>
      <c r="W67" s="29">
        <v>67</v>
      </c>
      <c r="X67" s="29"/>
      <c r="Y67" s="29" t="s">
        <v>839</v>
      </c>
      <c r="Z67" s="29" t="s">
        <v>689</v>
      </c>
      <c r="AA67" s="94"/>
    </row>
    <row r="68" spans="1:27" ht="15" customHeight="1">
      <c r="A68" s="11">
        <v>68</v>
      </c>
      <c r="B68" s="11"/>
      <c r="C68" s="11"/>
      <c r="D68" s="11" t="s">
        <v>152</v>
      </c>
      <c r="E68" s="11" t="s">
        <v>153</v>
      </c>
      <c r="W68" s="29">
        <v>68</v>
      </c>
      <c r="X68" s="29"/>
      <c r="Y68" s="29" t="s">
        <v>840</v>
      </c>
      <c r="Z68" s="29" t="s">
        <v>690</v>
      </c>
      <c r="AA68" s="94"/>
    </row>
    <row r="69" spans="1:27" ht="15" customHeight="1">
      <c r="A69" s="11">
        <v>69</v>
      </c>
      <c r="B69" s="11"/>
      <c r="C69" s="11"/>
      <c r="D69" s="11" t="s">
        <v>154</v>
      </c>
      <c r="E69" s="11" t="s">
        <v>155</v>
      </c>
      <c r="W69" s="29">
        <v>69</v>
      </c>
      <c r="X69" s="29"/>
      <c r="Y69" s="29" t="s">
        <v>841</v>
      </c>
      <c r="Z69" s="29" t="s">
        <v>691</v>
      </c>
      <c r="AA69" s="94"/>
    </row>
    <row r="70" spans="1:27" ht="15" customHeight="1">
      <c r="A70" s="11">
        <v>70</v>
      </c>
      <c r="B70" s="11"/>
      <c r="C70" s="11"/>
      <c r="D70" s="11" t="s">
        <v>156</v>
      </c>
      <c r="E70" s="11" t="s">
        <v>157</v>
      </c>
      <c r="W70" s="29">
        <v>70</v>
      </c>
      <c r="X70" s="29"/>
      <c r="Y70" s="29" t="s">
        <v>842</v>
      </c>
      <c r="Z70" s="29" t="s">
        <v>692</v>
      </c>
      <c r="AA70" s="94"/>
    </row>
    <row r="71" spans="1:27" ht="15" customHeight="1">
      <c r="A71" s="11">
        <v>71</v>
      </c>
      <c r="B71" s="11"/>
      <c r="C71" s="11"/>
      <c r="D71" s="11" t="s">
        <v>158</v>
      </c>
      <c r="E71" s="11" t="s">
        <v>159</v>
      </c>
      <c r="W71" s="29">
        <v>71</v>
      </c>
      <c r="X71" s="29"/>
      <c r="Y71" s="29" t="s">
        <v>843</v>
      </c>
      <c r="Z71" s="29" t="s">
        <v>693</v>
      </c>
      <c r="AA71" s="94"/>
    </row>
    <row r="72" spans="1:27" ht="15" customHeight="1">
      <c r="A72" s="11">
        <v>72</v>
      </c>
      <c r="B72" s="11"/>
      <c r="C72" s="11"/>
      <c r="D72" s="11" t="s">
        <v>160</v>
      </c>
      <c r="E72" s="11" t="s">
        <v>161</v>
      </c>
      <c r="W72" s="29">
        <v>72</v>
      </c>
      <c r="X72" s="29"/>
      <c r="Y72" s="29" t="s">
        <v>844</v>
      </c>
      <c r="Z72" s="29" t="s">
        <v>694</v>
      </c>
      <c r="AA72" s="94"/>
    </row>
    <row r="73" spans="1:27" ht="15" customHeight="1">
      <c r="A73" s="11">
        <v>73</v>
      </c>
      <c r="B73" s="11"/>
      <c r="C73" s="11"/>
      <c r="D73" s="11" t="s">
        <v>162</v>
      </c>
      <c r="E73" s="11" t="s">
        <v>163</v>
      </c>
      <c r="W73" s="29">
        <v>73</v>
      </c>
      <c r="X73" s="29"/>
      <c r="Y73" s="29" t="s">
        <v>845</v>
      </c>
      <c r="Z73" s="29" t="s">
        <v>695</v>
      </c>
      <c r="AA73" s="94"/>
    </row>
    <row r="74" spans="1:27" ht="15" customHeight="1">
      <c r="A74" s="11">
        <v>74</v>
      </c>
      <c r="B74" s="11"/>
      <c r="C74" s="11"/>
      <c r="D74" s="11" t="s">
        <v>164</v>
      </c>
      <c r="E74" s="11" t="s">
        <v>165</v>
      </c>
      <c r="W74" s="29">
        <v>74</v>
      </c>
      <c r="X74" s="29"/>
      <c r="Y74" s="29" t="s">
        <v>846</v>
      </c>
      <c r="Z74" s="29" t="s">
        <v>696</v>
      </c>
      <c r="AA74" s="94"/>
    </row>
    <row r="75" spans="1:27" ht="15" customHeight="1">
      <c r="A75" s="11">
        <v>75</v>
      </c>
      <c r="B75" s="11"/>
      <c r="C75" s="11"/>
      <c r="D75" s="11" t="s">
        <v>166</v>
      </c>
      <c r="E75" s="11" t="s">
        <v>167</v>
      </c>
      <c r="W75" s="29">
        <v>75</v>
      </c>
      <c r="X75" s="29"/>
      <c r="Y75" s="29" t="s">
        <v>847</v>
      </c>
      <c r="Z75" s="29" t="s">
        <v>697</v>
      </c>
      <c r="AA75" s="94"/>
    </row>
    <row r="76" spans="1:27" ht="15" customHeight="1">
      <c r="A76" s="11">
        <v>76</v>
      </c>
      <c r="B76" s="11"/>
      <c r="C76" s="11"/>
      <c r="D76" s="11" t="s">
        <v>168</v>
      </c>
      <c r="E76" s="11" t="s">
        <v>169</v>
      </c>
      <c r="W76" s="29">
        <v>76</v>
      </c>
      <c r="X76" s="29"/>
      <c r="Y76" s="29" t="s">
        <v>848</v>
      </c>
      <c r="Z76" s="29" t="s">
        <v>698</v>
      </c>
      <c r="AA76" s="94"/>
    </row>
    <row r="77" spans="1:27" ht="15" customHeight="1">
      <c r="A77" s="11">
        <v>77</v>
      </c>
      <c r="B77" s="11"/>
      <c r="C77" s="11"/>
      <c r="D77" s="11" t="s">
        <v>170</v>
      </c>
      <c r="E77" s="11" t="s">
        <v>171</v>
      </c>
      <c r="W77" s="29">
        <v>77</v>
      </c>
      <c r="X77" s="29"/>
      <c r="Y77" s="29" t="s">
        <v>849</v>
      </c>
      <c r="Z77" s="29" t="s">
        <v>699</v>
      </c>
      <c r="AA77" s="94"/>
    </row>
    <row r="78" spans="1:27" ht="15" customHeight="1">
      <c r="A78" s="11">
        <v>78</v>
      </c>
      <c r="B78" s="11"/>
      <c r="C78" s="11"/>
      <c r="D78" s="11" t="s">
        <v>172</v>
      </c>
      <c r="E78" s="11" t="s">
        <v>173</v>
      </c>
      <c r="W78" s="29">
        <v>78</v>
      </c>
      <c r="X78" s="29"/>
      <c r="Y78" s="29" t="s">
        <v>850</v>
      </c>
      <c r="Z78" s="29" t="s">
        <v>700</v>
      </c>
      <c r="AA78" s="94"/>
    </row>
    <row r="79" spans="1:27" ht="15" customHeight="1">
      <c r="A79" s="11">
        <v>79</v>
      </c>
      <c r="B79" s="11"/>
      <c r="C79" s="11"/>
      <c r="D79" s="11" t="s">
        <v>174</v>
      </c>
      <c r="E79" s="11" t="s">
        <v>175</v>
      </c>
      <c r="W79" s="29">
        <v>79</v>
      </c>
      <c r="X79" s="29"/>
      <c r="Y79" s="29" t="s">
        <v>851</v>
      </c>
      <c r="Z79" s="29" t="s">
        <v>701</v>
      </c>
      <c r="AA79" s="94"/>
    </row>
    <row r="80" spans="1:27" ht="15" customHeight="1">
      <c r="A80" s="11">
        <v>80</v>
      </c>
      <c r="B80" s="11"/>
      <c r="C80" s="11"/>
      <c r="D80" s="11" t="s">
        <v>176</v>
      </c>
      <c r="E80" s="11" t="s">
        <v>177</v>
      </c>
      <c r="W80" s="29">
        <v>80</v>
      </c>
      <c r="X80" s="29"/>
      <c r="Y80" s="29" t="s">
        <v>852</v>
      </c>
      <c r="Z80" s="29" t="s">
        <v>702</v>
      </c>
      <c r="AA80" s="94"/>
    </row>
    <row r="81" spans="1:27" ht="15" customHeight="1">
      <c r="A81" s="11">
        <v>81</v>
      </c>
      <c r="B81" s="11"/>
      <c r="C81" s="11"/>
      <c r="D81" s="11" t="s">
        <v>178</v>
      </c>
      <c r="E81" s="11" t="s">
        <v>179</v>
      </c>
      <c r="W81" s="29">
        <v>81</v>
      </c>
      <c r="X81" s="29"/>
      <c r="Y81" s="29" t="s">
        <v>853</v>
      </c>
      <c r="Z81" s="29" t="s">
        <v>703</v>
      </c>
      <c r="AA81" s="94"/>
    </row>
    <row r="82" spans="1:27" ht="15" customHeight="1">
      <c r="A82" s="11">
        <v>82</v>
      </c>
      <c r="B82" s="11"/>
      <c r="C82" s="11"/>
      <c r="D82" s="11" t="s">
        <v>180</v>
      </c>
      <c r="E82" s="11" t="s">
        <v>181</v>
      </c>
      <c r="W82" s="29">
        <v>82</v>
      </c>
      <c r="X82" s="29"/>
      <c r="Y82" s="29" t="s">
        <v>854</v>
      </c>
      <c r="Z82" s="29" t="s">
        <v>704</v>
      </c>
      <c r="AA82" s="94"/>
    </row>
    <row r="83" spans="1:27" ht="15" customHeight="1">
      <c r="A83" s="11">
        <v>83</v>
      </c>
      <c r="B83" s="11"/>
      <c r="C83" s="11"/>
      <c r="D83" s="11" t="s">
        <v>182</v>
      </c>
      <c r="E83" s="11" t="s">
        <v>183</v>
      </c>
      <c r="W83" s="29">
        <v>83</v>
      </c>
      <c r="X83" s="29"/>
      <c r="Y83" s="29" t="s">
        <v>855</v>
      </c>
      <c r="Z83" s="29" t="s">
        <v>705</v>
      </c>
      <c r="AA83" s="94"/>
    </row>
    <row r="84" spans="1:27" ht="15" customHeight="1">
      <c r="A84" s="11">
        <v>84</v>
      </c>
      <c r="B84" s="11"/>
      <c r="C84" s="11"/>
      <c r="D84" s="11" t="s">
        <v>184</v>
      </c>
      <c r="E84" s="11" t="s">
        <v>185</v>
      </c>
      <c r="W84" s="29">
        <v>84</v>
      </c>
      <c r="X84" s="29"/>
      <c r="Y84" s="29" t="s">
        <v>856</v>
      </c>
      <c r="Z84" s="29" t="s">
        <v>706</v>
      </c>
      <c r="AA84" s="94"/>
    </row>
    <row r="85" spans="1:27" ht="15" customHeight="1">
      <c r="A85" s="11">
        <v>85</v>
      </c>
      <c r="B85" s="11"/>
      <c r="C85" s="11"/>
      <c r="D85" s="11" t="s">
        <v>186</v>
      </c>
      <c r="E85" s="11" t="s">
        <v>187</v>
      </c>
      <c r="W85" s="29">
        <v>85</v>
      </c>
      <c r="X85" s="29"/>
      <c r="Y85" s="29" t="s">
        <v>857</v>
      </c>
      <c r="Z85" s="29" t="s">
        <v>707</v>
      </c>
      <c r="AA85" s="94"/>
    </row>
    <row r="86" spans="1:27" ht="15" customHeight="1">
      <c r="A86" s="11">
        <v>86</v>
      </c>
      <c r="B86" s="11"/>
      <c r="C86" s="11"/>
      <c r="D86" s="11" t="s">
        <v>188</v>
      </c>
      <c r="E86" s="11" t="s">
        <v>189</v>
      </c>
      <c r="W86" s="29">
        <v>86</v>
      </c>
      <c r="X86" s="29"/>
      <c r="Y86" s="29" t="s">
        <v>858</v>
      </c>
      <c r="Z86" s="29" t="s">
        <v>708</v>
      </c>
      <c r="AA86" s="94"/>
    </row>
    <row r="87" spans="1:27" ht="15" customHeight="1">
      <c r="A87" s="11">
        <v>87</v>
      </c>
      <c r="B87" s="11"/>
      <c r="C87" s="11"/>
      <c r="D87" s="11" t="s">
        <v>190</v>
      </c>
      <c r="E87" s="11" t="s">
        <v>191</v>
      </c>
      <c r="W87" s="29">
        <v>87</v>
      </c>
      <c r="X87" s="29"/>
      <c r="Y87" s="29" t="s">
        <v>859</v>
      </c>
      <c r="Z87" s="29" t="s">
        <v>709</v>
      </c>
      <c r="AA87" s="94"/>
    </row>
    <row r="88" spans="1:27" ht="15" customHeight="1">
      <c r="A88" s="11">
        <v>88</v>
      </c>
      <c r="B88" s="11"/>
      <c r="C88" s="11"/>
      <c r="D88" s="11" t="s">
        <v>192</v>
      </c>
      <c r="E88" s="11" t="s">
        <v>193</v>
      </c>
      <c r="W88" s="29">
        <v>88</v>
      </c>
      <c r="X88" s="29"/>
      <c r="Y88" s="29" t="s">
        <v>860</v>
      </c>
      <c r="Z88" s="29" t="s">
        <v>710</v>
      </c>
      <c r="AA88" s="94"/>
    </row>
    <row r="89" spans="1:27" ht="15" customHeight="1">
      <c r="A89" s="11">
        <v>89</v>
      </c>
      <c r="B89" s="11"/>
      <c r="C89" s="11"/>
      <c r="D89" s="11" t="s">
        <v>194</v>
      </c>
      <c r="E89" s="11" t="s">
        <v>195</v>
      </c>
      <c r="W89" s="29">
        <v>89</v>
      </c>
      <c r="X89" s="29"/>
      <c r="Y89" s="29" t="s">
        <v>861</v>
      </c>
      <c r="Z89" s="29" t="s">
        <v>711</v>
      </c>
      <c r="AA89" s="94"/>
    </row>
    <row r="90" spans="1:27" ht="15" customHeight="1">
      <c r="A90" s="11">
        <v>90</v>
      </c>
      <c r="B90" s="11"/>
      <c r="C90" s="11"/>
      <c r="D90" s="11" t="s">
        <v>196</v>
      </c>
      <c r="E90" s="11" t="s">
        <v>197</v>
      </c>
      <c r="W90" s="29">
        <v>90</v>
      </c>
      <c r="X90" s="29"/>
      <c r="Y90" s="29" t="s">
        <v>862</v>
      </c>
      <c r="Z90" s="29" t="s">
        <v>712</v>
      </c>
      <c r="AA90" s="94"/>
    </row>
    <row r="91" spans="1:27" ht="15" customHeight="1">
      <c r="A91" s="11">
        <v>91</v>
      </c>
      <c r="B91" s="11"/>
      <c r="C91" s="11"/>
      <c r="D91" s="11" t="s">
        <v>198</v>
      </c>
      <c r="E91" s="11" t="s">
        <v>199</v>
      </c>
      <c r="W91" s="29">
        <v>91</v>
      </c>
      <c r="X91" s="29"/>
      <c r="Y91" s="29" t="s">
        <v>863</v>
      </c>
      <c r="Z91" s="29" t="s">
        <v>713</v>
      </c>
      <c r="AA91" s="94"/>
    </row>
    <row r="92" spans="1:27" ht="15" customHeight="1">
      <c r="A92" s="11">
        <v>92</v>
      </c>
      <c r="B92" s="11"/>
      <c r="C92" s="11"/>
      <c r="D92" s="11" t="s">
        <v>200</v>
      </c>
      <c r="E92" s="11" t="s">
        <v>201</v>
      </c>
      <c r="W92" s="29">
        <v>92</v>
      </c>
      <c r="X92" s="29"/>
      <c r="Y92" s="29" t="s">
        <v>864</v>
      </c>
      <c r="Z92" s="29" t="s">
        <v>714</v>
      </c>
      <c r="AA92" s="94"/>
    </row>
    <row r="93" spans="1:27" ht="15" customHeight="1">
      <c r="A93" s="11">
        <v>93</v>
      </c>
      <c r="B93" s="11"/>
      <c r="C93" s="11"/>
      <c r="D93" s="11" t="s">
        <v>202</v>
      </c>
      <c r="E93" s="11" t="s">
        <v>203</v>
      </c>
      <c r="W93" s="29">
        <v>93</v>
      </c>
      <c r="X93" s="29"/>
      <c r="Y93" s="29" t="s">
        <v>865</v>
      </c>
      <c r="Z93" s="29" t="s">
        <v>715</v>
      </c>
      <c r="AA93" s="94"/>
    </row>
    <row r="94" spans="1:27" ht="15" customHeight="1">
      <c r="A94" s="11">
        <v>94</v>
      </c>
      <c r="B94" s="11"/>
      <c r="C94" s="11"/>
      <c r="D94" s="11" t="s">
        <v>204</v>
      </c>
      <c r="E94" s="11" t="s">
        <v>205</v>
      </c>
      <c r="W94" s="29">
        <v>94</v>
      </c>
      <c r="X94" s="29"/>
      <c r="Y94" s="29" t="s">
        <v>866</v>
      </c>
      <c r="Z94" s="29" t="s">
        <v>716</v>
      </c>
      <c r="AA94" s="94"/>
    </row>
    <row r="95" spans="1:27" ht="15" customHeight="1">
      <c r="A95" s="11">
        <v>95</v>
      </c>
      <c r="B95" s="11"/>
      <c r="C95" s="11"/>
      <c r="D95" s="11" t="s">
        <v>206</v>
      </c>
      <c r="E95" s="11" t="s">
        <v>207</v>
      </c>
      <c r="W95" s="29">
        <v>95</v>
      </c>
      <c r="X95" s="29"/>
      <c r="Y95" s="29" t="s">
        <v>867</v>
      </c>
      <c r="Z95" s="29" t="s">
        <v>717</v>
      </c>
      <c r="AA95" s="94"/>
    </row>
    <row r="96" spans="1:27" ht="15" customHeight="1">
      <c r="A96" s="11">
        <v>96</v>
      </c>
      <c r="B96" s="11"/>
      <c r="C96" s="11"/>
      <c r="D96" s="11" t="s">
        <v>208</v>
      </c>
      <c r="E96" s="11" t="s">
        <v>209</v>
      </c>
      <c r="W96" s="29">
        <v>96</v>
      </c>
      <c r="X96" s="29"/>
      <c r="Y96" s="29" t="s">
        <v>868</v>
      </c>
      <c r="Z96" s="29" t="s">
        <v>718</v>
      </c>
      <c r="AA96" s="94"/>
    </row>
    <row r="97" spans="1:27" ht="15" customHeight="1">
      <c r="A97" s="11">
        <v>97</v>
      </c>
      <c r="B97" s="11"/>
      <c r="C97" s="11"/>
      <c r="D97" s="11" t="s">
        <v>210</v>
      </c>
      <c r="E97" s="11" t="s">
        <v>211</v>
      </c>
      <c r="W97" s="29">
        <v>97</v>
      </c>
      <c r="X97" s="29"/>
      <c r="Y97" s="29" t="s">
        <v>869</v>
      </c>
      <c r="Z97" s="29" t="s">
        <v>719</v>
      </c>
      <c r="AA97" s="94"/>
    </row>
    <row r="98" spans="1:27" ht="15" customHeight="1">
      <c r="A98" s="11">
        <v>98</v>
      </c>
      <c r="B98" s="11"/>
      <c r="C98" s="11"/>
      <c r="D98" s="11" t="s">
        <v>212</v>
      </c>
      <c r="E98" s="11" t="s">
        <v>213</v>
      </c>
      <c r="W98" s="29">
        <v>98</v>
      </c>
      <c r="X98" s="29"/>
      <c r="Y98" s="29" t="s">
        <v>870</v>
      </c>
      <c r="Z98" s="29" t="s">
        <v>720</v>
      </c>
      <c r="AA98" s="94"/>
    </row>
    <row r="99" spans="1:27" ht="15" customHeight="1">
      <c r="A99" s="11">
        <v>99</v>
      </c>
      <c r="B99" s="11"/>
      <c r="C99" s="11"/>
      <c r="D99" s="11" t="s">
        <v>214</v>
      </c>
      <c r="E99" s="11" t="s">
        <v>215</v>
      </c>
      <c r="W99" s="29">
        <v>99</v>
      </c>
      <c r="X99" s="29"/>
      <c r="Y99" s="29" t="s">
        <v>871</v>
      </c>
      <c r="Z99" s="29" t="s">
        <v>721</v>
      </c>
      <c r="AA99" s="94"/>
    </row>
    <row r="100" spans="1:27" ht="15" customHeight="1">
      <c r="A100" s="11">
        <v>100</v>
      </c>
      <c r="B100" s="11"/>
      <c r="C100" s="11"/>
      <c r="D100" s="11" t="s">
        <v>216</v>
      </c>
      <c r="E100" s="11" t="s">
        <v>217</v>
      </c>
      <c r="W100" s="29">
        <v>100</v>
      </c>
      <c r="X100" s="29"/>
      <c r="Y100" s="29" t="s">
        <v>872</v>
      </c>
      <c r="Z100" s="29" t="s">
        <v>722</v>
      </c>
      <c r="AA100" s="94"/>
    </row>
    <row r="101" spans="1:27" ht="15" customHeight="1">
      <c r="A101" s="11">
        <v>101</v>
      </c>
      <c r="B101" s="11"/>
      <c r="C101" s="11"/>
      <c r="D101" s="11" t="s">
        <v>218</v>
      </c>
      <c r="E101" s="11" t="s">
        <v>219</v>
      </c>
      <c r="W101" s="29">
        <v>101</v>
      </c>
      <c r="X101" s="29"/>
      <c r="Y101" s="29" t="s">
        <v>873</v>
      </c>
      <c r="Z101" s="29" t="s">
        <v>723</v>
      </c>
      <c r="AA101" s="94"/>
    </row>
    <row r="102" spans="1:27" ht="15" customHeight="1">
      <c r="A102" s="11">
        <v>102</v>
      </c>
      <c r="B102" s="11"/>
      <c r="C102" s="11"/>
      <c r="D102" s="11" t="s">
        <v>220</v>
      </c>
      <c r="E102" s="11" t="s">
        <v>221</v>
      </c>
      <c r="W102" s="29">
        <v>102</v>
      </c>
      <c r="X102" s="29"/>
      <c r="Y102" s="29" t="s">
        <v>874</v>
      </c>
      <c r="Z102" s="29" t="s">
        <v>724</v>
      </c>
      <c r="AA102" s="94"/>
    </row>
    <row r="103" spans="1:27" ht="15" customHeight="1">
      <c r="A103" s="11">
        <v>103</v>
      </c>
      <c r="B103" s="11"/>
      <c r="C103" s="11"/>
      <c r="D103" s="11" t="s">
        <v>222</v>
      </c>
      <c r="E103" s="11" t="s">
        <v>223</v>
      </c>
      <c r="W103" s="29">
        <v>103</v>
      </c>
      <c r="X103" s="29"/>
      <c r="Y103" s="29" t="s">
        <v>875</v>
      </c>
      <c r="Z103" s="29" t="s">
        <v>725</v>
      </c>
      <c r="AA103" s="94"/>
    </row>
    <row r="104" spans="1:27" ht="15" customHeight="1">
      <c r="A104" s="11">
        <v>104</v>
      </c>
      <c r="B104" s="11"/>
      <c r="C104" s="11"/>
      <c r="D104" s="11" t="s">
        <v>224</v>
      </c>
      <c r="E104" s="11" t="s">
        <v>225</v>
      </c>
      <c r="W104" s="29">
        <v>104</v>
      </c>
      <c r="X104" s="29"/>
      <c r="Y104" s="29" t="s">
        <v>876</v>
      </c>
      <c r="Z104" s="29" t="s">
        <v>726</v>
      </c>
      <c r="AA104" s="94"/>
    </row>
    <row r="105" spans="1:27" ht="15" customHeight="1">
      <c r="A105" s="11">
        <v>105</v>
      </c>
      <c r="B105" s="11"/>
      <c r="C105" s="11"/>
      <c r="D105" s="11" t="s">
        <v>226</v>
      </c>
      <c r="E105" s="11" t="s">
        <v>227</v>
      </c>
      <c r="W105" s="29">
        <v>105</v>
      </c>
      <c r="X105" s="29"/>
      <c r="Y105" s="29" t="s">
        <v>877</v>
      </c>
      <c r="Z105" s="29" t="s">
        <v>727</v>
      </c>
      <c r="AA105" s="94"/>
    </row>
    <row r="106" spans="1:27" ht="15" customHeight="1">
      <c r="A106" s="11">
        <v>106</v>
      </c>
      <c r="B106" s="11"/>
      <c r="C106" s="11"/>
      <c r="D106" s="11" t="s">
        <v>228</v>
      </c>
      <c r="E106" s="11" t="s">
        <v>229</v>
      </c>
      <c r="W106" s="29">
        <v>106</v>
      </c>
      <c r="X106" s="29"/>
      <c r="Y106" s="29" t="s">
        <v>878</v>
      </c>
      <c r="Z106" s="29" t="s">
        <v>728</v>
      </c>
      <c r="AA106" s="94"/>
    </row>
    <row r="107" spans="1:27" ht="15" customHeight="1">
      <c r="A107" s="11">
        <v>107</v>
      </c>
      <c r="B107" s="11"/>
      <c r="C107" s="11"/>
      <c r="D107" s="11" t="s">
        <v>230</v>
      </c>
      <c r="E107" s="11" t="s">
        <v>231</v>
      </c>
      <c r="W107" s="29">
        <v>107</v>
      </c>
      <c r="X107" s="29"/>
      <c r="Y107" s="29" t="s">
        <v>879</v>
      </c>
      <c r="Z107" s="29" t="s">
        <v>729</v>
      </c>
      <c r="AA107" s="94"/>
    </row>
    <row r="108" spans="1:27" ht="15" customHeight="1">
      <c r="A108" s="11">
        <v>108</v>
      </c>
      <c r="B108" s="11"/>
      <c r="C108" s="11"/>
      <c r="D108" s="11" t="s">
        <v>232</v>
      </c>
      <c r="E108" s="11" t="s">
        <v>233</v>
      </c>
      <c r="W108" s="29">
        <v>108</v>
      </c>
      <c r="X108" s="29"/>
      <c r="Y108" s="29" t="s">
        <v>880</v>
      </c>
      <c r="Z108" s="29" t="s">
        <v>730</v>
      </c>
      <c r="AA108" s="94"/>
    </row>
    <row r="109" spans="1:27" ht="15" customHeight="1">
      <c r="A109" s="11">
        <v>109</v>
      </c>
      <c r="B109" s="11"/>
      <c r="C109" s="11"/>
      <c r="D109" s="11" t="s">
        <v>234</v>
      </c>
      <c r="E109" s="11" t="s">
        <v>235</v>
      </c>
      <c r="W109" s="29">
        <v>109</v>
      </c>
      <c r="X109" s="29"/>
      <c r="Y109" s="29" t="s">
        <v>881</v>
      </c>
      <c r="Z109" s="29" t="s">
        <v>731</v>
      </c>
      <c r="AA109" s="94"/>
    </row>
    <row r="110" spans="1:27" ht="15" customHeight="1">
      <c r="A110" s="11">
        <v>110</v>
      </c>
      <c r="B110" s="11"/>
      <c r="C110" s="11"/>
      <c r="D110" s="11" t="s">
        <v>236</v>
      </c>
      <c r="E110" s="11" t="s">
        <v>237</v>
      </c>
      <c r="W110" s="29">
        <v>110</v>
      </c>
      <c r="X110" s="29"/>
      <c r="Y110" s="29" t="s">
        <v>882</v>
      </c>
      <c r="Z110" s="29" t="s">
        <v>732</v>
      </c>
      <c r="AA110" s="94"/>
    </row>
    <row r="111" spans="1:27" ht="15" customHeight="1">
      <c r="A111" s="11">
        <v>111</v>
      </c>
      <c r="B111" s="11"/>
      <c r="C111" s="11"/>
      <c r="D111" s="11" t="s">
        <v>238</v>
      </c>
      <c r="E111" s="11" t="s">
        <v>239</v>
      </c>
      <c r="W111" s="29">
        <v>111</v>
      </c>
      <c r="X111" s="29"/>
      <c r="Y111" s="29" t="s">
        <v>883</v>
      </c>
      <c r="Z111" s="29" t="s">
        <v>733</v>
      </c>
      <c r="AA111" s="94"/>
    </row>
    <row r="112" spans="1:27" ht="15" customHeight="1">
      <c r="A112" s="11">
        <v>112</v>
      </c>
      <c r="B112" s="11"/>
      <c r="C112" s="11"/>
      <c r="D112" s="11" t="s">
        <v>240</v>
      </c>
      <c r="E112" s="11" t="s">
        <v>241</v>
      </c>
      <c r="W112" s="29">
        <v>112</v>
      </c>
      <c r="X112" s="29"/>
      <c r="Y112" s="29" t="s">
        <v>884</v>
      </c>
      <c r="Z112" s="29" t="s">
        <v>734</v>
      </c>
      <c r="AA112" s="94"/>
    </row>
    <row r="113" spans="1:27" ht="15" customHeight="1">
      <c r="A113" s="11">
        <v>113</v>
      </c>
      <c r="B113" s="11"/>
      <c r="C113" s="11"/>
      <c r="D113" s="11" t="s">
        <v>242</v>
      </c>
      <c r="E113" s="11" t="s">
        <v>243</v>
      </c>
      <c r="W113" s="29">
        <v>113</v>
      </c>
      <c r="X113" s="29"/>
      <c r="Y113" s="29" t="s">
        <v>885</v>
      </c>
      <c r="Z113" s="29" t="s">
        <v>735</v>
      </c>
      <c r="AA113" s="94"/>
    </row>
    <row r="114" spans="1:27" ht="15" customHeight="1">
      <c r="A114" s="11">
        <v>114</v>
      </c>
      <c r="B114" s="11"/>
      <c r="C114" s="11"/>
      <c r="D114" s="11" t="s">
        <v>244</v>
      </c>
      <c r="E114" s="11" t="s">
        <v>245</v>
      </c>
      <c r="W114" s="29">
        <v>114</v>
      </c>
      <c r="X114" s="29"/>
      <c r="Y114" s="29" t="s">
        <v>886</v>
      </c>
      <c r="Z114" s="29" t="s">
        <v>736</v>
      </c>
      <c r="AA114" s="94"/>
    </row>
    <row r="115" spans="1:27" ht="15" customHeight="1">
      <c r="A115" s="11">
        <v>115</v>
      </c>
      <c r="B115" s="11"/>
      <c r="C115" s="11"/>
      <c r="D115" s="11" t="s">
        <v>246</v>
      </c>
      <c r="E115" s="11" t="s">
        <v>247</v>
      </c>
      <c r="W115" s="29">
        <v>115</v>
      </c>
      <c r="X115" s="29"/>
      <c r="Y115" s="29" t="s">
        <v>887</v>
      </c>
      <c r="Z115" s="29" t="s">
        <v>737</v>
      </c>
      <c r="AA115" s="94"/>
    </row>
    <row r="116" spans="1:27" ht="15" customHeight="1">
      <c r="A116" s="11">
        <v>116</v>
      </c>
      <c r="B116" s="11"/>
      <c r="C116" s="11"/>
      <c r="D116" s="11" t="s">
        <v>248</v>
      </c>
      <c r="E116" s="11" t="s">
        <v>249</v>
      </c>
      <c r="W116" s="29">
        <v>116</v>
      </c>
      <c r="X116" s="29"/>
      <c r="Y116" s="29" t="s">
        <v>888</v>
      </c>
      <c r="Z116" s="29" t="s">
        <v>738</v>
      </c>
      <c r="AA116" s="94"/>
    </row>
    <row r="117" spans="1:27" ht="15" customHeight="1">
      <c r="A117" s="11">
        <v>117</v>
      </c>
      <c r="B117" s="11"/>
      <c r="C117" s="11"/>
      <c r="D117" s="11" t="s">
        <v>250</v>
      </c>
      <c r="E117" s="11" t="s">
        <v>251</v>
      </c>
      <c r="W117" s="29">
        <v>117</v>
      </c>
      <c r="X117" s="29"/>
      <c r="Y117" s="29" t="s">
        <v>889</v>
      </c>
      <c r="Z117" s="29" t="s">
        <v>739</v>
      </c>
      <c r="AA117" s="94"/>
    </row>
    <row r="118" spans="1:27" ht="15" customHeight="1">
      <c r="A118" s="11">
        <v>118</v>
      </c>
      <c r="B118" s="11"/>
      <c r="C118" s="11"/>
      <c r="D118" s="11" t="s">
        <v>252</v>
      </c>
      <c r="E118" s="11" t="s">
        <v>253</v>
      </c>
      <c r="W118" s="29">
        <v>118</v>
      </c>
      <c r="X118" s="29"/>
      <c r="Y118" s="29" t="s">
        <v>890</v>
      </c>
      <c r="Z118" s="29" t="s">
        <v>740</v>
      </c>
      <c r="AA118" s="94"/>
    </row>
    <row r="119" spans="1:27" ht="15" customHeight="1">
      <c r="A119" s="11">
        <v>119</v>
      </c>
      <c r="B119" s="11"/>
      <c r="C119" s="11"/>
      <c r="D119" s="11" t="s">
        <v>254</v>
      </c>
      <c r="E119" s="11" t="s">
        <v>255</v>
      </c>
      <c r="W119" s="29">
        <v>119</v>
      </c>
      <c r="X119" s="29"/>
      <c r="Y119" s="29" t="s">
        <v>891</v>
      </c>
      <c r="Z119" s="29" t="s">
        <v>741</v>
      </c>
      <c r="AA119" s="94"/>
    </row>
    <row r="120" spans="1:27" ht="15" customHeight="1">
      <c r="A120" s="11">
        <v>120</v>
      </c>
      <c r="B120" s="11"/>
      <c r="C120" s="11"/>
      <c r="D120" s="11" t="s">
        <v>256</v>
      </c>
      <c r="E120" s="11" t="s">
        <v>257</v>
      </c>
      <c r="W120" s="29">
        <v>120</v>
      </c>
      <c r="X120" s="29"/>
      <c r="Y120" s="29" t="s">
        <v>892</v>
      </c>
      <c r="Z120" s="29" t="s">
        <v>742</v>
      </c>
      <c r="AA120" s="94"/>
    </row>
    <row r="121" spans="1:27" ht="15" customHeight="1">
      <c r="A121" s="11">
        <v>121</v>
      </c>
      <c r="B121" s="11"/>
      <c r="C121" s="11"/>
      <c r="D121" s="11" t="s">
        <v>258</v>
      </c>
      <c r="E121" s="11" t="s">
        <v>259</v>
      </c>
      <c r="W121" s="29">
        <v>121</v>
      </c>
      <c r="X121" s="29"/>
      <c r="Y121" s="29" t="s">
        <v>893</v>
      </c>
      <c r="Z121" s="29" t="s">
        <v>743</v>
      </c>
      <c r="AA121" s="94"/>
    </row>
    <row r="122" spans="1:27" ht="15" customHeight="1">
      <c r="A122" s="11">
        <v>122</v>
      </c>
      <c r="B122" s="11"/>
      <c r="C122" s="11"/>
      <c r="D122" s="11" t="s">
        <v>260</v>
      </c>
      <c r="E122" s="11" t="s">
        <v>261</v>
      </c>
      <c r="W122" s="29">
        <v>122</v>
      </c>
      <c r="X122" s="29"/>
      <c r="Y122" s="29" t="s">
        <v>894</v>
      </c>
      <c r="Z122" s="29" t="s">
        <v>744</v>
      </c>
      <c r="AA122" s="94"/>
    </row>
    <row r="123" spans="1:27" ht="15" customHeight="1">
      <c r="A123" s="11">
        <v>123</v>
      </c>
      <c r="B123" s="11"/>
      <c r="C123" s="11"/>
      <c r="D123" s="11" t="s">
        <v>262</v>
      </c>
      <c r="E123" s="11" t="s">
        <v>263</v>
      </c>
      <c r="W123" s="29">
        <v>123</v>
      </c>
      <c r="X123" s="29"/>
      <c r="Y123" s="29" t="s">
        <v>895</v>
      </c>
      <c r="Z123" s="29" t="s">
        <v>745</v>
      </c>
      <c r="AA123" s="94"/>
    </row>
    <row r="124" spans="1:27" ht="15" customHeight="1">
      <c r="A124" s="11">
        <v>124</v>
      </c>
      <c r="B124" s="11"/>
      <c r="C124" s="11"/>
      <c r="D124" s="11" t="s">
        <v>264</v>
      </c>
      <c r="E124" s="11" t="s">
        <v>265</v>
      </c>
      <c r="W124" s="29">
        <v>124</v>
      </c>
      <c r="X124" s="29"/>
      <c r="Y124" s="29" t="s">
        <v>896</v>
      </c>
      <c r="Z124" s="29" t="s">
        <v>746</v>
      </c>
      <c r="AA124" s="94"/>
    </row>
    <row r="125" spans="1:27" ht="15" customHeight="1">
      <c r="A125" s="11">
        <v>125</v>
      </c>
      <c r="B125" s="11"/>
      <c r="C125" s="11"/>
      <c r="D125" s="11" t="s">
        <v>266</v>
      </c>
      <c r="E125" s="11" t="s">
        <v>267</v>
      </c>
      <c r="W125" s="29">
        <v>125</v>
      </c>
      <c r="X125" s="29"/>
      <c r="Y125" s="29" t="s">
        <v>897</v>
      </c>
      <c r="Z125" s="29" t="s">
        <v>747</v>
      </c>
      <c r="AA125" s="94"/>
    </row>
    <row r="126" spans="1:27" ht="15" customHeight="1">
      <c r="A126" s="11">
        <v>126</v>
      </c>
      <c r="B126" s="11"/>
      <c r="C126" s="11"/>
      <c r="D126" s="11" t="s">
        <v>268</v>
      </c>
      <c r="E126" s="11" t="s">
        <v>269</v>
      </c>
      <c r="W126" s="29">
        <v>126</v>
      </c>
      <c r="X126" s="29"/>
      <c r="Y126" s="29" t="s">
        <v>898</v>
      </c>
      <c r="Z126" s="29" t="s">
        <v>748</v>
      </c>
      <c r="AA126" s="94"/>
    </row>
    <row r="127" spans="1:27" ht="15" customHeight="1">
      <c r="A127" s="11">
        <v>127</v>
      </c>
      <c r="B127" s="11"/>
      <c r="C127" s="11"/>
      <c r="D127" s="11" t="s">
        <v>270</v>
      </c>
      <c r="E127" s="11" t="s">
        <v>271</v>
      </c>
      <c r="W127" s="29">
        <v>127</v>
      </c>
      <c r="X127" s="29"/>
      <c r="Y127" s="29" t="s">
        <v>899</v>
      </c>
      <c r="Z127" s="29" t="s">
        <v>749</v>
      </c>
      <c r="AA127" s="94"/>
    </row>
    <row r="128" spans="1:27" ht="15" customHeight="1">
      <c r="A128" s="11">
        <v>128</v>
      </c>
      <c r="B128" s="11"/>
      <c r="C128" s="11"/>
      <c r="D128" s="11" t="s">
        <v>272</v>
      </c>
      <c r="E128" s="11" t="s">
        <v>273</v>
      </c>
      <c r="W128" s="29">
        <v>128</v>
      </c>
      <c r="X128" s="29"/>
      <c r="Y128" s="29" t="s">
        <v>900</v>
      </c>
      <c r="Z128" s="29" t="s">
        <v>750</v>
      </c>
      <c r="AA128" s="94"/>
    </row>
    <row r="129" spans="1:27" ht="15" customHeight="1">
      <c r="A129" s="11">
        <v>129</v>
      </c>
      <c r="B129" s="11"/>
      <c r="C129" s="11"/>
      <c r="D129" s="11" t="s">
        <v>274</v>
      </c>
      <c r="E129" s="11" t="s">
        <v>275</v>
      </c>
      <c r="W129" s="29">
        <v>129</v>
      </c>
      <c r="X129" s="29"/>
      <c r="Y129" s="29" t="s">
        <v>901</v>
      </c>
      <c r="Z129" s="29" t="s">
        <v>751</v>
      </c>
      <c r="AA129" s="94"/>
    </row>
    <row r="130" spans="1:27" ht="15" customHeight="1">
      <c r="A130" s="11">
        <v>130</v>
      </c>
      <c r="B130" s="11"/>
      <c r="C130" s="11"/>
      <c r="D130" s="11" t="s">
        <v>276</v>
      </c>
      <c r="E130" s="11" t="s">
        <v>277</v>
      </c>
      <c r="W130" s="29">
        <v>130</v>
      </c>
      <c r="X130" s="29"/>
      <c r="Y130" s="29" t="s">
        <v>902</v>
      </c>
      <c r="Z130" s="29" t="s">
        <v>752</v>
      </c>
      <c r="AA130" s="94"/>
    </row>
    <row r="131" spans="1:27" ht="15" customHeight="1">
      <c r="A131" s="11">
        <v>131</v>
      </c>
      <c r="B131" s="11"/>
      <c r="C131" s="11"/>
      <c r="D131" s="11" t="s">
        <v>278</v>
      </c>
      <c r="E131" s="11" t="s">
        <v>279</v>
      </c>
      <c r="W131" s="29">
        <v>131</v>
      </c>
      <c r="X131" s="29"/>
      <c r="Y131" s="29" t="s">
        <v>903</v>
      </c>
      <c r="Z131" s="29" t="s">
        <v>753</v>
      </c>
      <c r="AA131" s="94"/>
    </row>
    <row r="132" spans="1:27" ht="15" customHeight="1">
      <c r="A132" s="11">
        <v>132</v>
      </c>
      <c r="B132" s="11"/>
      <c r="C132" s="11"/>
      <c r="D132" s="11" t="s">
        <v>280</v>
      </c>
      <c r="E132" s="11" t="s">
        <v>281</v>
      </c>
      <c r="W132" s="29">
        <v>132</v>
      </c>
      <c r="X132" s="29"/>
      <c r="Y132" s="29" t="s">
        <v>904</v>
      </c>
      <c r="Z132" s="29" t="s">
        <v>754</v>
      </c>
      <c r="AA132" s="94"/>
    </row>
    <row r="133" spans="1:27" ht="15" customHeight="1">
      <c r="A133" s="11">
        <v>133</v>
      </c>
      <c r="B133" s="11"/>
      <c r="C133" s="11"/>
      <c r="D133" s="11" t="s">
        <v>282</v>
      </c>
      <c r="E133" s="11" t="s">
        <v>283</v>
      </c>
      <c r="W133" s="29">
        <v>133</v>
      </c>
      <c r="X133" s="29"/>
      <c r="Y133" s="29" t="s">
        <v>905</v>
      </c>
      <c r="Z133" s="29" t="s">
        <v>755</v>
      </c>
      <c r="AA133" s="94"/>
    </row>
    <row r="134" spans="1:27" ht="15" customHeight="1">
      <c r="A134" s="11">
        <v>134</v>
      </c>
      <c r="B134" s="11"/>
      <c r="C134" s="11"/>
      <c r="D134" s="11" t="s">
        <v>284</v>
      </c>
      <c r="E134" s="11" t="s">
        <v>285</v>
      </c>
      <c r="W134" s="29">
        <v>134</v>
      </c>
      <c r="X134" s="29"/>
      <c r="Y134" s="29" t="s">
        <v>906</v>
      </c>
      <c r="Z134" s="29" t="s">
        <v>756</v>
      </c>
      <c r="AA134" s="94"/>
    </row>
    <row r="135" spans="1:27" ht="15" customHeight="1">
      <c r="A135" s="11">
        <v>135</v>
      </c>
      <c r="B135" s="11"/>
      <c r="C135" s="11"/>
      <c r="D135" s="11" t="s">
        <v>286</v>
      </c>
      <c r="E135" s="11" t="s">
        <v>287</v>
      </c>
      <c r="W135" s="29">
        <v>135</v>
      </c>
      <c r="X135" s="29"/>
      <c r="Y135" s="29" t="s">
        <v>907</v>
      </c>
      <c r="Z135" s="29" t="s">
        <v>757</v>
      </c>
      <c r="AA135" s="94"/>
    </row>
    <row r="136" spans="1:27" ht="15" customHeight="1">
      <c r="A136" s="11">
        <v>136</v>
      </c>
      <c r="B136" s="11"/>
      <c r="C136" s="11"/>
      <c r="D136" s="11" t="s">
        <v>288</v>
      </c>
      <c r="E136" s="11" t="s">
        <v>289</v>
      </c>
      <c r="W136" s="29">
        <v>136</v>
      </c>
      <c r="X136" s="29"/>
      <c r="Y136" s="29" t="s">
        <v>908</v>
      </c>
      <c r="Z136" s="29" t="s">
        <v>758</v>
      </c>
      <c r="AA136" s="94"/>
    </row>
    <row r="137" spans="1:27" ht="15" customHeight="1">
      <c r="A137" s="11">
        <v>137</v>
      </c>
      <c r="B137" s="11"/>
      <c r="C137" s="11"/>
      <c r="D137" s="11" t="s">
        <v>290</v>
      </c>
      <c r="E137" s="11" t="s">
        <v>291</v>
      </c>
      <c r="W137" s="29">
        <v>137</v>
      </c>
      <c r="X137" s="29"/>
      <c r="Y137" s="29" t="s">
        <v>909</v>
      </c>
      <c r="Z137" s="29" t="s">
        <v>759</v>
      </c>
      <c r="AA137" s="94"/>
    </row>
    <row r="138" spans="1:27" ht="15" customHeight="1">
      <c r="A138" s="11">
        <v>138</v>
      </c>
      <c r="B138" s="11"/>
      <c r="C138" s="11"/>
      <c r="D138" s="11" t="s">
        <v>292</v>
      </c>
      <c r="E138" s="11" t="s">
        <v>293</v>
      </c>
      <c r="W138" s="29">
        <v>138</v>
      </c>
      <c r="X138" s="29"/>
      <c r="Y138" s="29" t="s">
        <v>910</v>
      </c>
      <c r="Z138" s="29" t="s">
        <v>760</v>
      </c>
      <c r="AA138" s="94"/>
    </row>
    <row r="139" spans="1:27" ht="15" customHeight="1">
      <c r="A139" s="11">
        <v>139</v>
      </c>
      <c r="B139" s="11"/>
      <c r="C139" s="11"/>
      <c r="D139" s="11" t="s">
        <v>294</v>
      </c>
      <c r="E139" s="11" t="s">
        <v>295</v>
      </c>
      <c r="W139" s="29">
        <v>139</v>
      </c>
      <c r="X139" s="29"/>
      <c r="Y139" s="29" t="s">
        <v>911</v>
      </c>
      <c r="Z139" s="29" t="s">
        <v>761</v>
      </c>
      <c r="AA139" s="94"/>
    </row>
    <row r="140" spans="1:27" ht="15" customHeight="1">
      <c r="A140" s="11">
        <v>140</v>
      </c>
      <c r="B140" s="11"/>
      <c r="C140" s="11"/>
      <c r="D140" s="11" t="s">
        <v>296</v>
      </c>
      <c r="E140" s="11" t="s">
        <v>297</v>
      </c>
      <c r="W140" s="29">
        <v>140</v>
      </c>
      <c r="X140" s="29"/>
      <c r="Y140" s="29" t="s">
        <v>912</v>
      </c>
      <c r="Z140" s="29" t="s">
        <v>762</v>
      </c>
      <c r="AA140" s="94"/>
    </row>
    <row r="141" spans="1:27" ht="15" customHeight="1">
      <c r="A141" s="11">
        <v>141</v>
      </c>
      <c r="B141" s="11"/>
      <c r="C141" s="11"/>
      <c r="D141" s="11" t="s">
        <v>298</v>
      </c>
      <c r="E141" s="11" t="s">
        <v>299</v>
      </c>
      <c r="W141" s="29">
        <v>141</v>
      </c>
      <c r="X141" s="29"/>
      <c r="Y141" s="29" t="s">
        <v>913</v>
      </c>
      <c r="Z141" s="29" t="s">
        <v>763</v>
      </c>
      <c r="AA141" s="94"/>
    </row>
    <row r="142" spans="1:27" ht="15" customHeight="1">
      <c r="A142" s="11">
        <v>142</v>
      </c>
      <c r="B142" s="11"/>
      <c r="C142" s="11"/>
      <c r="D142" s="11" t="s">
        <v>300</v>
      </c>
      <c r="E142" s="11" t="s">
        <v>301</v>
      </c>
      <c r="W142" s="29">
        <v>142</v>
      </c>
      <c r="X142" s="29"/>
      <c r="Y142" s="29" t="s">
        <v>914</v>
      </c>
      <c r="Z142" s="29" t="s">
        <v>764</v>
      </c>
      <c r="AA142" s="94"/>
    </row>
    <row r="143" spans="1:27" ht="15" customHeight="1">
      <c r="A143" s="11">
        <v>143</v>
      </c>
      <c r="B143" s="11"/>
      <c r="C143" s="11"/>
      <c r="D143" s="11" t="s">
        <v>302</v>
      </c>
      <c r="E143" s="11" t="s">
        <v>303</v>
      </c>
      <c r="W143" s="29">
        <v>143</v>
      </c>
      <c r="X143" s="29"/>
      <c r="Y143" s="29" t="s">
        <v>915</v>
      </c>
      <c r="Z143" s="29" t="s">
        <v>765</v>
      </c>
      <c r="AA143" s="94"/>
    </row>
    <row r="144" spans="1:27" ht="15" customHeight="1">
      <c r="A144" s="11">
        <v>144</v>
      </c>
      <c r="B144" s="11"/>
      <c r="C144" s="11"/>
      <c r="D144" s="11" t="s">
        <v>304</v>
      </c>
      <c r="E144" s="11" t="s">
        <v>305</v>
      </c>
      <c r="W144" s="29">
        <v>144</v>
      </c>
      <c r="X144" s="29"/>
      <c r="Y144" s="29" t="s">
        <v>916</v>
      </c>
      <c r="Z144" s="29" t="s">
        <v>766</v>
      </c>
      <c r="AA144" s="94"/>
    </row>
    <row r="145" spans="1:27" ht="15" customHeight="1">
      <c r="A145" s="11">
        <v>145</v>
      </c>
      <c r="B145" s="11"/>
      <c r="C145" s="11"/>
      <c r="D145" s="11" t="s">
        <v>306</v>
      </c>
      <c r="E145" s="11" t="s">
        <v>307</v>
      </c>
      <c r="W145" s="29">
        <v>145</v>
      </c>
      <c r="X145" s="29"/>
      <c r="Y145" s="29" t="s">
        <v>917</v>
      </c>
      <c r="Z145" s="29" t="s">
        <v>767</v>
      </c>
      <c r="AA145" s="94"/>
    </row>
    <row r="146" spans="1:27" ht="15" customHeight="1">
      <c r="A146" s="11">
        <v>146</v>
      </c>
      <c r="B146" s="11"/>
      <c r="C146" s="11"/>
      <c r="D146" s="11" t="s">
        <v>308</v>
      </c>
      <c r="E146" s="11" t="s">
        <v>309</v>
      </c>
      <c r="W146" s="29">
        <v>146</v>
      </c>
      <c r="X146" s="29"/>
      <c r="Y146" s="29" t="s">
        <v>918</v>
      </c>
      <c r="Z146" s="29" t="s">
        <v>768</v>
      </c>
      <c r="AA146" s="94"/>
    </row>
    <row r="147" spans="1:27" ht="15" customHeight="1">
      <c r="A147" s="11">
        <v>147</v>
      </c>
      <c r="B147" s="11"/>
      <c r="C147" s="11"/>
      <c r="D147" s="11" t="s">
        <v>310</v>
      </c>
      <c r="E147" s="11" t="s">
        <v>311</v>
      </c>
      <c r="W147" s="29">
        <v>147</v>
      </c>
      <c r="X147" s="29"/>
      <c r="Y147" s="29" t="s">
        <v>919</v>
      </c>
      <c r="Z147" s="29" t="s">
        <v>769</v>
      </c>
      <c r="AA147" s="94"/>
    </row>
    <row r="148" spans="1:27" ht="15" customHeight="1">
      <c r="A148" s="11">
        <v>148</v>
      </c>
      <c r="B148" s="11"/>
      <c r="C148" s="11"/>
      <c r="D148" s="11" t="s">
        <v>312</v>
      </c>
      <c r="E148" s="11" t="s">
        <v>313</v>
      </c>
      <c r="W148" s="29">
        <v>148</v>
      </c>
      <c r="X148" s="29"/>
      <c r="Y148" s="29" t="s">
        <v>920</v>
      </c>
      <c r="Z148" s="29" t="s">
        <v>770</v>
      </c>
      <c r="AA148" s="94"/>
    </row>
    <row r="149" spans="1:27" ht="15" customHeight="1">
      <c r="A149" s="11">
        <v>149</v>
      </c>
      <c r="B149" s="11"/>
      <c r="C149" s="11"/>
      <c r="D149" s="11" t="s">
        <v>314</v>
      </c>
      <c r="E149" s="11" t="s">
        <v>315</v>
      </c>
      <c r="W149" s="29">
        <v>149</v>
      </c>
      <c r="X149" s="29"/>
      <c r="Y149" s="29" t="s">
        <v>921</v>
      </c>
      <c r="Z149" s="29" t="s">
        <v>771</v>
      </c>
      <c r="AA149" s="94"/>
    </row>
    <row r="150" spans="1:27" ht="15" customHeight="1">
      <c r="A150" s="11">
        <v>150</v>
      </c>
      <c r="B150" s="11"/>
      <c r="C150" s="11"/>
      <c r="D150" s="11" t="s">
        <v>316</v>
      </c>
      <c r="E150" s="11" t="s">
        <v>317</v>
      </c>
      <c r="W150" s="29">
        <v>150</v>
      </c>
      <c r="X150" s="29"/>
      <c r="Y150" s="29" t="s">
        <v>922</v>
      </c>
      <c r="Z150" s="29" t="s">
        <v>772</v>
      </c>
      <c r="AA150" s="94"/>
    </row>
    <row r="151" spans="1:27" ht="15" customHeight="1">
      <c r="A151" s="11">
        <v>151</v>
      </c>
      <c r="B151" s="11"/>
      <c r="C151" s="11"/>
      <c r="D151" s="11" t="s">
        <v>318</v>
      </c>
      <c r="E151" s="11" t="s">
        <v>319</v>
      </c>
      <c r="W151" s="29">
        <v>151</v>
      </c>
      <c r="X151" s="29"/>
      <c r="Y151" s="29" t="s">
        <v>923</v>
      </c>
      <c r="Z151" s="29" t="s">
        <v>773</v>
      </c>
      <c r="AA151" s="94"/>
    </row>
    <row r="152" spans="1:27" ht="15" customHeight="1">
      <c r="A152" s="11">
        <v>152</v>
      </c>
      <c r="B152" s="11"/>
      <c r="C152" s="11"/>
      <c r="D152" s="11" t="s">
        <v>320</v>
      </c>
      <c r="E152" s="11" t="s">
        <v>321</v>
      </c>
      <c r="W152" s="29">
        <v>152</v>
      </c>
      <c r="X152" s="29"/>
      <c r="Y152" s="29" t="s">
        <v>924</v>
      </c>
      <c r="Z152" s="29" t="s">
        <v>774</v>
      </c>
      <c r="AA152" s="94"/>
    </row>
    <row r="153" spans="1:27" ht="15" customHeight="1">
      <c r="A153" s="11">
        <v>153</v>
      </c>
      <c r="B153" s="11"/>
      <c r="C153" s="11"/>
      <c r="D153" s="11" t="s">
        <v>322</v>
      </c>
      <c r="E153" s="11" t="s">
        <v>323</v>
      </c>
      <c r="W153" s="29">
        <v>153</v>
      </c>
      <c r="X153" s="29"/>
      <c r="Y153" s="29" t="s">
        <v>925</v>
      </c>
      <c r="Z153" s="29" t="s">
        <v>775</v>
      </c>
      <c r="AA153" s="94"/>
    </row>
    <row r="154" spans="1:27" ht="15" customHeight="1">
      <c r="A154" s="11">
        <v>154</v>
      </c>
      <c r="B154" s="11"/>
      <c r="C154" s="11"/>
      <c r="D154" s="11" t="s">
        <v>324</v>
      </c>
      <c r="E154" s="11" t="s">
        <v>325</v>
      </c>
      <c r="W154" s="29">
        <v>154</v>
      </c>
      <c r="X154" s="29"/>
      <c r="Y154" s="29" t="s">
        <v>926</v>
      </c>
      <c r="Z154" s="29" t="s">
        <v>776</v>
      </c>
      <c r="AA154" s="94"/>
    </row>
    <row r="155" spans="1:27" ht="15" customHeight="1">
      <c r="A155" s="11">
        <v>155</v>
      </c>
      <c r="B155" s="11"/>
      <c r="C155" s="11"/>
      <c r="D155" s="11" t="s">
        <v>326</v>
      </c>
      <c r="E155" s="11" t="s">
        <v>327</v>
      </c>
      <c r="W155" s="29">
        <v>155</v>
      </c>
      <c r="X155" s="29"/>
      <c r="Y155" s="29" t="s">
        <v>927</v>
      </c>
      <c r="Z155" s="29" t="s">
        <v>777</v>
      </c>
      <c r="AA155" s="94"/>
    </row>
    <row r="156" spans="1:27" ht="15" customHeight="1">
      <c r="A156" s="11">
        <v>156</v>
      </c>
      <c r="B156" s="11"/>
      <c r="C156" s="11"/>
      <c r="D156" s="11" t="s">
        <v>328</v>
      </c>
      <c r="E156" s="11" t="s">
        <v>329</v>
      </c>
      <c r="W156" s="29">
        <v>156</v>
      </c>
      <c r="X156" s="29"/>
      <c r="Y156" s="29" t="s">
        <v>928</v>
      </c>
      <c r="Z156" s="29" t="s">
        <v>778</v>
      </c>
      <c r="AA156" s="94"/>
    </row>
    <row r="157" spans="1:27" ht="15" customHeight="1">
      <c r="A157" s="11">
        <v>157</v>
      </c>
      <c r="B157" s="11"/>
      <c r="C157" s="11"/>
      <c r="D157" s="11" t="s">
        <v>330</v>
      </c>
      <c r="E157" s="11" t="s">
        <v>331</v>
      </c>
      <c r="W157" s="29">
        <v>157</v>
      </c>
      <c r="X157" s="29"/>
      <c r="Y157" s="29" t="s">
        <v>929</v>
      </c>
      <c r="Z157" s="29" t="s">
        <v>779</v>
      </c>
      <c r="AA157" s="94"/>
    </row>
    <row r="158" spans="1:27" ht="15" customHeight="1">
      <c r="A158" s="11">
        <v>158</v>
      </c>
      <c r="B158" s="11"/>
      <c r="C158" s="11"/>
      <c r="D158" s="11" t="s">
        <v>332</v>
      </c>
      <c r="E158" s="11" t="s">
        <v>333</v>
      </c>
      <c r="W158" s="29">
        <v>158</v>
      </c>
      <c r="X158" s="29"/>
      <c r="Y158" s="29" t="s">
        <v>930</v>
      </c>
      <c r="Z158" s="29" t="s">
        <v>780</v>
      </c>
      <c r="AA158" s="94"/>
    </row>
    <row r="159" spans="1:27" ht="15" customHeight="1">
      <c r="A159" s="11">
        <v>159</v>
      </c>
      <c r="B159" s="11"/>
      <c r="C159" s="11"/>
      <c r="D159" s="11" t="s">
        <v>334</v>
      </c>
      <c r="E159" s="11" t="s">
        <v>335</v>
      </c>
      <c r="W159" s="29">
        <v>159</v>
      </c>
      <c r="X159" s="29"/>
      <c r="Y159" s="29" t="s">
        <v>931</v>
      </c>
      <c r="Z159" s="29" t="s">
        <v>781</v>
      </c>
      <c r="AA159" s="94"/>
    </row>
    <row r="160" spans="1:27" ht="15" customHeight="1">
      <c r="A160" s="11">
        <v>160</v>
      </c>
      <c r="B160" s="11"/>
      <c r="C160" s="11"/>
      <c r="D160" s="11" t="s">
        <v>336</v>
      </c>
      <c r="E160" s="11" t="s">
        <v>337</v>
      </c>
      <c r="W160" s="29">
        <v>160</v>
      </c>
      <c r="X160" s="29"/>
      <c r="Y160" s="29" t="s">
        <v>932</v>
      </c>
      <c r="Z160" s="29" t="s">
        <v>782</v>
      </c>
      <c r="AA160" s="94"/>
    </row>
    <row r="161" spans="1:27" ht="15" customHeight="1">
      <c r="A161" s="11">
        <v>161</v>
      </c>
      <c r="B161" s="11"/>
      <c r="C161" s="11"/>
      <c r="D161" s="11" t="s">
        <v>338</v>
      </c>
      <c r="E161" s="11" t="s">
        <v>339</v>
      </c>
      <c r="W161" s="29">
        <v>161</v>
      </c>
      <c r="X161" s="29"/>
      <c r="Y161" s="29" t="s">
        <v>933</v>
      </c>
      <c r="Z161" s="29" t="s">
        <v>783</v>
      </c>
      <c r="AA161" s="94"/>
    </row>
    <row r="162" spans="1:27" ht="15" customHeight="1">
      <c r="A162" s="11">
        <v>162</v>
      </c>
      <c r="B162" s="11"/>
      <c r="C162" s="11"/>
      <c r="D162" s="11" t="s">
        <v>340</v>
      </c>
      <c r="E162" s="11" t="s">
        <v>341</v>
      </c>
      <c r="W162" s="29">
        <v>162</v>
      </c>
      <c r="X162" s="29"/>
      <c r="Y162" s="29" t="s">
        <v>934</v>
      </c>
      <c r="Z162" s="29" t="s">
        <v>784</v>
      </c>
      <c r="AA162" s="94"/>
    </row>
    <row r="163" spans="1:27" ht="15" customHeight="1">
      <c r="A163" s="11">
        <v>163</v>
      </c>
      <c r="B163" s="11"/>
      <c r="C163" s="11"/>
      <c r="D163" s="11" t="s">
        <v>342</v>
      </c>
      <c r="E163" s="11" t="s">
        <v>343</v>
      </c>
      <c r="W163" s="29">
        <v>163</v>
      </c>
      <c r="X163" s="29"/>
      <c r="Y163" s="29" t="s">
        <v>935</v>
      </c>
      <c r="Z163" s="29" t="s">
        <v>785</v>
      </c>
      <c r="AA163" s="94"/>
    </row>
    <row r="164" spans="1:27" ht="15" customHeight="1">
      <c r="A164" s="11">
        <v>164</v>
      </c>
      <c r="B164" s="11"/>
      <c r="C164" s="11"/>
      <c r="D164" s="11" t="s">
        <v>344</v>
      </c>
      <c r="E164" s="11" t="s">
        <v>345</v>
      </c>
      <c r="W164" s="29">
        <v>164</v>
      </c>
      <c r="X164" s="29"/>
      <c r="Y164" s="29" t="s">
        <v>936</v>
      </c>
      <c r="Z164" s="29" t="s">
        <v>786</v>
      </c>
      <c r="AA164" s="94"/>
    </row>
    <row r="165" spans="1:27" ht="15" customHeight="1">
      <c r="A165" s="11">
        <v>165</v>
      </c>
      <c r="B165" s="11"/>
      <c r="C165" s="11"/>
      <c r="D165" s="11" t="s">
        <v>346</v>
      </c>
      <c r="E165" s="11" t="s">
        <v>347</v>
      </c>
      <c r="W165" s="29">
        <v>165</v>
      </c>
      <c r="X165" s="29"/>
      <c r="Y165" s="29" t="s">
        <v>937</v>
      </c>
      <c r="Z165" s="29" t="s">
        <v>787</v>
      </c>
      <c r="AA165" s="94"/>
    </row>
    <row r="166" spans="1:27" ht="15" customHeight="1">
      <c r="A166" s="11">
        <v>166</v>
      </c>
      <c r="B166" s="11"/>
      <c r="C166" s="11"/>
      <c r="D166" s="11" t="s">
        <v>348</v>
      </c>
      <c r="E166" s="11" t="s">
        <v>349</v>
      </c>
      <c r="W166" s="29">
        <v>166</v>
      </c>
      <c r="X166" s="29"/>
      <c r="Y166" s="29" t="s">
        <v>938</v>
      </c>
      <c r="Z166" s="29" t="s">
        <v>788</v>
      </c>
      <c r="AA166" s="94"/>
    </row>
    <row r="167" spans="1:27" ht="15" customHeight="1">
      <c r="A167" s="11">
        <v>167</v>
      </c>
      <c r="B167" s="11"/>
      <c r="C167" s="11"/>
      <c r="D167" s="11" t="s">
        <v>350</v>
      </c>
      <c r="E167" s="11" t="s">
        <v>351</v>
      </c>
      <c r="W167" s="29">
        <v>167</v>
      </c>
      <c r="X167" s="29"/>
      <c r="Y167" s="29" t="s">
        <v>939</v>
      </c>
      <c r="Z167" s="29" t="s">
        <v>789</v>
      </c>
      <c r="AA167" s="94"/>
    </row>
    <row r="168" spans="1:27" ht="15" customHeight="1">
      <c r="A168" s="11">
        <v>168</v>
      </c>
      <c r="B168" s="11"/>
      <c r="C168" s="11"/>
      <c r="D168" s="11" t="s">
        <v>352</v>
      </c>
      <c r="E168" s="11" t="s">
        <v>353</v>
      </c>
      <c r="W168" s="29">
        <v>168</v>
      </c>
      <c r="X168" s="29"/>
      <c r="Y168" s="29" t="s">
        <v>940</v>
      </c>
      <c r="Z168" s="29" t="s">
        <v>790</v>
      </c>
      <c r="AA168" s="94"/>
    </row>
    <row r="169" spans="1:27" ht="15" customHeight="1">
      <c r="A169" s="11">
        <v>169</v>
      </c>
      <c r="B169" s="11"/>
      <c r="C169" s="11"/>
      <c r="D169" s="11" t="s">
        <v>354</v>
      </c>
      <c r="E169" s="11" t="s">
        <v>355</v>
      </c>
      <c r="W169" s="29">
        <v>169</v>
      </c>
      <c r="X169" s="29"/>
      <c r="Y169" s="29" t="s">
        <v>941</v>
      </c>
      <c r="Z169" s="29" t="s">
        <v>791</v>
      </c>
      <c r="AA169" s="94"/>
    </row>
    <row r="170" spans="1:27" ht="15" customHeight="1">
      <c r="A170" s="11">
        <v>170</v>
      </c>
      <c r="B170" s="11"/>
      <c r="C170" s="11"/>
      <c r="D170" s="11" t="s">
        <v>356</v>
      </c>
      <c r="E170" s="11" t="s">
        <v>357</v>
      </c>
      <c r="W170" s="29">
        <v>170</v>
      </c>
      <c r="X170" s="29"/>
      <c r="Y170" s="29" t="s">
        <v>942</v>
      </c>
      <c r="Z170" s="29" t="s">
        <v>792</v>
      </c>
      <c r="AA170" s="94"/>
    </row>
    <row r="171" spans="1:27" ht="15" customHeight="1">
      <c r="A171" s="11">
        <v>171</v>
      </c>
      <c r="B171" s="11"/>
      <c r="C171" s="11"/>
      <c r="D171" s="11" t="s">
        <v>358</v>
      </c>
      <c r="E171" s="11" t="s">
        <v>359</v>
      </c>
      <c r="W171" s="29">
        <v>171</v>
      </c>
      <c r="X171" s="29"/>
      <c r="Y171" s="29" t="s">
        <v>943</v>
      </c>
      <c r="Z171" s="29" t="s">
        <v>793</v>
      </c>
      <c r="AA171" s="94"/>
    </row>
    <row r="172" spans="1:27" ht="15" customHeight="1">
      <c r="A172" s="11">
        <v>172</v>
      </c>
      <c r="B172" s="11"/>
      <c r="C172" s="11"/>
      <c r="D172" s="11" t="s">
        <v>360</v>
      </c>
      <c r="E172" s="11" t="s">
        <v>361</v>
      </c>
      <c r="W172" s="29">
        <v>172</v>
      </c>
      <c r="X172" s="29"/>
      <c r="Y172" s="29" t="s">
        <v>944</v>
      </c>
      <c r="Z172" s="29" t="s">
        <v>794</v>
      </c>
      <c r="AA172" s="94"/>
    </row>
    <row r="173" spans="1:27" ht="15" customHeight="1">
      <c r="A173" s="11">
        <v>173</v>
      </c>
      <c r="B173" s="11"/>
      <c r="C173" s="11"/>
      <c r="D173" s="11" t="s">
        <v>362</v>
      </c>
      <c r="E173" s="11" t="s">
        <v>363</v>
      </c>
      <c r="W173" s="29">
        <v>173</v>
      </c>
      <c r="X173" s="29"/>
      <c r="Y173" s="29" t="s">
        <v>945</v>
      </c>
      <c r="Z173" s="29" t="s">
        <v>795</v>
      </c>
      <c r="AA173" s="94"/>
    </row>
    <row r="174" spans="1:27" ht="15" customHeight="1">
      <c r="A174" s="11">
        <v>174</v>
      </c>
      <c r="B174" s="11"/>
      <c r="C174" s="11"/>
      <c r="D174" s="11" t="s">
        <v>364</v>
      </c>
      <c r="E174" s="11" t="s">
        <v>365</v>
      </c>
      <c r="W174" s="29">
        <v>174</v>
      </c>
      <c r="X174" s="29"/>
      <c r="Y174" s="29" t="s">
        <v>946</v>
      </c>
      <c r="Z174" s="29" t="s">
        <v>796</v>
      </c>
      <c r="AA174" s="94"/>
    </row>
    <row r="175" spans="1:27" ht="15" customHeight="1">
      <c r="A175" s="11">
        <v>175</v>
      </c>
      <c r="B175" s="11"/>
      <c r="C175" s="11"/>
      <c r="D175" s="11" t="s">
        <v>366</v>
      </c>
      <c r="E175" s="11" t="s">
        <v>367</v>
      </c>
      <c r="W175" s="29">
        <v>175</v>
      </c>
      <c r="X175" s="29"/>
      <c r="Y175" s="29" t="s">
        <v>947</v>
      </c>
      <c r="Z175" s="29" t="s">
        <v>797</v>
      </c>
      <c r="AA175" s="94"/>
    </row>
    <row r="176" spans="1:27" ht="15" customHeight="1">
      <c r="A176" s="11">
        <v>176</v>
      </c>
      <c r="B176" s="11"/>
      <c r="C176" s="11"/>
      <c r="D176" s="11" t="s">
        <v>368</v>
      </c>
      <c r="E176" s="11" t="s">
        <v>369</v>
      </c>
      <c r="W176" s="29">
        <v>176</v>
      </c>
      <c r="X176" s="29"/>
      <c r="Y176" s="29" t="s">
        <v>948</v>
      </c>
      <c r="Z176" s="29" t="s">
        <v>798</v>
      </c>
      <c r="AA176" s="94"/>
    </row>
    <row r="177" spans="1:27" ht="15" customHeight="1">
      <c r="A177" s="11">
        <v>177</v>
      </c>
      <c r="B177" s="11"/>
      <c r="C177" s="11"/>
      <c r="D177" s="11" t="s">
        <v>370</v>
      </c>
      <c r="E177" s="11" t="s">
        <v>371</v>
      </c>
      <c r="W177" s="29">
        <v>177</v>
      </c>
      <c r="X177" s="29"/>
      <c r="Y177" s="29" t="s">
        <v>949</v>
      </c>
      <c r="Z177" s="29" t="s">
        <v>799</v>
      </c>
      <c r="AA177" s="94"/>
    </row>
    <row r="178" spans="1:27" ht="15" customHeight="1">
      <c r="A178" s="11">
        <v>178</v>
      </c>
      <c r="B178" s="11"/>
      <c r="C178" s="11"/>
      <c r="D178" s="11" t="s">
        <v>372</v>
      </c>
      <c r="E178" s="11" t="s">
        <v>373</v>
      </c>
      <c r="W178" s="29">
        <v>178</v>
      </c>
      <c r="X178" s="29"/>
      <c r="Y178" s="29" t="s">
        <v>950</v>
      </c>
      <c r="Z178" s="29" t="s">
        <v>800</v>
      </c>
      <c r="AA178" s="94"/>
    </row>
    <row r="179" spans="1:27" ht="15" customHeight="1">
      <c r="A179" s="11">
        <v>179</v>
      </c>
      <c r="B179" s="11"/>
      <c r="C179" s="11"/>
      <c r="D179" s="11" t="s">
        <v>374</v>
      </c>
      <c r="E179" s="11" t="s">
        <v>375</v>
      </c>
      <c r="W179" s="29">
        <v>179</v>
      </c>
      <c r="X179" s="29"/>
      <c r="Y179" s="29" t="s">
        <v>951</v>
      </c>
      <c r="Z179" s="29" t="s">
        <v>801</v>
      </c>
      <c r="AA179" s="94"/>
    </row>
    <row r="180" spans="1:27" ht="15" customHeight="1">
      <c r="A180" s="11">
        <v>180</v>
      </c>
      <c r="B180" s="11"/>
      <c r="C180" s="11"/>
      <c r="D180" s="11" t="s">
        <v>376</v>
      </c>
      <c r="E180" s="11" t="s">
        <v>377</v>
      </c>
      <c r="W180" s="29">
        <v>180</v>
      </c>
      <c r="X180" s="29"/>
      <c r="Y180" s="29" t="s">
        <v>952</v>
      </c>
      <c r="Z180" s="29" t="s">
        <v>802</v>
      </c>
      <c r="AA180" s="94"/>
    </row>
    <row r="181" spans="1:27" ht="15" customHeight="1">
      <c r="A181" s="11">
        <v>181</v>
      </c>
      <c r="B181" s="11"/>
      <c r="C181" s="11"/>
      <c r="D181" s="11" t="s">
        <v>378</v>
      </c>
      <c r="E181" s="11" t="s">
        <v>379</v>
      </c>
      <c r="W181" s="29">
        <v>181</v>
      </c>
      <c r="X181" s="29"/>
      <c r="Y181" s="29" t="s">
        <v>953</v>
      </c>
      <c r="Z181" s="29" t="s">
        <v>803</v>
      </c>
      <c r="AA181" s="94"/>
    </row>
    <row r="182" spans="1:27" ht="15" customHeight="1">
      <c r="A182" s="11">
        <v>182</v>
      </c>
      <c r="B182" s="11"/>
      <c r="C182" s="11"/>
      <c r="D182" s="11" t="s">
        <v>380</v>
      </c>
      <c r="E182" s="11" t="s">
        <v>381</v>
      </c>
      <c r="W182" s="29">
        <v>182</v>
      </c>
      <c r="X182" s="29"/>
      <c r="Y182" s="29" t="s">
        <v>954</v>
      </c>
      <c r="Z182" s="29" t="s">
        <v>804</v>
      </c>
      <c r="AA182" s="94"/>
    </row>
    <row r="183" spans="1:27" ht="15" customHeight="1">
      <c r="A183" s="11">
        <v>183</v>
      </c>
      <c r="B183" s="11"/>
      <c r="C183" s="11"/>
      <c r="D183" s="11" t="s">
        <v>382</v>
      </c>
      <c r="E183" s="11" t="s">
        <v>383</v>
      </c>
      <c r="W183" s="29">
        <v>183</v>
      </c>
      <c r="X183" s="29"/>
      <c r="Y183" s="29" t="s">
        <v>955</v>
      </c>
      <c r="Z183" s="29" t="s">
        <v>805</v>
      </c>
      <c r="AA183" s="94"/>
    </row>
    <row r="184" spans="1:27" ht="15" customHeight="1">
      <c r="A184" s="11">
        <v>184</v>
      </c>
      <c r="B184" s="11"/>
      <c r="C184" s="11"/>
      <c r="D184" s="11" t="s">
        <v>384</v>
      </c>
      <c r="E184" s="11" t="s">
        <v>385</v>
      </c>
      <c r="W184" s="29">
        <v>184</v>
      </c>
      <c r="X184" s="29"/>
      <c r="Y184" s="29" t="s">
        <v>956</v>
      </c>
      <c r="Z184" s="29" t="s">
        <v>806</v>
      </c>
      <c r="AA184" s="94"/>
    </row>
    <row r="185" spans="1:27" ht="15" customHeight="1">
      <c r="A185" s="11">
        <v>185</v>
      </c>
      <c r="B185" s="11"/>
      <c r="C185" s="11"/>
      <c r="D185" s="11" t="s">
        <v>386</v>
      </c>
      <c r="E185" s="11" t="s">
        <v>387</v>
      </c>
      <c r="W185" s="29">
        <v>185</v>
      </c>
      <c r="X185" s="29"/>
      <c r="Y185" s="29" t="s">
        <v>957</v>
      </c>
      <c r="Z185" s="29" t="s">
        <v>807</v>
      </c>
      <c r="AA185" s="94"/>
    </row>
    <row r="186" spans="1:27" ht="15" customHeight="1">
      <c r="A186" s="11">
        <v>186</v>
      </c>
      <c r="B186" s="11"/>
      <c r="C186" s="11"/>
      <c r="D186" s="11" t="s">
        <v>388</v>
      </c>
      <c r="E186" s="11" t="s">
        <v>389</v>
      </c>
      <c r="W186" s="29">
        <v>186</v>
      </c>
      <c r="X186" s="29"/>
      <c r="Y186" s="29" t="s">
        <v>958</v>
      </c>
      <c r="Z186" s="29" t="s">
        <v>808</v>
      </c>
      <c r="AA186" s="94"/>
    </row>
    <row r="187" spans="1:27" ht="15" customHeight="1">
      <c r="A187" s="11">
        <v>187</v>
      </c>
      <c r="B187" s="11"/>
      <c r="C187" s="11"/>
      <c r="D187" s="11" t="s">
        <v>390</v>
      </c>
      <c r="E187" s="11" t="s">
        <v>391</v>
      </c>
      <c r="W187" s="29">
        <v>187</v>
      </c>
      <c r="X187" s="29"/>
      <c r="Y187" s="29" t="s">
        <v>959</v>
      </c>
      <c r="Z187" s="29" t="s">
        <v>809</v>
      </c>
      <c r="AA187" s="94"/>
    </row>
    <row r="188" spans="1:27" ht="15" customHeight="1">
      <c r="A188" s="11">
        <v>188</v>
      </c>
      <c r="B188" s="11"/>
      <c r="C188" s="11"/>
      <c r="D188" s="11" t="s">
        <v>392</v>
      </c>
      <c r="E188" s="11" t="s">
        <v>393</v>
      </c>
      <c r="W188" s="29">
        <v>188</v>
      </c>
      <c r="X188" s="29"/>
      <c r="Y188" s="29" t="s">
        <v>960</v>
      </c>
      <c r="Z188" s="29" t="s">
        <v>810</v>
      </c>
      <c r="AA188" s="94"/>
    </row>
    <row r="189" spans="1:27" ht="15" customHeight="1">
      <c r="A189" s="11">
        <v>189</v>
      </c>
      <c r="B189" s="11"/>
      <c r="C189" s="11"/>
      <c r="D189" s="11" t="s">
        <v>394</v>
      </c>
      <c r="E189" s="11" t="s">
        <v>395</v>
      </c>
      <c r="W189" s="29">
        <v>189</v>
      </c>
      <c r="X189" s="29"/>
      <c r="Y189" s="29" t="s">
        <v>961</v>
      </c>
      <c r="Z189" s="29" t="s">
        <v>811</v>
      </c>
      <c r="AA189" s="94"/>
    </row>
    <row r="190" spans="1:27" ht="15" customHeight="1">
      <c r="A190" s="11">
        <v>190</v>
      </c>
      <c r="B190" s="11"/>
      <c r="C190" s="11"/>
      <c r="D190" s="11" t="s">
        <v>396</v>
      </c>
      <c r="E190" s="11" t="s">
        <v>397</v>
      </c>
      <c r="W190" s="29">
        <v>190</v>
      </c>
      <c r="X190" s="29"/>
      <c r="Y190" s="29" t="s">
        <v>962</v>
      </c>
      <c r="Z190" s="29" t="s">
        <v>812</v>
      </c>
      <c r="AA190" s="94"/>
    </row>
    <row r="191" spans="1:27" ht="15" customHeight="1">
      <c r="A191" s="11">
        <v>191</v>
      </c>
      <c r="B191" s="11"/>
      <c r="C191" s="11"/>
      <c r="D191" s="11" t="s">
        <v>398</v>
      </c>
      <c r="E191" s="11" t="s">
        <v>399</v>
      </c>
      <c r="W191" s="29">
        <v>191</v>
      </c>
      <c r="X191" s="29"/>
      <c r="Y191" s="29" t="s">
        <v>963</v>
      </c>
      <c r="Z191" s="29" t="s">
        <v>813</v>
      </c>
      <c r="AA191" s="94"/>
    </row>
    <row r="192" spans="1:27" ht="15" customHeight="1">
      <c r="A192" s="11">
        <v>192</v>
      </c>
      <c r="B192" s="11"/>
      <c r="C192" s="11"/>
      <c r="D192" s="11" t="s">
        <v>400</v>
      </c>
      <c r="E192" s="11" t="s">
        <v>401</v>
      </c>
      <c r="W192" s="29">
        <v>192</v>
      </c>
      <c r="X192" s="29"/>
      <c r="Y192" s="29" t="s">
        <v>964</v>
      </c>
      <c r="Z192" s="29" t="s">
        <v>814</v>
      </c>
      <c r="AA192" s="94"/>
    </row>
    <row r="193" spans="1:27" ht="15" customHeight="1">
      <c r="A193" s="11">
        <v>193</v>
      </c>
      <c r="B193" s="11"/>
      <c r="C193" s="11"/>
      <c r="D193" s="11" t="s">
        <v>402</v>
      </c>
      <c r="E193" s="11" t="s">
        <v>403</v>
      </c>
      <c r="W193" s="29">
        <v>193</v>
      </c>
      <c r="X193" s="29"/>
      <c r="Y193" s="29" t="s">
        <v>965</v>
      </c>
      <c r="Z193" s="29" t="s">
        <v>815</v>
      </c>
      <c r="AA193" s="94"/>
    </row>
    <row r="194" spans="1:27" ht="15" customHeight="1">
      <c r="A194" s="11">
        <v>194</v>
      </c>
      <c r="B194" s="11"/>
      <c r="C194" s="11"/>
      <c r="D194" s="11" t="s">
        <v>404</v>
      </c>
      <c r="E194" s="11" t="s">
        <v>405</v>
      </c>
      <c r="W194" s="29">
        <v>194</v>
      </c>
      <c r="X194" s="29"/>
      <c r="Y194" s="29" t="s">
        <v>966</v>
      </c>
      <c r="Z194" s="29" t="s">
        <v>816</v>
      </c>
      <c r="AA194" s="94"/>
    </row>
    <row r="195" spans="1:27" ht="15" customHeight="1">
      <c r="A195" s="11">
        <v>195</v>
      </c>
      <c r="B195" s="11"/>
      <c r="C195" s="11"/>
      <c r="D195" s="11" t="s">
        <v>406</v>
      </c>
      <c r="E195" s="11" t="s">
        <v>407</v>
      </c>
      <c r="W195" s="29">
        <v>195</v>
      </c>
      <c r="X195" s="29"/>
      <c r="Y195" s="29" t="s">
        <v>967</v>
      </c>
      <c r="Z195" s="29" t="s">
        <v>817</v>
      </c>
      <c r="AA195" s="94"/>
    </row>
    <row r="196" spans="1:27" ht="15" customHeight="1">
      <c r="A196" s="11">
        <v>196</v>
      </c>
      <c r="B196" s="11"/>
      <c r="C196" s="11"/>
      <c r="D196" s="11" t="s">
        <v>408</v>
      </c>
      <c r="E196" s="11" t="s">
        <v>409</v>
      </c>
      <c r="W196" s="29">
        <v>196</v>
      </c>
      <c r="X196" s="29"/>
      <c r="Y196" s="29" t="s">
        <v>968</v>
      </c>
      <c r="Z196" s="29" t="s">
        <v>818</v>
      </c>
      <c r="AA196" s="94"/>
    </row>
    <row r="197" spans="1:27" ht="15" customHeight="1">
      <c r="A197" s="11">
        <v>197</v>
      </c>
      <c r="B197" s="11"/>
      <c r="C197" s="11"/>
      <c r="D197" s="11" t="s">
        <v>410</v>
      </c>
      <c r="E197" s="11" t="s">
        <v>411</v>
      </c>
      <c r="W197" s="29">
        <v>197</v>
      </c>
      <c r="X197" s="29"/>
      <c r="Y197" s="29" t="s">
        <v>969</v>
      </c>
      <c r="Z197" s="29" t="s">
        <v>819</v>
      </c>
      <c r="AA197" s="94"/>
    </row>
  </sheetData>
  <phoneticPr fontId="9"/>
  <pageMargins left="0.7" right="0.7" top="0.75" bottom="0.75" header="0.3" footer="0.3"/>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2"/>
  <dimension ref="A2:AZ56"/>
  <sheetViews>
    <sheetView showGridLines="0" view="pageBreakPreview" topLeftCell="A22" zoomScale="60" zoomScaleNormal="100" workbookViewId="0">
      <selection activeCell="AM36" sqref="AM36"/>
    </sheetView>
  </sheetViews>
  <sheetFormatPr defaultColWidth="9" defaultRowHeight="18"/>
  <cols>
    <col min="1" max="36" width="3.625" style="71" customWidth="1"/>
    <col min="37" max="47" width="9" style="71"/>
    <col min="48" max="48" width="9.375" style="71" bestFit="1" customWidth="1"/>
    <col min="49" max="49" width="75.625" style="71" customWidth="1"/>
    <col min="50" max="16384" width="9" style="71"/>
  </cols>
  <sheetData>
    <row r="2" spans="1:49" s="76" customFormat="1" ht="24">
      <c r="A2" s="72"/>
      <c r="B2" s="73"/>
      <c r="C2" s="74"/>
      <c r="D2" s="75"/>
      <c r="E2" s="75"/>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5"/>
      <c r="AJ2" s="557" t="str">
        <f xml:space="preserve">
IF(表紙!$X$2="事前協議","（10月１日～３月31日分）",
IF(表紙!$X$2="交付申請（２次）","（10月１日～３月31日分）",
IF(表紙!$X$2="変更申請","（10月１日～３月31日分）",
IF(表紙!$X$2="実績報告（１次）","（５月８日～10月31日分）",
IF(表紙!$X$2="実績報告（２次）","（10月１日～３月31日分）",
IF(表紙!$X$2="交付申請兼実績報告","（10月１日～３月31日分）"))))))</f>
        <v>（10月１日～３月31日分）</v>
      </c>
      <c r="AV2" s="77"/>
      <c r="AW2" s="78"/>
    </row>
    <row r="3" spans="1:49" s="76" customFormat="1" ht="19.5">
      <c r="A3" s="1687" t="s">
        <v>1278</v>
      </c>
      <c r="B3" s="1688"/>
      <c r="C3" s="1688"/>
      <c r="D3" s="1688"/>
      <c r="E3" s="1688"/>
      <c r="F3" s="1688"/>
      <c r="G3" s="1688"/>
      <c r="H3" s="1688"/>
      <c r="I3" s="1688"/>
      <c r="J3" s="1688"/>
      <c r="K3" s="1688"/>
      <c r="L3" s="1688"/>
      <c r="M3" s="1688"/>
      <c r="N3" s="1688"/>
      <c r="O3" s="1688"/>
      <c r="P3" s="1688"/>
      <c r="Q3" s="1688"/>
      <c r="R3" s="1688"/>
      <c r="S3" s="1688"/>
      <c r="T3" s="1688"/>
      <c r="U3" s="1688"/>
      <c r="V3" s="1688"/>
      <c r="W3" s="1688"/>
      <c r="X3" s="1688"/>
      <c r="Y3" s="1688"/>
      <c r="Z3" s="1688"/>
      <c r="AA3" s="1688"/>
      <c r="AB3" s="1688"/>
      <c r="AC3" s="1688"/>
      <c r="AD3" s="1688"/>
      <c r="AE3" s="1688"/>
      <c r="AF3" s="1688"/>
      <c r="AG3" s="1688"/>
      <c r="AH3" s="1688"/>
      <c r="AI3" s="1688"/>
      <c r="AJ3" s="1688"/>
      <c r="AV3" s="77"/>
      <c r="AW3" s="78"/>
    </row>
    <row r="4" spans="1:49" s="76" customFormat="1" ht="19.5">
      <c r="A4" s="1687"/>
      <c r="B4" s="1688"/>
      <c r="C4" s="1688"/>
      <c r="D4" s="1688"/>
      <c r="E4" s="1688"/>
      <c r="F4" s="1688"/>
      <c r="G4" s="1688"/>
      <c r="H4" s="1688"/>
      <c r="I4" s="1688"/>
      <c r="J4" s="1688"/>
      <c r="K4" s="1688"/>
      <c r="L4" s="1688"/>
      <c r="M4" s="1688"/>
      <c r="N4" s="1688"/>
      <c r="O4" s="1688"/>
      <c r="P4" s="1688"/>
      <c r="Q4" s="1688"/>
      <c r="R4" s="1688"/>
      <c r="S4" s="1688"/>
      <c r="T4" s="1688"/>
      <c r="U4" s="1688"/>
      <c r="V4" s="1688"/>
      <c r="W4" s="1688"/>
      <c r="X4" s="1688"/>
      <c r="Y4" s="1688"/>
      <c r="Z4" s="1688"/>
      <c r="AA4" s="1688"/>
      <c r="AB4" s="1688"/>
      <c r="AC4" s="1688"/>
      <c r="AD4" s="1688"/>
      <c r="AE4" s="1688"/>
      <c r="AF4" s="1688"/>
      <c r="AG4" s="1688"/>
      <c r="AH4" s="1688"/>
      <c r="AI4" s="1688"/>
      <c r="AJ4" s="1688"/>
      <c r="AV4" s="77"/>
      <c r="AW4" s="78"/>
    </row>
    <row r="5" spans="1:49" s="76" customFormat="1" ht="19.5">
      <c r="A5" s="1688"/>
      <c r="B5" s="1688"/>
      <c r="C5" s="1688"/>
      <c r="D5" s="1688"/>
      <c r="E5" s="1688"/>
      <c r="F5" s="1688"/>
      <c r="G5" s="1688"/>
      <c r="H5" s="1688"/>
      <c r="I5" s="1688"/>
      <c r="J5" s="1688"/>
      <c r="K5" s="1688"/>
      <c r="L5" s="1688"/>
      <c r="M5" s="1688"/>
      <c r="N5" s="1688"/>
      <c r="O5" s="1688"/>
      <c r="P5" s="1688"/>
      <c r="Q5" s="1688"/>
      <c r="R5" s="1688"/>
      <c r="S5" s="1688"/>
      <c r="T5" s="1688"/>
      <c r="U5" s="1688"/>
      <c r="V5" s="1688"/>
      <c r="W5" s="1688"/>
      <c r="X5" s="1688"/>
      <c r="Y5" s="1688"/>
      <c r="Z5" s="1688"/>
      <c r="AA5" s="1688"/>
      <c r="AB5" s="1688"/>
      <c r="AC5" s="1688"/>
      <c r="AD5" s="1688"/>
      <c r="AE5" s="1688"/>
      <c r="AF5" s="1688"/>
      <c r="AG5" s="1688"/>
      <c r="AH5" s="1688"/>
      <c r="AI5" s="1688"/>
      <c r="AJ5" s="1688"/>
      <c r="AV5" s="77"/>
      <c r="AW5" s="78"/>
    </row>
    <row r="6" spans="1:49" s="76" customFormat="1" ht="19.5">
      <c r="AV6" s="77"/>
      <c r="AW6" s="78"/>
    </row>
    <row r="7" spans="1:49" s="76" customFormat="1" ht="19.5">
      <c r="N7" s="1678" t="s">
        <v>986</v>
      </c>
      <c r="O7" s="1678"/>
      <c r="P7" s="1678"/>
      <c r="Q7" s="1678"/>
      <c r="R7" s="1678"/>
      <c r="S7" s="1689" t="str">
        <f>表紙!L9</f>
        <v/>
      </c>
      <c r="T7" s="1689"/>
      <c r="U7" s="1689"/>
      <c r="V7" s="1689"/>
      <c r="W7" s="1689"/>
      <c r="X7" s="1689"/>
      <c r="Y7" s="1689"/>
      <c r="Z7" s="1689"/>
      <c r="AA7" s="1689"/>
      <c r="AB7" s="1689"/>
      <c r="AC7" s="1689"/>
      <c r="AD7" s="1689"/>
      <c r="AE7" s="1689"/>
      <c r="AF7" s="1689"/>
      <c r="AG7" s="1689"/>
      <c r="AH7" s="1689"/>
      <c r="AI7" s="1689"/>
      <c r="AJ7" s="1689"/>
      <c r="AV7" s="77"/>
      <c r="AW7" s="78"/>
    </row>
    <row r="8" spans="1:49" s="76" customFormat="1" ht="19.5">
      <c r="N8" s="1678"/>
      <c r="O8" s="1678"/>
      <c r="P8" s="1678"/>
      <c r="Q8" s="1678"/>
      <c r="R8" s="1678"/>
      <c r="S8" s="1689"/>
      <c r="T8" s="1689"/>
      <c r="U8" s="1689"/>
      <c r="V8" s="1689"/>
      <c r="W8" s="1689"/>
      <c r="X8" s="1689"/>
      <c r="Y8" s="1689"/>
      <c r="Z8" s="1689"/>
      <c r="AA8" s="1689"/>
      <c r="AB8" s="1689"/>
      <c r="AC8" s="1689"/>
      <c r="AD8" s="1689"/>
      <c r="AE8" s="1689"/>
      <c r="AF8" s="1689"/>
      <c r="AG8" s="1689"/>
      <c r="AH8" s="1689"/>
      <c r="AI8" s="1689"/>
      <c r="AJ8" s="1689"/>
      <c r="AV8" s="77"/>
      <c r="AW8" s="78"/>
    </row>
    <row r="9" spans="1:49" s="76" customFormat="1" ht="19.5">
      <c r="N9" s="1678" t="s">
        <v>987</v>
      </c>
      <c r="O9" s="1678"/>
      <c r="P9" s="1678"/>
      <c r="Q9" s="1678"/>
      <c r="R9" s="1678"/>
      <c r="S9" s="1689" t="str">
        <f>表紙!L8</f>
        <v/>
      </c>
      <c r="T9" s="1689"/>
      <c r="U9" s="1689"/>
      <c r="V9" s="1689"/>
      <c r="W9" s="1689"/>
      <c r="X9" s="1689"/>
      <c r="Y9" s="1689"/>
      <c r="Z9" s="1689"/>
      <c r="AA9" s="1689"/>
      <c r="AB9" s="1689"/>
      <c r="AC9" s="1689"/>
      <c r="AD9" s="1689"/>
      <c r="AE9" s="1689"/>
      <c r="AF9" s="1689"/>
      <c r="AG9" s="1689"/>
      <c r="AH9" s="1689"/>
      <c r="AI9" s="1689"/>
      <c r="AJ9" s="1689"/>
      <c r="AV9" s="77"/>
      <c r="AW9" s="78"/>
    </row>
    <row r="10" spans="1:49" s="76" customFormat="1" ht="19.5">
      <c r="N10" s="1678"/>
      <c r="O10" s="1678"/>
      <c r="P10" s="1678"/>
      <c r="Q10" s="1678"/>
      <c r="R10" s="1678"/>
      <c r="S10" s="1689"/>
      <c r="T10" s="1689"/>
      <c r="U10" s="1689"/>
      <c r="V10" s="1689"/>
      <c r="W10" s="1689"/>
      <c r="X10" s="1689"/>
      <c r="Y10" s="1689"/>
      <c r="Z10" s="1689"/>
      <c r="AA10" s="1689"/>
      <c r="AB10" s="1689"/>
      <c r="AC10" s="1689"/>
      <c r="AD10" s="1689"/>
      <c r="AE10" s="1689"/>
      <c r="AF10" s="1689"/>
      <c r="AG10" s="1689"/>
      <c r="AH10" s="1689"/>
      <c r="AI10" s="1689"/>
      <c r="AJ10" s="1689"/>
      <c r="AV10" s="77"/>
      <c r="AW10" s="78"/>
    </row>
    <row r="11" spans="1:49" s="76" customFormat="1" ht="19.5">
      <c r="N11" s="1678" t="s">
        <v>988</v>
      </c>
      <c r="O11" s="1678"/>
      <c r="P11" s="1678"/>
      <c r="Q11" s="1678"/>
      <c r="R11" s="1678"/>
      <c r="S11" s="1679" t="str">
        <f>表紙!L10</f>
        <v/>
      </c>
      <c r="T11" s="1680"/>
      <c r="U11" s="1680"/>
      <c r="V11" s="1680"/>
      <c r="W11" s="1680"/>
      <c r="X11" s="1681"/>
      <c r="Y11" s="1681"/>
      <c r="Z11" s="1681"/>
      <c r="AA11" s="1681"/>
      <c r="AB11" s="1681"/>
      <c r="AC11" s="1681"/>
      <c r="AD11" s="1681"/>
      <c r="AE11" s="1681"/>
      <c r="AF11" s="1681"/>
      <c r="AG11" s="1681"/>
      <c r="AH11" s="1681"/>
      <c r="AI11" s="1681"/>
      <c r="AJ11" s="1682"/>
      <c r="AV11" s="77"/>
      <c r="AW11" s="78"/>
    </row>
    <row r="12" spans="1:49" s="76" customFormat="1" ht="19.5">
      <c r="N12" s="1678"/>
      <c r="O12" s="1678"/>
      <c r="P12" s="1678"/>
      <c r="Q12" s="1678"/>
      <c r="R12" s="1678"/>
      <c r="S12" s="1683"/>
      <c r="T12" s="1684"/>
      <c r="U12" s="1684"/>
      <c r="V12" s="1684"/>
      <c r="W12" s="1684"/>
      <c r="X12" s="1685"/>
      <c r="Y12" s="1685"/>
      <c r="Z12" s="1685"/>
      <c r="AA12" s="1685"/>
      <c r="AB12" s="1685"/>
      <c r="AC12" s="1685"/>
      <c r="AD12" s="1685"/>
      <c r="AE12" s="1685"/>
      <c r="AF12" s="1685"/>
      <c r="AG12" s="1685"/>
      <c r="AH12" s="1685"/>
      <c r="AI12" s="1685"/>
      <c r="AJ12" s="1686"/>
      <c r="AV12" s="77"/>
      <c r="AW12" s="78"/>
    </row>
    <row r="13" spans="1:49" s="76" customFormat="1" ht="19.5">
      <c r="N13" s="1678" t="s">
        <v>630</v>
      </c>
      <c r="O13" s="1678"/>
      <c r="P13" s="1678"/>
      <c r="Q13" s="1678"/>
      <c r="R13" s="1678"/>
      <c r="S13" s="1693" t="s">
        <v>631</v>
      </c>
      <c r="T13" s="1693"/>
      <c r="U13" s="1693"/>
      <c r="V13" s="1693"/>
      <c r="W13" s="1694" t="str">
        <f>表紙!L44</f>
        <v/>
      </c>
      <c r="X13" s="1694"/>
      <c r="Y13" s="1694"/>
      <c r="Z13" s="1694"/>
      <c r="AA13" s="1694"/>
      <c r="AB13" s="1694"/>
      <c r="AC13" s="1694"/>
      <c r="AD13" s="1694"/>
      <c r="AE13" s="1694"/>
      <c r="AF13" s="1694"/>
      <c r="AG13" s="1694"/>
      <c r="AH13" s="1694"/>
      <c r="AI13" s="1694"/>
      <c r="AJ13" s="1694"/>
      <c r="AV13" s="77"/>
      <c r="AW13" s="78"/>
    </row>
    <row r="14" spans="1:49" s="76" customFormat="1" ht="19.5">
      <c r="N14" s="1678"/>
      <c r="O14" s="1678"/>
      <c r="P14" s="1678"/>
      <c r="Q14" s="1678"/>
      <c r="R14" s="1678"/>
      <c r="S14" s="1693"/>
      <c r="T14" s="1693"/>
      <c r="U14" s="1693"/>
      <c r="V14" s="1693"/>
      <c r="W14" s="1694"/>
      <c r="X14" s="1694"/>
      <c r="Y14" s="1694"/>
      <c r="Z14" s="1694"/>
      <c r="AA14" s="1694"/>
      <c r="AB14" s="1694"/>
      <c r="AC14" s="1694"/>
      <c r="AD14" s="1694"/>
      <c r="AE14" s="1694"/>
      <c r="AF14" s="1694"/>
      <c r="AG14" s="1694"/>
      <c r="AH14" s="1694"/>
      <c r="AI14" s="1694"/>
      <c r="AJ14" s="1694"/>
      <c r="AV14" s="77"/>
      <c r="AW14" s="78"/>
    </row>
    <row r="15" spans="1:49" s="76" customFormat="1" ht="19.5">
      <c r="N15" s="1678"/>
      <c r="O15" s="1678"/>
      <c r="P15" s="1678"/>
      <c r="Q15" s="1678"/>
      <c r="R15" s="1678"/>
      <c r="S15" s="1693" t="s">
        <v>632</v>
      </c>
      <c r="T15" s="1693"/>
      <c r="U15" s="1693"/>
      <c r="V15" s="1693"/>
      <c r="W15" s="1694" t="str">
        <f>表紙!L45</f>
        <v/>
      </c>
      <c r="X15" s="1694"/>
      <c r="Y15" s="1694"/>
      <c r="Z15" s="1694"/>
      <c r="AA15" s="1694"/>
      <c r="AB15" s="1694"/>
      <c r="AC15" s="1694"/>
      <c r="AD15" s="1694"/>
      <c r="AE15" s="1694"/>
      <c r="AF15" s="1694"/>
      <c r="AG15" s="1694"/>
      <c r="AH15" s="1694"/>
      <c r="AI15" s="1694"/>
      <c r="AJ15" s="1694"/>
      <c r="AV15" s="77"/>
      <c r="AW15" s="78"/>
    </row>
    <row r="16" spans="1:49" s="76" customFormat="1" ht="19.5">
      <c r="N16" s="1678"/>
      <c r="O16" s="1678"/>
      <c r="P16" s="1678"/>
      <c r="Q16" s="1678"/>
      <c r="R16" s="1678"/>
      <c r="S16" s="1693"/>
      <c r="T16" s="1693"/>
      <c r="U16" s="1693"/>
      <c r="V16" s="1693"/>
      <c r="W16" s="1694"/>
      <c r="X16" s="1694"/>
      <c r="Y16" s="1694"/>
      <c r="Z16" s="1694"/>
      <c r="AA16" s="1694"/>
      <c r="AB16" s="1694"/>
      <c r="AC16" s="1694"/>
      <c r="AD16" s="1694"/>
      <c r="AE16" s="1694"/>
      <c r="AF16" s="1694"/>
      <c r="AG16" s="1694"/>
      <c r="AH16" s="1694"/>
      <c r="AI16" s="1694"/>
      <c r="AJ16" s="1694"/>
      <c r="AV16" s="77"/>
      <c r="AW16" s="78"/>
    </row>
    <row r="17" spans="1:52" s="76" customFormat="1" ht="19.5">
      <c r="N17" s="1678"/>
      <c r="O17" s="1678"/>
      <c r="P17" s="1678"/>
      <c r="Q17" s="1678"/>
      <c r="R17" s="1678"/>
      <c r="S17" s="1693" t="s">
        <v>633</v>
      </c>
      <c r="T17" s="1693"/>
      <c r="U17" s="1693"/>
      <c r="V17" s="1693"/>
      <c r="W17" s="1695" t="str">
        <f>表紙!L46</f>
        <v/>
      </c>
      <c r="X17" s="1694"/>
      <c r="Y17" s="1694"/>
      <c r="Z17" s="1694"/>
      <c r="AA17" s="1694"/>
      <c r="AB17" s="1694"/>
      <c r="AC17" s="1694"/>
      <c r="AD17" s="1694"/>
      <c r="AE17" s="1694"/>
      <c r="AF17" s="1694"/>
      <c r="AG17" s="1694"/>
      <c r="AH17" s="1694"/>
      <c r="AI17" s="1694"/>
      <c r="AJ17" s="1694"/>
      <c r="AV17" s="77"/>
      <c r="AW17" s="78"/>
    </row>
    <row r="18" spans="1:52" s="76" customFormat="1" ht="19.5">
      <c r="N18" s="1678"/>
      <c r="O18" s="1678"/>
      <c r="P18" s="1678"/>
      <c r="Q18" s="1678"/>
      <c r="R18" s="1678"/>
      <c r="S18" s="1693"/>
      <c r="T18" s="1693"/>
      <c r="U18" s="1693"/>
      <c r="V18" s="1693"/>
      <c r="W18" s="1694"/>
      <c r="X18" s="1694"/>
      <c r="Y18" s="1694"/>
      <c r="Z18" s="1694"/>
      <c r="AA18" s="1694"/>
      <c r="AB18" s="1694"/>
      <c r="AC18" s="1694"/>
      <c r="AD18" s="1694"/>
      <c r="AE18" s="1694"/>
      <c r="AF18" s="1694"/>
      <c r="AG18" s="1694"/>
      <c r="AH18" s="1694"/>
      <c r="AI18" s="1694"/>
      <c r="AJ18" s="1694"/>
      <c r="AV18" s="77"/>
      <c r="AW18" s="78"/>
    </row>
    <row r="19" spans="1:52" s="76" customFormat="1" ht="19.5">
      <c r="AV19" s="77"/>
      <c r="AW19" s="78"/>
    </row>
    <row r="20" spans="1:52" s="76" customFormat="1" ht="24">
      <c r="A20" s="1696" t="str">
        <f>"　標記の補助金交付申請（申請額："&amp;IF(表紙!G20="金　　　　　　　　　円","金　　　　　　　　　　",TEXT(表紙!G20,"###,0"))&amp;"円）に係る振込先口座情報及び当該口座の通帳写しについては"</f>
        <v>　標記の補助金交付申請（申請額：金　　　　　　　　　　円）に係る振込先口座情報及び当該口座の通帳写しについては</v>
      </c>
      <c r="B20" s="1697"/>
      <c r="C20" s="1697"/>
      <c r="D20" s="1697"/>
      <c r="E20" s="1697"/>
      <c r="F20" s="1697"/>
      <c r="G20" s="1697"/>
      <c r="H20" s="1698"/>
      <c r="I20" s="1698"/>
      <c r="J20" s="1698"/>
      <c r="K20" s="1698"/>
      <c r="L20" s="1698"/>
      <c r="M20" s="1698"/>
      <c r="N20" s="1698"/>
      <c r="O20" s="1698"/>
      <c r="P20" s="1698"/>
      <c r="Q20" s="1698"/>
      <c r="R20" s="1698"/>
      <c r="S20" s="1698"/>
      <c r="T20" s="1698"/>
      <c r="U20" s="1698"/>
      <c r="V20" s="1698"/>
      <c r="W20" s="1698"/>
      <c r="X20" s="1698"/>
      <c r="Y20" s="1698"/>
      <c r="Z20" s="1698"/>
      <c r="AA20" s="1698"/>
      <c r="AB20" s="1698"/>
      <c r="AC20" s="1698"/>
      <c r="AD20" s="1698"/>
      <c r="AE20" s="1698"/>
      <c r="AF20" s="1698"/>
      <c r="AG20" s="1698"/>
      <c r="AH20" s="1698"/>
      <c r="AI20" s="1698"/>
      <c r="AJ20" s="1698"/>
      <c r="AV20" s="77"/>
      <c r="AW20" s="78"/>
    </row>
    <row r="21" spans="1:52" s="76" customFormat="1" ht="24">
      <c r="A21" s="79" t="s">
        <v>634</v>
      </c>
      <c r="B21" s="79"/>
      <c r="C21" s="79"/>
      <c r="D21" s="79"/>
      <c r="E21" s="79"/>
      <c r="F21" s="79"/>
      <c r="G21" s="79"/>
      <c r="H21" s="79"/>
      <c r="I21" s="79"/>
      <c r="J21" s="79"/>
      <c r="K21" s="79"/>
      <c r="L21" s="79"/>
      <c r="M21" s="79"/>
      <c r="N21" s="79"/>
      <c r="O21" s="79"/>
      <c r="P21" s="79"/>
      <c r="Q21" s="79"/>
      <c r="R21" s="79"/>
      <c r="S21" s="79"/>
      <c r="T21" s="79"/>
      <c r="U21" s="79"/>
      <c r="V21" s="79"/>
      <c r="W21" s="79"/>
      <c r="X21" s="79"/>
      <c r="Y21" s="79"/>
      <c r="Z21" s="79"/>
      <c r="AA21" s="79"/>
      <c r="AB21" s="79"/>
      <c r="AC21" s="79"/>
      <c r="AD21" s="79"/>
      <c r="AE21" s="79"/>
      <c r="AF21" s="79"/>
      <c r="AG21" s="79"/>
      <c r="AH21" s="79"/>
      <c r="AI21" s="79"/>
      <c r="AJ21" s="79"/>
      <c r="AV21" s="77"/>
      <c r="AW21" s="78"/>
    </row>
    <row r="22" spans="1:52" s="76" customFormat="1" ht="19.5">
      <c r="AV22" s="80" t="str">
        <f>IF(COUNTIF(AV23:AV31,"○")=8,"○","×")</f>
        <v>×</v>
      </c>
      <c r="AW22" s="1676" t="str">
        <f>IF(COUNTIF(AV23:AV31,"×")&gt;=1,"【総合判定】入力が不十分な箇所があります。以下の赤着色の箇所を御確認ください。","【総合判定】全ての情報が正しく入力されました。")</f>
        <v>【総合判定】入力が不十分な箇所があります。以下の赤着色の箇所を御確認ください。</v>
      </c>
      <c r="AX22" s="1677"/>
    </row>
    <row r="23" spans="1:52" s="76" customFormat="1" ht="24">
      <c r="A23" s="1720" t="s">
        <v>635</v>
      </c>
      <c r="B23" s="1699" t="s">
        <v>636</v>
      </c>
      <c r="C23" s="1700"/>
      <c r="D23" s="1700"/>
      <c r="E23" s="1700"/>
      <c r="F23" s="1701"/>
      <c r="G23" s="88" t="str">
        <f>IF(はじめに入力してください!H19="","",はじめに入力してください!H19)</f>
        <v/>
      </c>
      <c r="H23" s="89" t="str">
        <f>IF(はじめに入力してください!I19="","",はじめに入力してください!I19)</f>
        <v/>
      </c>
      <c r="I23" s="89" t="str">
        <f>IF(はじめに入力してください!J19="","",はじめに入力してください!J19)</f>
        <v/>
      </c>
      <c r="J23" s="90" t="str">
        <f>IF(はじめに入力してください!K19="","",はじめに入力してください!K19)</f>
        <v/>
      </c>
      <c r="K23" s="1702" t="s">
        <v>637</v>
      </c>
      <c r="L23" s="1703"/>
      <c r="M23" s="1703"/>
      <c r="N23" s="1703"/>
      <c r="O23" s="1703"/>
      <c r="P23" s="1703"/>
      <c r="Q23" s="1703"/>
      <c r="R23" s="1703"/>
      <c r="S23" s="1703"/>
      <c r="T23" s="1703"/>
      <c r="U23" s="1703"/>
      <c r="V23" s="1703"/>
      <c r="W23" s="1703"/>
      <c r="X23" s="1703"/>
      <c r="Y23" s="1703"/>
      <c r="Z23" s="1703"/>
      <c r="AA23" s="1703"/>
      <c r="AB23" s="1703"/>
      <c r="AC23" s="1703"/>
      <c r="AD23" s="1703"/>
      <c r="AE23" s="1703"/>
      <c r="AF23" s="1703"/>
      <c r="AG23" s="1703"/>
      <c r="AH23" s="1703"/>
      <c r="AI23" s="1703"/>
      <c r="AJ23" s="1703"/>
      <c r="AV23" s="81" t="str">
        <f>IF(COUNTA(G23:J23)=4,"○","×")</f>
        <v>○</v>
      </c>
      <c r="AW23" s="1676" t="str">
        <f>IF(AV23="×","【金融機関コード】４桁の番号が未入力又は正しく入力されていません。","４桁の金融機関コードが正しく入力されました。")</f>
        <v>４桁の金融機関コードが正しく入力されました。</v>
      </c>
      <c r="AX23" s="1677"/>
      <c r="AY23" s="76" t="str">
        <f>IF(AV23="×","４桁の金融機関コードが未入力又は正しく入力されていません。/","")</f>
        <v/>
      </c>
    </row>
    <row r="24" spans="1:52" s="76" customFormat="1" ht="24">
      <c r="A24" s="1721"/>
      <c r="B24" s="1730" t="s">
        <v>638</v>
      </c>
      <c r="C24" s="1694"/>
      <c r="D24" s="1694"/>
      <c r="E24" s="1694"/>
      <c r="F24" s="1694"/>
      <c r="G24" s="88" t="str">
        <f>IF(はじめに入力してください!H21="","",はじめに入力してください!H21)</f>
        <v/>
      </c>
      <c r="H24" s="89" t="str">
        <f>IF(はじめに入力してください!I21="","",はじめに入力してください!I21)</f>
        <v/>
      </c>
      <c r="I24" s="90" t="str">
        <f>IF(はじめに入力してください!J21="","",はじめに入力してください!J21)</f>
        <v/>
      </c>
      <c r="J24" s="87"/>
      <c r="K24" s="1703" t="s">
        <v>639</v>
      </c>
      <c r="L24" s="1729"/>
      <c r="M24" s="1729"/>
      <c r="N24" s="1729"/>
      <c r="O24" s="1729"/>
      <c r="P24" s="1729"/>
      <c r="Q24" s="1729"/>
      <c r="R24" s="1729"/>
      <c r="S24" s="1729"/>
      <c r="T24" s="1729"/>
      <c r="U24" s="1729"/>
      <c r="V24" s="1729"/>
      <c r="W24" s="1729"/>
      <c r="X24" s="1729"/>
      <c r="Y24" s="1729"/>
      <c r="Z24" s="1729"/>
      <c r="AA24" s="1729"/>
      <c r="AB24" s="1729"/>
      <c r="AC24" s="1729"/>
      <c r="AD24" s="1729"/>
      <c r="AE24" s="1729"/>
      <c r="AF24" s="1729"/>
      <c r="AG24" s="1729"/>
      <c r="AH24" s="1729"/>
      <c r="AI24" s="1729"/>
      <c r="AJ24" s="1729"/>
      <c r="AV24" s="81" t="str">
        <f>IF(COUNTA(G24:I24)=3,"○","×")</f>
        <v>○</v>
      </c>
      <c r="AW24" s="1676" t="str">
        <f>IF(AV24="×","【支店番号】３桁の番号が未入力又は正しく入力されていません。","３桁の支店番号が正しく入力されました。")</f>
        <v>３桁の支店番号が正しく入力されました。</v>
      </c>
      <c r="AX24" s="1677"/>
      <c r="AY24" s="76" t="str">
        <f>IF(AV24="×","３桁の支店番号が未入力又は正しく入力されていません。/","")</f>
        <v/>
      </c>
    </row>
    <row r="25" spans="1:52" s="76" customFormat="1" ht="24">
      <c r="A25" s="1721"/>
      <c r="B25" s="1690" t="s">
        <v>640</v>
      </c>
      <c r="C25" s="1691"/>
      <c r="D25" s="1691"/>
      <c r="E25" s="1691"/>
      <c r="F25" s="1692"/>
      <c r="G25" s="1725" t="str">
        <f>IF(はじめに入力してください!H20="","",はじめに入力してください!H20)</f>
        <v/>
      </c>
      <c r="H25" s="1726"/>
      <c r="I25" s="1726"/>
      <c r="J25" s="1726"/>
      <c r="K25" s="1726"/>
      <c r="L25" s="1726"/>
      <c r="M25" s="1727"/>
      <c r="N25" s="1728" t="s">
        <v>641</v>
      </c>
      <c r="O25" s="1729"/>
      <c r="P25" s="1729"/>
      <c r="Q25" s="1729"/>
      <c r="R25" s="1729"/>
      <c r="S25" s="1729"/>
      <c r="T25" s="1729"/>
      <c r="U25" s="1729"/>
      <c r="V25" s="1729"/>
      <c r="W25" s="1729"/>
      <c r="X25" s="1729"/>
      <c r="Y25" s="1729"/>
      <c r="Z25" s="1729"/>
      <c r="AA25" s="1729"/>
      <c r="AB25" s="1729"/>
      <c r="AC25" s="1729"/>
      <c r="AD25" s="1729"/>
      <c r="AE25" s="1729"/>
      <c r="AF25" s="1729"/>
      <c r="AG25" s="1729"/>
      <c r="AH25" s="1729"/>
      <c r="AI25" s="1729"/>
      <c r="AJ25" s="1729"/>
      <c r="AV25" s="81" t="str">
        <f>IF(COUNTA(G25)=1,"○","×")</f>
        <v>○</v>
      </c>
      <c r="AW25" s="1676" t="str">
        <f>IF(AV25="×","【金融機関名】名称が未入力です","金融機関の名称が正しく入力されました。")</f>
        <v>金融機関の名称が正しく入力されました。</v>
      </c>
      <c r="AX25" s="1677"/>
      <c r="AY25" s="76" t="str">
        <f>IF(AV25="×","金融機関名が未入力です。/","")</f>
        <v/>
      </c>
    </row>
    <row r="26" spans="1:52" s="76" customFormat="1" ht="24">
      <c r="A26" s="1721"/>
      <c r="B26" s="1690" t="s">
        <v>642</v>
      </c>
      <c r="C26" s="1691"/>
      <c r="D26" s="1691"/>
      <c r="E26" s="1691"/>
      <c r="F26" s="1692"/>
      <c r="G26" s="1728" t="str">
        <f>IF(はじめに入力してください!H22="","",はじめに入力してください!H22)</f>
        <v/>
      </c>
      <c r="H26" s="1702"/>
      <c r="I26" s="1702"/>
      <c r="J26" s="1702"/>
      <c r="K26" s="1702"/>
      <c r="L26" s="1702"/>
      <c r="M26" s="1733"/>
      <c r="N26" s="1702" t="s">
        <v>643</v>
      </c>
      <c r="O26" s="1703"/>
      <c r="P26" s="1703"/>
      <c r="Q26" s="1703"/>
      <c r="R26" s="1703"/>
      <c r="S26" s="1703"/>
      <c r="T26" s="1703"/>
      <c r="U26" s="1703"/>
      <c r="V26" s="1703"/>
      <c r="W26" s="1703"/>
      <c r="X26" s="1703"/>
      <c r="Y26" s="1703"/>
      <c r="Z26" s="1703"/>
      <c r="AA26" s="1703"/>
      <c r="AB26" s="1703"/>
      <c r="AC26" s="1703"/>
      <c r="AD26" s="1703"/>
      <c r="AE26" s="1703"/>
      <c r="AF26" s="1703"/>
      <c r="AG26" s="1703"/>
      <c r="AH26" s="1703"/>
      <c r="AI26" s="1703"/>
      <c r="AJ26" s="1703"/>
      <c r="AV26" s="81" t="str">
        <f>IF(COUNTA(G26)=1,"○","×")</f>
        <v>○</v>
      </c>
      <c r="AW26" s="1676" t="str">
        <f>IF(AV26="×","【支店名】金融機関の支店名称が未入力です","金融機関の支店名称が正しく入力されました。")</f>
        <v>金融機関の支店名称が正しく入力されました。</v>
      </c>
      <c r="AX26" s="1677"/>
      <c r="AY26" s="76" t="str">
        <f>IF(AV26="×","金融機関の支店名称が未入力です。/","")</f>
        <v/>
      </c>
    </row>
    <row r="27" spans="1:52" s="76" customFormat="1" ht="24" hidden="1" customHeight="1">
      <c r="A27" s="1721"/>
      <c r="B27" s="1704"/>
      <c r="C27" s="1703"/>
      <c r="D27" s="1703"/>
      <c r="E27" s="1703"/>
      <c r="F27" s="1703"/>
      <c r="G27" s="1703"/>
      <c r="H27" s="1703"/>
      <c r="I27" s="1703"/>
      <c r="J27" s="1703"/>
      <c r="K27" s="1703"/>
      <c r="L27" s="1703"/>
      <c r="M27" s="1703"/>
      <c r="N27" s="1703"/>
      <c r="O27" s="1703"/>
      <c r="P27" s="1703"/>
      <c r="Q27" s="1703"/>
      <c r="R27" s="1703"/>
      <c r="S27" s="1703"/>
      <c r="T27" s="1703"/>
      <c r="U27" s="1703"/>
      <c r="V27" s="1703"/>
      <c r="W27" s="1703"/>
      <c r="X27" s="1703"/>
      <c r="Y27" s="1703"/>
      <c r="Z27" s="1703"/>
      <c r="AA27" s="1703"/>
      <c r="AB27" s="1703"/>
      <c r="AC27" s="1703"/>
      <c r="AD27" s="1703"/>
      <c r="AE27" s="1703"/>
      <c r="AF27" s="1703"/>
      <c r="AG27" s="1703"/>
      <c r="AH27" s="1703"/>
      <c r="AI27" s="1703"/>
      <c r="AJ27" s="1703"/>
      <c r="AV27" s="81"/>
      <c r="AW27" s="82"/>
      <c r="AX27" s="83"/>
    </row>
    <row r="28" spans="1:52" s="76" customFormat="1" ht="24">
      <c r="A28" s="1721"/>
      <c r="B28" s="1690" t="s">
        <v>644</v>
      </c>
      <c r="C28" s="1691"/>
      <c r="D28" s="1691"/>
      <c r="E28" s="1691"/>
      <c r="F28" s="1691"/>
      <c r="G28" s="1705" t="str">
        <f>IF(はじめに入力してください!H23="","",はじめに入力してください!H23)</f>
        <v/>
      </c>
      <c r="H28" s="1692"/>
      <c r="I28" s="1706" t="s">
        <v>645</v>
      </c>
      <c r="J28" s="1703"/>
      <c r="K28" s="1703"/>
      <c r="L28" s="1703"/>
      <c r="M28" s="1703"/>
      <c r="N28" s="1703"/>
      <c r="O28" s="1703"/>
      <c r="P28" s="1703"/>
      <c r="Q28" s="1703"/>
      <c r="R28" s="1703"/>
      <c r="S28" s="1703"/>
      <c r="T28" s="1703"/>
      <c r="U28" s="1703"/>
      <c r="V28" s="1703"/>
      <c r="W28" s="1703"/>
      <c r="X28" s="1703"/>
      <c r="Y28" s="1703"/>
      <c r="Z28" s="1703"/>
      <c r="AA28" s="1703"/>
      <c r="AB28" s="1703"/>
      <c r="AC28" s="1703"/>
      <c r="AD28" s="1703"/>
      <c r="AE28" s="1703"/>
      <c r="AF28" s="1703"/>
      <c r="AG28" s="1703"/>
      <c r="AH28" s="1703"/>
      <c r="AI28" s="1703"/>
      <c r="AJ28" s="1703"/>
      <c r="AV28" s="81" t="str">
        <f>IF(COUNTA(G28)=1,"○","×")</f>
        <v>○</v>
      </c>
      <c r="AW28" s="1676" t="str">
        <f>IF(AV28="×","【預金種別】預金種別の番号が未入力です","預金種別の番号が正しく入力されました。")</f>
        <v>預金種別の番号が正しく入力されました。</v>
      </c>
      <c r="AX28" s="1677"/>
      <c r="AY28" s="76" t="str">
        <f>IF(AV28="×","預金種別の番号が未入力です。/","")</f>
        <v/>
      </c>
    </row>
    <row r="29" spans="1:52" s="76" customFormat="1" ht="24">
      <c r="A29" s="1721"/>
      <c r="B29" s="1690" t="s">
        <v>646</v>
      </c>
      <c r="C29" s="1691"/>
      <c r="D29" s="1691"/>
      <c r="E29" s="1691"/>
      <c r="F29" s="1691"/>
      <c r="G29" s="91" t="str">
        <f>IF(はじめに入力してください!H24="","",はじめに入力してください!H24)</f>
        <v/>
      </c>
      <c r="H29" s="92" t="str">
        <f>IF(はじめに入力してください!I24="","",はじめに入力してください!I24)</f>
        <v/>
      </c>
      <c r="I29" s="92" t="str">
        <f>IF(はじめに入力してください!J24="","",はじめに入力してください!J24)</f>
        <v/>
      </c>
      <c r="J29" s="92" t="str">
        <f>IF(はじめに入力してください!K24="","",はじめに入力してください!K24)</f>
        <v/>
      </c>
      <c r="K29" s="92" t="str">
        <f>IF(はじめに入力してください!L24="","",はじめに入力してください!L24)</f>
        <v/>
      </c>
      <c r="L29" s="92" t="str">
        <f>IF(はじめに入力してください!M24="","",はじめに入力してください!M24)</f>
        <v/>
      </c>
      <c r="M29" s="93" t="str">
        <f>IF(はじめに入力してください!N24="","",はじめに入力してください!N24)</f>
        <v/>
      </c>
      <c r="N29" s="1707" t="s">
        <v>647</v>
      </c>
      <c r="O29" s="1708"/>
      <c r="P29" s="1708"/>
      <c r="Q29" s="1708"/>
      <c r="R29" s="1708"/>
      <c r="S29" s="1708"/>
      <c r="T29" s="1708"/>
      <c r="U29" s="1708"/>
      <c r="V29" s="1708"/>
      <c r="W29" s="1708"/>
      <c r="X29" s="1708"/>
      <c r="Y29" s="1708"/>
      <c r="Z29" s="1708"/>
      <c r="AA29" s="1708"/>
      <c r="AB29" s="1708"/>
      <c r="AC29" s="1708"/>
      <c r="AD29" s="1708"/>
      <c r="AE29" s="1708"/>
      <c r="AF29" s="1708"/>
      <c r="AG29" s="1708"/>
      <c r="AH29" s="1708"/>
      <c r="AI29" s="1708"/>
      <c r="AJ29" s="1708"/>
      <c r="AV29" s="81" t="str">
        <f>IF(COUNTA(G29:M29)=7,"○","×")</f>
        <v>○</v>
      </c>
      <c r="AW29" s="1676" t="str">
        <f>IF(AV29="×","【口座番号】７桁の口座番号が未入力又は正しく入力されていません。","７桁の口座番号が正しく入力されました。")</f>
        <v>７桁の口座番号が正しく入力されました。</v>
      </c>
      <c r="AX29" s="1677"/>
      <c r="AY29" s="76" t="str">
        <f>IF(AV29="×","７桁の口座番号が未入力又は正しく入力されていません。/","")</f>
        <v/>
      </c>
    </row>
    <row r="30" spans="1:52" s="76" customFormat="1" ht="24.75" customHeight="1">
      <c r="A30" s="1722"/>
      <c r="B30" s="1700" t="s">
        <v>648</v>
      </c>
      <c r="C30" s="1700"/>
      <c r="D30" s="1700"/>
      <c r="E30" s="1700"/>
      <c r="F30" s="1701"/>
      <c r="G30" s="1723" t="str">
        <f>IF(はじめに入力してください!H25="","",はじめに入力してください!H25)</f>
        <v/>
      </c>
      <c r="H30" s="1724"/>
      <c r="I30" s="1724"/>
      <c r="J30" s="1724"/>
      <c r="K30" s="1724"/>
      <c r="L30" s="1724"/>
      <c r="M30" s="1724"/>
      <c r="N30" s="1724"/>
      <c r="O30" s="1724"/>
      <c r="P30" s="1724"/>
      <c r="Q30" s="1724"/>
      <c r="R30" s="1724"/>
      <c r="S30" s="1724"/>
      <c r="T30" s="1724"/>
      <c r="U30" s="1724"/>
      <c r="V30" s="1724"/>
      <c r="W30" s="1724"/>
      <c r="X30" s="1724"/>
      <c r="Y30" s="1724"/>
      <c r="Z30" s="1724"/>
      <c r="AA30" s="1724"/>
      <c r="AB30" s="1724"/>
      <c r="AC30" s="1724"/>
      <c r="AD30" s="1724"/>
      <c r="AE30" s="1724"/>
      <c r="AF30" s="1724"/>
      <c r="AG30" s="1724"/>
      <c r="AH30" s="1724"/>
      <c r="AI30" s="1724"/>
      <c r="AJ30" s="1724"/>
      <c r="AV30" s="81" t="str">
        <f>IF(COUNTA(G30:AJ30)&gt;=1,"○","×")</f>
        <v>○</v>
      </c>
      <c r="AW30" s="1676" t="str">
        <f>IF(AV30="×","【口座名義（ｶﾅ）】口座のｶﾅ名義が未入力です。","口座のｶﾅ名義がが正しく入力されました。")</f>
        <v>口座のｶﾅ名義がが正しく入力されました。</v>
      </c>
      <c r="AX30" s="1677"/>
      <c r="AY30" s="76" t="str">
        <f>IF(AV30="×","口座のｶﾅ名義が未入力です。/","")</f>
        <v/>
      </c>
    </row>
    <row r="31" spans="1:52" s="76" customFormat="1" ht="24.75" hidden="1" customHeight="1">
      <c r="A31" s="86"/>
      <c r="B31" s="1700" t="s">
        <v>649</v>
      </c>
      <c r="C31" s="1700"/>
      <c r="D31" s="1700"/>
      <c r="E31" s="1700"/>
      <c r="F31" s="1701"/>
      <c r="G31" s="1731"/>
      <c r="H31" s="1732"/>
      <c r="I31" s="1732"/>
      <c r="J31" s="1732"/>
      <c r="K31" s="1732"/>
      <c r="L31" s="1732"/>
      <c r="M31" s="1732"/>
      <c r="N31" s="1732"/>
      <c r="O31" s="1732"/>
      <c r="P31" s="1732"/>
      <c r="Q31" s="1732"/>
      <c r="R31" s="1732"/>
      <c r="S31" s="1732"/>
      <c r="T31" s="1732"/>
      <c r="U31" s="1732"/>
      <c r="V31" s="1732"/>
      <c r="W31" s="1732"/>
      <c r="X31" s="1732"/>
      <c r="Y31" s="1732"/>
      <c r="Z31" s="1732"/>
      <c r="AA31" s="1732"/>
      <c r="AB31" s="1732"/>
      <c r="AC31" s="1732"/>
      <c r="AD31" s="1732"/>
      <c r="AE31" s="1732"/>
      <c r="AF31" s="1732"/>
      <c r="AG31" s="1732"/>
      <c r="AH31" s="1732"/>
      <c r="AI31" s="1732"/>
      <c r="AJ31" s="1732"/>
      <c r="AV31" s="81" t="str">
        <f>IF(COUNTA(G31:AJ31)&gt;=1,"○","×")</f>
        <v>×</v>
      </c>
      <c r="AW31" s="1676" t="str">
        <f>IF(AV31="×","【口座名義】口座の名義が未入力です。","口座の名義がが正しく入力されました。")</f>
        <v>【口座名義】口座の名義が未入力です。</v>
      </c>
      <c r="AX31" s="1677"/>
      <c r="AY31" s="76" t="str">
        <f>IF(AV31="×","口座の名義が未入力です。/","")</f>
        <v>口座の名義が未入力です。/</v>
      </c>
    </row>
    <row r="32" spans="1:52" s="76" customFormat="1" ht="24">
      <c r="A32" s="1709"/>
      <c r="B32" s="1710"/>
      <c r="C32" s="1710"/>
      <c r="D32" s="1710"/>
      <c r="E32" s="1710"/>
      <c r="F32" s="1710"/>
      <c r="G32" s="1710"/>
      <c r="H32" s="1710"/>
      <c r="I32" s="1710"/>
      <c r="J32" s="1710"/>
      <c r="K32" s="1710"/>
      <c r="L32" s="1710"/>
      <c r="M32" s="1710"/>
      <c r="N32" s="1710"/>
      <c r="O32" s="1710"/>
      <c r="P32" s="1710"/>
      <c r="Q32" s="1710"/>
      <c r="R32" s="1710"/>
      <c r="S32" s="1710"/>
      <c r="T32" s="1710"/>
      <c r="U32" s="1710"/>
      <c r="V32" s="1710"/>
      <c r="W32" s="1710"/>
      <c r="X32" s="1710"/>
      <c r="Y32" s="1710"/>
      <c r="Z32" s="1710"/>
      <c r="AA32" s="1710"/>
      <c r="AB32" s="1710"/>
      <c r="AC32" s="1710"/>
      <c r="AD32" s="1710"/>
      <c r="AE32" s="1710"/>
      <c r="AF32" s="1710"/>
      <c r="AG32" s="1710"/>
      <c r="AH32" s="1710"/>
      <c r="AI32" s="1710"/>
      <c r="AJ32" s="1710"/>
      <c r="AV32" s="77"/>
      <c r="AW32" s="78"/>
      <c r="AY32" s="84" t="str">
        <f>AY23&amp;AY24&amp;AY25&amp;AY26&amp;AY28&amp;AY29&amp;AY30&amp;AY31</f>
        <v>口座の名義が未入力です。/</v>
      </c>
      <c r="AZ32" s="76" t="s">
        <v>650</v>
      </c>
    </row>
    <row r="33" spans="2:49" s="76" customFormat="1" ht="24.75" thickBot="1">
      <c r="C33" s="85"/>
      <c r="AV33" s="77"/>
      <c r="AW33" s="78"/>
    </row>
    <row r="34" spans="2:49" s="76" customFormat="1" ht="19.5">
      <c r="B34" s="1711" t="s">
        <v>1486</v>
      </c>
      <c r="C34" s="1712"/>
      <c r="D34" s="1712"/>
      <c r="E34" s="1712"/>
      <c r="F34" s="1712"/>
      <c r="G34" s="1712"/>
      <c r="H34" s="1712"/>
      <c r="I34" s="1712"/>
      <c r="J34" s="1712"/>
      <c r="K34" s="1712"/>
      <c r="L34" s="1712"/>
      <c r="M34" s="1712"/>
      <c r="N34" s="1712"/>
      <c r="O34" s="1712"/>
      <c r="P34" s="1712"/>
      <c r="Q34" s="1712"/>
      <c r="R34" s="1712"/>
      <c r="S34" s="1712"/>
      <c r="T34" s="1712"/>
      <c r="U34" s="1712"/>
      <c r="V34" s="1712"/>
      <c r="W34" s="1712"/>
      <c r="X34" s="1712"/>
      <c r="Y34" s="1712"/>
      <c r="Z34" s="1712"/>
      <c r="AA34" s="1712"/>
      <c r="AB34" s="1712"/>
      <c r="AC34" s="1712"/>
      <c r="AD34" s="1712"/>
      <c r="AE34" s="1712"/>
      <c r="AF34" s="1712"/>
      <c r="AG34" s="1712"/>
      <c r="AH34" s="1712"/>
      <c r="AI34" s="1713"/>
      <c r="AV34" s="77"/>
      <c r="AW34" s="78"/>
    </row>
    <row r="35" spans="2:49" s="76" customFormat="1" ht="19.5">
      <c r="B35" s="1714"/>
      <c r="C35" s="1715"/>
      <c r="D35" s="1715"/>
      <c r="E35" s="1715"/>
      <c r="F35" s="1715"/>
      <c r="G35" s="1715"/>
      <c r="H35" s="1715"/>
      <c r="I35" s="1715"/>
      <c r="J35" s="1715"/>
      <c r="K35" s="1715"/>
      <c r="L35" s="1715"/>
      <c r="M35" s="1715"/>
      <c r="N35" s="1715"/>
      <c r="O35" s="1715"/>
      <c r="P35" s="1715"/>
      <c r="Q35" s="1715"/>
      <c r="R35" s="1715"/>
      <c r="S35" s="1715"/>
      <c r="T35" s="1715"/>
      <c r="U35" s="1715"/>
      <c r="V35" s="1715"/>
      <c r="W35" s="1715"/>
      <c r="X35" s="1715"/>
      <c r="Y35" s="1715"/>
      <c r="Z35" s="1715"/>
      <c r="AA35" s="1715"/>
      <c r="AB35" s="1715"/>
      <c r="AC35" s="1715"/>
      <c r="AD35" s="1715"/>
      <c r="AE35" s="1715"/>
      <c r="AF35" s="1715"/>
      <c r="AG35" s="1715"/>
      <c r="AH35" s="1715"/>
      <c r="AI35" s="1716"/>
      <c r="AV35" s="77"/>
      <c r="AW35" s="78"/>
    </row>
    <row r="36" spans="2:49" s="76" customFormat="1" ht="19.5">
      <c r="B36" s="1714"/>
      <c r="C36" s="1715"/>
      <c r="D36" s="1715"/>
      <c r="E36" s="1715"/>
      <c r="F36" s="1715"/>
      <c r="G36" s="1715"/>
      <c r="H36" s="1715"/>
      <c r="I36" s="1715"/>
      <c r="J36" s="1715"/>
      <c r="K36" s="1715"/>
      <c r="L36" s="1715"/>
      <c r="M36" s="1715"/>
      <c r="N36" s="1715"/>
      <c r="O36" s="1715"/>
      <c r="P36" s="1715"/>
      <c r="Q36" s="1715"/>
      <c r="R36" s="1715"/>
      <c r="S36" s="1715"/>
      <c r="T36" s="1715"/>
      <c r="U36" s="1715"/>
      <c r="V36" s="1715"/>
      <c r="W36" s="1715"/>
      <c r="X36" s="1715"/>
      <c r="Y36" s="1715"/>
      <c r="Z36" s="1715"/>
      <c r="AA36" s="1715"/>
      <c r="AB36" s="1715"/>
      <c r="AC36" s="1715"/>
      <c r="AD36" s="1715"/>
      <c r="AE36" s="1715"/>
      <c r="AF36" s="1715"/>
      <c r="AG36" s="1715"/>
      <c r="AH36" s="1715"/>
      <c r="AI36" s="1716"/>
      <c r="AV36" s="77"/>
      <c r="AW36" s="78"/>
    </row>
    <row r="37" spans="2:49" s="76" customFormat="1" ht="19.5">
      <c r="B37" s="1714"/>
      <c r="C37" s="1715"/>
      <c r="D37" s="1715"/>
      <c r="E37" s="1715"/>
      <c r="F37" s="1715"/>
      <c r="G37" s="1715"/>
      <c r="H37" s="1715"/>
      <c r="I37" s="1715"/>
      <c r="J37" s="1715"/>
      <c r="K37" s="1715"/>
      <c r="L37" s="1715"/>
      <c r="M37" s="1715"/>
      <c r="N37" s="1715"/>
      <c r="O37" s="1715"/>
      <c r="P37" s="1715"/>
      <c r="Q37" s="1715"/>
      <c r="R37" s="1715"/>
      <c r="S37" s="1715"/>
      <c r="T37" s="1715"/>
      <c r="U37" s="1715"/>
      <c r="V37" s="1715"/>
      <c r="W37" s="1715"/>
      <c r="X37" s="1715"/>
      <c r="Y37" s="1715"/>
      <c r="Z37" s="1715"/>
      <c r="AA37" s="1715"/>
      <c r="AB37" s="1715"/>
      <c r="AC37" s="1715"/>
      <c r="AD37" s="1715"/>
      <c r="AE37" s="1715"/>
      <c r="AF37" s="1715"/>
      <c r="AG37" s="1715"/>
      <c r="AH37" s="1715"/>
      <c r="AI37" s="1716"/>
      <c r="AV37" s="77"/>
      <c r="AW37" s="78"/>
    </row>
    <row r="38" spans="2:49" s="76" customFormat="1" ht="19.5">
      <c r="B38" s="1714"/>
      <c r="C38" s="1715"/>
      <c r="D38" s="1715"/>
      <c r="E38" s="1715"/>
      <c r="F38" s="1715"/>
      <c r="G38" s="1715"/>
      <c r="H38" s="1715"/>
      <c r="I38" s="1715"/>
      <c r="J38" s="1715"/>
      <c r="K38" s="1715"/>
      <c r="L38" s="1715"/>
      <c r="M38" s="1715"/>
      <c r="N38" s="1715"/>
      <c r="O38" s="1715"/>
      <c r="P38" s="1715"/>
      <c r="Q38" s="1715"/>
      <c r="R38" s="1715"/>
      <c r="S38" s="1715"/>
      <c r="T38" s="1715"/>
      <c r="U38" s="1715"/>
      <c r="V38" s="1715"/>
      <c r="W38" s="1715"/>
      <c r="X38" s="1715"/>
      <c r="Y38" s="1715"/>
      <c r="Z38" s="1715"/>
      <c r="AA38" s="1715"/>
      <c r="AB38" s="1715"/>
      <c r="AC38" s="1715"/>
      <c r="AD38" s="1715"/>
      <c r="AE38" s="1715"/>
      <c r="AF38" s="1715"/>
      <c r="AG38" s="1715"/>
      <c r="AH38" s="1715"/>
      <c r="AI38" s="1716"/>
      <c r="AV38" s="77"/>
      <c r="AW38" s="78"/>
    </row>
    <row r="39" spans="2:49" s="76" customFormat="1" ht="19.5">
      <c r="B39" s="1714"/>
      <c r="C39" s="1715"/>
      <c r="D39" s="1715"/>
      <c r="E39" s="1715"/>
      <c r="F39" s="1715"/>
      <c r="G39" s="1715"/>
      <c r="H39" s="1715"/>
      <c r="I39" s="1715"/>
      <c r="J39" s="1715"/>
      <c r="K39" s="1715"/>
      <c r="L39" s="1715"/>
      <c r="M39" s="1715"/>
      <c r="N39" s="1715"/>
      <c r="O39" s="1715"/>
      <c r="P39" s="1715"/>
      <c r="Q39" s="1715"/>
      <c r="R39" s="1715"/>
      <c r="S39" s="1715"/>
      <c r="T39" s="1715"/>
      <c r="U39" s="1715"/>
      <c r="V39" s="1715"/>
      <c r="W39" s="1715"/>
      <c r="X39" s="1715"/>
      <c r="Y39" s="1715"/>
      <c r="Z39" s="1715"/>
      <c r="AA39" s="1715"/>
      <c r="AB39" s="1715"/>
      <c r="AC39" s="1715"/>
      <c r="AD39" s="1715"/>
      <c r="AE39" s="1715"/>
      <c r="AF39" s="1715"/>
      <c r="AG39" s="1715"/>
      <c r="AH39" s="1715"/>
      <c r="AI39" s="1716"/>
      <c r="AV39" s="77"/>
      <c r="AW39" s="78"/>
    </row>
    <row r="40" spans="2:49" s="76" customFormat="1" ht="19.5">
      <c r="B40" s="1714"/>
      <c r="C40" s="1715"/>
      <c r="D40" s="1715"/>
      <c r="E40" s="1715"/>
      <c r="F40" s="1715"/>
      <c r="G40" s="1715"/>
      <c r="H40" s="1715"/>
      <c r="I40" s="1715"/>
      <c r="J40" s="1715"/>
      <c r="K40" s="1715"/>
      <c r="L40" s="1715"/>
      <c r="M40" s="1715"/>
      <c r="N40" s="1715"/>
      <c r="O40" s="1715"/>
      <c r="P40" s="1715"/>
      <c r="Q40" s="1715"/>
      <c r="R40" s="1715"/>
      <c r="S40" s="1715"/>
      <c r="T40" s="1715"/>
      <c r="U40" s="1715"/>
      <c r="V40" s="1715"/>
      <c r="W40" s="1715"/>
      <c r="X40" s="1715"/>
      <c r="Y40" s="1715"/>
      <c r="Z40" s="1715"/>
      <c r="AA40" s="1715"/>
      <c r="AB40" s="1715"/>
      <c r="AC40" s="1715"/>
      <c r="AD40" s="1715"/>
      <c r="AE40" s="1715"/>
      <c r="AF40" s="1715"/>
      <c r="AG40" s="1715"/>
      <c r="AH40" s="1715"/>
      <c r="AI40" s="1716"/>
      <c r="AV40" s="77"/>
      <c r="AW40" s="78"/>
    </row>
    <row r="41" spans="2:49" s="76" customFormat="1" ht="19.5">
      <c r="B41" s="1714"/>
      <c r="C41" s="1715"/>
      <c r="D41" s="1715"/>
      <c r="E41" s="1715"/>
      <c r="F41" s="1715"/>
      <c r="G41" s="1715"/>
      <c r="H41" s="1715"/>
      <c r="I41" s="1715"/>
      <c r="J41" s="1715"/>
      <c r="K41" s="1715"/>
      <c r="L41" s="1715"/>
      <c r="M41" s="1715"/>
      <c r="N41" s="1715"/>
      <c r="O41" s="1715"/>
      <c r="P41" s="1715"/>
      <c r="Q41" s="1715"/>
      <c r="R41" s="1715"/>
      <c r="S41" s="1715"/>
      <c r="T41" s="1715"/>
      <c r="U41" s="1715"/>
      <c r="V41" s="1715"/>
      <c r="W41" s="1715"/>
      <c r="X41" s="1715"/>
      <c r="Y41" s="1715"/>
      <c r="Z41" s="1715"/>
      <c r="AA41" s="1715"/>
      <c r="AB41" s="1715"/>
      <c r="AC41" s="1715"/>
      <c r="AD41" s="1715"/>
      <c r="AE41" s="1715"/>
      <c r="AF41" s="1715"/>
      <c r="AG41" s="1715"/>
      <c r="AH41" s="1715"/>
      <c r="AI41" s="1716"/>
      <c r="AV41" s="77"/>
      <c r="AW41" s="78"/>
    </row>
    <row r="42" spans="2:49" s="76" customFormat="1" ht="19.5">
      <c r="B42" s="1714"/>
      <c r="C42" s="1715"/>
      <c r="D42" s="1715"/>
      <c r="E42" s="1715"/>
      <c r="F42" s="1715"/>
      <c r="G42" s="1715"/>
      <c r="H42" s="1715"/>
      <c r="I42" s="1715"/>
      <c r="J42" s="1715"/>
      <c r="K42" s="1715"/>
      <c r="L42" s="1715"/>
      <c r="M42" s="1715"/>
      <c r="N42" s="1715"/>
      <c r="O42" s="1715"/>
      <c r="P42" s="1715"/>
      <c r="Q42" s="1715"/>
      <c r="R42" s="1715"/>
      <c r="S42" s="1715"/>
      <c r="T42" s="1715"/>
      <c r="U42" s="1715"/>
      <c r="V42" s="1715"/>
      <c r="W42" s="1715"/>
      <c r="X42" s="1715"/>
      <c r="Y42" s="1715"/>
      <c r="Z42" s="1715"/>
      <c r="AA42" s="1715"/>
      <c r="AB42" s="1715"/>
      <c r="AC42" s="1715"/>
      <c r="AD42" s="1715"/>
      <c r="AE42" s="1715"/>
      <c r="AF42" s="1715"/>
      <c r="AG42" s="1715"/>
      <c r="AH42" s="1715"/>
      <c r="AI42" s="1716"/>
      <c r="AV42" s="77"/>
      <c r="AW42" s="78"/>
    </row>
    <row r="43" spans="2:49" s="76" customFormat="1" ht="19.5" hidden="1">
      <c r="B43" s="1714"/>
      <c r="C43" s="1715"/>
      <c r="D43" s="1715"/>
      <c r="E43" s="1715"/>
      <c r="F43" s="1715"/>
      <c r="G43" s="1715"/>
      <c r="H43" s="1715"/>
      <c r="I43" s="1715"/>
      <c r="J43" s="1715"/>
      <c r="K43" s="1715"/>
      <c r="L43" s="1715"/>
      <c r="M43" s="1715"/>
      <c r="N43" s="1715"/>
      <c r="O43" s="1715"/>
      <c r="P43" s="1715"/>
      <c r="Q43" s="1715"/>
      <c r="R43" s="1715"/>
      <c r="S43" s="1715"/>
      <c r="T43" s="1715"/>
      <c r="U43" s="1715"/>
      <c r="V43" s="1715"/>
      <c r="W43" s="1715"/>
      <c r="X43" s="1715"/>
      <c r="Y43" s="1715"/>
      <c r="Z43" s="1715"/>
      <c r="AA43" s="1715"/>
      <c r="AB43" s="1715"/>
      <c r="AC43" s="1715"/>
      <c r="AD43" s="1715"/>
      <c r="AE43" s="1715"/>
      <c r="AF43" s="1715"/>
      <c r="AG43" s="1715"/>
      <c r="AH43" s="1715"/>
      <c r="AI43" s="1716"/>
      <c r="AV43" s="77"/>
      <c r="AW43" s="78"/>
    </row>
    <row r="44" spans="2:49" s="76" customFormat="1" ht="19.5" hidden="1">
      <c r="B44" s="1714"/>
      <c r="C44" s="1715"/>
      <c r="D44" s="1715"/>
      <c r="E44" s="1715"/>
      <c r="F44" s="1715"/>
      <c r="G44" s="1715"/>
      <c r="H44" s="1715"/>
      <c r="I44" s="1715"/>
      <c r="J44" s="1715"/>
      <c r="K44" s="1715"/>
      <c r="L44" s="1715"/>
      <c r="M44" s="1715"/>
      <c r="N44" s="1715"/>
      <c r="O44" s="1715"/>
      <c r="P44" s="1715"/>
      <c r="Q44" s="1715"/>
      <c r="R44" s="1715"/>
      <c r="S44" s="1715"/>
      <c r="T44" s="1715"/>
      <c r="U44" s="1715"/>
      <c r="V44" s="1715"/>
      <c r="W44" s="1715"/>
      <c r="X44" s="1715"/>
      <c r="Y44" s="1715"/>
      <c r="Z44" s="1715"/>
      <c r="AA44" s="1715"/>
      <c r="AB44" s="1715"/>
      <c r="AC44" s="1715"/>
      <c r="AD44" s="1715"/>
      <c r="AE44" s="1715"/>
      <c r="AF44" s="1715"/>
      <c r="AG44" s="1715"/>
      <c r="AH44" s="1715"/>
      <c r="AI44" s="1716"/>
      <c r="AV44" s="77"/>
      <c r="AW44" s="78"/>
    </row>
    <row r="45" spans="2:49" s="76" customFormat="1" ht="19.5" hidden="1">
      <c r="B45" s="1714"/>
      <c r="C45" s="1715"/>
      <c r="D45" s="1715"/>
      <c r="E45" s="1715"/>
      <c r="F45" s="1715"/>
      <c r="G45" s="1715"/>
      <c r="H45" s="1715"/>
      <c r="I45" s="1715"/>
      <c r="J45" s="1715"/>
      <c r="K45" s="1715"/>
      <c r="L45" s="1715"/>
      <c r="M45" s="1715"/>
      <c r="N45" s="1715"/>
      <c r="O45" s="1715"/>
      <c r="P45" s="1715"/>
      <c r="Q45" s="1715"/>
      <c r="R45" s="1715"/>
      <c r="S45" s="1715"/>
      <c r="T45" s="1715"/>
      <c r="U45" s="1715"/>
      <c r="V45" s="1715"/>
      <c r="W45" s="1715"/>
      <c r="X45" s="1715"/>
      <c r="Y45" s="1715"/>
      <c r="Z45" s="1715"/>
      <c r="AA45" s="1715"/>
      <c r="AB45" s="1715"/>
      <c r="AC45" s="1715"/>
      <c r="AD45" s="1715"/>
      <c r="AE45" s="1715"/>
      <c r="AF45" s="1715"/>
      <c r="AG45" s="1715"/>
      <c r="AH45" s="1715"/>
      <c r="AI45" s="1716"/>
      <c r="AV45" s="77"/>
      <c r="AW45" s="78"/>
    </row>
    <row r="46" spans="2:49" s="76" customFormat="1" ht="19.5" hidden="1">
      <c r="B46" s="1714"/>
      <c r="C46" s="1715"/>
      <c r="D46" s="1715"/>
      <c r="E46" s="1715"/>
      <c r="F46" s="1715"/>
      <c r="G46" s="1715"/>
      <c r="H46" s="1715"/>
      <c r="I46" s="1715"/>
      <c r="J46" s="1715"/>
      <c r="K46" s="1715"/>
      <c r="L46" s="1715"/>
      <c r="M46" s="1715"/>
      <c r="N46" s="1715"/>
      <c r="O46" s="1715"/>
      <c r="P46" s="1715"/>
      <c r="Q46" s="1715"/>
      <c r="R46" s="1715"/>
      <c r="S46" s="1715"/>
      <c r="T46" s="1715"/>
      <c r="U46" s="1715"/>
      <c r="V46" s="1715"/>
      <c r="W46" s="1715"/>
      <c r="X46" s="1715"/>
      <c r="Y46" s="1715"/>
      <c r="Z46" s="1715"/>
      <c r="AA46" s="1715"/>
      <c r="AB46" s="1715"/>
      <c r="AC46" s="1715"/>
      <c r="AD46" s="1715"/>
      <c r="AE46" s="1715"/>
      <c r="AF46" s="1715"/>
      <c r="AG46" s="1715"/>
      <c r="AH46" s="1715"/>
      <c r="AI46" s="1716"/>
      <c r="AV46" s="77"/>
      <c r="AW46" s="78"/>
    </row>
    <row r="47" spans="2:49" s="76" customFormat="1" ht="19.5" hidden="1">
      <c r="B47" s="1714"/>
      <c r="C47" s="1715"/>
      <c r="D47" s="1715"/>
      <c r="E47" s="1715"/>
      <c r="F47" s="1715"/>
      <c r="G47" s="1715"/>
      <c r="H47" s="1715"/>
      <c r="I47" s="1715"/>
      <c r="J47" s="1715"/>
      <c r="K47" s="1715"/>
      <c r="L47" s="1715"/>
      <c r="M47" s="1715"/>
      <c r="N47" s="1715"/>
      <c r="O47" s="1715"/>
      <c r="P47" s="1715"/>
      <c r="Q47" s="1715"/>
      <c r="R47" s="1715"/>
      <c r="S47" s="1715"/>
      <c r="T47" s="1715"/>
      <c r="U47" s="1715"/>
      <c r="V47" s="1715"/>
      <c r="W47" s="1715"/>
      <c r="X47" s="1715"/>
      <c r="Y47" s="1715"/>
      <c r="Z47" s="1715"/>
      <c r="AA47" s="1715"/>
      <c r="AB47" s="1715"/>
      <c r="AC47" s="1715"/>
      <c r="AD47" s="1715"/>
      <c r="AE47" s="1715"/>
      <c r="AF47" s="1715"/>
      <c r="AG47" s="1715"/>
      <c r="AH47" s="1715"/>
      <c r="AI47" s="1716"/>
      <c r="AV47" s="77"/>
      <c r="AW47" s="78"/>
    </row>
    <row r="48" spans="2:49" s="76" customFormat="1" ht="19.5" hidden="1">
      <c r="B48" s="1714"/>
      <c r="C48" s="1715"/>
      <c r="D48" s="1715"/>
      <c r="E48" s="1715"/>
      <c r="F48" s="1715"/>
      <c r="G48" s="1715"/>
      <c r="H48" s="1715"/>
      <c r="I48" s="1715"/>
      <c r="J48" s="1715"/>
      <c r="K48" s="1715"/>
      <c r="L48" s="1715"/>
      <c r="M48" s="1715"/>
      <c r="N48" s="1715"/>
      <c r="O48" s="1715"/>
      <c r="P48" s="1715"/>
      <c r="Q48" s="1715"/>
      <c r="R48" s="1715"/>
      <c r="S48" s="1715"/>
      <c r="T48" s="1715"/>
      <c r="U48" s="1715"/>
      <c r="V48" s="1715"/>
      <c r="W48" s="1715"/>
      <c r="X48" s="1715"/>
      <c r="Y48" s="1715"/>
      <c r="Z48" s="1715"/>
      <c r="AA48" s="1715"/>
      <c r="AB48" s="1715"/>
      <c r="AC48" s="1715"/>
      <c r="AD48" s="1715"/>
      <c r="AE48" s="1715"/>
      <c r="AF48" s="1715"/>
      <c r="AG48" s="1715"/>
      <c r="AH48" s="1715"/>
      <c r="AI48" s="1716"/>
      <c r="AV48" s="77"/>
      <c r="AW48" s="78"/>
    </row>
    <row r="49" spans="2:49" s="76" customFormat="1" ht="19.5" hidden="1">
      <c r="B49" s="1714"/>
      <c r="C49" s="1715"/>
      <c r="D49" s="1715"/>
      <c r="E49" s="1715"/>
      <c r="F49" s="1715"/>
      <c r="G49" s="1715"/>
      <c r="H49" s="1715"/>
      <c r="I49" s="1715"/>
      <c r="J49" s="1715"/>
      <c r="K49" s="1715"/>
      <c r="L49" s="1715"/>
      <c r="M49" s="1715"/>
      <c r="N49" s="1715"/>
      <c r="O49" s="1715"/>
      <c r="P49" s="1715"/>
      <c r="Q49" s="1715"/>
      <c r="R49" s="1715"/>
      <c r="S49" s="1715"/>
      <c r="T49" s="1715"/>
      <c r="U49" s="1715"/>
      <c r="V49" s="1715"/>
      <c r="W49" s="1715"/>
      <c r="X49" s="1715"/>
      <c r="Y49" s="1715"/>
      <c r="Z49" s="1715"/>
      <c r="AA49" s="1715"/>
      <c r="AB49" s="1715"/>
      <c r="AC49" s="1715"/>
      <c r="AD49" s="1715"/>
      <c r="AE49" s="1715"/>
      <c r="AF49" s="1715"/>
      <c r="AG49" s="1715"/>
      <c r="AH49" s="1715"/>
      <c r="AI49" s="1716"/>
      <c r="AV49" s="77"/>
      <c r="AW49" s="78"/>
    </row>
    <row r="50" spans="2:49" s="76" customFormat="1" ht="19.5">
      <c r="B50" s="1714"/>
      <c r="C50" s="1715"/>
      <c r="D50" s="1715"/>
      <c r="E50" s="1715"/>
      <c r="F50" s="1715"/>
      <c r="G50" s="1715"/>
      <c r="H50" s="1715"/>
      <c r="I50" s="1715"/>
      <c r="J50" s="1715"/>
      <c r="K50" s="1715"/>
      <c r="L50" s="1715"/>
      <c r="M50" s="1715"/>
      <c r="N50" s="1715"/>
      <c r="O50" s="1715"/>
      <c r="P50" s="1715"/>
      <c r="Q50" s="1715"/>
      <c r="R50" s="1715"/>
      <c r="S50" s="1715"/>
      <c r="T50" s="1715"/>
      <c r="U50" s="1715"/>
      <c r="V50" s="1715"/>
      <c r="W50" s="1715"/>
      <c r="X50" s="1715"/>
      <c r="Y50" s="1715"/>
      <c r="Z50" s="1715"/>
      <c r="AA50" s="1715"/>
      <c r="AB50" s="1715"/>
      <c r="AC50" s="1715"/>
      <c r="AD50" s="1715"/>
      <c r="AE50" s="1715"/>
      <c r="AF50" s="1715"/>
      <c r="AG50" s="1715"/>
      <c r="AH50" s="1715"/>
      <c r="AI50" s="1716"/>
      <c r="AV50" s="77"/>
      <c r="AW50" s="78"/>
    </row>
    <row r="51" spans="2:49" s="76" customFormat="1" ht="19.5">
      <c r="B51" s="1714"/>
      <c r="C51" s="1715"/>
      <c r="D51" s="1715"/>
      <c r="E51" s="1715"/>
      <c r="F51" s="1715"/>
      <c r="G51" s="1715"/>
      <c r="H51" s="1715"/>
      <c r="I51" s="1715"/>
      <c r="J51" s="1715"/>
      <c r="K51" s="1715"/>
      <c r="L51" s="1715"/>
      <c r="M51" s="1715"/>
      <c r="N51" s="1715"/>
      <c r="O51" s="1715"/>
      <c r="P51" s="1715"/>
      <c r="Q51" s="1715"/>
      <c r="R51" s="1715"/>
      <c r="S51" s="1715"/>
      <c r="T51" s="1715"/>
      <c r="U51" s="1715"/>
      <c r="V51" s="1715"/>
      <c r="W51" s="1715"/>
      <c r="X51" s="1715"/>
      <c r="Y51" s="1715"/>
      <c r="Z51" s="1715"/>
      <c r="AA51" s="1715"/>
      <c r="AB51" s="1715"/>
      <c r="AC51" s="1715"/>
      <c r="AD51" s="1715"/>
      <c r="AE51" s="1715"/>
      <c r="AF51" s="1715"/>
      <c r="AG51" s="1715"/>
      <c r="AH51" s="1715"/>
      <c r="AI51" s="1716"/>
      <c r="AV51" s="77"/>
      <c r="AW51" s="78"/>
    </row>
    <row r="52" spans="2:49" s="76" customFormat="1" ht="19.5">
      <c r="B52" s="1714"/>
      <c r="C52" s="1715"/>
      <c r="D52" s="1715"/>
      <c r="E52" s="1715"/>
      <c r="F52" s="1715"/>
      <c r="G52" s="1715"/>
      <c r="H52" s="1715"/>
      <c r="I52" s="1715"/>
      <c r="J52" s="1715"/>
      <c r="K52" s="1715"/>
      <c r="L52" s="1715"/>
      <c r="M52" s="1715"/>
      <c r="N52" s="1715"/>
      <c r="O52" s="1715"/>
      <c r="P52" s="1715"/>
      <c r="Q52" s="1715"/>
      <c r="R52" s="1715"/>
      <c r="S52" s="1715"/>
      <c r="T52" s="1715"/>
      <c r="U52" s="1715"/>
      <c r="V52" s="1715"/>
      <c r="W52" s="1715"/>
      <c r="X52" s="1715"/>
      <c r="Y52" s="1715"/>
      <c r="Z52" s="1715"/>
      <c r="AA52" s="1715"/>
      <c r="AB52" s="1715"/>
      <c r="AC52" s="1715"/>
      <c r="AD52" s="1715"/>
      <c r="AE52" s="1715"/>
      <c r="AF52" s="1715"/>
      <c r="AG52" s="1715"/>
      <c r="AH52" s="1715"/>
      <c r="AI52" s="1716"/>
      <c r="AV52" s="77"/>
      <c r="AW52" s="78"/>
    </row>
    <row r="53" spans="2:49" s="76" customFormat="1" ht="19.5">
      <c r="B53" s="1714"/>
      <c r="C53" s="1715"/>
      <c r="D53" s="1715"/>
      <c r="E53" s="1715"/>
      <c r="F53" s="1715"/>
      <c r="G53" s="1715"/>
      <c r="H53" s="1715"/>
      <c r="I53" s="1715"/>
      <c r="J53" s="1715"/>
      <c r="K53" s="1715"/>
      <c r="L53" s="1715"/>
      <c r="M53" s="1715"/>
      <c r="N53" s="1715"/>
      <c r="O53" s="1715"/>
      <c r="P53" s="1715"/>
      <c r="Q53" s="1715"/>
      <c r="R53" s="1715"/>
      <c r="S53" s="1715"/>
      <c r="T53" s="1715"/>
      <c r="U53" s="1715"/>
      <c r="V53" s="1715"/>
      <c r="W53" s="1715"/>
      <c r="X53" s="1715"/>
      <c r="Y53" s="1715"/>
      <c r="Z53" s="1715"/>
      <c r="AA53" s="1715"/>
      <c r="AB53" s="1715"/>
      <c r="AC53" s="1715"/>
      <c r="AD53" s="1715"/>
      <c r="AE53" s="1715"/>
      <c r="AF53" s="1715"/>
      <c r="AG53" s="1715"/>
      <c r="AH53" s="1715"/>
      <c r="AI53" s="1716"/>
      <c r="AV53" s="77"/>
      <c r="AW53" s="78"/>
    </row>
    <row r="54" spans="2:49" s="76" customFormat="1" ht="19.5">
      <c r="B54" s="1714"/>
      <c r="C54" s="1715"/>
      <c r="D54" s="1715"/>
      <c r="E54" s="1715"/>
      <c r="F54" s="1715"/>
      <c r="G54" s="1715"/>
      <c r="H54" s="1715"/>
      <c r="I54" s="1715"/>
      <c r="J54" s="1715"/>
      <c r="K54" s="1715"/>
      <c r="L54" s="1715"/>
      <c r="M54" s="1715"/>
      <c r="N54" s="1715"/>
      <c r="O54" s="1715"/>
      <c r="P54" s="1715"/>
      <c r="Q54" s="1715"/>
      <c r="R54" s="1715"/>
      <c r="S54" s="1715"/>
      <c r="T54" s="1715"/>
      <c r="U54" s="1715"/>
      <c r="V54" s="1715"/>
      <c r="W54" s="1715"/>
      <c r="X54" s="1715"/>
      <c r="Y54" s="1715"/>
      <c r="Z54" s="1715"/>
      <c r="AA54" s="1715"/>
      <c r="AB54" s="1715"/>
      <c r="AC54" s="1715"/>
      <c r="AD54" s="1715"/>
      <c r="AE54" s="1715"/>
      <c r="AF54" s="1715"/>
      <c r="AG54" s="1715"/>
      <c r="AH54" s="1715"/>
      <c r="AI54" s="1716"/>
      <c r="AV54" s="77"/>
      <c r="AW54" s="78"/>
    </row>
    <row r="55" spans="2:49" s="76" customFormat="1" ht="19.5">
      <c r="B55" s="1714"/>
      <c r="C55" s="1715"/>
      <c r="D55" s="1715"/>
      <c r="E55" s="1715"/>
      <c r="F55" s="1715"/>
      <c r="G55" s="1715"/>
      <c r="H55" s="1715"/>
      <c r="I55" s="1715"/>
      <c r="J55" s="1715"/>
      <c r="K55" s="1715"/>
      <c r="L55" s="1715"/>
      <c r="M55" s="1715"/>
      <c r="N55" s="1715"/>
      <c r="O55" s="1715"/>
      <c r="P55" s="1715"/>
      <c r="Q55" s="1715"/>
      <c r="R55" s="1715"/>
      <c r="S55" s="1715"/>
      <c r="T55" s="1715"/>
      <c r="U55" s="1715"/>
      <c r="V55" s="1715"/>
      <c r="W55" s="1715"/>
      <c r="X55" s="1715"/>
      <c r="Y55" s="1715"/>
      <c r="Z55" s="1715"/>
      <c r="AA55" s="1715"/>
      <c r="AB55" s="1715"/>
      <c r="AC55" s="1715"/>
      <c r="AD55" s="1715"/>
      <c r="AE55" s="1715"/>
      <c r="AF55" s="1715"/>
      <c r="AG55" s="1715"/>
      <c r="AH55" s="1715"/>
      <c r="AI55" s="1716"/>
      <c r="AV55" s="77"/>
      <c r="AW55" s="78"/>
    </row>
    <row r="56" spans="2:49" s="76" customFormat="1" ht="20.25" thickBot="1">
      <c r="B56" s="1717"/>
      <c r="C56" s="1718"/>
      <c r="D56" s="1718"/>
      <c r="E56" s="1718"/>
      <c r="F56" s="1718"/>
      <c r="G56" s="1718"/>
      <c r="H56" s="1718"/>
      <c r="I56" s="1718"/>
      <c r="J56" s="1718"/>
      <c r="K56" s="1718"/>
      <c r="L56" s="1718"/>
      <c r="M56" s="1718"/>
      <c r="N56" s="1718"/>
      <c r="O56" s="1718"/>
      <c r="P56" s="1718"/>
      <c r="Q56" s="1718"/>
      <c r="R56" s="1718"/>
      <c r="S56" s="1718"/>
      <c r="T56" s="1718"/>
      <c r="U56" s="1718"/>
      <c r="V56" s="1718"/>
      <c r="W56" s="1718"/>
      <c r="X56" s="1718"/>
      <c r="Y56" s="1718"/>
      <c r="Z56" s="1718"/>
      <c r="AA56" s="1718"/>
      <c r="AB56" s="1718"/>
      <c r="AC56" s="1718"/>
      <c r="AD56" s="1718"/>
      <c r="AE56" s="1718"/>
      <c r="AF56" s="1718"/>
      <c r="AG56" s="1718"/>
      <c r="AH56" s="1718"/>
      <c r="AI56" s="1719"/>
      <c r="AV56" s="77"/>
      <c r="AW56" s="78"/>
    </row>
  </sheetData>
  <sheetProtection algorithmName="SHA-512" hashValue="j/3sfTrW46lL1Tjo6nDqxqqdRASEM4tBdrEqbioYHk9n+VrtpXqoHfAg1S1sG28Ga/ODErLEOOfpQlMotUaJww==" saltValue="b4qWmXaqwu4seqeNy0Zipg==" spinCount="100000" sheet="1" objects="1" scenarios="1"/>
  <mergeCells count="47">
    <mergeCell ref="A32:AJ32"/>
    <mergeCell ref="B34:AI56"/>
    <mergeCell ref="A23:A30"/>
    <mergeCell ref="B30:F30"/>
    <mergeCell ref="G30:AJ30"/>
    <mergeCell ref="G25:M25"/>
    <mergeCell ref="N25:AJ25"/>
    <mergeCell ref="B24:F24"/>
    <mergeCell ref="K24:AJ24"/>
    <mergeCell ref="B31:F31"/>
    <mergeCell ref="G31:AJ31"/>
    <mergeCell ref="B26:F26"/>
    <mergeCell ref="G26:M26"/>
    <mergeCell ref="N26:AJ26"/>
    <mergeCell ref="AW31:AX31"/>
    <mergeCell ref="B27:AJ27"/>
    <mergeCell ref="B28:F28"/>
    <mergeCell ref="G28:H28"/>
    <mergeCell ref="I28:AJ28"/>
    <mergeCell ref="AW28:AX28"/>
    <mergeCell ref="B29:F29"/>
    <mergeCell ref="N29:AJ29"/>
    <mergeCell ref="AW29:AX29"/>
    <mergeCell ref="AW26:AX26"/>
    <mergeCell ref="AW30:AX30"/>
    <mergeCell ref="AW24:AX24"/>
    <mergeCell ref="B25:F25"/>
    <mergeCell ref="N13:R18"/>
    <mergeCell ref="S13:V14"/>
    <mergeCell ref="W13:AJ14"/>
    <mergeCell ref="S15:V16"/>
    <mergeCell ref="W15:AJ16"/>
    <mergeCell ref="S17:V18"/>
    <mergeCell ref="W17:AJ18"/>
    <mergeCell ref="A20:AJ20"/>
    <mergeCell ref="AW22:AX22"/>
    <mergeCell ref="B23:F23"/>
    <mergeCell ref="K23:AJ23"/>
    <mergeCell ref="AW23:AX23"/>
    <mergeCell ref="AW25:AX25"/>
    <mergeCell ref="N11:R12"/>
    <mergeCell ref="S11:AJ12"/>
    <mergeCell ref="A3:AJ5"/>
    <mergeCell ref="N7:R8"/>
    <mergeCell ref="S7:AJ8"/>
    <mergeCell ref="N9:R10"/>
    <mergeCell ref="S9:AJ10"/>
  </mergeCells>
  <phoneticPr fontId="9"/>
  <conditionalFormatting sqref="AV22:AV31">
    <cfRule type="containsText" dxfId="163" priority="6" operator="containsText" text="×">
      <formula>NOT(ISERROR(SEARCH("×",AV22)))</formula>
    </cfRule>
  </conditionalFormatting>
  <conditionalFormatting sqref="AW23:AX31">
    <cfRule type="containsText" dxfId="162" priority="5" operator="containsText" text="未入力">
      <formula>NOT(ISERROR(SEARCH("未入力",AW23)))</formula>
    </cfRule>
  </conditionalFormatting>
  <conditionalFormatting sqref="AW22:AX22">
    <cfRule type="containsText" dxfId="161" priority="3" operator="containsText" text="不十分">
      <formula>NOT(ISERROR(SEARCH("不十分",AW22)))</formula>
    </cfRule>
    <cfRule type="containsText" dxfId="160" priority="4" operator="containsText" text="藤生bん">
      <formula>NOT(ISERROR(SEARCH("藤生bん",AW22)))</formula>
    </cfRule>
  </conditionalFormatting>
  <conditionalFormatting sqref="AK22">
    <cfRule type="containsText" dxfId="159" priority="1" operator="containsText" text="不十分">
      <formula>NOT(ISERROR(SEARCH("不十分",AK22)))</formula>
    </cfRule>
    <cfRule type="containsText" dxfId="158" priority="2" operator="containsText" text="藤生bん">
      <formula>NOT(ISERROR(SEARCH("藤生bん",AK22)))</formula>
    </cfRule>
  </conditionalFormatting>
  <dataValidations count="5">
    <dataValidation type="textLength" imeMode="halfKatakana" allowBlank="1" showInputMessage="1" showErrorMessage="1" errorTitle="入力された文字列が長すぎます。" error="入力文字数は30字以内としてください。" prompt="左詰めで半角カタカナ30字以内で入力してください。" sqref="G31" xr:uid="{00000000-0002-0000-0800-000000000000}">
      <formula1>1</formula1>
      <formula2>30</formula2>
    </dataValidation>
    <dataValidation allowBlank="1" showInputMessage="1" showErrorMessage="1" errorTitle="指定口座への振り込みが希望されています。" error="国保連登録口座以外への振込を希望する際は上段で「希望する」を選択してください。" promptTitle="金融機関名の入力" prompt="略称等は用いず、正式な名称を誤りのないように入力してください。" sqref="G25" xr:uid="{00000000-0002-0000-0800-000001000000}"/>
    <dataValidation type="custom" imeMode="halfAlpha" allowBlank="1" showInputMessage="1" showErrorMessage="1" errorTitle="半角数字以外が入力されています。" error="全角数字等の入力は制限されています。_x000a_必ず半角数字で入力してください。" promptTitle="半角数字を入力" prompt="全角数字等の入力は制限されています。_x000a_半角数字を１マスに１字ずつ入力してください。" sqref="G29:M29" xr:uid="{00000000-0002-0000-0800-000002000000}">
      <formula1>AND(LENB(G29:M29)=LEN(G29:M29))</formula1>
    </dataValidation>
    <dataValidation type="custom" allowBlank="1" showInputMessage="1" showErrorMessage="1" errorTitle="半角数字以外が入力されています。" error="全角数字等の入力は制限されています。_x000a_必ず半角数字で入力してください。" promptTitle="半角数字を入力" prompt="全角数字等の入力は制限されています。_x000a_半角数字を１マスに１字ずつ入力してください。" sqref="G24:I24" xr:uid="{00000000-0002-0000-0800-000003000000}">
      <formula1>AND(LENB(G24:I24)=LEN(G24:I24))</formula1>
    </dataValidation>
    <dataValidation type="custom" allowBlank="1" showInputMessage="1" showErrorMessage="1" errorTitle="半角数字以外が入力されています。" error="全角数字等の入力は制限されています。_x000a_必ず半角数字で入力してください。" promptTitle="半角数字を入力" prompt="全角数字等の入力は制限されています。_x000a_半角数字を１マスに１字ずつ入力してください。" sqref="G23:J23" xr:uid="{00000000-0002-0000-0800-000004000000}">
      <formula1>AND(LENB(D23:G23)=LEN(D23:G23))</formula1>
    </dataValidation>
  </dataValidations>
  <pageMargins left="0.7" right="0.7" top="0.75" bottom="0.75" header="0.3" footer="0.3"/>
  <pageSetup paperSize="9" scale="61"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dimension ref="A1:M45"/>
  <sheetViews>
    <sheetView showGridLines="0" view="pageBreakPreview" topLeftCell="A7" zoomScale="60" zoomScaleNormal="100" workbookViewId="0">
      <selection activeCell="G1" sqref="G1:I1"/>
    </sheetView>
  </sheetViews>
  <sheetFormatPr defaultColWidth="8.625" defaultRowHeight="35.25"/>
  <cols>
    <col min="1" max="4" width="15.625" style="439" customWidth="1"/>
    <col min="5" max="5" width="30.625" style="439" customWidth="1"/>
    <col min="6" max="9" width="15.625" style="439" customWidth="1"/>
    <col min="10" max="12" width="8.625" style="439"/>
    <col min="13" max="13" width="90.625" style="439" customWidth="1"/>
    <col min="14" max="16384" width="8.625" style="439"/>
  </cols>
  <sheetData>
    <row r="1" spans="1:9" ht="45" customHeight="1">
      <c r="F1" s="440"/>
      <c r="G1" s="1738" t="str">
        <f xml:space="preserve">
IF(表紙!X2="交付申請兼実績報告","（４月１日～５月７日分）",
IF(OR(表紙!X2="事前協議",表紙!X2="交付申請",表紙!X2="変更申請",表紙!X2="実績報告"),"（５月８日～９月30日分）",
))</f>
        <v>（４月１日～５月７日分）</v>
      </c>
      <c r="H1" s="1431"/>
      <c r="I1" s="1431"/>
    </row>
    <row r="2" spans="1:9" ht="45" customHeight="1"/>
    <row r="3" spans="1:9" ht="45" customHeight="1">
      <c r="I3" s="441" t="s">
        <v>996</v>
      </c>
    </row>
    <row r="4" spans="1:9" ht="45" customHeight="1">
      <c r="A4" s="1741" t="s">
        <v>620</v>
      </c>
      <c r="B4" s="1742"/>
      <c r="C4" s="1742"/>
    </row>
    <row r="5" spans="1:9" ht="45" customHeight="1"/>
    <row r="6" spans="1:9" ht="45" customHeight="1">
      <c r="E6" s="1743" t="s">
        <v>621</v>
      </c>
      <c r="F6" s="1745" t="str">
        <f>表紙!L8</f>
        <v/>
      </c>
      <c r="G6" s="1746"/>
      <c r="H6" s="1746"/>
      <c r="I6" s="1746"/>
    </row>
    <row r="7" spans="1:9" ht="45" customHeight="1">
      <c r="E7" s="1744"/>
      <c r="F7" s="1746"/>
      <c r="G7" s="1746"/>
      <c r="H7" s="1746"/>
      <c r="I7" s="1746"/>
    </row>
    <row r="8" spans="1:9" ht="45" customHeight="1">
      <c r="E8" s="442" t="s">
        <v>610</v>
      </c>
      <c r="F8" s="1745" t="str">
        <f>表紙!L9</f>
        <v/>
      </c>
      <c r="G8" s="1746"/>
      <c r="H8" s="1746"/>
      <c r="I8" s="1746"/>
    </row>
    <row r="9" spans="1:9" ht="45" customHeight="1">
      <c r="E9" s="442" t="s">
        <v>612</v>
      </c>
      <c r="F9" s="1745" t="str">
        <f>表紙!L10</f>
        <v/>
      </c>
      <c r="G9" s="1746"/>
      <c r="H9" s="1746"/>
      <c r="I9" s="1746"/>
    </row>
    <row r="10" spans="1:9" ht="45" customHeight="1">
      <c r="E10" s="442" t="s">
        <v>622</v>
      </c>
      <c r="F10" s="1745" t="str">
        <f>表紙!C17</f>
        <v/>
      </c>
      <c r="G10" s="1746"/>
      <c r="H10" s="1746"/>
      <c r="I10" s="1746"/>
    </row>
    <row r="11" spans="1:9" ht="45" customHeight="1"/>
    <row r="12" spans="1:9" ht="45" customHeight="1">
      <c r="A12" s="1747" t="s">
        <v>623</v>
      </c>
      <c r="B12" s="1748"/>
      <c r="C12" s="1748"/>
      <c r="D12" s="1748"/>
      <c r="E12" s="1748"/>
      <c r="F12" s="1748"/>
      <c r="G12" s="1748"/>
      <c r="H12" s="1748"/>
      <c r="I12" s="1748"/>
    </row>
    <row r="13" spans="1:9" ht="45" customHeight="1">
      <c r="A13" s="1748"/>
      <c r="B13" s="1748"/>
      <c r="C13" s="1748"/>
      <c r="D13" s="1748"/>
      <c r="E13" s="1748"/>
      <c r="F13" s="1748"/>
      <c r="G13" s="1748"/>
      <c r="H13" s="1748"/>
      <c r="I13" s="1748"/>
    </row>
    <row r="14" spans="1:9" ht="45" customHeight="1"/>
    <row r="15" spans="1:9" ht="45" customHeight="1">
      <c r="A15" s="1749" t="s">
        <v>1113</v>
      </c>
      <c r="B15" s="1750"/>
      <c r="C15" s="1750"/>
      <c r="D15" s="1750"/>
      <c r="E15" s="1750"/>
      <c r="F15" s="1750"/>
      <c r="G15" s="1750"/>
      <c r="H15" s="1750"/>
      <c r="I15" s="1750"/>
    </row>
    <row r="16" spans="1:9" ht="45" customHeight="1">
      <c r="A16" s="1750"/>
      <c r="B16" s="1750"/>
      <c r="C16" s="1750"/>
      <c r="D16" s="1750"/>
      <c r="E16" s="1750"/>
      <c r="F16" s="1750"/>
      <c r="G16" s="1750"/>
      <c r="H16" s="1750"/>
      <c r="I16" s="1750"/>
    </row>
    <row r="17" spans="1:13" ht="45" customHeight="1">
      <c r="A17" s="1751" t="s">
        <v>613</v>
      </c>
      <c r="B17" s="1752"/>
      <c r="C17" s="1752"/>
      <c r="D17" s="1752"/>
      <c r="E17" s="1752"/>
      <c r="F17" s="1752"/>
      <c r="G17" s="1752"/>
      <c r="H17" s="1752"/>
      <c r="I17" s="1752"/>
    </row>
    <row r="18" spans="1:13" ht="45" customHeight="1">
      <c r="A18" s="439" t="s">
        <v>624</v>
      </c>
    </row>
    <row r="19" spans="1:13" ht="45" customHeight="1">
      <c r="A19" s="439" t="str">
        <f>IF(表紙!G20="金　　　　　　　　　円","　　金　　　　　　　　　円","　　金"&amp;TEXT(表紙!G20,"#,###")&amp;"円")</f>
        <v>　　金　　　　　　　　　円</v>
      </c>
    </row>
    <row r="20" spans="1:13" ht="45" customHeight="1"/>
    <row r="21" spans="1:13" ht="45" customHeight="1">
      <c r="A21" s="439" t="s">
        <v>625</v>
      </c>
    </row>
    <row r="22" spans="1:13" ht="45" customHeight="1">
      <c r="B22" s="1734" t="s">
        <v>626</v>
      </c>
      <c r="C22" s="1735"/>
      <c r="D22" s="1739" t="str">
        <f>IF(はじめに入力してください!L18="","",VLOOKUP(はじめに入力してください!L18,リスト!A:DX,126,FALSE))</f>
        <v>三菱UFJ銀行</v>
      </c>
      <c r="E22" s="1740"/>
      <c r="F22" s="1740"/>
      <c r="G22" s="1740"/>
      <c r="H22" s="1740"/>
    </row>
    <row r="23" spans="1:13" ht="45" customHeight="1">
      <c r="B23" s="1734" t="s">
        <v>627</v>
      </c>
      <c r="C23" s="1735"/>
      <c r="D23" s="1739" t="str">
        <f>IF(はじめに入力してください!L18="","",VLOOKUP(はじめに入力してください!L18,リスト!A:DX,127,FALSE))</f>
        <v>東海公務部</v>
      </c>
      <c r="E23" s="1740"/>
      <c r="F23" s="1740"/>
      <c r="G23" s="1740"/>
      <c r="H23" s="1740"/>
    </row>
    <row r="24" spans="1:13" ht="45" customHeight="1">
      <c r="B24" s="1734" t="s">
        <v>628</v>
      </c>
      <c r="C24" s="1735"/>
      <c r="D24" s="1739" t="str">
        <f>IF(はじめに入力してください!L18="","",VLOOKUP(はじめに入力してください!L18,リスト!A:DX,128,FALSE))</f>
        <v>当座</v>
      </c>
      <c r="E24" s="1740"/>
      <c r="F24" s="1740"/>
      <c r="G24" s="1740"/>
      <c r="H24" s="1740"/>
    </row>
    <row r="25" spans="1:13" ht="45" customHeight="1">
      <c r="B25" s="1734" t="s">
        <v>629</v>
      </c>
      <c r="C25" s="1735"/>
      <c r="D25" s="1736" t="str">
        <f>IF(はじめに入力してください!AF24="","",はじめに入力してください!AF24)</f>
        <v/>
      </c>
      <c r="E25" s="1737"/>
      <c r="F25" s="1737"/>
      <c r="G25" s="1737"/>
      <c r="H25" s="1737"/>
    </row>
    <row r="26" spans="1:13" ht="45" customHeight="1"/>
    <row r="27" spans="1:13" ht="45" customHeight="1"/>
    <row r="28" spans="1:13" ht="45" customHeight="1"/>
    <row r="29" spans="1:13" ht="45" customHeight="1"/>
    <row r="30" spans="1:13" ht="45" customHeight="1"/>
    <row r="31" spans="1:13" ht="45" customHeight="1"/>
    <row r="32" spans="1:13" ht="45" customHeight="1">
      <c r="L32" s="381"/>
      <c r="M32" s="381"/>
    </row>
    <row r="33" spans="12:13" ht="45" customHeight="1">
      <c r="L33" s="381"/>
      <c r="M33" s="443"/>
    </row>
    <row r="34" spans="12:13" ht="45" customHeight="1">
      <c r="L34" s="444"/>
      <c r="M34" s="445"/>
    </row>
    <row r="35" spans="12:13" ht="45" customHeight="1"/>
    <row r="36" spans="12:13" ht="45" customHeight="1"/>
    <row r="37" spans="12:13" ht="45" customHeight="1"/>
    <row r="38" spans="12:13" ht="45" customHeight="1"/>
    <row r="39" spans="12:13" ht="45" customHeight="1"/>
    <row r="40" spans="12:13" ht="45" customHeight="1"/>
    <row r="41" spans="12:13" ht="45" customHeight="1"/>
    <row r="42" spans="12:13" ht="45" customHeight="1"/>
    <row r="43" spans="12:13" ht="45" customHeight="1"/>
    <row r="44" spans="12:13" ht="45" customHeight="1"/>
    <row r="45" spans="12:13" ht="45" customHeight="1"/>
  </sheetData>
  <mergeCells count="18">
    <mergeCell ref="B22:C22"/>
    <mergeCell ref="D22:H22"/>
    <mergeCell ref="B25:C25"/>
    <mergeCell ref="D25:H25"/>
    <mergeCell ref="G1:I1"/>
    <mergeCell ref="B23:C23"/>
    <mergeCell ref="D23:H23"/>
    <mergeCell ref="B24:C24"/>
    <mergeCell ref="D24:H24"/>
    <mergeCell ref="A4:C4"/>
    <mergeCell ref="E6:E7"/>
    <mergeCell ref="F6:I7"/>
    <mergeCell ref="F8:I8"/>
    <mergeCell ref="F9:I9"/>
    <mergeCell ref="F10:I10"/>
    <mergeCell ref="A12:I13"/>
    <mergeCell ref="A15:I16"/>
    <mergeCell ref="A17:I17"/>
  </mergeCells>
  <phoneticPr fontId="9"/>
  <conditionalFormatting sqref="L33:L34">
    <cfRule type="containsText" dxfId="157" priority="2" operator="containsText" text="×">
      <formula>NOT(ISERROR(SEARCH("×",L33)))</formula>
    </cfRule>
  </conditionalFormatting>
  <conditionalFormatting sqref="M33:M34">
    <cfRule type="containsText" dxfId="156" priority="1" operator="containsText" text="要修正">
      <formula>NOT(ISERROR(SEARCH("要修正",M33)))</formula>
    </cfRule>
  </conditionalFormatting>
  <pageMargins left="0.7" right="0.7" top="0.75" bottom="0.75" header="0.3" footer="0.3"/>
  <pageSetup paperSize="9" scale="51"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pageSetUpPr fitToPage="1"/>
  </sheetPr>
  <dimension ref="B1:P52"/>
  <sheetViews>
    <sheetView showGridLines="0" view="pageBreakPreview" zoomScale="60" zoomScaleNormal="100" workbookViewId="0">
      <selection activeCell="D23" sqref="D23"/>
    </sheetView>
  </sheetViews>
  <sheetFormatPr defaultColWidth="9" defaultRowHeight="18"/>
  <cols>
    <col min="1" max="1" width="2.625" style="47" customWidth="1"/>
    <col min="2" max="3" width="20.625" style="47" customWidth="1"/>
    <col min="4" max="11" width="18.625" style="47" customWidth="1"/>
    <col min="12" max="12" width="11.125" style="47" customWidth="1"/>
    <col min="13" max="13" width="2.625" style="47" customWidth="1"/>
    <col min="14" max="14" width="2.625" style="47" hidden="1" customWidth="1"/>
    <col min="15" max="15" width="18.625" style="47" customWidth="1"/>
    <col min="16" max="16" width="12.75" style="48" customWidth="1"/>
    <col min="17" max="16384" width="9" style="47"/>
  </cols>
  <sheetData>
    <row r="1" spans="2:16" ht="18" customHeight="1">
      <c r="B1" s="47" t="str">
        <f xml:space="preserve">
IF(表紙!$X$2="事前協議","様式２－４",
IF(表紙!$X$2="交付申請（２次）","様式２－４",
IF(表紙!$X$2="変更申請","様式２－４",
IF(表紙!$X$2="実績報告（１次）","様式１－１",
IF(表紙!$X$2="実績報告（２次）","様式１－４",
IF(表紙!$X$2="交付申請兼実績報告","様式１－４"))))))</f>
        <v>様式１－４</v>
      </c>
      <c r="K1" s="1775" t="str">
        <f xml:space="preserve">
IF(表紙!$X$2="事前協議","（10月１日～３月31日分）",
IF(表紙!$X$2="交付申請（２次）","（10月１日～３月31日分）",
IF(表紙!$X$2="変更申請","（10月１日～３月31日分）",
IF(表紙!$X$2="実績報告（１次）","（５月８日～10月31日分）",
IF(表紙!$X$2="実績報告（２次）","（10月１日～３月31日分）",
IF(表紙!$X$2="交付申請兼実績報告","（10月１日～３月31日分）"))))))</f>
        <v>（10月１日～３月31日分）</v>
      </c>
      <c r="L1" s="1776"/>
      <c r="M1" s="1776"/>
    </row>
    <row r="2" spans="2:16" ht="18" customHeight="1">
      <c r="B2" s="1777" t="str">
        <f xml:space="preserve">
IF(表紙!$X$2="事前協議","令和５年度　新型コロナウイルス感染症患者等入院医療機関設備整備費補助金経費所要額調書",
IF(表紙!$X$2="交付申請（２次）","令和５年度　新型コロナウイルス感染症患者等入院医療機関設備整備費補助金経費所要額調書",
IF(表紙!$X$2="変更申請","令和５年度　新型コロナウイルス感染症患者等入院医療機関設備整備費補助金経費所要額調書",
IF(表紙!$X$2="実績報告（１次）","令和５年度　新型コロナウイルス感染症患者等入院医療機関設備整備費補助金経費精算書",
IF(表紙!$X$2="実績報告（２次）","令和５年度　新型コロナウイルス感染症患者等入院医療機関設備整備費補助金経費精算書",
IF(表紙!$X$2="交付申請兼実績報告","令和５年度　新型コロナウイルス感染症患者等入院医療機関設備整備費補助金経費精算書"))))))</f>
        <v>令和５年度　新型コロナウイルス感染症患者等入院医療機関設備整備費補助金経費精算書</v>
      </c>
      <c r="C2" s="1777"/>
      <c r="D2" s="1777"/>
      <c r="E2" s="1777"/>
      <c r="F2" s="1777"/>
      <c r="G2" s="1777"/>
      <c r="H2" s="1777"/>
      <c r="I2" s="1777"/>
      <c r="J2" s="1777"/>
      <c r="K2" s="1777"/>
      <c r="L2" s="1777"/>
    </row>
    <row r="3" spans="2:16" ht="18" customHeight="1">
      <c r="B3" s="382"/>
      <c r="C3" s="382"/>
      <c r="D3" s="382"/>
      <c r="E3" s="382"/>
      <c r="F3" s="382"/>
      <c r="G3" s="382"/>
      <c r="I3" s="446" t="s">
        <v>72</v>
      </c>
      <c r="J3" s="1778" t="str">
        <f>IF(はじめに入力してください!H10=0,"",はじめに入力してください!H10)</f>
        <v/>
      </c>
      <c r="K3" s="1779"/>
      <c r="L3" s="49"/>
    </row>
    <row r="4" spans="2:16" ht="18" customHeight="1">
      <c r="B4" s="50"/>
      <c r="C4" s="50"/>
      <c r="D4" s="50"/>
      <c r="E4" s="50"/>
      <c r="F4" s="50"/>
      <c r="G4" s="50"/>
      <c r="I4" s="447" t="str">
        <f xml:space="preserve">
IF(表紙!$X$2="事前協議","事業完了予定日",
IF(表紙!$X$2="交付申請（２次）","事業完了予定日",
IF(表紙!$X$2="変更申請","事業完了予定日",
IF(表紙!$X$2="実績報告（１次）","事業完了日",
IF(表紙!$X$2="実績報告（２次）","事業完了日",
IF(表紙!$X$2="交付申請兼実績報告","事業完了日"))))))</f>
        <v>事業完了日</v>
      </c>
      <c r="J4" s="1780" t="str">
        <f>IF(MAX(はじめに入力してください!AF30:AF47)=0,"",MAX(はじめに入力してください!AF30:AF47))</f>
        <v/>
      </c>
      <c r="K4" s="1780"/>
      <c r="L4" s="51"/>
    </row>
    <row r="5" spans="2:16" s="53" customFormat="1" ht="69.95" customHeight="1" thickBot="1">
      <c r="B5" s="52" t="s">
        <v>520</v>
      </c>
      <c r="C5" s="52"/>
      <c r="D5" s="52" t="s">
        <v>521</v>
      </c>
      <c r="E5" s="52" t="str">
        <f xml:space="preserve">
IF(表紙!$X$2="事前協議","寄付金その他の"&amp;CHAR(10)&amp;"収入予定額"&amp;CHAR(10)&amp;"(B)",
IF(表紙!$X$2="交付申請（２次）","寄付金その他の"&amp;CHAR(10)&amp;"収入予定額"&amp;CHAR(10)&amp;"(B)",
IF(表紙!$X$2="変更申請","寄付金その他の"&amp;CHAR(10)&amp;"収入予定額"&amp;CHAR(10)&amp;"(B)",
IF(表紙!$X$2="実績報告（１次）","寄付金その他の"&amp;CHAR(10)&amp;"収入済額"&amp;CHAR(10)&amp;"(B)",
IF(表紙!$X$2="実績報告（２次）","寄付金その他の"&amp;CHAR(10)&amp;"収入済額"&amp;CHAR(10)&amp;"(B)",
IF(表紙!$X$2="交付申請兼実績報告","寄付金その他の"&amp;CHAR(10)&amp;"収入済額"&amp;CHAR(10)&amp;"(B)"))))))</f>
        <v>寄付金その他の
収入済額
(B)</v>
      </c>
      <c r="F5" s="52" t="s">
        <v>522</v>
      </c>
      <c r="G5" s="52" t="str">
        <f xml:space="preserve">
IF(表紙!$X$2="事前協議","対象経費"&amp;CHAR(10)&amp;"支出予定額"&amp;CHAR(10)&amp;"(D)",
IF(表紙!$X$2="交付申請（２次）","対象経費"&amp;CHAR(10)&amp;"支出予定額"&amp;CHAR(10)&amp;"(D)",
IF(表紙!$X$2="変更申請","対象経費"&amp;CHAR(10)&amp;"支出予定額"&amp;CHAR(10)&amp;"(D)",
IF(表紙!$X$2="実績報告（１次）","対象経費"&amp;CHAR(10)&amp;"支出済額"&amp;CHAR(10)&amp;"(D)",
IF(表紙!$X$2="実績報告（２次）","対象経費"&amp;CHAR(10)&amp;"支出済額"&amp;CHAR(10)&amp;"(D)",
IF(表紙!$X$2="交付申請兼実績報告","対象経費"&amp;CHAR(10)&amp;"支出済額"&amp;CHAR(10)&amp;"(D)"))))))</f>
        <v>対象経費
支出済額
(D)</v>
      </c>
      <c r="H5" s="52" t="s">
        <v>523</v>
      </c>
      <c r="I5" s="52" t="s">
        <v>524</v>
      </c>
      <c r="J5" s="52" t="s">
        <v>525</v>
      </c>
      <c r="K5" s="52" t="s">
        <v>1409</v>
      </c>
      <c r="L5" s="52" t="s">
        <v>526</v>
      </c>
      <c r="O5" s="52" t="s">
        <v>992</v>
      </c>
      <c r="P5" s="54"/>
    </row>
    <row r="6" spans="2:16" ht="20.100000000000001" hidden="1" customHeight="1">
      <c r="B6" s="55"/>
      <c r="C6" s="55"/>
      <c r="D6" s="56" t="s">
        <v>499</v>
      </c>
      <c r="E6" s="56" t="s">
        <v>499</v>
      </c>
      <c r="F6" s="56" t="s">
        <v>499</v>
      </c>
      <c r="G6" s="56" t="s">
        <v>499</v>
      </c>
      <c r="H6" s="56" t="s">
        <v>499</v>
      </c>
      <c r="I6" s="56" t="s">
        <v>499</v>
      </c>
      <c r="J6" s="56" t="s">
        <v>499</v>
      </c>
      <c r="K6" s="56" t="s">
        <v>499</v>
      </c>
      <c r="L6" s="57"/>
    </row>
    <row r="7" spans="2:16" ht="20.100000000000001" customHeight="1">
      <c r="B7" s="1753" t="s">
        <v>560</v>
      </c>
      <c r="C7" s="1759" t="s">
        <v>99</v>
      </c>
      <c r="D7" s="58">
        <f>額内訳書!K7</f>
        <v>0</v>
      </c>
      <c r="E7" s="192">
        <v>0</v>
      </c>
      <c r="F7" s="58">
        <f>D7-E7</f>
        <v>0</v>
      </c>
      <c r="G7" s="58">
        <f>F7</f>
        <v>0</v>
      </c>
      <c r="H7" s="58">
        <f>額内訳書!G7</f>
        <v>0</v>
      </c>
      <c r="I7" s="58">
        <f>ROUNDDOWN(MIN(G7,H7),-3)</f>
        <v>0</v>
      </c>
      <c r="J7" s="58">
        <f>I7</f>
        <v>0</v>
      </c>
      <c r="K7" s="58">
        <f>ROUNDDOWN(J7,-3)</f>
        <v>0</v>
      </c>
      <c r="L7" s="1770" t="str">
        <f>"内訳は"&amp;CHAR(10)&amp;額内訳書!B1&amp;CHAR(10)&amp;"のとおり"</f>
        <v>内訳は
様式１－４
のとおり</v>
      </c>
      <c r="O7" s="116">
        <f>IF(はじめに入力してください!L18="","",VLOOKUP(はじめに入力してください!L18,リスト!A:EO,10,FALSE))</f>
        <v>0</v>
      </c>
    </row>
    <row r="8" spans="2:16" ht="20.100000000000001" customHeight="1">
      <c r="B8" s="1754"/>
      <c r="C8" s="1758"/>
      <c r="D8" s="59" t="str">
        <f>IF(表紙!X2="変更申請",IFERROR(VLOOKUP(はじめに入力してください!L18,リスト!A:EO,3,FALSE),""),"")</f>
        <v/>
      </c>
      <c r="E8" s="193" t="str">
        <f>IF(表紙!X2="変更申請",IFERROR(VLOOKUP(はじめに入力してください!L18,リスト!A:EO,4,FALSE),""),"")</f>
        <v/>
      </c>
      <c r="F8" s="59" t="str">
        <f>IF(表紙!X2="変更申請",IFERROR(VLOOKUP(はじめに入力してください!L18,リスト!A:EO,5,FALSE),""),"")</f>
        <v/>
      </c>
      <c r="G8" s="59" t="str">
        <f>IF(表紙!X2="変更申請",IFERROR(VLOOKUP(はじめに入力してくださいL20,リスト!A:EO,6,FALSE),""),"")</f>
        <v/>
      </c>
      <c r="H8" s="59" t="str">
        <f>IF(表紙!X2="変更申請",IFERROR(VLOOKUP(はじめに入力してください!L18,リスト!A:EO,7,FALSE),""),"")</f>
        <v/>
      </c>
      <c r="I8" s="59" t="str">
        <f>IF(表紙!X2="変更申請",IFERROR(VLOOKUP(はじめに入力してください!L18,リスト!A:EO,8,FALSE),""),"")</f>
        <v/>
      </c>
      <c r="J8" s="59" t="str">
        <f>IF(表紙!X2="変更申請",IFERROR(VLOOKUP(はじめに入力してください!L18,リスト!A:EO,9,FALSE),""),"")</f>
        <v/>
      </c>
      <c r="K8" s="59" t="str">
        <f>IF(表紙!X2="変更申請",IFERROR(VLOOKUP(はじめに入力してください!L18,リスト!A:EO,10,FALSE),""),"")</f>
        <v/>
      </c>
      <c r="L8" s="1771"/>
      <c r="O8" s="117">
        <f>IF(はじめに入力してください!$L$18="","",MIN(K7,O7))</f>
        <v>0</v>
      </c>
      <c r="P8" s="60"/>
    </row>
    <row r="9" spans="2:16" ht="20.100000000000001" customHeight="1">
      <c r="B9" s="1755"/>
      <c r="C9" s="1757" t="s">
        <v>103</v>
      </c>
      <c r="D9" s="61">
        <f>額内訳書!K8</f>
        <v>0</v>
      </c>
      <c r="E9" s="194">
        <v>0</v>
      </c>
      <c r="F9" s="61">
        <f>D9-E9</f>
        <v>0</v>
      </c>
      <c r="G9" s="61">
        <f>F9</f>
        <v>0</v>
      </c>
      <c r="H9" s="61">
        <f>額内訳書!G8</f>
        <v>0</v>
      </c>
      <c r="I9" s="61">
        <f>ROUNDDOWN(MIN(G9,H9),-3)</f>
        <v>0</v>
      </c>
      <c r="J9" s="61">
        <f>I9</f>
        <v>0</v>
      </c>
      <c r="K9" s="61">
        <f>ROUNDDOWN(J9,-3)</f>
        <v>0</v>
      </c>
      <c r="L9" s="1771"/>
      <c r="O9" s="116">
        <f>IF(はじめに入力してください!L18="","",VLOOKUP(はじめに入力してください!L18,リスト!A:EO,18,FALSE))</f>
        <v>0</v>
      </c>
      <c r="P9" s="60"/>
    </row>
    <row r="10" spans="2:16" ht="20.100000000000001" customHeight="1">
      <c r="B10" s="1755"/>
      <c r="C10" s="1758"/>
      <c r="D10" s="59" t="str">
        <f>IF(表紙!X2="変更申請",IFERROR(VLOOKUP(はじめに入力してください!L18,リスト!A:EO,11,FALSE),""),"")</f>
        <v/>
      </c>
      <c r="E10" s="193" t="str">
        <f>IF(表紙!X2="変更申請",IFERROR(VLOOKUP(はじめに入力してください!L18,リスト!A:EO,12,FALSE),""),"")</f>
        <v/>
      </c>
      <c r="F10" s="59" t="str">
        <f>IF(表紙!X2="変更申請",IFERROR(VLOOKUP(はじめに入力してください!L18,リスト!A:EO,13,FALSE),""),"")</f>
        <v/>
      </c>
      <c r="G10" s="59" t="str">
        <f>IF(表紙!X2="変更申請",IFERROR(VLOOKUP(はじめに入力してください!L18,リスト!A:EO,14,FALSE),""),"")</f>
        <v/>
      </c>
      <c r="H10" s="59" t="str">
        <f>IF(表紙!X2="変更申請",IFERROR(VLOOKUP(はじめに入力してください!L18,リスト!A:EO,15,FALSE),""),"")</f>
        <v/>
      </c>
      <c r="I10" s="59" t="str">
        <f>IF(表紙!X2="変更申請",IFERROR(VLOOKUP(はじめに入力してください!L18,リスト!A:EO,16,FALSE),""),"")</f>
        <v/>
      </c>
      <c r="J10" s="59" t="str">
        <f>IF(表紙!X2="変更申請",IFERROR(VLOOKUP(はじめに入力してください!L18,リスト!A:EO,17,FALSE),""),"")</f>
        <v/>
      </c>
      <c r="K10" s="59" t="str">
        <f>IF(表紙!X2="変更申請",IFERROR(VLOOKUP(はじめに入力してください!L18,リスト!A:EO,18,FALSE),""),"")</f>
        <v/>
      </c>
      <c r="L10" s="1771"/>
      <c r="O10" s="117">
        <f>IF(はじめに入力してください!$L$18="","",MIN(K9,O9))</f>
        <v>0</v>
      </c>
    </row>
    <row r="11" spans="2:16" ht="20.100000000000001" customHeight="1">
      <c r="B11" s="1755"/>
      <c r="C11" s="1757" t="s">
        <v>107</v>
      </c>
      <c r="D11" s="61">
        <f>額内訳書!K9</f>
        <v>0</v>
      </c>
      <c r="E11" s="194">
        <v>0</v>
      </c>
      <c r="F11" s="61">
        <f>D11-E11</f>
        <v>0</v>
      </c>
      <c r="G11" s="61">
        <f>F11</f>
        <v>0</v>
      </c>
      <c r="H11" s="61">
        <f>額内訳書!G9</f>
        <v>0</v>
      </c>
      <c r="I11" s="61">
        <f>ROUNDDOWN(MIN(G11,H11),-3)</f>
        <v>0</v>
      </c>
      <c r="J11" s="61">
        <f>I11</f>
        <v>0</v>
      </c>
      <c r="K11" s="61">
        <f>ROUNDDOWN(J11,-3)</f>
        <v>0</v>
      </c>
      <c r="L11" s="1771"/>
      <c r="O11" s="116">
        <f>IF(はじめに入力してください!L18="","",VLOOKUP(はじめに入力してください!L18,リスト!A:EO,26,FALSE))</f>
        <v>118000</v>
      </c>
    </row>
    <row r="12" spans="2:16" ht="20.100000000000001" customHeight="1">
      <c r="B12" s="1755"/>
      <c r="C12" s="1758"/>
      <c r="D12" s="59" t="str">
        <f>IF(表紙!X2="変更申請",IFERROR(VLOOKUP(はじめに入力してください!L18,リスト!A:EO,19,FALSE),""),"")</f>
        <v/>
      </c>
      <c r="E12" s="193" t="str">
        <f>IF(表紙!X2="変更申請",IFERROR(VLOOKUP(はじめに入力してください!L18,リスト!A:EO,20,FALSE),""),"")</f>
        <v/>
      </c>
      <c r="F12" s="59" t="str">
        <f>IF(表紙!X2="変更申請",IFERROR(VLOOKUP(はじめに入力してください!L18,リスト!A:EO,21,FALSE),""),"")</f>
        <v/>
      </c>
      <c r="G12" s="59" t="str">
        <f>IF(表紙!X2="変更申請",IFERROR(VLOOKUP(はじめに入力してください!L18,リスト!A:EO,22,FALSE),""),"")</f>
        <v/>
      </c>
      <c r="H12" s="59" t="str">
        <f>IF(表紙!X2="変更申請",IFERROR(VLOOKUP(はじめに入力してください!L18,リスト!A:EO,23,FALSE),""),"")</f>
        <v/>
      </c>
      <c r="I12" s="59" t="str">
        <f>IF(表紙!X2="変更申請",IFERROR(VLOOKUP(はじめに入力してください!L18,リスト!A:EO,24,FALSE),""),"")</f>
        <v/>
      </c>
      <c r="J12" s="59" t="str">
        <f>IF(表紙!X2="変更申請",IFERROR(VLOOKUP(はじめに入力してください!L18,リスト!A:EO,25,FALSE),""),"")</f>
        <v/>
      </c>
      <c r="K12" s="59" t="str">
        <f>IF(表紙!X2="変更申請",IFERROR(VLOOKUP(はじめに入力してください!L18,リスト!A:EO,26,FALSE),""),"")</f>
        <v/>
      </c>
      <c r="L12" s="1771"/>
      <c r="O12" s="117">
        <f>IF(はじめに入力してください!$L$18="","",MIN(K11,O11))</f>
        <v>0</v>
      </c>
    </row>
    <row r="13" spans="2:16" ht="20.100000000000001" customHeight="1">
      <c r="B13" s="1755"/>
      <c r="C13" s="1757" t="s">
        <v>528</v>
      </c>
      <c r="D13" s="61">
        <f>額内訳書!K10</f>
        <v>0</v>
      </c>
      <c r="E13" s="194">
        <v>0</v>
      </c>
      <c r="F13" s="61">
        <f>D13-E13</f>
        <v>0</v>
      </c>
      <c r="G13" s="61">
        <f>F13</f>
        <v>0</v>
      </c>
      <c r="H13" s="61">
        <f>額内訳書!G10</f>
        <v>0</v>
      </c>
      <c r="I13" s="61">
        <f>ROUNDDOWN(MIN(G13,H13),-3)</f>
        <v>0</v>
      </c>
      <c r="J13" s="61">
        <f>I13</f>
        <v>0</v>
      </c>
      <c r="K13" s="61">
        <f>ROUNDDOWN(J13,-3)</f>
        <v>0</v>
      </c>
      <c r="L13" s="1771"/>
      <c r="O13" s="116">
        <f>IF(はじめに入力してください!L18="","",VLOOKUP(はじめに入力してください!L18,リスト!A:EO,34,FALSE))</f>
        <v>0</v>
      </c>
    </row>
    <row r="14" spans="2:16" ht="20.100000000000001" customHeight="1">
      <c r="B14" s="1755"/>
      <c r="C14" s="1758"/>
      <c r="D14" s="59" t="str">
        <f>IF(表紙!X2="変更申請",IFERROR(VLOOKUP(はじめに入力してください!L18,リスト!A:EO,27,FALSE),""),"")</f>
        <v/>
      </c>
      <c r="E14" s="193" t="str">
        <f>IF(表紙!X2="変更申請",IFERROR(VLOOKUP(はじめに入力してください!L18,リスト!A:EO,28,FALSE),""),"")</f>
        <v/>
      </c>
      <c r="F14" s="59" t="str">
        <f>IF(表紙!X2="変更申請",IFERROR(VLOOKUP(はじめに入力してください!L18,リスト!A:EO,29,FALSE),""),"")</f>
        <v/>
      </c>
      <c r="G14" s="59" t="str">
        <f>IF(表紙!X2="変更申請",IFERROR(VLOOKUP(はじめに入力してください!L18,リスト!A:EO,30,FALSE),""),"")</f>
        <v/>
      </c>
      <c r="H14" s="59" t="str">
        <f>IF(表紙!X2="変更申請",IFERROR(VLOOKUP(はじめに入力してください!L18,リスト!A:EO,31,FALSE),""),"")</f>
        <v/>
      </c>
      <c r="I14" s="59" t="str">
        <f>IF(表紙!X2="変更申請",IFERROR(VLOOKUP(はじめに入力してください!L18,リスト!A:EO,32,FALSE),""),"")</f>
        <v/>
      </c>
      <c r="J14" s="59" t="str">
        <f>IF(表紙!X2="変更申請",IFERROR(VLOOKUP(はじめに入力してください!L18,リスト!A:EO,33,FALSE),""),"")</f>
        <v/>
      </c>
      <c r="K14" s="59" t="str">
        <f>IF(表紙!X2="変更申請",IFERROR(VLOOKUP(はじめに入力してください!L18,リスト!A:EO,34,FALSE),""),"")</f>
        <v/>
      </c>
      <c r="L14" s="1771"/>
      <c r="O14" s="117">
        <f>IF(はじめに入力してください!$L$18="","",MIN(K13,O13))</f>
        <v>0</v>
      </c>
    </row>
    <row r="15" spans="2:16" ht="20.100000000000001" customHeight="1">
      <c r="B15" s="1755"/>
      <c r="C15" s="1764" t="s">
        <v>1358</v>
      </c>
      <c r="D15" s="203">
        <f>額内訳書!K11</f>
        <v>0</v>
      </c>
      <c r="E15" s="203">
        <v>0</v>
      </c>
      <c r="F15" s="203">
        <f>D15-E15</f>
        <v>0</v>
      </c>
      <c r="G15" s="203">
        <f>F15</f>
        <v>0</v>
      </c>
      <c r="H15" s="203">
        <f>額内訳書!G11</f>
        <v>0</v>
      </c>
      <c r="I15" s="194">
        <f>ROUNDDOWN(MIN(G15,H15),-3)</f>
        <v>0</v>
      </c>
      <c r="J15" s="194">
        <f>I15</f>
        <v>0</v>
      </c>
      <c r="K15" s="194">
        <f>ROUNDDOWN(J15,-3)</f>
        <v>0</v>
      </c>
      <c r="L15" s="1771"/>
      <c r="O15" s="147">
        <f>IF(はじめに入力してください!L18="","",VLOOKUP(はじめに入力してください!L18,リスト!A:EO,137,FALSE))</f>
        <v>0</v>
      </c>
    </row>
    <row r="16" spans="2:16" ht="20.100000000000001" customHeight="1">
      <c r="B16" s="1755"/>
      <c r="C16" s="1765"/>
      <c r="D16" s="195" t="str">
        <f>IF(表紙!X2="変更申請",IFERROR(VLOOKUP(はじめに入力してください!L18,リスト!A:EO,130,FALSE),""),"")</f>
        <v/>
      </c>
      <c r="E16" s="195" t="str">
        <f>IF(表紙!X2="変更申請",IFERROR(VLOOKUP(はじめに入力してください!L18,リスト!A:EO,131,FALSE),""),"")</f>
        <v/>
      </c>
      <c r="F16" s="195" t="str">
        <f>IF(表紙!X2="変更申請",IFERROR(VLOOKUP(はじめに入力してください!L18,リスト!A:EO,132,FALSE),""),"")</f>
        <v/>
      </c>
      <c r="G16" s="195" t="str">
        <f>IF(表紙!X2="変更申請",IFERROR(VLOOKUP(はじめに入力してください!L18,リスト!A:EO,133,FALSE),""),"")</f>
        <v/>
      </c>
      <c r="H16" s="195" t="str">
        <f>IF(表紙!X2="変更申請",IFERROR(VLOOKUP(はじめに入力してください!L18,リスト!A:EO,134,FALSE),""),"")</f>
        <v/>
      </c>
      <c r="I16" s="195" t="str">
        <f>IF(表紙!X2="変更申請",IFERROR(VLOOKUP(はじめに入力してください!L18,リスト!A:EO,135,FALSE),""),"")</f>
        <v/>
      </c>
      <c r="J16" s="195" t="str">
        <f>IF(表紙!X2="変更申請",IFERROR(VLOOKUP(はじめに入力してください!L18,リスト!A:EO,136,FALSE),""),"")</f>
        <v/>
      </c>
      <c r="K16" s="195" t="str">
        <f>IF(表紙!X2="変更申請",IFERROR(VLOOKUP(はじめに入力してください!L18,リスト!A:EO,137,FALSE),""),"")</f>
        <v/>
      </c>
      <c r="L16" s="1771"/>
      <c r="O16" s="117">
        <f>IF(はじめに入力してください!$L$18="","",MIN(K15,O15))</f>
        <v>0</v>
      </c>
    </row>
    <row r="17" spans="2:16" ht="20.100000000000001" customHeight="1">
      <c r="B17" s="1755"/>
      <c r="C17" s="1764" t="s">
        <v>1359</v>
      </c>
      <c r="D17" s="194">
        <f>額内訳書!K12</f>
        <v>0</v>
      </c>
      <c r="E17" s="194">
        <v>0</v>
      </c>
      <c r="F17" s="194">
        <f>D17-E17</f>
        <v>0</v>
      </c>
      <c r="G17" s="194">
        <f>F17</f>
        <v>0</v>
      </c>
      <c r="H17" s="194">
        <f>額内訳書!G12</f>
        <v>0</v>
      </c>
      <c r="I17" s="194">
        <f>ROUNDDOWN(MIN(G17,H17),-3)</f>
        <v>0</v>
      </c>
      <c r="J17" s="194">
        <f>I17</f>
        <v>0</v>
      </c>
      <c r="K17" s="194">
        <f>ROUNDDOWN(J17,-3)</f>
        <v>0</v>
      </c>
      <c r="L17" s="1771"/>
      <c r="O17" s="116">
        <f>IF(はじめに入力してください!L18="","",VLOOKUP(はじめに入力してください!L18,リスト!A:EO,144,FALSE))</f>
        <v>0</v>
      </c>
    </row>
    <row r="18" spans="2:16" ht="20.100000000000001" customHeight="1">
      <c r="B18" s="1755"/>
      <c r="C18" s="1765"/>
      <c r="D18" s="193" t="str">
        <f>IF(テーブル!B1="変更申請",IFERROR(VLOOKUP(はじめに入力してください!L16,リスト!A:EO,138,FALSE),""),"")</f>
        <v/>
      </c>
      <c r="E18" s="193" t="str">
        <f>IF(テーブル!B1="変更申請",IFERROR(VLOOKUP(はじめに入力してください!L16,リスト!A:EO,139,FALSE),""),"")</f>
        <v/>
      </c>
      <c r="F18" s="193" t="str">
        <f>IF(テーブル!B1="変更申請",IFERROR(VLOOKUP(はじめに入力してください!L16,リスト!A:EO,140,FALSE),""),"")</f>
        <v/>
      </c>
      <c r="G18" s="193" t="str">
        <f>IF(テーブル!B1="変更申請",IFERROR(VLOOKUP(はじめに入力してください!L16,リスト!A:EO,141,FALSE),""),"")</f>
        <v/>
      </c>
      <c r="H18" s="193" t="str">
        <f>IF(テーブル!B1="変更申請",IFERROR(VLOOKUP(はじめに入力してください!L16,リスト!A:EO,142,FALSE),""),"")</f>
        <v/>
      </c>
      <c r="I18" s="193" t="str">
        <f>IF(テーブル!B1="変更申請",IFERROR(VLOOKUP(はじめに入力してください!L16,リスト!A:EO,143,FALSE),""),"")</f>
        <v/>
      </c>
      <c r="J18" s="193" t="str">
        <f>IF(テーブル!B1="変更申請",IFERROR(VLOOKUP(はじめに入力してください!L16,リスト!A:EO,144,FALSE),""),"")</f>
        <v/>
      </c>
      <c r="K18" s="193" t="str">
        <f>IF(テーブル!B1="変更申請",IFERROR(VLOOKUP(はじめに入力してください!L16,リスト!A:EO,145,FALSE),""),"")</f>
        <v/>
      </c>
      <c r="L18" s="1771"/>
      <c r="O18" s="117">
        <f>IF(はじめに入力してください!$L$18="","",MIN(K17,O17))</f>
        <v>0</v>
      </c>
    </row>
    <row r="19" spans="2:16" ht="20.100000000000001" customHeight="1">
      <c r="B19" s="1755"/>
      <c r="C19" s="1757" t="s">
        <v>530</v>
      </c>
      <c r="D19" s="61">
        <f>額内訳書!K13</f>
        <v>0</v>
      </c>
      <c r="E19" s="194">
        <v>0</v>
      </c>
      <c r="F19" s="61">
        <f>D19-E19</f>
        <v>0</v>
      </c>
      <c r="G19" s="61">
        <f>F19</f>
        <v>0</v>
      </c>
      <c r="H19" s="61">
        <f>額内訳書!G13</f>
        <v>0</v>
      </c>
      <c r="I19" s="61">
        <f>ROUNDDOWN(MIN(G19,H19),-3)</f>
        <v>0</v>
      </c>
      <c r="J19" s="61">
        <f>I19</f>
        <v>0</v>
      </c>
      <c r="K19" s="61">
        <f>ROUNDDOWN(J19,-3)</f>
        <v>0</v>
      </c>
      <c r="L19" s="1771"/>
      <c r="O19" s="116">
        <f>IF(はじめに入力してください!L18="","",VLOOKUP(はじめに入力してください!L18,リスト!A:EO,42,FALSE))</f>
        <v>0</v>
      </c>
    </row>
    <row r="20" spans="2:16" ht="20.100000000000001" customHeight="1">
      <c r="B20" s="1755"/>
      <c r="C20" s="1758"/>
      <c r="D20" s="59" t="str">
        <f>IF(表紙!X2="変更申請",IFERROR(VLOOKUP(はじめに入力してください!L18,リスト!A:EO,35,FALSE),""),"")</f>
        <v/>
      </c>
      <c r="E20" s="193" t="str">
        <f>IF(表紙!X2="変更申請",IFERROR(VLOOKUP(はじめに入力してください!L18,リスト!A:EO,36,FALSE),""),"")</f>
        <v/>
      </c>
      <c r="F20" s="59" t="str">
        <f>IF(表紙!X2="変更申請",IFERROR(VLOOKUP(はじめに入力してください!L18,リスト!A:EO,37,FALSE),""),"")</f>
        <v/>
      </c>
      <c r="G20" s="59" t="str">
        <f>IF(表紙!X2="変更申請",IFERROR(VLOOKUP(はじめに入力してください!L18,リスト!A:EO,38,FALSE),""),"")</f>
        <v/>
      </c>
      <c r="H20" s="59" t="str">
        <f>IF(表紙!X2="変更申請",IFERROR(VLOOKUP(はじめに入力してください!L18,リスト!A:EO,39,FALSE),""),"")</f>
        <v/>
      </c>
      <c r="I20" s="59" t="str">
        <f>IF(表紙!X2="変更申請",IFERROR(VLOOKUP(はじめに入力してください!L18,リスト!A:EO,40,FALSE),""),"")</f>
        <v/>
      </c>
      <c r="J20" s="59" t="str">
        <f>IF(表紙!X2="変更申請",IFERROR(VLOOKUP(はじめに入力してください!L18,リスト!A:EO,41,FALSE),""),"")</f>
        <v/>
      </c>
      <c r="K20" s="59" t="str">
        <f>IF(表紙!X2="変更申請",IFERROR(VLOOKUP(はじめに入力してください!L18,リスト!A:EO,42,FALSE),""),"")</f>
        <v/>
      </c>
      <c r="L20" s="1771"/>
      <c r="O20" s="117">
        <f>IF(はじめに入力してください!$L$18="","",MIN(K19,O19))</f>
        <v>0</v>
      </c>
    </row>
    <row r="21" spans="2:16" ht="20.100000000000001" customHeight="1">
      <c r="B21" s="1755"/>
      <c r="C21" s="1757" t="s">
        <v>507</v>
      </c>
      <c r="D21" s="61">
        <f>額内訳書!K14</f>
        <v>0</v>
      </c>
      <c r="E21" s="194">
        <v>0</v>
      </c>
      <c r="F21" s="61">
        <f>D21-E21</f>
        <v>0</v>
      </c>
      <c r="G21" s="61">
        <f>F21</f>
        <v>0</v>
      </c>
      <c r="H21" s="61">
        <f>額内訳書!G14</f>
        <v>0</v>
      </c>
      <c r="I21" s="61">
        <f>ROUNDDOWN(MIN(G21,H21),-3)</f>
        <v>0</v>
      </c>
      <c r="J21" s="61">
        <f>I21</f>
        <v>0</v>
      </c>
      <c r="K21" s="61">
        <f>ROUNDDOWN(J21,-3)</f>
        <v>0</v>
      </c>
      <c r="L21" s="1771"/>
      <c r="O21" s="116">
        <f>IF(はじめに入力してください!L18="","",VLOOKUP(はじめに入力してください!L18,リスト!A:EO,50,FALSE))</f>
        <v>0</v>
      </c>
      <c r="P21" s="60"/>
    </row>
    <row r="22" spans="2:16" ht="20.100000000000001" customHeight="1">
      <c r="B22" s="1755"/>
      <c r="C22" s="1758"/>
      <c r="D22" s="59" t="str">
        <f>IF(表紙!X2="変更申請",IFERROR(VLOOKUP(はじめに入力してください!L18,リスト!A:EO,43,FALSE),""),"")</f>
        <v/>
      </c>
      <c r="E22" s="193" t="str">
        <f>IF(表紙!X2="変更申請",IFERROR(VLOOKUP(はじめに入力してください!L18,リスト!A:EO,44,FALSE),""),"")</f>
        <v/>
      </c>
      <c r="F22" s="59" t="str">
        <f>IF(表紙!X2="変更申請",IFERROR(VLOOKUP(はじめに入力してください!L18,リスト!A:EO,45,FALSE),""),"")</f>
        <v/>
      </c>
      <c r="G22" s="59" t="str">
        <f>IF(表紙!X2="変更申請",IFERROR(VLOOKUP(はじめに入力してください!L18,リスト!A:EO,46,FALSE),""),"")</f>
        <v/>
      </c>
      <c r="H22" s="59" t="str">
        <f>IF(表紙!X2="変更申請",IFERROR(VLOOKUP(はじめに入力してください!L18,リスト!A:EO,47,FALSE),""),"")</f>
        <v/>
      </c>
      <c r="I22" s="59" t="str">
        <f>IF(表紙!X2="変更申請",IFERROR(VLOOKUP(はじめに入力してください!L18,リスト!A:EO,48,FALSE),""),"")</f>
        <v/>
      </c>
      <c r="J22" s="59" t="str">
        <f>IF(表紙!X2="変更申請",IFERROR(VLOOKUP(はじめに入力してください!L18,リスト!A:EO,49,FALSE),""),"")</f>
        <v/>
      </c>
      <c r="K22" s="59" t="str">
        <f>IF(表紙!X2="変更申請",IFERROR(VLOOKUP(はじめに入力してください!L18,リスト!A:EO,50,FALSE),""),"")</f>
        <v/>
      </c>
      <c r="L22" s="1771"/>
      <c r="O22" s="117">
        <f>IF(はじめに入力してください!$L$18="","",MIN(K21,O21))</f>
        <v>0</v>
      </c>
    </row>
    <row r="23" spans="2:16" ht="20.100000000000001" customHeight="1">
      <c r="B23" s="1755"/>
      <c r="C23" s="1757" t="s">
        <v>110</v>
      </c>
      <c r="D23" s="61">
        <f>額内訳書!K15</f>
        <v>0</v>
      </c>
      <c r="E23" s="194">
        <v>0</v>
      </c>
      <c r="F23" s="61">
        <f>D23-E23</f>
        <v>0</v>
      </c>
      <c r="G23" s="61">
        <f>F23</f>
        <v>0</v>
      </c>
      <c r="H23" s="61">
        <f>額内訳書!G15</f>
        <v>0</v>
      </c>
      <c r="I23" s="61">
        <f>ROUNDDOWN(MIN(G23,H23),-3)</f>
        <v>0</v>
      </c>
      <c r="J23" s="61">
        <f>I23</f>
        <v>0</v>
      </c>
      <c r="K23" s="61">
        <f>ROUNDDOWN(J23,-3)</f>
        <v>0</v>
      </c>
      <c r="L23" s="1771"/>
      <c r="O23" s="116">
        <f>IF(はじめに入力してください!L18="","",VLOOKUP(はじめに入力してください!L18,リスト!A:EO,58,FALSE))</f>
        <v>0</v>
      </c>
    </row>
    <row r="24" spans="2:16" ht="20.100000000000001" customHeight="1">
      <c r="B24" s="1756"/>
      <c r="C24" s="1758"/>
      <c r="D24" s="59" t="str">
        <f>IF(表紙!X2="変更申請",IFERROR(VLOOKUP(はじめに入力してください!L18,リスト!A:EO,51,FALSE),""),"")</f>
        <v/>
      </c>
      <c r="E24" s="193" t="str">
        <f>IF(表紙!X2="変更申請",IFERROR(VLOOKUP(はじめに入力してください!L18,リスト!A:EO,52,FALSE),""),"")</f>
        <v/>
      </c>
      <c r="F24" s="59" t="str">
        <f>IF(表紙!X2="変更申請",IFERROR(VLOOKUP(はじめに入力してください!L18,リスト!A:EO,53,FALSE),""),"")</f>
        <v/>
      </c>
      <c r="G24" s="59" t="str">
        <f>IF(表紙!X2="変更申請",IFERROR(VLOOKUP(はじめに入力してください!L18,リスト!A:EO,54,FALSE),""),"")</f>
        <v/>
      </c>
      <c r="H24" s="59" t="str">
        <f>IF(表紙!X2="変更申請",IFERROR(VLOOKUP(はじめに入力してください!L18,リスト!A:EO,55,FALSE),""),"")</f>
        <v/>
      </c>
      <c r="I24" s="59" t="str">
        <f>IF(表紙!X2="変更申請",IFERROR(VLOOKUP(はじめに入力してください!L18,リスト!A:EO,56,FALSE),""),"")</f>
        <v/>
      </c>
      <c r="J24" s="59" t="str">
        <f>IF(表紙!X2="変更申請",IFERROR(VLOOKUP(はじめに入力してください!L18,リスト!A:EO,57,FALSE),""),"")</f>
        <v/>
      </c>
      <c r="K24" s="59" t="str">
        <f>IF(表紙!X2="変更申請",IFERROR(VLOOKUP(はじめに入力してください!L18,リスト!A:EO,58,FALSE),""),"")</f>
        <v/>
      </c>
      <c r="L24" s="1771"/>
      <c r="O24" s="117">
        <f>IF(はじめに入力してください!$L$18="","",MIN(K23,O23))</f>
        <v>0</v>
      </c>
    </row>
    <row r="25" spans="2:16" ht="20.100000000000001" customHeight="1">
      <c r="B25" s="1766" t="s">
        <v>561</v>
      </c>
      <c r="C25" s="1769" t="s">
        <v>1184</v>
      </c>
      <c r="D25" s="61">
        <f>額内訳書!K16</f>
        <v>0</v>
      </c>
      <c r="E25" s="194">
        <v>0</v>
      </c>
      <c r="F25" s="61">
        <f>D25-E25</f>
        <v>0</v>
      </c>
      <c r="G25" s="61">
        <f>F25</f>
        <v>0</v>
      </c>
      <c r="H25" s="61">
        <f>額内訳書!G16</f>
        <v>0</v>
      </c>
      <c r="I25" s="61">
        <f>ROUNDDOWN(MIN(G25,H25),-3)</f>
        <v>0</v>
      </c>
      <c r="J25" s="61">
        <f>I25</f>
        <v>0</v>
      </c>
      <c r="K25" s="61">
        <f>ROUNDDOWN(J25*1/2,-3)</f>
        <v>0</v>
      </c>
      <c r="L25" s="1771"/>
      <c r="O25" s="116">
        <f>IF(はじめに入力してください!L18="","",VLOOKUP(はじめに入力してください!L18,リスト!A:EO,66,FALSE))</f>
        <v>0</v>
      </c>
    </row>
    <row r="26" spans="2:16" ht="20.100000000000001" customHeight="1" thickBot="1">
      <c r="B26" s="1754"/>
      <c r="C26" s="1768"/>
      <c r="D26" s="59" t="str">
        <f>IF(表紙!X2="変更申請",IFERROR(VLOOKUP(はじめに入力してください!L18,リスト!A:EO,59,FALSE),""),"")</f>
        <v/>
      </c>
      <c r="E26" s="193" t="str">
        <f>IF(表紙!X2="変更申請",IFERROR(VLOOKUP(はじめに入力してください!L18,リスト!A:EO,60,FALSE),""),"")</f>
        <v/>
      </c>
      <c r="F26" s="59" t="str">
        <f>IF(表紙!X2="変更申請",IFERROR(VLOOKUP(はじめに入力してください!L18,リスト!A:EO,61,FALSE),""),"")</f>
        <v/>
      </c>
      <c r="G26" s="59" t="str">
        <f>IF(表紙!X2="変更申請",IFERROR(VLOOKUP(はじめに入力してください!L18,リスト!A:EO,62,FALSE),""),"")</f>
        <v/>
      </c>
      <c r="H26" s="59" t="str">
        <f>IF(表紙!X2="変更申請",IFERROR(VLOOKUP(はじめに入力してください!L18,リスト!A:EO,63,FALSE),""),"")</f>
        <v/>
      </c>
      <c r="I26" s="59" t="str">
        <f>IF(表紙!X2="変更申請",IFERROR(VLOOKUP(はじめに入力してください!L18,リスト!A:EO,64,FALSE),""),"")</f>
        <v/>
      </c>
      <c r="J26" s="59" t="str">
        <f>IF(表紙!X2="変更申請",IFERROR(VLOOKUP(はじめに入力してください!L18,リスト!A:EO,65,FALSE),""),"")</f>
        <v/>
      </c>
      <c r="K26" s="59" t="str">
        <f>IF(表紙!X2="変更申請",IFERROR(VLOOKUP(はじめに入力してください!L18,リスト!A:EO,66,FALSE),""),"")</f>
        <v/>
      </c>
      <c r="L26" s="1771"/>
      <c r="O26" s="117">
        <f>IF(はじめに入力してください!$L$18="","",MIN(K25,O25))</f>
        <v>0</v>
      </c>
    </row>
    <row r="27" spans="2:16" ht="20.100000000000001" hidden="1" customHeight="1" thickTop="1">
      <c r="B27" s="1760" t="s">
        <v>74</v>
      </c>
      <c r="C27" s="1761"/>
      <c r="D27" s="174">
        <f t="shared" ref="D27:K27" si="0">SUM(D7,D9,D11,D13,D15,D17,D19,D21,D23,D25)</f>
        <v>0</v>
      </c>
      <c r="E27" s="174">
        <f t="shared" si="0"/>
        <v>0</v>
      </c>
      <c r="F27" s="174">
        <f t="shared" si="0"/>
        <v>0</v>
      </c>
      <c r="G27" s="174">
        <f t="shared" si="0"/>
        <v>0</v>
      </c>
      <c r="H27" s="174">
        <f t="shared" si="0"/>
        <v>0</v>
      </c>
      <c r="I27" s="174">
        <f t="shared" si="0"/>
        <v>0</v>
      </c>
      <c r="J27" s="174">
        <f t="shared" si="0"/>
        <v>0</v>
      </c>
      <c r="K27" s="174">
        <f t="shared" si="0"/>
        <v>0</v>
      </c>
      <c r="L27" s="1772"/>
      <c r="O27" s="116">
        <f>IF(はじめに入力してください!L18="","",SUM(O7,O9,O11,O13,O19,O21,O23,O25))</f>
        <v>118000</v>
      </c>
      <c r="P27" s="47"/>
    </row>
    <row r="28" spans="2:16" ht="20.100000000000001" hidden="1" customHeight="1" thickBot="1">
      <c r="B28" s="1762"/>
      <c r="C28" s="1763"/>
      <c r="D28" s="175" t="str">
        <f>IF(表紙!X2="変更申請",SUM(D8,D10,D12,D14,D20,D22,D24,D26),"")</f>
        <v/>
      </c>
      <c r="E28" s="175" t="str">
        <f>IF(表紙!X2="変更申請",SUM(E8,E10,E12,E14,E20,E22,E24,E26),"")</f>
        <v/>
      </c>
      <c r="F28" s="175" t="str">
        <f>IF(表紙!X2="変更申請",SUM(F8,F10,F12,F14,F20,F22,F24,F26),"")</f>
        <v/>
      </c>
      <c r="G28" s="175" t="str">
        <f>IF(表紙!X2="変更申請",SUM(G8,G10,G12,G14,G20,G22,G24,G26),"")</f>
        <v/>
      </c>
      <c r="H28" s="175" t="str">
        <f>IF(表紙!X2="変更申請",SUM(H8,H10,H12,H14,H20,H22,H24,H26),"")</f>
        <v/>
      </c>
      <c r="I28" s="175" t="str">
        <f>IF(表紙!X2="変更申請",SUM(I8,I10,I12,I14,I20,I22,I24,I26),"")</f>
        <v/>
      </c>
      <c r="J28" s="175" t="str">
        <f>IF(表紙!X2="変更申請",SUM(J8,J10,J12,J14,J20,J22,J24,J26),"")</f>
        <v/>
      </c>
      <c r="K28" s="175" t="str">
        <f>IF(表紙!X2="変更申請",SUM(K8,K10,K12,K14,K20,K22,K24,K26),"")</f>
        <v/>
      </c>
      <c r="L28" s="1772"/>
      <c r="O28" s="117">
        <f>IF(はじめに入力してください!L18="","",SUM(O8,O10,O12,O14,O20,O22,O24,O26))</f>
        <v>0</v>
      </c>
      <c r="P28" s="47"/>
    </row>
    <row r="29" spans="2:16" ht="20.100000000000001" hidden="1" customHeight="1">
      <c r="B29" s="1766" t="str">
        <f xml:space="preserve">
IF(表紙!$X$2="事前協議","－",
IF(表紙!$X$2="交付申請（２次）","－",
IF(表紙!$X$2="変更申請","－",
IF(表紙!$X$2="実績報告（１次）","感染症対策事業",
IF(表紙!$X$2="実績報告（２次）","－",
IF(表紙!$X$2="交付申請兼実績報告","－"))))))</f>
        <v>－</v>
      </c>
      <c r="C29" s="1767" t="str">
        <f xml:space="preserve">
IF(表紙!$X$2="事前協議","－",
IF(表紙!$X$2="交付申請（２次）","－",
IF(表紙!$X$2="変更申請","－",
IF(表紙!$X$2="実績報告（１次）","消毒経費",
IF(表紙!$X$2="実績報告（２次）","－",
IF(表紙!$X$2="交付申請兼実績報告","－"))))))</f>
        <v>－</v>
      </c>
      <c r="D29" s="61">
        <f>額内訳書!K18</f>
        <v>0</v>
      </c>
      <c r="E29" s="194">
        <v>0</v>
      </c>
      <c r="F29" s="61">
        <f>D29-E29</f>
        <v>0</v>
      </c>
      <c r="G29" s="61">
        <f>F29</f>
        <v>0</v>
      </c>
      <c r="H29" s="61">
        <f>額内訳書!G18</f>
        <v>0</v>
      </c>
      <c r="I29" s="61">
        <f>ROUNDDOWN(MIN(G29,H29),-3)</f>
        <v>0</v>
      </c>
      <c r="J29" s="61">
        <f>I29</f>
        <v>0</v>
      </c>
      <c r="K29" s="61">
        <f>ROUNDDOWN(J29,-3)</f>
        <v>0</v>
      </c>
      <c r="L29" s="1772"/>
      <c r="O29" s="147"/>
      <c r="P29" s="47"/>
    </row>
    <row r="30" spans="2:16" ht="20.100000000000001" hidden="1" customHeight="1" thickBot="1">
      <c r="B30" s="1754"/>
      <c r="C30" s="1768"/>
      <c r="D30" s="59" t="str">
        <f>IF(テーブル!B9="変更申請",IFERROR(VLOOKUP(はじめに入力してください!L24,リスト!A:EO,59,FALSE),""),"")</f>
        <v/>
      </c>
      <c r="E30" s="193" t="str">
        <f>IF(テーブル!B9="変更申請",IFERROR(VLOOKUP(はじめに入力してください!L24,リスト!A:EO,60,FALSE),""),"")</f>
        <v/>
      </c>
      <c r="F30" s="59" t="str">
        <f>IF(テーブル!B9="変更申請",IFERROR(VLOOKUP(はじめに入力してください!L24,リスト!A:EO,61,FALSE),""),"")</f>
        <v/>
      </c>
      <c r="G30" s="59" t="str">
        <f>IF(テーブル!B9="変更申請",IFERROR(VLOOKUP(はじめに入力してください!L24,リスト!A:EO,62,FALSE),""),"")</f>
        <v/>
      </c>
      <c r="H30" s="59" t="str">
        <f>IF(テーブル!B9="変更申請",IFERROR(VLOOKUP(はじめに入力してください!L24,リスト!A:EO,63,FALSE),""),"")</f>
        <v/>
      </c>
      <c r="I30" s="59" t="str">
        <f>IF(テーブル!B9="変更申請",IFERROR(VLOOKUP(はじめに入力してください!L24,リスト!A:EO,64,FALSE),""),"")</f>
        <v/>
      </c>
      <c r="J30" s="59" t="str">
        <f>IF(テーブル!B9="変更申請",IFERROR(VLOOKUP(はじめに入力してください!L24,リスト!A:EO,65,FALSE),""),"")</f>
        <v/>
      </c>
      <c r="K30" s="59" t="str">
        <f>IF(テーブル!B9="変更申請",IFERROR(VLOOKUP(はじめに入力してください!L24,リスト!A:EO,66,FALSE),""),"")</f>
        <v/>
      </c>
      <c r="L30" s="1772"/>
      <c r="O30" s="147"/>
      <c r="P30" s="47"/>
    </row>
    <row r="31" spans="2:16" ht="20.100000000000001" hidden="1" customHeight="1">
      <c r="B31" s="1753" t="str">
        <f xml:space="preserve">
IF(表紙!$X$2="事前協議","－",
IF(表紙!$X$2="交付申請（２次）","－",
IF(表紙!$X$2="変更申請","－",
IF(表紙!$X$2="実績報告（１次）","重点医療機関等"&amp;CHAR(10)&amp;"設備整備事業",
IF(表紙!$X$2="実績報告（２次）","－",
IF(表紙!$X$2="交付申請兼実績報告","－"))))))</f>
        <v>－</v>
      </c>
      <c r="C31" s="1759" t="str">
        <f xml:space="preserve">
IF(表紙!$X$2="事前協議","－",
IF(表紙!$X$2="交付申請（２次）","－",
IF(表紙!$X$2="変更申請","－",
IF(表紙!$X$2="実績報告（１次）","超音波画像診断装置",
IF(表紙!$X$2="実績報告（２次）","－",
IF(表紙!$X$2="交付申請兼実績報告","－"))))))</f>
        <v>－</v>
      </c>
      <c r="D31" s="58">
        <f>額内訳書!K19</f>
        <v>0</v>
      </c>
      <c r="E31" s="192">
        <v>0</v>
      </c>
      <c r="F31" s="58">
        <f>D31-E31</f>
        <v>0</v>
      </c>
      <c r="G31" s="58">
        <f>F31</f>
        <v>0</v>
      </c>
      <c r="H31" s="58">
        <f>額内訳書!G19</f>
        <v>0</v>
      </c>
      <c r="I31" s="58">
        <f>ROUNDDOWN(MIN(G31,H31),-3)</f>
        <v>0</v>
      </c>
      <c r="J31" s="58">
        <f>I31</f>
        <v>0</v>
      </c>
      <c r="K31" s="58">
        <f>ROUNDDOWN(J31,-3)</f>
        <v>0</v>
      </c>
      <c r="L31" s="1772"/>
      <c r="O31" s="116">
        <f>IF(はじめに入力してください!L18="","",VLOOKUP(はじめに入力してください!L18,リスト!A:EO,74,FALSE))</f>
        <v>0</v>
      </c>
    </row>
    <row r="32" spans="2:16" ht="20.100000000000001" hidden="1" customHeight="1">
      <c r="B32" s="1754"/>
      <c r="C32" s="1758"/>
      <c r="D32" s="59" t="str">
        <f>IF(表紙!X2="変更申請",IFERROR(VLOOKUP(はじめに入力してください!L18,リスト!A:EO,67,FALSE),""),"")</f>
        <v/>
      </c>
      <c r="E32" s="193" t="str">
        <f>IF(表紙!X2="変更申請",IFERROR(VLOOKUP(はじめに入力してください!L18,リスト!A:EO,68,FALSE),""),"")</f>
        <v/>
      </c>
      <c r="F32" s="59" t="str">
        <f>IF(表紙!X2="変更申請",IFERROR(VLOOKUP(はじめに入力してください!L18,リスト!A:EO,69,FALSE),""),"")</f>
        <v/>
      </c>
      <c r="G32" s="59" t="str">
        <f>IF(表紙!X2="変更申請",IFERROR(VLOOKUP(はじめに入力してください!L18,リスト!A:EO,70,FALSE),""),"")</f>
        <v/>
      </c>
      <c r="H32" s="59" t="str">
        <f>IF(表紙!X2="変更申請",IFERROR(VLOOKUP(はじめに入力してください!L18,リスト!A:EO,71,FALSE),""),"")</f>
        <v/>
      </c>
      <c r="I32" s="59" t="str">
        <f>IF(表紙!X2="変更申請",IFERROR(VLOOKUP(はじめに入力してください!L18,リスト!A:EO,72,FALSE),""),"")</f>
        <v/>
      </c>
      <c r="J32" s="59" t="str">
        <f>IF(表紙!X2="変更申請",IFERROR(VLOOKUP(はじめに入力してください!L18,リスト!A:EO,73,FALSE),""),"")</f>
        <v/>
      </c>
      <c r="K32" s="59" t="str">
        <f>IF(表紙!X2="変更申請",IFERROR(VLOOKUP(はじめに入力してください!L18,リスト!A:EO,74,FALSE),""),"")</f>
        <v/>
      </c>
      <c r="L32" s="1772"/>
      <c r="O32" s="117">
        <f>IF(はじめに入力してください!$L$18="","",MIN(K31,O31))</f>
        <v>0</v>
      </c>
      <c r="P32" s="60"/>
    </row>
    <row r="33" spans="2:16" ht="20.100000000000001" hidden="1" customHeight="1">
      <c r="B33" s="1755"/>
      <c r="C33" s="1757" t="str">
        <f xml:space="preserve">
IF(表紙!$X$2="事前協議","－",
IF(表紙!$X$2="交付申請（２次）","－",
IF(表紙!$X$2="変更申請","－",
IF(表紙!$X$2="実績報告（１次）","血液浄化装置",
IF(表紙!$X$2="実績報告（２次）","－",
IF(表紙!$X$2="交付申請兼実績報告","－"))))))</f>
        <v>－</v>
      </c>
      <c r="D33" s="61">
        <f>額内訳書!K20</f>
        <v>0</v>
      </c>
      <c r="E33" s="194">
        <v>0</v>
      </c>
      <c r="F33" s="61">
        <f>D33-E33</f>
        <v>0</v>
      </c>
      <c r="G33" s="61">
        <f>F33</f>
        <v>0</v>
      </c>
      <c r="H33" s="61">
        <f>額内訳書!G20</f>
        <v>0</v>
      </c>
      <c r="I33" s="61">
        <f>ROUNDDOWN(MIN(G33,H33),-3)</f>
        <v>0</v>
      </c>
      <c r="J33" s="61">
        <f>I33</f>
        <v>0</v>
      </c>
      <c r="K33" s="61">
        <f>ROUNDDOWN(J33,-3)</f>
        <v>0</v>
      </c>
      <c r="L33" s="1772"/>
      <c r="O33" s="116">
        <f>IF(はじめに入力してください!L18="","",VLOOKUP(はじめに入力してください!L18,リスト!A:EO,82,FALSE))</f>
        <v>0</v>
      </c>
      <c r="P33" s="60"/>
    </row>
    <row r="34" spans="2:16" ht="20.100000000000001" hidden="1" customHeight="1">
      <c r="B34" s="1755"/>
      <c r="C34" s="1758"/>
      <c r="D34" s="59" t="str">
        <f>IF(表紙!X2="変更申請",IFERROR(VLOOKUP(はじめに入力してください!L18,リスト!A:EO,75,FALSE),""),"")</f>
        <v/>
      </c>
      <c r="E34" s="193" t="str">
        <f>IF(表紙!X2="変更申請",IFERROR(VLOOKUP(はじめに入力してください!L18,リスト!A:EO,76,FALSE),""),"")</f>
        <v/>
      </c>
      <c r="F34" s="59" t="str">
        <f>IF(表紙!X2="変更申請",IFERROR(VLOOKUP(はじめに入力してください!L18,リスト!A:EO,77,FALSE),""),"")</f>
        <v/>
      </c>
      <c r="G34" s="59" t="str">
        <f>IF(表紙!X2="変更申請",IFERROR(VLOOKUP(はじめに入力してください!L18,リスト!A:EO,78,FALSE),""),"")</f>
        <v/>
      </c>
      <c r="H34" s="59" t="str">
        <f>IF(表紙!X2="変更申請",IFERROR(VLOOKUP(はじめに入力してください!L18,リスト!A:EO,79,FALSE),""),"")</f>
        <v/>
      </c>
      <c r="I34" s="59" t="str">
        <f>IF(表紙!X2="変更申請",IFERROR(VLOOKUP(はじめに入力してください!L18,リスト!A:EO,80,FALSE),""),"")</f>
        <v/>
      </c>
      <c r="J34" s="59" t="str">
        <f>IF(表紙!X2="変更申請",IFERROR(VLOOKUP(はじめに入力してください!L18,リスト!A:EO,81,FALSE),""),"")</f>
        <v/>
      </c>
      <c r="K34" s="59" t="str">
        <f>IF(表紙!X2="変更申請",IFERROR(VLOOKUP(はじめに入力してください!L18,リスト!A:EO,82,FALSE),""),"")</f>
        <v/>
      </c>
      <c r="L34" s="1772"/>
      <c r="O34" s="117">
        <f>IF(はじめに入力してください!$L$18="","",MIN(K33,O33))</f>
        <v>0</v>
      </c>
    </row>
    <row r="35" spans="2:16" ht="20.100000000000001" hidden="1" customHeight="1">
      <c r="B35" s="1755"/>
      <c r="C35" s="1757" t="str">
        <f xml:space="preserve">
IF(表紙!$X$2="事前協議","－",
IF(表紙!$X$2="交付申請（２次）","－",
IF(表紙!$X$2="変更申請","－",
IF(表紙!$X$2="実績報告（１次）","気管支鏡",
IF(表紙!$X$2="実績報告（２次）","－",
IF(表紙!$X$2="交付申請兼実績報告","－"))))))</f>
        <v>－</v>
      </c>
      <c r="D35" s="61">
        <f>額内訳書!K21</f>
        <v>0</v>
      </c>
      <c r="E35" s="194">
        <v>0</v>
      </c>
      <c r="F35" s="61">
        <f>D35-E35</f>
        <v>0</v>
      </c>
      <c r="G35" s="61">
        <f>F35</f>
        <v>0</v>
      </c>
      <c r="H35" s="61">
        <f>額内訳書!G21</f>
        <v>0</v>
      </c>
      <c r="I35" s="61">
        <f>ROUNDDOWN(MIN(G35,H35),-3)</f>
        <v>0</v>
      </c>
      <c r="J35" s="61">
        <f>I35</f>
        <v>0</v>
      </c>
      <c r="K35" s="61">
        <f>ROUNDDOWN(J35,-3)</f>
        <v>0</v>
      </c>
      <c r="L35" s="1772"/>
      <c r="O35" s="116">
        <f>IF(はじめに入力してください!L18="","",VLOOKUP(はじめに入力してください!L18,リスト!A:EO,90,FALSE))</f>
        <v>0</v>
      </c>
    </row>
    <row r="36" spans="2:16" ht="20.100000000000001" hidden="1" customHeight="1">
      <c r="B36" s="1755"/>
      <c r="C36" s="1758"/>
      <c r="D36" s="59" t="str">
        <f>IF(表紙!X2="変更申請",IFERROR(VLOOKUP(はじめに入力してください!L18,リスト!A:EO,83,FALSE),""),"")</f>
        <v/>
      </c>
      <c r="E36" s="193" t="str">
        <f>IF(表紙!X2="変更申請",IFERROR(VLOOKUP(はじめに入力してください!L18,リスト!A:EO,84,FALSE),""),"")</f>
        <v/>
      </c>
      <c r="F36" s="59" t="str">
        <f>IF(表紙!X2="変更申請",IFERROR(VLOOKUP(はじめに入力してください!L18,リスト!A:EO,85,FALSE),""),"")</f>
        <v/>
      </c>
      <c r="G36" s="59" t="str">
        <f>IF(表紙!X2="変更申請",IFERROR(VLOOKUP(はじめに入力してください!L18,リスト!A:EO,86,FALSE),""),"")</f>
        <v/>
      </c>
      <c r="H36" s="59" t="str">
        <f>IF(表紙!X2="変更申請",IFERROR(VLOOKUP(はじめに入力してください!L18,リスト!A:EO,87,FALSE),""),"")</f>
        <v/>
      </c>
      <c r="I36" s="59" t="str">
        <f>IF(表紙!X2="変更申請",IFERROR(VLOOKUP(はじめに入力してください!L18,リスト!A:EO,88,FALSE),""),"")</f>
        <v/>
      </c>
      <c r="J36" s="59" t="str">
        <f>IF(表紙!X2="変更申請",IFERROR(VLOOKUP(はじめに入力してください!L18,リスト!A:EO,89,FALSE),""),"")</f>
        <v/>
      </c>
      <c r="K36" s="59" t="str">
        <f>IF(表紙!X2="変更申請",IFERROR(VLOOKUP(はじめに入力してください!L18,リスト!A:EO,90,FALSE),""),"")</f>
        <v/>
      </c>
      <c r="L36" s="1772"/>
      <c r="O36" s="117">
        <f>IF(はじめに入力してください!$L$18="","",MIN(K35,O35))</f>
        <v>0</v>
      </c>
    </row>
    <row r="37" spans="2:16" ht="20.100000000000001" hidden="1" customHeight="1">
      <c r="B37" s="1755"/>
      <c r="C37" s="1757" t="str">
        <f xml:space="preserve">
IF(表紙!$X$2="事前協議","－",
IF(表紙!$X$2="交付申請（２次）","－",
IF(表紙!$X$2="変更申請","－",
IF(表紙!$X$2="実績報告（１次）","CT撮影装置",
IF(表紙!$X$2="実績報告（２次）","－",
IF(表紙!$X$2="交付申請兼実績報告","－"))))))</f>
        <v>－</v>
      </c>
      <c r="D37" s="61">
        <f>額内訳書!K22</f>
        <v>0</v>
      </c>
      <c r="E37" s="194">
        <v>0</v>
      </c>
      <c r="F37" s="61">
        <f>D37-E37</f>
        <v>0</v>
      </c>
      <c r="G37" s="61">
        <f>F37</f>
        <v>0</v>
      </c>
      <c r="H37" s="61">
        <f>額内訳書!G22</f>
        <v>0</v>
      </c>
      <c r="I37" s="61">
        <f>ROUNDDOWN(MIN(G37,H37),-3)</f>
        <v>0</v>
      </c>
      <c r="J37" s="61">
        <f>I37</f>
        <v>0</v>
      </c>
      <c r="K37" s="61">
        <f>ROUNDDOWN(J37,-3)</f>
        <v>0</v>
      </c>
      <c r="L37" s="1772"/>
      <c r="O37" s="116">
        <f>IF(はじめに入力してください!L18="","",VLOOKUP(はじめに入力してください!L18,リスト!A:EO,98,FALSE))</f>
        <v>0</v>
      </c>
    </row>
    <row r="38" spans="2:16" ht="20.100000000000001" hidden="1" customHeight="1">
      <c r="B38" s="1755"/>
      <c r="C38" s="1758"/>
      <c r="D38" s="59" t="str">
        <f>IF(表紙!X2="変更申請",IFERROR(VLOOKUP(はじめに入力してください!L18,リスト!A:EO,91,FALSE),""),"")</f>
        <v/>
      </c>
      <c r="E38" s="193" t="str">
        <f>IF(表紙!X2="変更申請",IFERROR(VLOOKUP(はじめに入力してくださいL20,リスト!A:EO,92,FALSE),""),"")</f>
        <v/>
      </c>
      <c r="F38" s="59" t="str">
        <f>IF(表紙!X2="変更申請",IFERROR(VLOOKUP(はじめに入力してください!L18,リスト!A:EO,93,FALSE),""),"")</f>
        <v/>
      </c>
      <c r="G38" s="59" t="str">
        <f>IF(表紙!X2="変更申請",IFERROR(VLOOKUP(はじめに入力してください!L18,リスト!A:EO,94,FALSE),""),"")</f>
        <v/>
      </c>
      <c r="H38" s="59" t="str">
        <f>IF(表紙!X2="変更申請",IFERROR(VLOOKUP(はじめに入力してください!L18,リスト!A:EO,95,FALSE),""),"")</f>
        <v/>
      </c>
      <c r="I38" s="59" t="str">
        <f>IF(表紙!X2="変更申請",IFERROR(VLOOKUP(はじめに入力してください!L18,リスト!A:EO,96,FALSE),""),"")</f>
        <v/>
      </c>
      <c r="J38" s="59" t="str">
        <f>IF(表紙!X2="変更申請",IFERROR(VLOOKUP(はじめに入力してください!L18,リスト!A:EO,97,FALSE),""),"")</f>
        <v/>
      </c>
      <c r="K38" s="59" t="str">
        <f>IF(表紙!X2="変更申請",IFERROR(VLOOKUP(はじめに入力してください!L18,リスト!A:EO,98,FALSE),""),"")</f>
        <v/>
      </c>
      <c r="L38" s="1772"/>
      <c r="O38" s="117">
        <f>IF(はじめに入力してください!$L$18="","",MIN(K37,O37))</f>
        <v>0</v>
      </c>
    </row>
    <row r="39" spans="2:16" ht="20.100000000000001" hidden="1" customHeight="1">
      <c r="B39" s="1755"/>
      <c r="C39" s="1757" t="str">
        <f xml:space="preserve">
IF(表紙!$X$2="事前協議","－",
IF(表紙!$X$2="交付申請（２次）","－",
IF(表紙!$X$2="変更申請","－",
IF(表紙!$X$2="実績報告（１次）","生体情報モニタ",
IF(表紙!$X$2="実績報告（２次）","－",
IF(表紙!$X$2="交付申請兼実績報告","－"))))))</f>
        <v>－</v>
      </c>
      <c r="D39" s="61">
        <f>額内訳書!K23</f>
        <v>0</v>
      </c>
      <c r="E39" s="194">
        <v>0</v>
      </c>
      <c r="F39" s="61">
        <f>D39-E39</f>
        <v>0</v>
      </c>
      <c r="G39" s="61">
        <f>F39</f>
        <v>0</v>
      </c>
      <c r="H39" s="61">
        <f>額内訳書!G23</f>
        <v>0</v>
      </c>
      <c r="I39" s="61">
        <f>ROUNDDOWN(MIN(G39,H39),-3)</f>
        <v>0</v>
      </c>
      <c r="J39" s="61">
        <f>I39</f>
        <v>0</v>
      </c>
      <c r="K39" s="61">
        <f>ROUNDDOWN(J39,-3)</f>
        <v>0</v>
      </c>
      <c r="L39" s="1772"/>
      <c r="O39" s="116">
        <f>IF(はじめに入力してください!L18="","",VLOOKUP(はじめに入力してください!L18,リスト!A:EO,106,FALSE))</f>
        <v>0</v>
      </c>
    </row>
    <row r="40" spans="2:16" ht="20.100000000000001" hidden="1" customHeight="1">
      <c r="B40" s="1755"/>
      <c r="C40" s="1758"/>
      <c r="D40" s="59" t="str">
        <f>IF(表紙!X2="変更申請",IFERROR(VLOOKUP(はじめに入力してください!L18,リスト!A:EO,99,FALSE),""),"")</f>
        <v/>
      </c>
      <c r="E40" s="193" t="str">
        <f>IF(表紙!X2="変更申請",IFERROR(VLOOKUP(はじめに入力してください!L18,リスト!A:EO,100,FALSE),""),"")</f>
        <v/>
      </c>
      <c r="F40" s="59" t="str">
        <f>IF(表紙!X2="変更申請",IFERROR(VLOOKUP(はじめに入力してください!L18,リスト!A:EO,101,FALSE),""),"")</f>
        <v/>
      </c>
      <c r="G40" s="59" t="str">
        <f>IF(表紙!X2="変更申請",IFERROR(VLOOKUP(はじめに入力してください!L18,リスト!A:EO,102,FALSE),""),"")</f>
        <v/>
      </c>
      <c r="H40" s="59" t="str">
        <f>IF(表紙!X2="変更申請",IFERROR(VLOOKUP(はじめに入力してください!L18,リスト!A:EO,103,FALSE),""),"")</f>
        <v/>
      </c>
      <c r="I40" s="59" t="str">
        <f>IF(表紙!X2="変更申請",IFERROR(VLOOKUP(はじめに入力してください!L18,リスト!A:EO,104,FALSE),""),"")</f>
        <v/>
      </c>
      <c r="J40" s="59" t="str">
        <f>IF(表紙!X2="変更申請",IFERROR(VLOOKUP(はじめに入力してください!L18,リスト!A:EO,105,FALSE),""),"")</f>
        <v/>
      </c>
      <c r="K40" s="59" t="str">
        <f>IF(表紙!X2="変更申請",IFERROR(VLOOKUP(はじめに入力してください!L18,リスト!A:EO,106,FALSE),""),"")</f>
        <v/>
      </c>
      <c r="L40" s="1772"/>
      <c r="O40" s="117">
        <f>IF(はじめに入力してください!$L$18="","",MIN(K39,O39))</f>
        <v>0</v>
      </c>
    </row>
    <row r="41" spans="2:16" ht="20.100000000000001" hidden="1" customHeight="1">
      <c r="B41" s="1755"/>
      <c r="C41" s="1757" t="str">
        <f xml:space="preserve">
IF(表紙!$X$2="事前協議","－",
IF(表紙!$X$2="交付申請（２次）","－",
IF(表紙!$X$2="変更申請","－",
IF(表紙!$X$2="実績報告（１次）","分娩監視装置",
IF(表紙!$X$2="実績報告（２次）","－",
IF(表紙!$X$2="交付申請兼実績報告","－"))))))</f>
        <v>－</v>
      </c>
      <c r="D41" s="61">
        <f>額内訳書!K24</f>
        <v>0</v>
      </c>
      <c r="E41" s="194">
        <v>0</v>
      </c>
      <c r="F41" s="61">
        <f>D41-E41</f>
        <v>0</v>
      </c>
      <c r="G41" s="61">
        <f>F41</f>
        <v>0</v>
      </c>
      <c r="H41" s="61">
        <f>額内訳書!G24</f>
        <v>0</v>
      </c>
      <c r="I41" s="61">
        <f>ROUNDDOWN(MIN(G41,H41),-3)</f>
        <v>0</v>
      </c>
      <c r="J41" s="61">
        <f>I41</f>
        <v>0</v>
      </c>
      <c r="K41" s="61">
        <f>ROUNDDOWN(J41,-3)</f>
        <v>0</v>
      </c>
      <c r="L41" s="1772"/>
      <c r="O41" s="116">
        <f>IF(はじめに入力してください!L18="","",VLOOKUP(はじめに入力してください!L18,リスト!A:EO,114,FALSE))</f>
        <v>0</v>
      </c>
      <c r="P41" s="60"/>
    </row>
    <row r="42" spans="2:16" ht="20.100000000000001" hidden="1" customHeight="1">
      <c r="B42" s="1755"/>
      <c r="C42" s="1758"/>
      <c r="D42" s="59" t="str">
        <f>IF(表紙!X2="変更申請",IFERROR(VLOOKUP(はじめに入力してください!L18,リスト!A:EO,107,FALSE),""),"")</f>
        <v/>
      </c>
      <c r="E42" s="193" t="str">
        <f>IF(表紙!X2="変更申請",IFERROR(VLOOKUP(はじめに入力してください!L18,リスト!A:EO,108,FALSE),""),"")</f>
        <v/>
      </c>
      <c r="F42" s="59" t="str">
        <f>IF(表紙!X2="変更申請",IFERROR(VLOOKUP(はじめに入力してください!L18,リスト!A:EO,109,FALSE),""),"")</f>
        <v/>
      </c>
      <c r="G42" s="59" t="str">
        <f>IF(表紙!X2="変更申請",IFERROR(VLOOKUP(はじめに入力してください!L18,リスト!A:EO,110,FALSE),""),"")</f>
        <v/>
      </c>
      <c r="H42" s="59" t="str">
        <f>IF(表紙!X2="変更申請",IFERROR(VLOOKUP(はじめに入力してください!L18,リスト!A:EO,111,FALSE),""),"")</f>
        <v/>
      </c>
      <c r="I42" s="59" t="str">
        <f>IF(表紙!X2="変更申請",IFERROR(VLOOKUP(はじめに入力してください!L18,リスト!A:EO,112,FALSE),""),"")</f>
        <v/>
      </c>
      <c r="J42" s="59" t="str">
        <f>IF(表紙!X2="変更申請",IFERROR(VLOOKUP(はじめに入力してください!L18,リスト!A:EO,113,FALSE),""),"")</f>
        <v/>
      </c>
      <c r="K42" s="59" t="str">
        <f>IF(表紙!X2="変更申請",IFERROR(VLOOKUP(はじめに入力してください!L18,リスト!A:EO,114,FALSE),""),"")</f>
        <v/>
      </c>
      <c r="L42" s="1772"/>
      <c r="O42" s="117">
        <f>IF(はじめに入力してください!$L$18="","",MIN(K41,O41))</f>
        <v>0</v>
      </c>
    </row>
    <row r="43" spans="2:16" ht="20.100000000000001" hidden="1" customHeight="1">
      <c r="B43" s="1755"/>
      <c r="C43" s="1757" t="str">
        <f xml:space="preserve">
IF(表紙!$X$2="事前協議","－",
IF(表紙!$X$2="交付申請（２次）","－",
IF(表紙!$X$2="変更申請","－",
IF(表紙!$X$2="実績報告（１次）","新生児モニタ",
IF(表紙!$X$2="実績報告（２次）","－",
IF(表紙!$X$2="交付申請兼実績報告","－"))))))</f>
        <v>－</v>
      </c>
      <c r="D43" s="61">
        <f>額内訳書!K25</f>
        <v>0</v>
      </c>
      <c r="E43" s="194">
        <v>0</v>
      </c>
      <c r="F43" s="61">
        <f>D43-E43</f>
        <v>0</v>
      </c>
      <c r="G43" s="61">
        <f>F43</f>
        <v>0</v>
      </c>
      <c r="H43" s="61">
        <f>額内訳書!G25</f>
        <v>0</v>
      </c>
      <c r="I43" s="61">
        <f>ROUNDDOWN(MIN(G43,H43),-3)</f>
        <v>0</v>
      </c>
      <c r="J43" s="61">
        <f>I43</f>
        <v>0</v>
      </c>
      <c r="K43" s="61">
        <f>ROUNDDOWN(J43,-3)</f>
        <v>0</v>
      </c>
      <c r="L43" s="1772"/>
      <c r="O43" s="116">
        <f>IF(はじめに入力してください!L18="","",VLOOKUP(はじめに入力してください!L18,リスト!A:EO,122,FALSE))</f>
        <v>0</v>
      </c>
    </row>
    <row r="44" spans="2:16" ht="20.100000000000001" hidden="1" customHeight="1" thickBot="1">
      <c r="B44" s="1756"/>
      <c r="C44" s="1758"/>
      <c r="D44" s="59" t="str">
        <f>IF(表紙!X2="変更申請",IFERROR(VLOOKUP(はじめに入力してください!L18,リスト!A:EO,115,FALSE),""),"")</f>
        <v/>
      </c>
      <c r="E44" s="193" t="str">
        <f>IF(表紙!X2="変更申請",IFERROR(VLOOKUP(はじめに入力してください!L18,リスト!A:EO,116,FALSE),""),"")</f>
        <v/>
      </c>
      <c r="F44" s="59" t="str">
        <f>IF(表紙!X2="変更申請",IFERROR(VLOOKUP(はじめに入力してください!L18,リスト!A:EO,117,FALSE),""),"")</f>
        <v/>
      </c>
      <c r="G44" s="59" t="str">
        <f>IF(表紙!X2="変更申請",IFERROR(VLOOKUP(はじめに入力してください!L18,リスト!A:EO,118,FALSE),""),"")</f>
        <v/>
      </c>
      <c r="H44" s="59" t="str">
        <f>IF(表紙!X2="変更申請",IFERROR(VLOOKUP(はじめに入力してください!L18,リスト!A:EO,119,FALSE),""),"")</f>
        <v/>
      </c>
      <c r="I44" s="59" t="str">
        <f>IF(表紙!X2="変更申請",IFERROR(VLOOKUP(はじめに入力してください!L18,リスト!A:EO,120,FALSE),""),"")</f>
        <v/>
      </c>
      <c r="J44" s="59" t="str">
        <f>IF(表紙!X2="変更申請",IFERROR(VLOOKUP(はじめに入力してください!L18,リスト!A:EO,121,FALSE),""),"")</f>
        <v/>
      </c>
      <c r="K44" s="59" t="str">
        <f>IF(表紙!X2="変更申請",IFERROR(VLOOKUP(はじめに入力してください!L18,リスト!A:EO,122,FALSE),""),"")</f>
        <v/>
      </c>
      <c r="L44" s="1772"/>
      <c r="O44" s="117">
        <f>IF(はじめに入力してください!$L$18="","",MIN(K43,O43))</f>
        <v>0</v>
      </c>
    </row>
    <row r="45" spans="2:16" ht="20.100000000000001" hidden="1" customHeight="1" thickTop="1">
      <c r="B45" s="1760" t="s">
        <v>74</v>
      </c>
      <c r="C45" s="1761"/>
      <c r="D45" s="174">
        <f>SUM(D31,D33,D35,D37,D39,D41,D43)</f>
        <v>0</v>
      </c>
      <c r="E45" s="174">
        <f t="shared" ref="E45:J45" si="1">SUM(E31,E33,E35,E37,E39,E41,E43)</f>
        <v>0</v>
      </c>
      <c r="F45" s="174">
        <f>SUM(F31,F33,F35,F37,F39,F41,F43)</f>
        <v>0</v>
      </c>
      <c r="G45" s="174">
        <f t="shared" si="1"/>
        <v>0</v>
      </c>
      <c r="H45" s="174">
        <f t="shared" si="1"/>
        <v>0</v>
      </c>
      <c r="I45" s="174">
        <f t="shared" si="1"/>
        <v>0</v>
      </c>
      <c r="J45" s="174">
        <f t="shared" si="1"/>
        <v>0</v>
      </c>
      <c r="K45" s="174">
        <f>SUM(K31,K33,K35,K37,K39,K41,K43)</f>
        <v>0</v>
      </c>
      <c r="L45" s="1772"/>
      <c r="O45" s="116">
        <f>IF(はじめに入力してください!L18="","",SUM(O31,O33,O35,O37,O39,O41,O43))</f>
        <v>0</v>
      </c>
      <c r="P45" s="47"/>
    </row>
    <row r="46" spans="2:16" ht="20.100000000000001" hidden="1" customHeight="1" thickBot="1">
      <c r="B46" s="1781"/>
      <c r="C46" s="1782"/>
      <c r="D46" s="667" t="str">
        <f>IF(表紙!X2="変更申請",SUM(D32,D34,D36,D38,D40,D42,D44),"")</f>
        <v/>
      </c>
      <c r="E46" s="667" t="str">
        <f>IF(表紙!X2="変更申請",SUM(E32,E34,E36,E38,E40,E42,E44),"")</f>
        <v/>
      </c>
      <c r="F46" s="667" t="str">
        <f>IF(表紙!X2="変更申請",SUM(F32,F34,F36,F38,F40,F42,F44),"")</f>
        <v/>
      </c>
      <c r="G46" s="667" t="str">
        <f>IF(表紙!X2="変更申請",SUM(G32,G34,G36,G38,G40,G42,G44),"")</f>
        <v/>
      </c>
      <c r="H46" s="667" t="str">
        <f>IF(表紙!X2="変更申請",SUM(H32,H34,H36,H38,H40,H42,H44),"")</f>
        <v/>
      </c>
      <c r="I46" s="667" t="str">
        <f>IF(表紙!X2="変更申請",SUM(I32,I34,I36,I38,I40,I42,I44),"")</f>
        <v/>
      </c>
      <c r="J46" s="667" t="str">
        <f>IF(表紙!X2="変更申請",SUM(J32,J34,J36,J38,J40,J42,J44),"")</f>
        <v/>
      </c>
      <c r="K46" s="667" t="str">
        <f>IF(表紙!X2="変更申請",SUM(K32,K34,K36,K38,K40,K42,K44),"")</f>
        <v/>
      </c>
      <c r="L46" s="1772"/>
      <c r="O46" s="117">
        <f>IF(はじめに入力してください!L18="","",SUM(O32,O34,O36,O38,O40,O42,O44))</f>
        <v>0</v>
      </c>
      <c r="P46" s="47"/>
    </row>
    <row r="47" spans="2:16" ht="20.100000000000001" customHeight="1" thickTop="1">
      <c r="B47" s="1760" t="s">
        <v>533</v>
      </c>
      <c r="C47" s="1761"/>
      <c r="D47" s="174">
        <f>SUM(D27,D29,D45)</f>
        <v>0</v>
      </c>
      <c r="E47" s="174">
        <f t="shared" ref="E47:K47" si="2">SUM(E27,E29,E45)</f>
        <v>0</v>
      </c>
      <c r="F47" s="174">
        <f t="shared" si="2"/>
        <v>0</v>
      </c>
      <c r="G47" s="174">
        <f t="shared" si="2"/>
        <v>0</v>
      </c>
      <c r="H47" s="174">
        <f t="shared" si="2"/>
        <v>0</v>
      </c>
      <c r="I47" s="174">
        <f t="shared" si="2"/>
        <v>0</v>
      </c>
      <c r="J47" s="174">
        <f t="shared" si="2"/>
        <v>0</v>
      </c>
      <c r="K47" s="668">
        <f t="shared" si="2"/>
        <v>0</v>
      </c>
      <c r="L47" s="1773"/>
      <c r="O47" s="116">
        <f>IF(はじめに入力してください!L18="","",SUM(O27,O45))</f>
        <v>118000</v>
      </c>
      <c r="P47" s="47"/>
    </row>
    <row r="48" spans="2:16" ht="20.100000000000001" customHeight="1" thickBot="1">
      <c r="B48" s="1762"/>
      <c r="C48" s="1763"/>
      <c r="D48" s="175" t="str">
        <f>IF(表紙!X2="変更申請",SUM(D28,D46),"")</f>
        <v/>
      </c>
      <c r="E48" s="175" t="str">
        <f>IF(表紙!X2="変更申請",SUM(E28,E46),"")</f>
        <v/>
      </c>
      <c r="F48" s="175" t="str">
        <f>IF(表紙!X2="変更申請",SUM(F28,F46),"")</f>
        <v/>
      </c>
      <c r="G48" s="175" t="str">
        <f>IF(表紙!X2="変更申請",SUM(G28,G46),"")</f>
        <v/>
      </c>
      <c r="H48" s="175" t="str">
        <f>IF(表紙!X2="変更申請",SUM(H28,H46),"")</f>
        <v/>
      </c>
      <c r="I48" s="175" t="str">
        <f>IF(表紙!X2="変更申請",SUM(I28,I46),"")</f>
        <v/>
      </c>
      <c r="J48" s="175" t="str">
        <f>IF(表紙!X2="変更申請",SUM(J28,J46),"")</f>
        <v/>
      </c>
      <c r="K48" s="669" t="str">
        <f>IF(表紙!X2="変更申請",SUM(K28,K46),"")</f>
        <v/>
      </c>
      <c r="L48" s="1774"/>
      <c r="O48" s="117">
        <f>IF(はじめに入力してください!$L$18="","",MIN(K47,O47))</f>
        <v>0</v>
      </c>
      <c r="P48" s="47"/>
    </row>
    <row r="49" spans="2:16" ht="20.100000000000001" customHeight="1">
      <c r="B49" s="47" t="s">
        <v>534</v>
      </c>
      <c r="P49" s="47"/>
    </row>
    <row r="50" spans="2:16" ht="20.100000000000001" customHeight="1">
      <c r="P50" s="47"/>
    </row>
    <row r="51" spans="2:16" ht="20.100000000000001" customHeight="1">
      <c r="P51" s="47"/>
    </row>
    <row r="52" spans="2:16" ht="20.100000000000001" customHeight="1">
      <c r="P52" s="47"/>
    </row>
  </sheetData>
  <sheetProtection algorithmName="SHA-512" hashValue="Tq2fnlhsXjcodRWTs+W6LSLDYI4LEb6sY0vhD1Q79v8nMfiPU84xXGeNyP8O5AHwGZMnkFIPlAYr4geFVQu/oA==" saltValue="EuzJIPWzg5KjzYAXkr7GgQ==" spinCount="100000" sheet="1" objects="1" scenarios="1"/>
  <mergeCells count="30">
    <mergeCell ref="L7:L48"/>
    <mergeCell ref="K1:M1"/>
    <mergeCell ref="B2:L2"/>
    <mergeCell ref="J3:K3"/>
    <mergeCell ref="J4:K4"/>
    <mergeCell ref="B7:B24"/>
    <mergeCell ref="C7:C8"/>
    <mergeCell ref="C9:C10"/>
    <mergeCell ref="C11:C12"/>
    <mergeCell ref="C13:C14"/>
    <mergeCell ref="C19:C20"/>
    <mergeCell ref="C21:C22"/>
    <mergeCell ref="C23:C24"/>
    <mergeCell ref="B25:B26"/>
    <mergeCell ref="B45:C46"/>
    <mergeCell ref="B47:C48"/>
    <mergeCell ref="B27:C28"/>
    <mergeCell ref="C17:C18"/>
    <mergeCell ref="C15:C16"/>
    <mergeCell ref="B29:B30"/>
    <mergeCell ref="C29:C30"/>
    <mergeCell ref="C25:C26"/>
    <mergeCell ref="B31:B44"/>
    <mergeCell ref="C41:C42"/>
    <mergeCell ref="C43:C44"/>
    <mergeCell ref="C31:C32"/>
    <mergeCell ref="C33:C34"/>
    <mergeCell ref="C35:C36"/>
    <mergeCell ref="C37:C38"/>
    <mergeCell ref="C39:C40"/>
  </mergeCells>
  <phoneticPr fontId="9"/>
  <dataValidations xWindow="1012" yWindow="547" count="1">
    <dataValidation allowBlank="1" showInputMessage="1" showErrorMessage="1" promptTitle="「寄付金その他の収入予定額（B）」欄について" prompt="本補助金で申請した「総事業費（A）」に対して、本補助金以外の寄付金やその他の収入を充てている場合はその金額を、ない場合は「0」円を入力してください。 _x000a_" sqref="E29:E44 E7:E26" xr:uid="{00000000-0002-0000-0A00-000000000000}"/>
  </dataValidations>
  <printOptions horizontalCentered="1"/>
  <pageMargins left="0.59055118110236227" right="0.39370078740157483" top="0.98425196850393704" bottom="0.39370078740157483" header="0.31496062992125984" footer="0.31496062992125984"/>
  <pageSetup paperSize="9" scale="60" orientation="landscape" r:id="rId1"/>
  <colBreaks count="1" manualBreakCount="1">
    <brk id="15" max="42" man="1"/>
  </col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pageSetUpPr fitToPage="1"/>
  </sheetPr>
  <dimension ref="B1:AA30"/>
  <sheetViews>
    <sheetView showGridLines="0" view="pageBreakPreview" zoomScale="50" zoomScaleNormal="100" zoomScaleSheetLayoutView="50" workbookViewId="0">
      <selection activeCell="D12" sqref="D12"/>
    </sheetView>
  </sheetViews>
  <sheetFormatPr defaultColWidth="9" defaultRowHeight="19.5"/>
  <cols>
    <col min="1" max="1" width="2.625" style="32" customWidth="1"/>
    <col min="2" max="3" width="30.625" style="32" customWidth="1"/>
    <col min="4" max="4" width="20.625" style="32" customWidth="1"/>
    <col min="5" max="5" width="10.625" style="32" customWidth="1"/>
    <col min="6" max="8" width="20.625" style="32" customWidth="1"/>
    <col min="9" max="9" width="10.625" style="32" customWidth="1"/>
    <col min="10" max="11" width="20.625" style="32" customWidth="1"/>
    <col min="12" max="17" width="5.625" style="32" customWidth="1"/>
    <col min="18" max="18" width="5.625" style="33" customWidth="1"/>
    <col min="19" max="19" width="2.625" style="32" customWidth="1"/>
    <col min="20" max="20" width="15.625" style="32" customWidth="1"/>
    <col min="21" max="27" width="8.625" style="32" customWidth="1"/>
    <col min="28" max="16384" width="9" style="32"/>
  </cols>
  <sheetData>
    <row r="1" spans="2:27" ht="24.95" customHeight="1">
      <c r="B1" s="31" t="str">
        <f xml:space="preserve">
IF(表紙!$X$2="事前協議","様式２－５",
IF(表紙!$X$2="交付申請（２次）","様式２－５",
IF(表紙!$X$2="変更申請","様式２－５",
IF(表紙!$X$2="実績報告（１次）","様式１－２",
IF(表紙!$X$2="実績報告（２次）","様式１－４",
IF(表紙!$X$2="交付申請兼実績報告","様式１－４"))))))</f>
        <v>様式１－４</v>
      </c>
      <c r="D1" s="33"/>
      <c r="L1" s="1793" t="str">
        <f xml:space="preserve">
IF(表紙!$X$2="事前協議","（10月１日～３月31日分）",
IF(表紙!$X$2="交付申請（２次）","（10月１日～３月31日分）",
IF(表紙!$X$2="変更申請","（10月１日～３月31日分）",
IF(表紙!$X$2="実績報告（１次）","（５月８日～10月31日分）",
IF(表紙!$X$2="実績報告（２次）","（10月１日～３月31日分）",
IF(表紙!$X$2="交付申請兼実績報告","（10月１日～３月31日分）"))))))</f>
        <v>（10月１日～３月31日分）</v>
      </c>
      <c r="M1" s="1794"/>
      <c r="N1" s="1794"/>
      <c r="O1" s="1794"/>
      <c r="P1" s="1794"/>
      <c r="Q1" s="1794"/>
      <c r="R1" s="1794"/>
      <c r="AA1" s="35"/>
    </row>
    <row r="2" spans="2:27" s="190" customFormat="1" ht="35.1" customHeight="1">
      <c r="B2" s="1809" t="str">
        <f xml:space="preserve">
IF(表紙!$X$2="事前協議","設備整備基準算出内訳及び対象経費支出予定額内訳",
IF(表紙!$X$2="交付申請（２次）","設備整備基準算出内訳及び対象経費支出予定額内訳",
IF(表紙!$X$2="変更申請","設備整備基準算出内訳及び対象経費支出予定額内訳",
IF(表紙!$X$2="実績報告（１次）","設備整備基準算出内訳及び対象経費実支出額内訳",
IF(表紙!$X$2="実績報告（２次）","設備整備基準算出内訳及び対象経費実支出額内訳",
IF(表紙!$X$2="交付申請兼実績報告","設備整備基準算出内訳及び対象経費実支出額内訳"))))))</f>
        <v>設備整備基準算出内訳及び対象経費実支出額内訳</v>
      </c>
      <c r="C2" s="1810"/>
      <c r="D2" s="1810"/>
      <c r="E2" s="1810"/>
      <c r="F2" s="1810"/>
      <c r="G2" s="1810"/>
      <c r="H2" s="1810"/>
      <c r="I2" s="1810"/>
      <c r="J2" s="1810"/>
      <c r="K2" s="1810"/>
      <c r="L2" s="1810"/>
      <c r="M2" s="1810"/>
      <c r="N2" s="1810"/>
      <c r="O2" s="1810"/>
      <c r="P2" s="1810"/>
      <c r="Q2" s="1810"/>
      <c r="R2" s="1810"/>
      <c r="AA2" s="191"/>
    </row>
    <row r="3" spans="2:27" ht="9.9499999999999993" customHeight="1">
      <c r="C3" s="35"/>
      <c r="D3" s="35"/>
      <c r="E3" s="35"/>
      <c r="F3" s="35"/>
      <c r="G3" s="35"/>
      <c r="H3" s="35"/>
      <c r="I3" s="35"/>
      <c r="J3" s="35"/>
      <c r="K3" s="35"/>
      <c r="L3" s="35"/>
      <c r="M3" s="35"/>
      <c r="N3" s="35"/>
      <c r="O3" s="35"/>
      <c r="P3" s="35"/>
      <c r="Q3" s="35"/>
      <c r="R3" s="34"/>
      <c r="T3" s="33"/>
      <c r="AA3" s="35"/>
    </row>
    <row r="4" spans="2:27" ht="36" customHeight="1">
      <c r="B4" s="1805" t="s">
        <v>483</v>
      </c>
      <c r="C4" s="1805" t="s">
        <v>484</v>
      </c>
      <c r="D4" s="1808" t="s">
        <v>485</v>
      </c>
      <c r="E4" s="1808" t="s">
        <v>486</v>
      </c>
      <c r="F4" s="1808"/>
      <c r="G4" s="1808"/>
      <c r="H4" s="1808" t="str">
        <f xml:space="preserve">
IF(表紙!$X$2="事前協議","対象経費支出予定額",
IF(表紙!$X$2="交付申請（２次）","対象経費支出予定額",
IF(表紙!$X$2="変更申請","対象経費支出予定額",
IF(表紙!$X$2="実績報告（１次）","対象経費実支出額",
IF(表紙!$X$2="実績報告（２次）","対象経費実支出額",
IF(表紙!$X$2="交付申請兼実績報告","対象経費実支出額"))))))</f>
        <v>対象経費実支出額</v>
      </c>
      <c r="I4" s="1808"/>
      <c r="J4" s="1808"/>
      <c r="K4" s="1808"/>
      <c r="L4" s="1786" t="str">
        <f xml:space="preserve">
IF(表紙!$X$2="事前協議","事業完了予定日"&amp;CHAR(10)&amp;"（複数の場合は最終納品の予定日）",
IF(表紙!$X$2="交付申請（２次）","事業完了予定日"&amp;CHAR(10)&amp;"（複数の場合は最終納品の予定日）",
IF(表紙!$X$2="変更申請","事業完了予定日"&amp;CHAR(10)&amp;"（複数の場合は最終納品の予定日）",
IF(表紙!$X$2="実績報告（１次）","事業完了日"&amp;CHAR(10)&amp;"（複数の場合は最終納品日）",
IF(表紙!$X$2="実績報告（２次）","事業完了日"&amp;CHAR(10)&amp;"（複数の場合は最終納品日）",
IF(表紙!$X$2="交付申請兼実績報告","事業完了日"&amp;CHAR(10)&amp;"（複数の場合は最終納品日）"))))))</f>
        <v>事業完了日
（複数の場合は最終納品日）</v>
      </c>
      <c r="M4" s="1787"/>
      <c r="N4" s="1787"/>
      <c r="O4" s="1787"/>
      <c r="P4" s="1788"/>
      <c r="Q4" s="1788"/>
      <c r="R4" s="1789"/>
      <c r="AA4" s="35"/>
    </row>
    <row r="5" spans="2:27" ht="36" customHeight="1" thickBot="1">
      <c r="B5" s="1805"/>
      <c r="C5" s="1805"/>
      <c r="D5" s="1808"/>
      <c r="E5" s="177" t="s">
        <v>488</v>
      </c>
      <c r="F5" s="177" t="s">
        <v>489</v>
      </c>
      <c r="G5" s="177" t="s">
        <v>490</v>
      </c>
      <c r="H5" s="178" t="s">
        <v>491</v>
      </c>
      <c r="I5" s="177" t="s">
        <v>492</v>
      </c>
      <c r="J5" s="179" t="s">
        <v>493</v>
      </c>
      <c r="K5" s="177" t="s">
        <v>490</v>
      </c>
      <c r="L5" s="1801" t="s">
        <v>77</v>
      </c>
      <c r="M5" s="1788"/>
      <c r="N5" s="1788"/>
      <c r="O5" s="1802" t="s">
        <v>496</v>
      </c>
      <c r="P5" s="1803"/>
      <c r="Q5" s="1788" t="s">
        <v>498</v>
      </c>
      <c r="R5" s="1789"/>
      <c r="T5" s="714">
        <f>IF(COUNTIF($T$7:$T$18,"×")=18,"",MAX($T$7:$T$18))</f>
        <v>0</v>
      </c>
      <c r="U5" s="32" t="s">
        <v>1351</v>
      </c>
      <c r="AA5" s="35"/>
    </row>
    <row r="6" spans="2:27" ht="36" hidden="1" customHeight="1" thickBot="1">
      <c r="B6" s="95"/>
      <c r="C6" s="95"/>
      <c r="D6" s="36"/>
      <c r="E6" s="36"/>
      <c r="F6" s="37" t="s">
        <v>499</v>
      </c>
      <c r="G6" s="37" t="s">
        <v>499</v>
      </c>
      <c r="H6" s="38"/>
      <c r="I6" s="37"/>
      <c r="J6" s="37" t="s">
        <v>499</v>
      </c>
      <c r="K6" s="37" t="s">
        <v>499</v>
      </c>
      <c r="L6" s="37"/>
      <c r="M6" s="37"/>
      <c r="N6" s="37"/>
      <c r="O6" s="37"/>
      <c r="P6" s="37"/>
      <c r="Q6" s="37"/>
      <c r="R6" s="36"/>
      <c r="T6" s="715"/>
      <c r="AA6" s="35"/>
    </row>
    <row r="7" spans="2:27" s="138" customFormat="1" ht="45" customHeight="1">
      <c r="B7" s="1804" t="s">
        <v>500</v>
      </c>
      <c r="C7" s="39" t="s">
        <v>99</v>
      </c>
      <c r="D7" s="40" t="str">
        <f>IF(E7=0,"-","（添付明細のとおり）")</f>
        <v>-</v>
      </c>
      <c r="E7" s="143">
        <f>IF(AND(基礎情報!$AZ$77="○",はじめに入力してください!$K$50&gt;=1,初度設備!$AC$3="◎"),COUNTIF(初度設備!$D$30:$D$74,"設備"),0)</f>
        <v>0</v>
      </c>
      <c r="F7" s="137">
        <f>IF(E7=0,0,133000)</f>
        <v>0</v>
      </c>
      <c r="G7" s="137">
        <f>E7*F7</f>
        <v>0</v>
      </c>
      <c r="H7" s="144" t="str">
        <f>IF(E7=0,"",D7)</f>
        <v/>
      </c>
      <c r="I7" s="153">
        <f t="shared" ref="I7:I16" si="0">IF(E7=0,0,1)</f>
        <v>0</v>
      </c>
      <c r="J7" s="155">
        <f>IF(E7=0,0,初度設備!J3)</f>
        <v>0</v>
      </c>
      <c r="K7" s="155">
        <f>I7*J7</f>
        <v>0</v>
      </c>
      <c r="L7" s="170" t="s">
        <v>76</v>
      </c>
      <c r="M7" s="199" t="str">
        <f xml:space="preserve">
IF(AND(基礎情報!$AZ$77="○",はじめに入力してください!$K$50&gt;=1,初度設備!$AC$3="◎"),
VLOOKUP(MAX(初度設備!$Q$30:$Q$74),初度設備!$Q$30:$T$74,2,FALSE),"")</f>
        <v/>
      </c>
      <c r="N7" s="171" t="s">
        <v>68</v>
      </c>
      <c r="O7" s="199" t="str">
        <f xml:space="preserve">
IF(AND(基礎情報!$AZ$77="○",はじめに入力してください!$K$50&gt;=1,初度設備!$AC$3="◎"),
VLOOKUP(MAX(初度設備!$Q$30:$Q$74),初度設備!$Q$30:$T$74,3,FALSE),"")</f>
        <v/>
      </c>
      <c r="P7" s="131" t="s">
        <v>69</v>
      </c>
      <c r="Q7" s="199" t="str">
        <f xml:space="preserve">
IF(AND(基礎情報!$AZ$77="○",はじめに入力してください!$K$50&gt;=1,初度設備!$AC$3="◎"),
VLOOKUP(MAX(初度設備!$Q$30:$Q$74),初度設備!$Q$30:$T$74,4,FALSE),"")</f>
        <v/>
      </c>
      <c r="R7" s="172" t="s">
        <v>70</v>
      </c>
      <c r="T7" s="714" t="str">
        <f xml:space="preserve">
IF(基礎情報!$AZ$77="×","×",
IF(OR(はじめに入力してください!$K$50=0,はじめに入力してください!$K$50=""),"×",
IF(初度設備!$AC$3="×","×",
IF(初度設備!$AC$3="○","○",
IF(初度設備!$AC$3="◎",DATE(IF(M7=5,2023,IF(M7=6,2024)),O7,Q7))))))</f>
        <v>×</v>
      </c>
      <c r="U7" s="138" t="str">
        <f xml:space="preserve">
IF(基礎情報!$AZ$77="×",
"【要修正】基礎情報シートが入力不十分です。",
IF(OR(はじめに入力してください!$K$50=0,はじめに入力してください!$K$50=""),
"【要修正】はじめに入力してくださいシートの整備対象病床数が未入力です。",
IF(初度設備!$AC$3="×",
"【要修正】品目別の明細シートが入力不十分です。",
IF(初度設備!$AC$3="○",
"申請しない場合は入力不要です。",
IF(初度設備!$AC$3="◎",
"適切に入力がされました。")))))</f>
        <v>【要修正】基礎情報シートが入力不十分です。</v>
      </c>
      <c r="AA7" s="34"/>
    </row>
    <row r="8" spans="2:27" s="138" customFormat="1" ht="45" customHeight="1">
      <c r="B8" s="1796"/>
      <c r="C8" s="120" t="s">
        <v>103</v>
      </c>
      <c r="D8" s="41" t="str">
        <f>IF(K8=0,"‐","（別添明細のとおり）")</f>
        <v>‐</v>
      </c>
      <c r="E8" s="139">
        <f>IF(AND(基礎情報!$AZ$77="○",はじめに入力してください!$K$50&gt;=1,人工呼吸器!$AC$3="◎"),COUNTIF(人工呼吸器!$D$30:$D$74,"設備"),0)</f>
        <v>0</v>
      </c>
      <c r="F8" s="140">
        <f>IFERROR(G8/E8,0)</f>
        <v>0</v>
      </c>
      <c r="G8" s="140">
        <f>IF(E8=0,0,人工呼吸器!J3)</f>
        <v>0</v>
      </c>
      <c r="H8" s="69" t="str">
        <f>IF(E8=0,"-",D8)</f>
        <v>-</v>
      </c>
      <c r="I8" s="154">
        <f t="shared" si="0"/>
        <v>0</v>
      </c>
      <c r="J8" s="146">
        <f>IF(E8=0,0,人工呼吸器!J3)</f>
        <v>0</v>
      </c>
      <c r="K8" s="146">
        <f>I8*J8</f>
        <v>0</v>
      </c>
      <c r="L8" s="132" t="s">
        <v>76</v>
      </c>
      <c r="M8" s="200" t="str">
        <f xml:space="preserve">
IF(AND(基礎情報!$AZ$77="○",はじめに入力してください!$K$50&gt;=1,人工呼吸器!$AC$3="◎"),
VLOOKUP(MAX(人工呼吸器!$Q$30:$Q$74),人工呼吸器!$Q$30:$T$74,2,FALSE),"")</f>
        <v/>
      </c>
      <c r="N8" s="133" t="s">
        <v>68</v>
      </c>
      <c r="O8" s="200" t="str">
        <f xml:space="preserve">
IF(AND(基礎情報!$AZ$77="○",はじめに入力してください!$K$50&gt;=1,人工呼吸器!$AC$3="◎"),
VLOOKUP(MAX(人工呼吸器!$Q$30:$Q$74),人工呼吸器!$Q$30:$T$74,3,FALSE),"")</f>
        <v/>
      </c>
      <c r="P8" s="133" t="s">
        <v>69</v>
      </c>
      <c r="Q8" s="200" t="str">
        <f xml:space="preserve">
IF(AND(基礎情報!$AZ$77="○",はじめに入力してください!$K$50&gt;=1,人工呼吸器!$AC$3="◎"),
VLOOKUP(MAX(人工呼吸器!$Q$30:$Q$74),人工呼吸器!$Q$30:$T$74,4,FALSE),"")</f>
        <v/>
      </c>
      <c r="R8" s="134" t="s">
        <v>70</v>
      </c>
      <c r="T8" s="714" t="str">
        <f xml:space="preserve">
IF(基礎情報!$AZ$77="×","×",
IF(OR(はじめに入力してください!$K$50=0,はじめに入力してください!$K$50=""),"×",
IF(人工呼吸器!$AC$3="×","×",
IF(人工呼吸器!$AC$3="○","○",
IF(人工呼吸器!$AC$3="◎",DATE(IF(M8=5,2023,IF(M8=6,2024)),O8,Q8))))))</f>
        <v>×</v>
      </c>
      <c r="U8" s="138" t="str">
        <f xml:space="preserve">
IF(基礎情報!$AZ$77="×",
"【要修正】基礎情報シートが入力不十分です。",
IF(OR(はじめに入力してください!$K$50=0,はじめに入力してください!$K$50=""),
"【要修正】はじめに入力してくださいシートの整備対象病床数が未入力です。",
IF(人工呼吸器!$AC$3="×",
"【要修正】品目別の明細シートが入力不十分です。",
IF(人工呼吸器!$AC$3="○",
"申請しない場合は入力不要です。",
IF(人工呼吸器!$AC$3="◎",
"適切に入力がされました。")))))</f>
        <v>【要修正】基礎情報シートが入力不十分です。</v>
      </c>
      <c r="AA8" s="34"/>
    </row>
    <row r="9" spans="2:27" s="138" customFormat="1" ht="45" customHeight="1">
      <c r="B9" s="1796"/>
      <c r="C9" s="607" t="s">
        <v>504</v>
      </c>
      <c r="D9" s="41" t="str">
        <f t="shared" ref="D9:D16" si="1">IF(E9=0,"-","（別添明細のとおり）")</f>
        <v>-</v>
      </c>
      <c r="E9" s="611">
        <f xml:space="preserve">
IF(防護具!$AU$118="◎",防護具!C8,0)</f>
        <v>0</v>
      </c>
      <c r="F9" s="145">
        <f>IF(E9=0,0,3600)</f>
        <v>0</v>
      </c>
      <c r="G9" s="145">
        <f>ROUNDDOWN(E9*F9,0)</f>
        <v>0</v>
      </c>
      <c r="H9" s="41" t="str">
        <f t="shared" ref="H9:H16" si="2">IF(E9=0,"-","（別添明細のとおり）")</f>
        <v>-</v>
      </c>
      <c r="I9" s="141">
        <f t="shared" si="0"/>
        <v>0</v>
      </c>
      <c r="J9" s="145">
        <f>IF(E9=0,0,防護具!R2)</f>
        <v>0</v>
      </c>
      <c r="K9" s="145">
        <f t="shared" ref="K9:K16" si="3">ROUNDDOWN(I9*J9,0)</f>
        <v>0</v>
      </c>
      <c r="L9" s="132" t="s">
        <v>76</v>
      </c>
      <c r="M9" s="612" t="str">
        <f xml:space="preserve">
IF(防護具!$AU$118="◎",
VLOOKUP(MAX(防護具!$U$13:$U$212),防護具!$U$13:$X$212,2,FALSE),"")</f>
        <v/>
      </c>
      <c r="N9" s="133" t="s">
        <v>68</v>
      </c>
      <c r="O9" s="200" t="str">
        <f xml:space="preserve">
IF(防護具!$AU$118="◎",
VLOOKUP(MAX(防護具!$U$13:$U$212),防護具!$U$13:$X$212,3,FALSE),"")</f>
        <v/>
      </c>
      <c r="P9" s="133" t="s">
        <v>69</v>
      </c>
      <c r="Q9" s="200" t="str">
        <f xml:space="preserve">
IF(防護具!$AU$118="◎",
VLOOKUP(MAX(防護具!$U$13:$U$212),防護具!$U$13:$X$212,4,FALSE),"")</f>
        <v/>
      </c>
      <c r="R9" s="134" t="s">
        <v>70</v>
      </c>
      <c r="T9" s="714" t="str">
        <f xml:space="preserve">
IF(基礎情報!AZ99="×","×",
IF(AND(基礎情報!AZ99="○",防護具!AT119="×"),"×",
IF(AND(基礎情報!AZ99="○",防護具!AT119="○"),"○",
IF(AND(基礎情報!AZ99="○",防護具!AT119="◎"),DATE(IF(M9=5,2023,IF(M9=6,2024)),O9,Q9)))))</f>
        <v>×</v>
      </c>
      <c r="U9" s="138" t="str">
        <f xml:space="preserve">
IF(基礎情報!AZ77="×","【要修正】基礎情報が入力不十分です。",
IF(AND(基礎情報!AZ99="○",防護具!AT119="×"),"【要修正】個人防護具明細シートが入力不十分です。",
IF(AND(基礎情報!AZ99="○",防護具!AT119="○"),"申請しない場合は入力不要です。",
IF(AND(基礎情報!AZ99="○",防護具!AT119="◎"),"適切に入力がされました。"))))</f>
        <v>【要修正】基礎情報が入力不十分です。</v>
      </c>
      <c r="AA9" s="42"/>
    </row>
    <row r="10" spans="2:27" s="138" customFormat="1" ht="45" customHeight="1">
      <c r="B10" s="1796"/>
      <c r="C10" s="43" t="s">
        <v>505</v>
      </c>
      <c r="D10" s="41" t="str">
        <f t="shared" si="1"/>
        <v>-</v>
      </c>
      <c r="E10" s="142">
        <f>IF(AND(基礎情報!$AZ$77="○",はじめに入力してください!$K$50&gt;=1,簡易陰圧装置!$AC$3="◎"),COUNTIF(簡易陰圧装置!$D$30:$D$74,"設備"),0)</f>
        <v>0</v>
      </c>
      <c r="F10" s="146">
        <f>IF(E10=0,0,4320000)</f>
        <v>0</v>
      </c>
      <c r="G10" s="146">
        <f>E10*F10</f>
        <v>0</v>
      </c>
      <c r="H10" s="45" t="str">
        <f t="shared" si="2"/>
        <v>-</v>
      </c>
      <c r="I10" s="141">
        <f t="shared" si="0"/>
        <v>0</v>
      </c>
      <c r="J10" s="145">
        <f>IF(E10=0,0,簡易陰圧装置!J3)</f>
        <v>0</v>
      </c>
      <c r="K10" s="145">
        <f t="shared" si="3"/>
        <v>0</v>
      </c>
      <c r="L10" s="132" t="s">
        <v>76</v>
      </c>
      <c r="M10" s="200" t="str">
        <f xml:space="preserve">
IF(AND(基礎情報!$AZ$77="○",はじめに入力してください!$K$50&gt;=1,簡易陰圧装置!$AC$3="◎"),
VLOOKUP(MAX(簡易陰圧装置!$Q$30:$Q$74),簡易陰圧装置!$Q$30:$T$74,2,FALSE),"")</f>
        <v/>
      </c>
      <c r="N10" s="133" t="s">
        <v>68</v>
      </c>
      <c r="O10" s="200" t="str">
        <f xml:space="preserve">
IF(AND(基礎情報!$AZ$77="○",はじめに入力してください!$K$50&gt;=1,簡易陰圧装置!$AC$3="◎"),
VLOOKUP(MAX(簡易陰圧装置!$Q$30:$Q$74),簡易陰圧装置!$Q$30:$T$74,3,FALSE),"")</f>
        <v/>
      </c>
      <c r="P10" s="133" t="s">
        <v>69</v>
      </c>
      <c r="Q10" s="200" t="str">
        <f xml:space="preserve">
IF(AND(基礎情報!$AZ$77="○",はじめに入力してください!$K$50&gt;=1,簡易陰圧装置!$AC$3="◎"),
VLOOKUP(MAX(簡易陰圧装置!$Q$30:$Q$74),簡易陰圧装置!$Q$30:$T$74,4,FALSE),"")</f>
        <v/>
      </c>
      <c r="R10" s="134" t="s">
        <v>70</v>
      </c>
      <c r="T10" s="714" t="str">
        <f xml:space="preserve">
IF(基礎情報!$AZ$77="×","×",
IF(OR(はじめに入力してください!$K$50=0,はじめに入力してください!$K$50=""),"×",
IF(簡易陰圧装置!$AC$3="×","×",
IF(簡易陰圧装置!$AC$3="○","○",
IF(簡易陰圧装置!$AC$3="◎",DATE(IF(M10=5,2023,IF(M10=6,2024)),O10,Q10))))))</f>
        <v>×</v>
      </c>
      <c r="U10" s="138" t="str">
        <f xml:space="preserve">
IF(基礎情報!$AZ$77="×",
"【要修正】基礎情報シートが入力不十分です。",
IF(OR(はじめに入力してください!$K$50=0,はじめに入力してください!$K$50=""),
"【要修正】はじめに入力してくださいシートの整備対象病床数が未入力です。",
IF(簡易陰圧装置!$AC$3="×",
"【要修正】品目別の明細シートが入力不十分です。",
IF(簡易陰圧装置!$AC$3="○",
"申請しない場合は入力不要です。",
IF(簡易陰圧装置!$AC$3="◎",
"適切に入力がされました。")))))</f>
        <v>【要修正】基礎情報シートが入力不十分です。</v>
      </c>
      <c r="AA10" s="34"/>
    </row>
    <row r="11" spans="2:27" s="138" customFormat="1" ht="45" customHeight="1">
      <c r="B11" s="1796"/>
      <c r="C11" s="607" t="s">
        <v>1358</v>
      </c>
      <c r="D11" s="41" t="str">
        <f t="shared" si="1"/>
        <v>-</v>
      </c>
      <c r="E11" s="608">
        <f xml:space="preserve">
IF(AND(基礎情報!$AZ$77="○",はじめに入力してください!$K$50&gt;=1,空清機・パーテ・ベッド!$BF$3="◎",空清機・パーテ・ベッド!BG3="◎"),1,0)</f>
        <v>0</v>
      </c>
      <c r="F11" s="146">
        <f>IF(E11=0,0,905000)</f>
        <v>0</v>
      </c>
      <c r="G11" s="146">
        <f>E11*F11</f>
        <v>0</v>
      </c>
      <c r="H11" s="45" t="str">
        <f>IF(E11=0,"-","（別添明細のとおり）")</f>
        <v>-</v>
      </c>
      <c r="I11" s="141">
        <f>IF(E11=0,0,1)</f>
        <v>0</v>
      </c>
      <c r="J11" s="145">
        <f>IF(E11=0,0,空清機・パーテ・ベッド!AG31)</f>
        <v>0</v>
      </c>
      <c r="K11" s="145">
        <f t="shared" si="3"/>
        <v>0</v>
      </c>
      <c r="L11" s="132" t="s">
        <v>76</v>
      </c>
      <c r="M11" s="200" t="str">
        <f xml:space="preserve">
IF(AND(基礎情報!$AZ$77="○",はじめに入力してください!$K$50&gt;=1,空清機・パーテ・ベッド!$BF$3="◎",空清機・パーテ・ベッド!BG3="◎"),空清機・パーテ・ベッド!D17,"")</f>
        <v/>
      </c>
      <c r="N11" s="133" t="s">
        <v>68</v>
      </c>
      <c r="O11" s="200" t="str">
        <f xml:space="preserve">
IF(AND(基礎情報!$AZ$77="○",はじめに入力してください!$K$50&gt;=1,空清機・パーテ・ベッド!$BF$3="◎",空清機・パーテ・ベッド!BG3="◎"),空清機・パーテ・ベッド!G17,"")</f>
        <v/>
      </c>
      <c r="P11" s="133" t="s">
        <v>69</v>
      </c>
      <c r="Q11" s="200" t="str">
        <f xml:space="preserve">
IF(AND(基礎情報!$AZ$77="○",はじめに入力してください!$K$50&gt;=1,空清機・パーテ・ベッド!$BF$3="◎",空清機・パーテ・ベッド!BG3="◎"),空清機・パーテ・ベッド!J17,"")</f>
        <v/>
      </c>
      <c r="R11" s="134" t="s">
        <v>70</v>
      </c>
      <c r="T11" s="716" t="str">
        <f xml:space="preserve">
IF(基礎情報!$AZ$77="×","×",
IF(OR(はじめに入力してください!$K$50=0,はじめに入力してください!$K$50=""),"×",
IF(空清機・パーテ・ベッド!$BF$3="×","×",
IF(空清機・パーテ・ベッド!$BF$3="○","○",
IF(空清機・パーテ・ベッド!BG3="◎",DATE(IF(M11=5,2023,IF(M11=6,2024)),O11,Q11))))))</f>
        <v>×</v>
      </c>
      <c r="U11" s="138" t="str">
        <f xml:space="preserve">
IF(基礎情報!$AZ$77="×","【要修正】基礎情報シートが入力不十分です",
IF(OR(はじめに入力してください!$K$50=0,はじめに入力してください!$K$50=""),"【要修正】はじめに入力してくださいシートの整備対象病床数が０または未入力です。",
IF(空清機・パーテ・ベッド!$BF$3="×","【要修正】「空清機・パーテ・ベッド」が入力不十分です。",
IF(空清機・パーテ・ベッド!$BF$3="○","申請しない場合は入力不要です。",
IF(空清機・パーテ・ベッド!BG3="◎","適切に入力がされました。")))))</f>
        <v>【要修正】基礎情報シートが入力不十分です</v>
      </c>
      <c r="AA11" s="34"/>
    </row>
    <row r="12" spans="2:27" s="138" customFormat="1" ht="45" customHeight="1">
      <c r="B12" s="1796"/>
      <c r="C12" s="607" t="s">
        <v>1359</v>
      </c>
      <c r="D12" s="41" t="str">
        <f t="shared" si="1"/>
        <v>-</v>
      </c>
      <c r="E12" s="609">
        <f xml:space="preserve">
IF(AND(基礎情報!$AZ$77="○",はじめに入力してください!$K$50&gt;=1,空清機・パーテ・ベッド!$BF$3="◎",空清機・パーテ・ベッド!BG4="◎"),空清機・パーテ・ベッド!AE3,0)</f>
        <v>0</v>
      </c>
      <c r="F12" s="146">
        <f>IF(E12=0,0,205000)</f>
        <v>0</v>
      </c>
      <c r="G12" s="146">
        <f>E12*F12</f>
        <v>0</v>
      </c>
      <c r="H12" s="45" t="str">
        <f>IF(E12=0,"-","（別添明細のとおり）")</f>
        <v>-</v>
      </c>
      <c r="I12" s="141">
        <f>IF(E12=0,0,1)</f>
        <v>0</v>
      </c>
      <c r="J12" s="145">
        <f>IF(E12=0,0,空清機・パーテ・ベッド!AG48)</f>
        <v>0</v>
      </c>
      <c r="K12" s="145">
        <f t="shared" si="3"/>
        <v>0</v>
      </c>
      <c r="L12" s="132" t="s">
        <v>76</v>
      </c>
      <c r="M12" s="200" t="str">
        <f xml:space="preserve">
IF(AND(基礎情報!$AZ$77="○",はじめに入力してください!$K$50&gt;=1,空清機・パーテ・ベッド!$BF$3="◎",空清機・パーテ・ベッド!BG4="◎"),空清機・パーテ・ベッド!D39,"")</f>
        <v/>
      </c>
      <c r="N12" s="133" t="s">
        <v>68</v>
      </c>
      <c r="O12" s="200" t="str">
        <f xml:space="preserve">
IF(AND(基礎情報!$AZ$77="○",はじめに入力してください!$K$50&gt;=1,空清機・パーテ・ベッド!$BF$3="◎",空清機・パーテ・ベッド!BG4="◎"),空清機・パーテ・ベッド!G39,"")</f>
        <v/>
      </c>
      <c r="P12" s="133" t="s">
        <v>69</v>
      </c>
      <c r="Q12" s="200" t="str">
        <f xml:space="preserve">
IF(AND(基礎情報!$AZ$77="○",はじめに入力してください!$K$50&gt;=1,空清機・パーテ・ベッド!$BF$3="◎",空清機・パーテ・ベッド!BG4="◎"),空清機・パーテ・ベッド!J39,"")</f>
        <v/>
      </c>
      <c r="R12" s="134" t="s">
        <v>70</v>
      </c>
      <c r="T12" s="716" t="str">
        <f xml:space="preserve">
IF(基礎情報!$AZ$77="×","×",
IF(OR(はじめに入力してください!$K$50=0,はじめに入力してください!$K$50=""),"×",
IF(空清機・パーテ・ベッド!$BF$3="×","×",
IF(空清機・パーテ・ベッド!$BF$3="○","○",
IF(空清機・パーテ・ベッド!BG4="◎",DATE(IF(M12=5,2023,IF(M12=6,2024)),O12,Q12))))))</f>
        <v>×</v>
      </c>
      <c r="U12" s="138" t="str">
        <f xml:space="preserve">
IF(基礎情報!$AZ$77="×","【要修正】基礎情報シートが入力不十分です",
IF(OR(はじめに入力してください!$K$50=0,はじめに入力してください!$K$50=""),"【要修正】はじめに入力してくださいシートの整備対象病床数が０または未入力です。",
IF(空清機・パーテ・ベッド!$BF$3="×","【要修正】「空清機・パーテ・ベッド」が入力不十分です。",
IF(空清機・パーテ・ベッド!$BF$3="○","申請しない場合は入力不要です。",
IF(空清機・パーテ・ベッド!BG4="◎","適切に入力がされました。")))))</f>
        <v>【要修正】基礎情報シートが入力不十分です</v>
      </c>
      <c r="AA12" s="34"/>
    </row>
    <row r="13" spans="2:27" s="138" customFormat="1" ht="45" customHeight="1">
      <c r="B13" s="1796"/>
      <c r="C13" s="607" t="s">
        <v>506</v>
      </c>
      <c r="D13" s="45" t="str">
        <f t="shared" si="1"/>
        <v>-</v>
      </c>
      <c r="E13" s="142">
        <f xml:space="preserve">
IF(AND(基礎情報!$AZ$77="○",はじめに入力してください!$K$50&gt;=1,空清機・パーテ・ベッド!$BF$3="◎",空清機・パーテ・ベッド!BG5="◎"),空清機・パーテ・ベッド!AE4,0)</f>
        <v>0</v>
      </c>
      <c r="F13" s="146">
        <f>IF(E13=0,0,51400)</f>
        <v>0</v>
      </c>
      <c r="G13" s="146">
        <f>E13*F13</f>
        <v>0</v>
      </c>
      <c r="H13" s="45" t="str">
        <f t="shared" si="2"/>
        <v>-</v>
      </c>
      <c r="I13" s="154">
        <f t="shared" si="0"/>
        <v>0</v>
      </c>
      <c r="J13" s="145">
        <f>IF(E13=0,0,空清機・パーテ・ベッド!AG63)</f>
        <v>0</v>
      </c>
      <c r="K13" s="146">
        <f t="shared" si="3"/>
        <v>0</v>
      </c>
      <c r="L13" s="132" t="s">
        <v>76</v>
      </c>
      <c r="M13" s="200" t="str">
        <f xml:space="preserve">
IF(AND(基礎情報!$AZ$77="○",はじめに入力してください!$K$50&gt;=1,空清機・パーテ・ベッド!$BF$3="◎",空清機・パーテ・ベッド!BG5="◎"),空清機・パーテ・ベッド!D55,"")</f>
        <v/>
      </c>
      <c r="N13" s="133" t="s">
        <v>68</v>
      </c>
      <c r="O13" s="200" t="str">
        <f xml:space="preserve">
IF(AND(基礎情報!$AZ$77="○",はじめに入力してください!$K$50&gt;=1,空清機・パーテ・ベッド!$BF$3="◎",空清機・パーテ・ベッド!BG5="◎"),空清機・パーテ・ベッド!G55,"")</f>
        <v/>
      </c>
      <c r="P13" s="133" t="s">
        <v>69</v>
      </c>
      <c r="Q13" s="200" t="str">
        <f xml:space="preserve">
IF(AND(基礎情報!$AZ$77="○",はじめに入力してください!$K$50&gt;=1,空清機・パーテ・ベッド!$BF$3="◎",空清機・パーテ・ベッド!BG5="◎"),空清機・パーテ・ベッド!J55,"")</f>
        <v/>
      </c>
      <c r="R13" s="134" t="s">
        <v>70</v>
      </c>
      <c r="T13" s="716" t="str">
        <f xml:space="preserve">
IF(基礎情報!$AZ$77="×","×",
IF(OR(はじめに入力してください!$K$50=0,はじめに入力してください!$K$50=""),"×",
IF(空清機・パーテ・ベッド!$BF$3="×","×",
IF(空清機・パーテ・ベッド!$BF$3="○","○",
IF(空清機・パーテ・ベッド!BG5="◎",DATE(IF(M13=5,2023,IF(M13=6,2024)),O13,Q13))))))</f>
        <v>×</v>
      </c>
      <c r="U13" s="138" t="str">
        <f xml:space="preserve">
IF(基礎情報!$AZ$77="×","【要修正】基礎情報シートが入力不十分です",
IF(OR(はじめに入力してください!$K$50=0,はじめに入力してください!$K$50=""),"【要修正】はじめに入力してくださいシートの整備対象病床数が０または未入力です。",
IF(空清機・パーテ・ベッド!$BF$3="×","【要修正】「空清機・パーテ・ベッド」が入力不十分です。",
IF(空清機・パーテ・ベッド!$BF$3="○","申請しない場合は入力不要です。",
IF(空清機・パーテ・ベッド!BG5="◎","適切に入力がされました。")))))</f>
        <v>【要修正】基礎情報シートが入力不十分です</v>
      </c>
      <c r="AA13" s="34"/>
    </row>
    <row r="14" spans="2:27" s="138" customFormat="1" ht="45" customHeight="1">
      <c r="B14" s="1796"/>
      <c r="C14" s="120" t="s">
        <v>507</v>
      </c>
      <c r="D14" s="41" t="str">
        <f t="shared" si="1"/>
        <v>-</v>
      </c>
      <c r="E14" s="161">
        <f>IF(AND(基礎情報!$AZ$77="○",はじめに入力してください!$K$50&gt;=1,体外式膜型人工肺!$AC$3="◎"),COUNTIF(簡易陰圧装置!$D$30:$D$74,"設備"),0)</f>
        <v>0</v>
      </c>
      <c r="F14" s="145">
        <f>IFERROR(G14/E14,0)</f>
        <v>0</v>
      </c>
      <c r="G14" s="145">
        <f>IF(E8=0,0,体外式膜型人工肺!J3)</f>
        <v>0</v>
      </c>
      <c r="H14" s="41" t="str">
        <f t="shared" si="2"/>
        <v>-</v>
      </c>
      <c r="I14" s="162">
        <f t="shared" si="0"/>
        <v>0</v>
      </c>
      <c r="J14" s="145">
        <f>IF(E14=0,0,体外式膜型人工肺!J3)</f>
        <v>0</v>
      </c>
      <c r="K14" s="145">
        <f t="shared" si="3"/>
        <v>0</v>
      </c>
      <c r="L14" s="132" t="s">
        <v>76</v>
      </c>
      <c r="M14" s="200" t="str">
        <f xml:space="preserve">
IF(AND(基礎情報!$AZ$77="○",はじめに入力してください!$K$50&gt;=1,体外式膜型人工肺!$AC$3="◎"),
VLOOKUP(MAX(体外式膜型人工肺!$Q$30:$Q$74),体外式膜型人工肺!$Q$30:$T$74,2,FALSE),"")</f>
        <v/>
      </c>
      <c r="N14" s="133" t="s">
        <v>68</v>
      </c>
      <c r="O14" s="200" t="str">
        <f xml:space="preserve">
IF(AND(基礎情報!$AZ$77="○",はじめに入力してください!$K$50&gt;=1,体外式膜型人工肺!$AC$3="◎"),
VLOOKUP(MAX(体外式膜型人工肺!$Q$30:$Q$74),体外式膜型人工肺!$Q$30:$T$74,3,FALSE),"")</f>
        <v/>
      </c>
      <c r="P14" s="133" t="s">
        <v>69</v>
      </c>
      <c r="Q14" s="200" t="str">
        <f xml:space="preserve">
IF(AND(基礎情報!$AZ$77="○",はじめに入力してください!$K$50&gt;=1,体外式膜型人工肺!$AC$3="◎"),
VLOOKUP(MAX(体外式膜型人工肺!$Q$30:$Q$74),体外式膜型人工肺!$Q$30:$T$74,4,FALSE),"")</f>
        <v/>
      </c>
      <c r="R14" s="134" t="s">
        <v>70</v>
      </c>
      <c r="T14" s="714" t="str">
        <f xml:space="preserve">
IF(基礎情報!$AZ$77="×","×",
IF(OR(はじめに入力してください!$K$50=0,はじめに入力してください!$K$50=""),"×",
IF(体外式膜型人工肺!$AC$3="×","×",
IF(体外式膜型人工肺!$AC$3="○","○",
IF(体外式膜型人工肺!$AC$3="◎",DATE(IF(M14=5,2023,IF(M14=6,2024)),O14,Q14))))))</f>
        <v>×</v>
      </c>
      <c r="U14" s="138" t="str">
        <f xml:space="preserve">
IF(基礎情報!$AZ$77="×",
"【要修正】基礎情報シートが入力不十分です。",
IF(OR(はじめに入力してください!$K$50=0,はじめに入力してください!$K$50=""),
"【要修正】はじめに入力してくださいシートの整備対象病床数が未入力です。",
IF(体外式膜型人工肺!$AC$3="×",
"【要修正】品目別の明細シートが入力不十分です。",
IF(体外式膜型人工肺!$AC$3="○",
"申請しない場合は入力不要です。",
IF(体外式膜型人工肺!$AC$3="◎",
"適切に入力がされました。")))))</f>
        <v>【要修正】基礎情報シートが入力不十分です。</v>
      </c>
      <c r="AA14" s="34"/>
    </row>
    <row r="15" spans="2:27" s="138" customFormat="1" ht="45" customHeight="1">
      <c r="B15" s="1797"/>
      <c r="C15" s="43" t="s">
        <v>508</v>
      </c>
      <c r="D15" s="45" t="str">
        <f t="shared" si="1"/>
        <v>-</v>
      </c>
      <c r="E15" s="161">
        <f>IF(AND(基礎情報!$AZ$77="○",はじめに入力してください!$K$50&gt;=1,簡易病室!$AC$3="◎"),COUNTIF(簡易病室!$D$30:$D$74,"設備"),0)</f>
        <v>0</v>
      </c>
      <c r="F15" s="146">
        <f>IF(E15=0,0,簡易病室!J3)</f>
        <v>0</v>
      </c>
      <c r="G15" s="146">
        <f>E15*F15</f>
        <v>0</v>
      </c>
      <c r="H15" s="45" t="str">
        <f t="shared" si="2"/>
        <v>-</v>
      </c>
      <c r="I15" s="154">
        <f t="shared" si="0"/>
        <v>0</v>
      </c>
      <c r="J15" s="146">
        <f>IF(E15=0,0,簡易病室!J3)</f>
        <v>0</v>
      </c>
      <c r="K15" s="146">
        <f t="shared" si="3"/>
        <v>0</v>
      </c>
      <c r="L15" s="132" t="s">
        <v>76</v>
      </c>
      <c r="M15" s="200" t="str">
        <f xml:space="preserve">
IF(AND(基礎情報!$AZ$77="○",はじめに入力してください!$K$50&gt;=1,簡易病室!$AC$3="◎"),
VLOOKUP(MAX(簡易病室!$Q$30:$Q$74),簡易病室!$Q$30:$T$74,2,FALSE),"")</f>
        <v/>
      </c>
      <c r="N15" s="133" t="s">
        <v>68</v>
      </c>
      <c r="O15" s="200" t="str">
        <f xml:space="preserve">
IF(AND(基礎情報!$AZ$77="○",はじめに入力してください!$K$50&gt;=1,簡易病室!$AC$3="◎"),
VLOOKUP(MAX(簡易病室!$Q$30:$Q$74),簡易病室!$Q$30:$T$74,3,FALSE),"")</f>
        <v/>
      </c>
      <c r="P15" s="133" t="s">
        <v>69</v>
      </c>
      <c r="Q15" s="200" t="str">
        <f xml:space="preserve">
IF(AND(基礎情報!$AZ$77="○",はじめに入力してください!$K$50&gt;=1,簡易病室!$AC$3="◎"),
VLOOKUP(MAX(簡易病室!$Q$30:$Q$74),簡易病室!$Q$30:$T$74,4,FALSE),"")</f>
        <v/>
      </c>
      <c r="R15" s="134" t="s">
        <v>70</v>
      </c>
      <c r="T15" s="714" t="str">
        <f xml:space="preserve">
IF(基礎情報!$AZ$77="×","×",
IF(OR(はじめに入力してください!$K$50=0,はじめに入力してください!$K$50=""),"×",
IF(簡易病室!$AC$3="×","×",
IF(簡易病室!$AC$3="○","○",
IF(簡易病室!$AC$3="◎",DATE(IF(M15=5,2023,IF(M15=6,2024)),O15,Q15))))))</f>
        <v>×</v>
      </c>
      <c r="U15" s="138" t="str">
        <f xml:space="preserve">
IF(基礎情報!$AZ$77="×",
"【要修正】基礎情報シートが入力不十分です。",
IF(OR(はじめに入力してください!$K$50=0,はじめに入力してください!$K$50=""),
"【要修正】はじめに入力してくださいシートの整備対象病床数が未入力です。",
IF(簡易病室!$AC$3="×",
"【要修正】品目別の明細シートが入力不十分です。",
IF(簡易病室!$AC$3="○",
"申請しない場合は入力不要です。",
IF(簡易病室!$AC$3="◎",
"適切に入力がされました。")))))</f>
        <v>【要修正】基礎情報シートが入力不十分です。</v>
      </c>
      <c r="AA15" s="34"/>
    </row>
    <row r="16" spans="2:27" s="138" customFormat="1" ht="45" customHeight="1" thickBot="1">
      <c r="B16" s="118" t="s">
        <v>509</v>
      </c>
      <c r="C16" s="119" t="s">
        <v>511</v>
      </c>
      <c r="D16" s="41" t="str">
        <f t="shared" si="1"/>
        <v>-</v>
      </c>
      <c r="E16" s="161">
        <f>IF(AND(基礎情報!$AZ$77="○",はじめに入力してください!$K$50&gt;=1,紫外線照射装置!$AC$3="◎"),COUNTIF(紫外線照射装置!$D$30:$D$74,"設備"),0)</f>
        <v>0</v>
      </c>
      <c r="F16" s="146">
        <f>IF(E16=0,0,4000000)</f>
        <v>0</v>
      </c>
      <c r="G16" s="146">
        <f>E16*F16</f>
        <v>0</v>
      </c>
      <c r="H16" s="45" t="str">
        <f t="shared" si="2"/>
        <v>-</v>
      </c>
      <c r="I16" s="154">
        <f t="shared" si="0"/>
        <v>0</v>
      </c>
      <c r="J16" s="140">
        <f>IF(E16=0,0,紫外線照射装置!J3)</f>
        <v>0</v>
      </c>
      <c r="K16" s="145">
        <f t="shared" si="3"/>
        <v>0</v>
      </c>
      <c r="L16" s="135" t="s">
        <v>76</v>
      </c>
      <c r="M16" s="200" t="str">
        <f xml:space="preserve">
IF(AND(基礎情報!$AZ$77="○",はじめに入力してください!$K$50&gt;=1,紫外線照射装置!$AC$3="◎"),
VLOOKUP(MAX(紫外線照射装置!$Q$30:$Q$74),紫外線照射装置!$Q$30:$T$74,2,FALSE),"")</f>
        <v/>
      </c>
      <c r="N16" s="136" t="s">
        <v>68</v>
      </c>
      <c r="O16" s="200" t="str">
        <f xml:space="preserve">
IF(AND(基礎情報!$AZ$77="○",はじめに入力してください!$K$50&gt;=1,紫外線照射装置!$AC$3="◎"),
VLOOKUP(MAX(紫外線照射装置!$Q$30:$Q$74),紫外線照射装置!$Q$30:$T$74,3,FALSE),"")</f>
        <v/>
      </c>
      <c r="P16" s="133" t="s">
        <v>69</v>
      </c>
      <c r="Q16" s="200" t="str">
        <f xml:space="preserve">
IF(AND(基礎情報!$AZ$77="○",はじめに入力してください!$K$50&gt;=1,紫外線照射装置!$AC$3="◎"),
VLOOKUP(MAX(紫外線照射装置!$Q$30:$Q$74),紫外線照射装置!$Q$30:$T$74,4,FALSE),"")</f>
        <v/>
      </c>
      <c r="R16" s="134" t="s">
        <v>70</v>
      </c>
      <c r="T16" s="714" t="str">
        <f xml:space="preserve">
IF(基礎情報!$AZ$77="×","×",
IF(OR(はじめに入力してください!$K$50=0,はじめに入力してください!$K$50=""),"×",
IF(紫外線照射装置!$AC$3="×","×",
IF(紫外線照射装置!$AC$3="○","○",
IF(紫外線照射装置!$AC$3="◎",DATE(IF(M16=5,2023,IF(M16=6,2024)),O16,Q16))))))</f>
        <v>×</v>
      </c>
      <c r="U16" s="138" t="str">
        <f xml:space="preserve">
IF(基礎情報!$AZ$77="×",
"【要修正】基礎情報シートが入力不十分です。",
IF(OR(はじめに入力してください!$K$50=0,はじめに入力してください!$K$50=""),
"【要修正】はじめに入力してくださいシートの整備対象病床数が未入力です。",
IF(紫外線照射装置!$AC$3="×",
"【要修正】品目別の明細シートが入力不十分です。",
IF(紫外線照射装置!$AC$3="○",
"申請しない場合は入力不要です。",
IF(紫外線照射装置!$AC$3="◎",
"適切に入力がされました。")))))</f>
        <v>【要修正】基礎情報シートが入力不十分です。</v>
      </c>
      <c r="AA16" s="34"/>
    </row>
    <row r="17" spans="2:27" s="138" customFormat="1" ht="45" hidden="1" customHeight="1" thickTop="1" thickBot="1">
      <c r="B17" s="160" t="s">
        <v>512</v>
      </c>
      <c r="C17" s="1790"/>
      <c r="D17" s="1791"/>
      <c r="E17" s="1791"/>
      <c r="F17" s="1807"/>
      <c r="G17" s="156">
        <f>SUM(G7:G16)</f>
        <v>0</v>
      </c>
      <c r="H17" s="1806"/>
      <c r="I17" s="1791"/>
      <c r="J17" s="1807"/>
      <c r="K17" s="156">
        <f>SUM(K7:K16)</f>
        <v>0</v>
      </c>
      <c r="L17" s="1783"/>
      <c r="M17" s="1784"/>
      <c r="N17" s="1784"/>
      <c r="O17" s="1784"/>
      <c r="P17" s="1784"/>
      <c r="Q17" s="1784"/>
      <c r="R17" s="1785"/>
      <c r="T17" s="584"/>
      <c r="AA17" s="173"/>
    </row>
    <row r="18" spans="2:27" s="138" customFormat="1" ht="45" hidden="1" customHeight="1" thickBot="1">
      <c r="B18" s="148" t="str">
        <f xml:space="preserve">
IF(表紙!$X$2="事前協議","－",
IF(表紙!$X$2="交付申請（２次）","－",
IF(表紙!$X$2="変更申請","－",
IF(表紙!$X$2="実績報告（１次）","感染症対策事業",
IF(表紙!$X$2="実績報告（２次）","－",
IF(表紙!$X$2="交付申請兼実績報告","－"))))))</f>
        <v>－</v>
      </c>
      <c r="C18" s="149" t="str">
        <f xml:space="preserve">
IF(表紙!$X$2="事前協議","－",
IF(表紙!$X$2="交付申請（２次）","－",
IF(表紙!$X$2="変更申請","－",
IF(表紙!$X$2="実績報告（１次）","消毒経費",
IF(表紙!$X$2="実績報告（２次）","－",
IF(表紙!$X$2="交付申請兼実績報告","－"))))))</f>
        <v>－</v>
      </c>
      <c r="D18" s="157" t="str">
        <f t="shared" ref="D18:D25" si="4">IF(E18=0,"-","（別添明細のとおり）")</f>
        <v>-</v>
      </c>
      <c r="E18" s="655">
        <f xml:space="preserve">
IF(表紙!$X$2="事前協議",0,
IF(表紙!$X$2="交付申請（２次）",0,
IF(表紙!$X$2="変更申請",0,
IF(AND(基礎情報!$AZ$77="○",表紙!$X$2="実績報告（１次）",基礎情報!$AZ$77="×"),0,
IF(AND(基礎情報!$AZ$77="○",表紙!$X$2="実績報告（１次）",消毒経費!AP119="×"),0,
IF(AND(基礎情報!$AZ$77="○",表紙!$X$2="実績報告（１次）",消毒経費!AP119="○"),0,
IF(AND(基礎情報!$AZ$77="○",表紙!$X$2="実績報告（１次）",消毒経費!AP119="◎"),消毒経費!C6,
IF(表紙!$X$2="実績報告（２次）",0,
IF(表紙!$X$2="交付申請兼実績報告",0)))))))))</f>
        <v>0</v>
      </c>
      <c r="F18" s="159">
        <f>IF(E18=0,0,消毒経費!C7)</f>
        <v>0</v>
      </c>
      <c r="G18" s="159">
        <f t="shared" ref="G18:G25" si="5">E18*F18</f>
        <v>0</v>
      </c>
      <c r="H18" s="157" t="str">
        <f t="shared" ref="H18:H25" si="6">IF(E18=0,"-","（別添明細のとおり）")</f>
        <v>-</v>
      </c>
      <c r="I18" s="158">
        <f>IF(E18=0,0,1)</f>
        <v>0</v>
      </c>
      <c r="J18" s="159">
        <f>IF(E18=0,0,消毒経費!N2)</f>
        <v>0</v>
      </c>
      <c r="K18" s="159">
        <f t="shared" ref="K18:K25" si="7">ROUNDDOWN(I18*J18,0)</f>
        <v>0</v>
      </c>
      <c r="L18" s="150" t="s">
        <v>76</v>
      </c>
      <c r="M18" s="201" t="str">
        <f xml:space="preserve">
IF(基礎情報!AZ15="×","",
IF(表紙!$X$2="事前協議","",
IF(表紙!$X$2="交付申請（２次）","",
IF(表紙!$X$2="変更申請","",
IF(AND(表紙!$X$2="実績報告（１次）",基礎情報!$AZ$77="×"),"",
IF(AND(表紙!$X$2="実績報告（１次）",消毒経費!AP119="×"),"",
IF(AND(表紙!$X$2="実績報告（１次）",消毒経費!AP119="○"),"",
IF(AND(表紙!$X$2="実績報告（１次）",消毒経費!AP119="◎"),VLOOKUP(MAX(消毒経費!$Q$13:$Q$112),消毒経費!$Q$13:$T$112,2,FALSE),
IF(表紙!$X$2="実績報告（２次）","○",
IF(表紙!$X$2="交付申請兼実績報告","○"))))))))))</f>
        <v/>
      </c>
      <c r="N18" s="151" t="s">
        <v>68</v>
      </c>
      <c r="O18" s="201" t="str">
        <f xml:space="preserve">
IF(基礎情報!AZ15="×","",
IF(表紙!$X$2="事前協議","",
IF(表紙!$X$2="交付申請（２次）","",
IF(表紙!$X$2="変更申請","",
IF(AND(表紙!$X$2="実績報告（１次）",基礎情報!$AZ$77="×"),"",
IF(AND(表紙!$X$2="実績報告（１次）",消毒経費!AP119="×"),"",
IF(AND(表紙!$X$2="実績報告（１次）",消毒経費!AP119="○"),"",
IF(AND(表紙!$X$2="実績報告（１次）",消毒経費!AP119="◎"),VLOOKUP(MAX(消毒経費!$Q$13:$Q$112),消毒経費!$Q$13:$T$112,3,FALSE),
IF(表紙!$X$2="実績報告（２次）","○",
IF(表紙!$X$2="交付申請兼実績報告","○"))))))))))</f>
        <v/>
      </c>
      <c r="P18" s="151" t="s">
        <v>1186</v>
      </c>
      <c r="Q18" s="201" t="str">
        <f xml:space="preserve">
IF(基礎情報!AZ15="×","",
IF(表紙!$X$2="事前協議","",
IF(表紙!$X$2="交付申請（２次）","",
IF(表紙!$X$2="変更申請","",
IF(AND(表紙!$X$2="実績報告（１次）",基礎情報!$AZ$77="×"),"",
IF(AND(表紙!$X$2="実績報告（１次）",消毒経費!AP119="×"),"",
IF(AND(表紙!$X$2="実績報告（１次）",消毒経費!AP119="○"),"",
IF(AND(表紙!$X$2="実績報告（１次）",消毒経費!AP119="◎"),VLOOKUP(MAX(消毒経費!$Q$13:$Q$112),消毒経費!$Q$13:$T$112,4,FALSE),
IF(表紙!$X$2="実績報告（２次）","○",
IF(表紙!$X$2="交付申請兼実績報告","○"))))))))))</f>
        <v/>
      </c>
      <c r="R18" s="152" t="s">
        <v>1187</v>
      </c>
      <c r="T18" s="585" t="str">
        <f xml:space="preserve">
IF(基礎情報!AZ15="×","×",
IF(表紙!$X$2="事前協議","○",
IF(表紙!$X$2="交付申請（２次）","○",
IF(表紙!$X$2="変更申請","○",
IF(AND(表紙!$X$2="実績報告（１次）",基礎情報!$AZ$77="×"),"×",
IF(AND(表紙!$X$2="実績報告（１次）",消毒経費!AP119="×"),"×",
IF(AND(表紙!$X$2="実績報告（１次）",消毒経費!AP119="○"),"○",
IF(AND(表紙!$X$2="実績報告（１次）",消毒経費!AP119="◎"),DATE(IF(M18=5,2023,IF(M18=6,2024)),O18,Q18),
IF(表紙!$X$2="実績報告（２次）","○",
IF(表紙!$X$2="交付申請兼実績報告","○"))))))))))</f>
        <v>×</v>
      </c>
      <c r="U18" s="138" t="str">
        <f xml:space="preserve">
IF(基礎情報!AZ15="×","【要修正】基礎情報シートが入力不十分です。",
IF(表紙!$X$2="事前協議","令和５年10月以降は申請できません。",
IF(表紙!$X$2="交付申請（２次）","令和５年10月以降は申請できません。",
IF(表紙!$X$2="変更申請","令和５年10月以降は申請できません。",
IF(AND(表紙!$X$2="実績報告（１次）",基礎情報!$AZ$77="×"),"【要修正】基礎情報シートが入力不十分です。",
IF(AND(表紙!$X$2="実績報告（１次）",消毒経費!AP119="×"),"【要修正】消毒経費シートが入力不十分です。",
IF(AND(表紙!$X$2="実績報告（１次）",消毒経費!AP119="○"),"申請しない場合は入力不要です。",
IF(AND(表紙!$X$2="実績報告（１次）",消毒経費!AP119="◎"),"適切に入力がされました。",
IF(表紙!$X$2="実績報告（２次）","令和５年10月以降は申請できません。",
IF(表紙!$X$2="交付申請兼実績報告","令和５年10月以降は申請できません。"))))))))))</f>
        <v>【要修正】基礎情報シートが入力不十分です。</v>
      </c>
      <c r="V18" s="656"/>
      <c r="AA18" s="34"/>
    </row>
    <row r="19" spans="2:27" s="138" customFormat="1" ht="45" hidden="1" customHeight="1">
      <c r="B19" s="1795" t="str">
        <f>"重点医療機関等"&amp;CHAR(10)&amp;"設備整備事業"</f>
        <v>重点医療機関等
設備整備事業</v>
      </c>
      <c r="C19" s="168" t="s">
        <v>1393</v>
      </c>
      <c r="D19" s="163" t="str">
        <f t="shared" si="4"/>
        <v>-</v>
      </c>
      <c r="E19" s="638">
        <v>0</v>
      </c>
      <c r="F19" s="169">
        <f>IF(E19=0,0,11000000)</f>
        <v>0</v>
      </c>
      <c r="G19" s="169">
        <f t="shared" si="5"/>
        <v>0</v>
      </c>
      <c r="H19" s="163" t="str">
        <f t="shared" si="6"/>
        <v>-</v>
      </c>
      <c r="I19" s="165">
        <f>IF(E19=0,0,1)</f>
        <v>0</v>
      </c>
      <c r="J19" s="169">
        <f>IF(E19=0,0,超音波画像診断装置!J3)</f>
        <v>0</v>
      </c>
      <c r="K19" s="169">
        <f t="shared" si="7"/>
        <v>0</v>
      </c>
      <c r="L19" s="196" t="s">
        <v>503</v>
      </c>
      <c r="M19" s="202"/>
      <c r="N19" s="197" t="s">
        <v>68</v>
      </c>
      <c r="O19" s="202"/>
      <c r="P19" s="197" t="s">
        <v>1186</v>
      </c>
      <c r="Q19" s="202"/>
      <c r="R19" s="198" t="s">
        <v>1187</v>
      </c>
      <c r="T19" s="585"/>
      <c r="AA19" s="34"/>
    </row>
    <row r="20" spans="2:27" s="138" customFormat="1" ht="45" hidden="1" customHeight="1">
      <c r="B20" s="1796"/>
      <c r="C20" s="43" t="s">
        <v>1394</v>
      </c>
      <c r="D20" s="45" t="str">
        <f t="shared" si="4"/>
        <v>-</v>
      </c>
      <c r="E20" s="142">
        <v>0</v>
      </c>
      <c r="F20" s="146">
        <f>IF(E20=0,0,6600000)</f>
        <v>0</v>
      </c>
      <c r="G20" s="146">
        <f t="shared" si="5"/>
        <v>0</v>
      </c>
      <c r="H20" s="45" t="str">
        <f t="shared" si="6"/>
        <v>-</v>
      </c>
      <c r="I20" s="154">
        <f t="shared" ref="I20:I25" si="8">IF(E20=0,0,1)</f>
        <v>0</v>
      </c>
      <c r="J20" s="146">
        <f>IF(E20=0,0,血液浄化装置!J3)</f>
        <v>0</v>
      </c>
      <c r="K20" s="146">
        <f t="shared" si="7"/>
        <v>0</v>
      </c>
      <c r="L20" s="132" t="s">
        <v>503</v>
      </c>
      <c r="M20" s="200"/>
      <c r="N20" s="133" t="s">
        <v>68</v>
      </c>
      <c r="O20" s="200"/>
      <c r="P20" s="133" t="s">
        <v>1186</v>
      </c>
      <c r="Q20" s="200"/>
      <c r="R20" s="134" t="s">
        <v>1187</v>
      </c>
      <c r="T20" s="585"/>
      <c r="AA20" s="34"/>
    </row>
    <row r="21" spans="2:27" s="138" customFormat="1" ht="45" hidden="1" customHeight="1">
      <c r="B21" s="1796"/>
      <c r="C21" s="43" t="s">
        <v>1395</v>
      </c>
      <c r="D21" s="45" t="str">
        <f t="shared" si="4"/>
        <v>-</v>
      </c>
      <c r="E21" s="142">
        <v>0</v>
      </c>
      <c r="F21" s="146">
        <f>IF(E21=0,0,5500000)</f>
        <v>0</v>
      </c>
      <c r="G21" s="146">
        <f t="shared" si="5"/>
        <v>0</v>
      </c>
      <c r="H21" s="45" t="str">
        <f t="shared" si="6"/>
        <v>-</v>
      </c>
      <c r="I21" s="154">
        <f t="shared" si="8"/>
        <v>0</v>
      </c>
      <c r="J21" s="146">
        <f>IF(E21=0,0,気管支鏡!J3)</f>
        <v>0</v>
      </c>
      <c r="K21" s="146">
        <f t="shared" si="7"/>
        <v>0</v>
      </c>
      <c r="L21" s="132" t="s">
        <v>503</v>
      </c>
      <c r="M21" s="200"/>
      <c r="N21" s="133" t="s">
        <v>68</v>
      </c>
      <c r="O21" s="200"/>
      <c r="P21" s="133" t="s">
        <v>1186</v>
      </c>
      <c r="Q21" s="200"/>
      <c r="R21" s="134" t="s">
        <v>1187</v>
      </c>
      <c r="T21" s="585"/>
      <c r="AA21" s="42"/>
    </row>
    <row r="22" spans="2:27" s="138" customFormat="1" ht="45" hidden="1" customHeight="1">
      <c r="B22" s="1796"/>
      <c r="C22" s="43" t="s">
        <v>1396</v>
      </c>
      <c r="D22" s="45" t="str">
        <f t="shared" si="4"/>
        <v>-</v>
      </c>
      <c r="E22" s="142">
        <v>0</v>
      </c>
      <c r="F22" s="146">
        <f>IF(E22=0,0,66000000)</f>
        <v>0</v>
      </c>
      <c r="G22" s="146">
        <f t="shared" si="5"/>
        <v>0</v>
      </c>
      <c r="H22" s="45" t="str">
        <f t="shared" si="6"/>
        <v>-</v>
      </c>
      <c r="I22" s="154">
        <f t="shared" si="8"/>
        <v>0</v>
      </c>
      <c r="J22" s="146">
        <f>IF(E22=0,0,CT撮影装置!J3)</f>
        <v>0</v>
      </c>
      <c r="K22" s="146">
        <f t="shared" si="7"/>
        <v>0</v>
      </c>
      <c r="L22" s="132" t="s">
        <v>503</v>
      </c>
      <c r="M22" s="200"/>
      <c r="N22" s="133" t="s">
        <v>68</v>
      </c>
      <c r="O22" s="200"/>
      <c r="P22" s="133" t="s">
        <v>69</v>
      </c>
      <c r="Q22" s="200"/>
      <c r="R22" s="134" t="s">
        <v>70</v>
      </c>
      <c r="T22" s="585"/>
      <c r="AA22" s="34"/>
    </row>
    <row r="23" spans="2:27" s="138" customFormat="1" ht="45" hidden="1" customHeight="1">
      <c r="B23" s="1796"/>
      <c r="C23" s="43" t="s">
        <v>1397</v>
      </c>
      <c r="D23" s="45" t="str">
        <f t="shared" si="4"/>
        <v>-</v>
      </c>
      <c r="E23" s="142">
        <v>0</v>
      </c>
      <c r="F23" s="146">
        <f>IF(E23=0,0,1100000)</f>
        <v>0</v>
      </c>
      <c r="G23" s="146">
        <f t="shared" si="5"/>
        <v>0</v>
      </c>
      <c r="H23" s="45" t="str">
        <f t="shared" si="6"/>
        <v>-</v>
      </c>
      <c r="I23" s="154">
        <f t="shared" si="8"/>
        <v>0</v>
      </c>
      <c r="J23" s="146">
        <f>IF(E23=0,0,生体情報モニタ!J3)</f>
        <v>0</v>
      </c>
      <c r="K23" s="146">
        <f t="shared" si="7"/>
        <v>0</v>
      </c>
      <c r="L23" s="132" t="s">
        <v>503</v>
      </c>
      <c r="M23" s="200"/>
      <c r="N23" s="133" t="s">
        <v>68</v>
      </c>
      <c r="O23" s="200"/>
      <c r="P23" s="133" t="s">
        <v>69</v>
      </c>
      <c r="Q23" s="200"/>
      <c r="R23" s="134" t="s">
        <v>70</v>
      </c>
      <c r="T23" s="585"/>
      <c r="AA23" s="34"/>
    </row>
    <row r="24" spans="2:27" s="138" customFormat="1" ht="45" hidden="1" customHeight="1">
      <c r="B24" s="1796"/>
      <c r="C24" s="43" t="s">
        <v>1398</v>
      </c>
      <c r="D24" s="45" t="str">
        <f t="shared" si="4"/>
        <v>-</v>
      </c>
      <c r="E24" s="142">
        <v>0</v>
      </c>
      <c r="F24" s="146">
        <f>IF(E24=0,0,2200000)</f>
        <v>0</v>
      </c>
      <c r="G24" s="146">
        <f t="shared" si="5"/>
        <v>0</v>
      </c>
      <c r="H24" s="45" t="str">
        <f t="shared" si="6"/>
        <v>-</v>
      </c>
      <c r="I24" s="154">
        <f t="shared" si="8"/>
        <v>0</v>
      </c>
      <c r="J24" s="146">
        <f>IF(E24=0,0,分娩監視装置!J3)</f>
        <v>0</v>
      </c>
      <c r="K24" s="146">
        <f t="shared" si="7"/>
        <v>0</v>
      </c>
      <c r="L24" s="132" t="s">
        <v>503</v>
      </c>
      <c r="M24" s="200"/>
      <c r="N24" s="133" t="s">
        <v>68</v>
      </c>
      <c r="O24" s="200"/>
      <c r="P24" s="133" t="s">
        <v>69</v>
      </c>
      <c r="Q24" s="200"/>
      <c r="R24" s="134" t="s">
        <v>70</v>
      </c>
      <c r="T24" s="585"/>
      <c r="AA24" s="34"/>
    </row>
    <row r="25" spans="2:27" s="138" customFormat="1" ht="45" hidden="1" customHeight="1" thickBot="1">
      <c r="B25" s="1797"/>
      <c r="C25" s="46" t="s">
        <v>1399</v>
      </c>
      <c r="D25" s="164" t="str">
        <f t="shared" si="4"/>
        <v>-</v>
      </c>
      <c r="E25" s="639">
        <v>0</v>
      </c>
      <c r="F25" s="167">
        <f>IF(E25=0,0,1100000)</f>
        <v>0</v>
      </c>
      <c r="G25" s="167">
        <f t="shared" si="5"/>
        <v>0</v>
      </c>
      <c r="H25" s="164" t="str">
        <f t="shared" si="6"/>
        <v>-</v>
      </c>
      <c r="I25" s="166">
        <f t="shared" si="8"/>
        <v>0</v>
      </c>
      <c r="J25" s="167">
        <f>IF(E25=0,0,新生児モニタ!J3)</f>
        <v>0</v>
      </c>
      <c r="K25" s="167">
        <f t="shared" si="7"/>
        <v>0</v>
      </c>
      <c r="L25" s="132" t="s">
        <v>503</v>
      </c>
      <c r="M25" s="200"/>
      <c r="N25" s="133" t="s">
        <v>68</v>
      </c>
      <c r="O25" s="200"/>
      <c r="P25" s="133" t="s">
        <v>69</v>
      </c>
      <c r="Q25" s="200"/>
      <c r="R25" s="134" t="s">
        <v>70</v>
      </c>
      <c r="T25" s="585"/>
      <c r="AA25" s="34"/>
    </row>
    <row r="26" spans="2:27" s="138" customFormat="1" ht="45" hidden="1" customHeight="1" thickTop="1" thickBot="1">
      <c r="B26" s="180" t="s">
        <v>512</v>
      </c>
      <c r="C26" s="181"/>
      <c r="D26" s="182"/>
      <c r="E26" s="183"/>
      <c r="F26" s="184"/>
      <c r="G26" s="185">
        <f>SUM(G19:G25)</f>
        <v>0</v>
      </c>
      <c r="H26" s="186"/>
      <c r="I26" s="183"/>
      <c r="J26" s="187"/>
      <c r="K26" s="185">
        <f>SUM(K19:K25)</f>
        <v>0</v>
      </c>
      <c r="L26" s="1798"/>
      <c r="M26" s="1799"/>
      <c r="N26" s="1799"/>
      <c r="O26" s="1799"/>
      <c r="P26" s="1799"/>
      <c r="Q26" s="1799"/>
      <c r="R26" s="1800"/>
      <c r="AA26" s="173"/>
    </row>
    <row r="27" spans="2:27" s="138" customFormat="1" ht="45" customHeight="1" thickTop="1" thickBot="1">
      <c r="B27" s="44" t="s">
        <v>1185</v>
      </c>
      <c r="C27" s="188"/>
      <c r="D27" s="176"/>
      <c r="E27" s="176"/>
      <c r="F27" s="176"/>
      <c r="G27" s="189">
        <f>IF(表紙!X2="交付申請兼実績報告",SUM(G17,G18,G26),SUM(G17:G18))</f>
        <v>0</v>
      </c>
      <c r="H27" s="176"/>
      <c r="I27" s="176"/>
      <c r="J27" s="176"/>
      <c r="K27" s="189">
        <f>IF(表紙!X2="交付申請兼実績報告",SUM(K17,K18,K26),SUM(K17:K18))</f>
        <v>0</v>
      </c>
      <c r="L27" s="1790"/>
      <c r="M27" s="1791"/>
      <c r="N27" s="1791"/>
      <c r="O27" s="1791"/>
      <c r="P27" s="1791"/>
      <c r="Q27" s="1791"/>
      <c r="R27" s="1792"/>
    </row>
    <row r="28" spans="2:27" ht="38.1" customHeight="1"/>
    <row r="29" spans="2:27" ht="38.1" customHeight="1"/>
    <row r="30" spans="2:27" ht="38.1" customHeight="1"/>
  </sheetData>
  <sheetProtection algorithmName="SHA-512" hashValue="lakwqkitZ1G323Uf37yFSC7Qmk242ZbOiSxxmh/bAGENDdbR9TYRO3R5dDSXcwHEocrL43cGzc8nlHUZrScE5A==" saltValue="xL+As+Pmyt0YOwMmjGA3hg==" spinCount="100000" sheet="1" formatCells="0" formatColumns="0" formatRows="0"/>
  <mergeCells count="18">
    <mergeCell ref="H4:K4"/>
    <mergeCell ref="B2:R2"/>
    <mergeCell ref="L17:R17"/>
    <mergeCell ref="L4:R4"/>
    <mergeCell ref="L27:R27"/>
    <mergeCell ref="L1:R1"/>
    <mergeCell ref="B19:B25"/>
    <mergeCell ref="L26:R26"/>
    <mergeCell ref="L5:N5"/>
    <mergeCell ref="O5:P5"/>
    <mergeCell ref="Q5:R5"/>
    <mergeCell ref="B7:B15"/>
    <mergeCell ref="B4:B5"/>
    <mergeCell ref="H17:J17"/>
    <mergeCell ref="C17:F17"/>
    <mergeCell ref="C4:C5"/>
    <mergeCell ref="D4:D5"/>
    <mergeCell ref="E4:G4"/>
  </mergeCells>
  <phoneticPr fontId="9"/>
  <conditionalFormatting sqref="E8:E16">
    <cfRule type="expression" dxfId="155" priority="24">
      <formula>E8=""</formula>
    </cfRule>
  </conditionalFormatting>
  <conditionalFormatting sqref="E20:E25">
    <cfRule type="expression" dxfId="154" priority="12">
      <formula>E20=""</formula>
    </cfRule>
  </conditionalFormatting>
  <conditionalFormatting sqref="E18">
    <cfRule type="expression" dxfId="153" priority="1">
      <formula>E18=""</formula>
    </cfRule>
  </conditionalFormatting>
  <dataValidations xWindow="1089" yWindow="465" count="7">
    <dataValidation allowBlank="1" showInputMessage="1" showErrorMessage="1" promptTitle="自動で表示されます。" prompt="当該欄は、左の黄色の欄「数量」及び「単価」を入力すると自動計算で表示されます。" sqref="K17 K7:K8" xr:uid="{00000000-0002-0000-0B00-000001000000}"/>
    <dataValidation allowBlank="1" showInputMessage="1" showErrorMessage="1" promptTitle="自動で表示されます。" prompt="当該欄は、左の黄色の欄「型番」に入力された名称が自動で表示されます。" sqref="H7:H8 H10:H25" xr:uid="{00000000-0002-0000-0B00-000002000000}"/>
    <dataValidation allowBlank="1" showInputMessage="1" showErrorMessage="1" promptTitle="自動で表示されます。" prompt="当該欄は、右の「対象経費支出予定額」の黄色の欄「数量」及び「単価」を入力すると自動計算で表示されます。" sqref="E7:G8 E9 G22:G25 E18:F25 G10:G20 E10:F16" xr:uid="{00000000-0002-0000-0B00-000003000000}"/>
    <dataValidation allowBlank="1" showInputMessage="1" showErrorMessage="1" promptTitle="【１施設１台まで補助】型番を入力" prompt="購入する空気清浄機の型番を入力してください。" sqref="D7" xr:uid="{00000000-0002-0000-0B00-000006000000}"/>
    <dataValidation allowBlank="1" showInputMessage="1" showErrorMessage="1" promptTitle="数量を入力" prompt="購入（またはリース）の数量を入力してください。" sqref="I18:I25 I7:I16" xr:uid="{00000000-0002-0000-0B00-000007000000}"/>
    <dataValidation allowBlank="1" showInputMessage="1" showErrorMessage="1" promptTitle="税込金額を入力" prompt="数量１あたりの税込金額を入力してください。" sqref="J7:J8 J14 J16" xr:uid="{00000000-0002-0000-0B00-000008000000}"/>
    <dataValidation allowBlank="1" showInputMessage="1" showErrorMessage="1" promptTitle="事業完了予定の年月日を入力" prompt="事業完了の予定日（それぞれの品目毎での最終納品の日付）を入力してください。" sqref="Q7:Q25 O7:O25 M7:M25" xr:uid="{D7F558C4-EE8F-49D2-B5F6-99FA6F880C76}"/>
  </dataValidations>
  <printOptions horizontalCentered="1"/>
  <pageMargins left="0.59055118110236227" right="0.39370078740157483" top="0.59055118110236227" bottom="0.39370078740157483" header="0.31496062992125984" footer="0.31496062992125984"/>
  <pageSetup paperSize="9" scale="5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B1:AG45"/>
  <sheetViews>
    <sheetView showGridLines="0" view="pageBreakPreview" zoomScale="60" zoomScaleNormal="100" workbookViewId="0">
      <selection activeCell="P6" sqref="P6:AB7"/>
    </sheetView>
  </sheetViews>
  <sheetFormatPr defaultRowHeight="18"/>
  <cols>
    <col min="1" max="1" width="1.625" style="337" customWidth="1"/>
    <col min="2" max="2" width="12.5" style="337" customWidth="1"/>
    <col min="3" max="5" width="10.625" style="337" customWidth="1"/>
    <col min="6" max="8" width="12.625" style="337" customWidth="1"/>
    <col min="9" max="9" width="1.625" style="337" customWidth="1"/>
    <col min="10" max="10" width="11.625" style="337" bestFit="1" customWidth="1"/>
    <col min="11" max="257" width="9" style="337"/>
    <col min="258" max="258" width="12.5" style="337" customWidth="1"/>
    <col min="259" max="261" width="10.625" style="337" customWidth="1"/>
    <col min="262" max="264" width="12.625" style="337" customWidth="1"/>
    <col min="265" max="265" width="9" style="337"/>
    <col min="266" max="266" width="11.625" style="337" bestFit="1" customWidth="1"/>
    <col min="267" max="513" width="9" style="337"/>
    <col min="514" max="514" width="12.5" style="337" customWidth="1"/>
    <col min="515" max="517" width="10.625" style="337" customWidth="1"/>
    <col min="518" max="520" width="12.625" style="337" customWidth="1"/>
    <col min="521" max="521" width="9" style="337"/>
    <col min="522" max="522" width="11.625" style="337" bestFit="1" customWidth="1"/>
    <col min="523" max="769" width="9" style="337"/>
    <col min="770" max="770" width="12.5" style="337" customWidth="1"/>
    <col min="771" max="773" width="10.625" style="337" customWidth="1"/>
    <col min="774" max="776" width="12.625" style="337" customWidth="1"/>
    <col min="777" max="777" width="9" style="337"/>
    <col min="778" max="778" width="11.625" style="337" bestFit="1" customWidth="1"/>
    <col min="779" max="1025" width="9" style="337"/>
    <col min="1026" max="1026" width="12.5" style="337" customWidth="1"/>
    <col min="1027" max="1029" width="10.625" style="337" customWidth="1"/>
    <col min="1030" max="1032" width="12.625" style="337" customWidth="1"/>
    <col min="1033" max="1033" width="9" style="337"/>
    <col min="1034" max="1034" width="11.625" style="337" bestFit="1" customWidth="1"/>
    <col min="1035" max="1281" width="9" style="337"/>
    <col min="1282" max="1282" width="12.5" style="337" customWidth="1"/>
    <col min="1283" max="1285" width="10.625" style="337" customWidth="1"/>
    <col min="1286" max="1288" width="12.625" style="337" customWidth="1"/>
    <col min="1289" max="1289" width="9" style="337"/>
    <col min="1290" max="1290" width="11.625" style="337" bestFit="1" customWidth="1"/>
    <col min="1291" max="1537" width="9" style="337"/>
    <col min="1538" max="1538" width="12.5" style="337" customWidth="1"/>
    <col min="1539" max="1541" width="10.625" style="337" customWidth="1"/>
    <col min="1542" max="1544" width="12.625" style="337" customWidth="1"/>
    <col min="1545" max="1545" width="9" style="337"/>
    <col min="1546" max="1546" width="11.625" style="337" bestFit="1" customWidth="1"/>
    <col min="1547" max="1793" width="9" style="337"/>
    <col min="1794" max="1794" width="12.5" style="337" customWidth="1"/>
    <col min="1795" max="1797" width="10.625" style="337" customWidth="1"/>
    <col min="1798" max="1800" width="12.625" style="337" customWidth="1"/>
    <col min="1801" max="1801" width="9" style="337"/>
    <col min="1802" max="1802" width="11.625" style="337" bestFit="1" customWidth="1"/>
    <col min="1803" max="2049" width="9" style="337"/>
    <col min="2050" max="2050" width="12.5" style="337" customWidth="1"/>
    <col min="2051" max="2053" width="10.625" style="337" customWidth="1"/>
    <col min="2054" max="2056" width="12.625" style="337" customWidth="1"/>
    <col min="2057" max="2057" width="9" style="337"/>
    <col min="2058" max="2058" width="11.625" style="337" bestFit="1" customWidth="1"/>
    <col min="2059" max="2305" width="9" style="337"/>
    <col min="2306" max="2306" width="12.5" style="337" customWidth="1"/>
    <col min="2307" max="2309" width="10.625" style="337" customWidth="1"/>
    <col min="2310" max="2312" width="12.625" style="337" customWidth="1"/>
    <col min="2313" max="2313" width="9" style="337"/>
    <col min="2314" max="2314" width="11.625" style="337" bestFit="1" customWidth="1"/>
    <col min="2315" max="2561" width="9" style="337"/>
    <col min="2562" max="2562" width="12.5" style="337" customWidth="1"/>
    <col min="2563" max="2565" width="10.625" style="337" customWidth="1"/>
    <col min="2566" max="2568" width="12.625" style="337" customWidth="1"/>
    <col min="2569" max="2569" width="9" style="337"/>
    <col min="2570" max="2570" width="11.625" style="337" bestFit="1" customWidth="1"/>
    <col min="2571" max="2817" width="9" style="337"/>
    <col min="2818" max="2818" width="12.5" style="337" customWidth="1"/>
    <col min="2819" max="2821" width="10.625" style="337" customWidth="1"/>
    <col min="2822" max="2824" width="12.625" style="337" customWidth="1"/>
    <col min="2825" max="2825" width="9" style="337"/>
    <col min="2826" max="2826" width="11.625" style="337" bestFit="1" customWidth="1"/>
    <col min="2827" max="3073" width="9" style="337"/>
    <col min="3074" max="3074" width="12.5" style="337" customWidth="1"/>
    <col min="3075" max="3077" width="10.625" style="337" customWidth="1"/>
    <col min="3078" max="3080" width="12.625" style="337" customWidth="1"/>
    <col min="3081" max="3081" width="9" style="337"/>
    <col min="3082" max="3082" width="11.625" style="337" bestFit="1" customWidth="1"/>
    <col min="3083" max="3329" width="9" style="337"/>
    <col min="3330" max="3330" width="12.5" style="337" customWidth="1"/>
    <col min="3331" max="3333" width="10.625" style="337" customWidth="1"/>
    <col min="3334" max="3336" width="12.625" style="337" customWidth="1"/>
    <col min="3337" max="3337" width="9" style="337"/>
    <col min="3338" max="3338" width="11.625" style="337" bestFit="1" customWidth="1"/>
    <col min="3339" max="3585" width="9" style="337"/>
    <col min="3586" max="3586" width="12.5" style="337" customWidth="1"/>
    <col min="3587" max="3589" width="10.625" style="337" customWidth="1"/>
    <col min="3590" max="3592" width="12.625" style="337" customWidth="1"/>
    <col min="3593" max="3593" width="9" style="337"/>
    <col min="3594" max="3594" width="11.625" style="337" bestFit="1" customWidth="1"/>
    <col min="3595" max="3841" width="9" style="337"/>
    <col min="3842" max="3842" width="12.5" style="337" customWidth="1"/>
    <col min="3843" max="3845" width="10.625" style="337" customWidth="1"/>
    <col min="3846" max="3848" width="12.625" style="337" customWidth="1"/>
    <col min="3849" max="3849" width="9" style="337"/>
    <col min="3850" max="3850" width="11.625" style="337" bestFit="1" customWidth="1"/>
    <col min="3851" max="4097" width="9" style="337"/>
    <col min="4098" max="4098" width="12.5" style="337" customWidth="1"/>
    <col min="4099" max="4101" width="10.625" style="337" customWidth="1"/>
    <col min="4102" max="4104" width="12.625" style="337" customWidth="1"/>
    <col min="4105" max="4105" width="9" style="337"/>
    <col min="4106" max="4106" width="11.625" style="337" bestFit="1" customWidth="1"/>
    <col min="4107" max="4353" width="9" style="337"/>
    <col min="4354" max="4354" width="12.5" style="337" customWidth="1"/>
    <col min="4355" max="4357" width="10.625" style="337" customWidth="1"/>
    <col min="4358" max="4360" width="12.625" style="337" customWidth="1"/>
    <col min="4361" max="4361" width="9" style="337"/>
    <col min="4362" max="4362" width="11.625" style="337" bestFit="1" customWidth="1"/>
    <col min="4363" max="4609" width="9" style="337"/>
    <col min="4610" max="4610" width="12.5" style="337" customWidth="1"/>
    <col min="4611" max="4613" width="10.625" style="337" customWidth="1"/>
    <col min="4614" max="4616" width="12.625" style="337" customWidth="1"/>
    <col min="4617" max="4617" width="9" style="337"/>
    <col min="4618" max="4618" width="11.625" style="337" bestFit="1" customWidth="1"/>
    <col min="4619" max="4865" width="9" style="337"/>
    <col min="4866" max="4866" width="12.5" style="337" customWidth="1"/>
    <col min="4867" max="4869" width="10.625" style="337" customWidth="1"/>
    <col min="4870" max="4872" width="12.625" style="337" customWidth="1"/>
    <col min="4873" max="4873" width="9" style="337"/>
    <col min="4874" max="4874" width="11.625" style="337" bestFit="1" customWidth="1"/>
    <col min="4875" max="5121" width="9" style="337"/>
    <col min="5122" max="5122" width="12.5" style="337" customWidth="1"/>
    <col min="5123" max="5125" width="10.625" style="337" customWidth="1"/>
    <col min="5126" max="5128" width="12.625" style="337" customWidth="1"/>
    <col min="5129" max="5129" width="9" style="337"/>
    <col min="5130" max="5130" width="11.625" style="337" bestFit="1" customWidth="1"/>
    <col min="5131" max="5377" width="9" style="337"/>
    <col min="5378" max="5378" width="12.5" style="337" customWidth="1"/>
    <col min="5379" max="5381" width="10.625" style="337" customWidth="1"/>
    <col min="5382" max="5384" width="12.625" style="337" customWidth="1"/>
    <col min="5385" max="5385" width="9" style="337"/>
    <col min="5386" max="5386" width="11.625" style="337" bestFit="1" customWidth="1"/>
    <col min="5387" max="5633" width="9" style="337"/>
    <col min="5634" max="5634" width="12.5" style="337" customWidth="1"/>
    <col min="5635" max="5637" width="10.625" style="337" customWidth="1"/>
    <col min="5638" max="5640" width="12.625" style="337" customWidth="1"/>
    <col min="5641" max="5641" width="9" style="337"/>
    <col min="5642" max="5642" width="11.625" style="337" bestFit="1" customWidth="1"/>
    <col min="5643" max="5889" width="9" style="337"/>
    <col min="5890" max="5890" width="12.5" style="337" customWidth="1"/>
    <col min="5891" max="5893" width="10.625" style="337" customWidth="1"/>
    <col min="5894" max="5896" width="12.625" style="337" customWidth="1"/>
    <col min="5897" max="5897" width="9" style="337"/>
    <col min="5898" max="5898" width="11.625" style="337" bestFit="1" customWidth="1"/>
    <col min="5899" max="6145" width="9" style="337"/>
    <col min="6146" max="6146" width="12.5" style="337" customWidth="1"/>
    <col min="6147" max="6149" width="10.625" style="337" customWidth="1"/>
    <col min="6150" max="6152" width="12.625" style="337" customWidth="1"/>
    <col min="6153" max="6153" width="9" style="337"/>
    <col min="6154" max="6154" width="11.625" style="337" bestFit="1" customWidth="1"/>
    <col min="6155" max="6401" width="9" style="337"/>
    <col min="6402" max="6402" width="12.5" style="337" customWidth="1"/>
    <col min="6403" max="6405" width="10.625" style="337" customWidth="1"/>
    <col min="6406" max="6408" width="12.625" style="337" customWidth="1"/>
    <col min="6409" max="6409" width="9" style="337"/>
    <col min="6410" max="6410" width="11.625" style="337" bestFit="1" customWidth="1"/>
    <col min="6411" max="6657" width="9" style="337"/>
    <col min="6658" max="6658" width="12.5" style="337" customWidth="1"/>
    <col min="6659" max="6661" width="10.625" style="337" customWidth="1"/>
    <col min="6662" max="6664" width="12.625" style="337" customWidth="1"/>
    <col min="6665" max="6665" width="9" style="337"/>
    <col min="6666" max="6666" width="11.625" style="337" bestFit="1" customWidth="1"/>
    <col min="6667" max="6913" width="9" style="337"/>
    <col min="6914" max="6914" width="12.5" style="337" customWidth="1"/>
    <col min="6915" max="6917" width="10.625" style="337" customWidth="1"/>
    <col min="6918" max="6920" width="12.625" style="337" customWidth="1"/>
    <col min="6921" max="6921" width="9" style="337"/>
    <col min="6922" max="6922" width="11.625" style="337" bestFit="1" customWidth="1"/>
    <col min="6923" max="7169" width="9" style="337"/>
    <col min="7170" max="7170" width="12.5" style="337" customWidth="1"/>
    <col min="7171" max="7173" width="10.625" style="337" customWidth="1"/>
    <col min="7174" max="7176" width="12.625" style="337" customWidth="1"/>
    <col min="7177" max="7177" width="9" style="337"/>
    <col min="7178" max="7178" width="11.625" style="337" bestFit="1" customWidth="1"/>
    <col min="7179" max="7425" width="9" style="337"/>
    <col min="7426" max="7426" width="12.5" style="337" customWidth="1"/>
    <col min="7427" max="7429" width="10.625" style="337" customWidth="1"/>
    <col min="7430" max="7432" width="12.625" style="337" customWidth="1"/>
    <col min="7433" max="7433" width="9" style="337"/>
    <col min="7434" max="7434" width="11.625" style="337" bestFit="1" customWidth="1"/>
    <col min="7435" max="7681" width="9" style="337"/>
    <col min="7682" max="7682" width="12.5" style="337" customWidth="1"/>
    <col min="7683" max="7685" width="10.625" style="337" customWidth="1"/>
    <col min="7686" max="7688" width="12.625" style="337" customWidth="1"/>
    <col min="7689" max="7689" width="9" style="337"/>
    <col min="7690" max="7690" width="11.625" style="337" bestFit="1" customWidth="1"/>
    <col min="7691" max="7937" width="9" style="337"/>
    <col min="7938" max="7938" width="12.5" style="337" customWidth="1"/>
    <col min="7939" max="7941" width="10.625" style="337" customWidth="1"/>
    <col min="7942" max="7944" width="12.625" style="337" customWidth="1"/>
    <col min="7945" max="7945" width="9" style="337"/>
    <col min="7946" max="7946" width="11.625" style="337" bestFit="1" customWidth="1"/>
    <col min="7947" max="8193" width="9" style="337"/>
    <col min="8194" max="8194" width="12.5" style="337" customWidth="1"/>
    <col min="8195" max="8197" width="10.625" style="337" customWidth="1"/>
    <col min="8198" max="8200" width="12.625" style="337" customWidth="1"/>
    <col min="8201" max="8201" width="9" style="337"/>
    <col min="8202" max="8202" width="11.625" style="337" bestFit="1" customWidth="1"/>
    <col min="8203" max="8449" width="9" style="337"/>
    <col min="8450" max="8450" width="12.5" style="337" customWidth="1"/>
    <col min="8451" max="8453" width="10.625" style="337" customWidth="1"/>
    <col min="8454" max="8456" width="12.625" style="337" customWidth="1"/>
    <col min="8457" max="8457" width="9" style="337"/>
    <col min="8458" max="8458" width="11.625" style="337" bestFit="1" customWidth="1"/>
    <col min="8459" max="8705" width="9" style="337"/>
    <col min="8706" max="8706" width="12.5" style="337" customWidth="1"/>
    <col min="8707" max="8709" width="10.625" style="337" customWidth="1"/>
    <col min="8710" max="8712" width="12.625" style="337" customWidth="1"/>
    <col min="8713" max="8713" width="9" style="337"/>
    <col min="8714" max="8714" width="11.625" style="337" bestFit="1" customWidth="1"/>
    <col min="8715" max="8961" width="9" style="337"/>
    <col min="8962" max="8962" width="12.5" style="337" customWidth="1"/>
    <col min="8963" max="8965" width="10.625" style="337" customWidth="1"/>
    <col min="8966" max="8968" width="12.625" style="337" customWidth="1"/>
    <col min="8969" max="8969" width="9" style="337"/>
    <col min="8970" max="8970" width="11.625" style="337" bestFit="1" customWidth="1"/>
    <col min="8971" max="9217" width="9" style="337"/>
    <col min="9218" max="9218" width="12.5" style="337" customWidth="1"/>
    <col min="9219" max="9221" width="10.625" style="337" customWidth="1"/>
    <col min="9222" max="9224" width="12.625" style="337" customWidth="1"/>
    <col min="9225" max="9225" width="9" style="337"/>
    <col min="9226" max="9226" width="11.625" style="337" bestFit="1" customWidth="1"/>
    <col min="9227" max="9473" width="9" style="337"/>
    <col min="9474" max="9474" width="12.5" style="337" customWidth="1"/>
    <col min="9475" max="9477" width="10.625" style="337" customWidth="1"/>
    <col min="9478" max="9480" width="12.625" style="337" customWidth="1"/>
    <col min="9481" max="9481" width="9" style="337"/>
    <col min="9482" max="9482" width="11.625" style="337" bestFit="1" customWidth="1"/>
    <col min="9483" max="9729" width="9" style="337"/>
    <col min="9730" max="9730" width="12.5" style="337" customWidth="1"/>
    <col min="9731" max="9733" width="10.625" style="337" customWidth="1"/>
    <col min="9734" max="9736" width="12.625" style="337" customWidth="1"/>
    <col min="9737" max="9737" width="9" style="337"/>
    <col min="9738" max="9738" width="11.625" style="337" bestFit="1" customWidth="1"/>
    <col min="9739" max="9985" width="9" style="337"/>
    <col min="9986" max="9986" width="12.5" style="337" customWidth="1"/>
    <col min="9987" max="9989" width="10.625" style="337" customWidth="1"/>
    <col min="9990" max="9992" width="12.625" style="337" customWidth="1"/>
    <col min="9993" max="9993" width="9" style="337"/>
    <col min="9994" max="9994" width="11.625" style="337" bestFit="1" customWidth="1"/>
    <col min="9995" max="10241" width="9" style="337"/>
    <col min="10242" max="10242" width="12.5" style="337" customWidth="1"/>
    <col min="10243" max="10245" width="10.625" style="337" customWidth="1"/>
    <col min="10246" max="10248" width="12.625" style="337" customWidth="1"/>
    <col min="10249" max="10249" width="9" style="337"/>
    <col min="10250" max="10250" width="11.625" style="337" bestFit="1" customWidth="1"/>
    <col min="10251" max="10497" width="9" style="337"/>
    <col min="10498" max="10498" width="12.5" style="337" customWidth="1"/>
    <col min="10499" max="10501" width="10.625" style="337" customWidth="1"/>
    <col min="10502" max="10504" width="12.625" style="337" customWidth="1"/>
    <col min="10505" max="10505" width="9" style="337"/>
    <col min="10506" max="10506" width="11.625" style="337" bestFit="1" customWidth="1"/>
    <col min="10507" max="10753" width="9" style="337"/>
    <col min="10754" max="10754" width="12.5" style="337" customWidth="1"/>
    <col min="10755" max="10757" width="10.625" style="337" customWidth="1"/>
    <col min="10758" max="10760" width="12.625" style="337" customWidth="1"/>
    <col min="10761" max="10761" width="9" style="337"/>
    <col min="10762" max="10762" width="11.625" style="337" bestFit="1" customWidth="1"/>
    <col min="10763" max="11009" width="9" style="337"/>
    <col min="11010" max="11010" width="12.5" style="337" customWidth="1"/>
    <col min="11011" max="11013" width="10.625" style="337" customWidth="1"/>
    <col min="11014" max="11016" width="12.625" style="337" customWidth="1"/>
    <col min="11017" max="11017" width="9" style="337"/>
    <col min="11018" max="11018" width="11.625" style="337" bestFit="1" customWidth="1"/>
    <col min="11019" max="11265" width="9" style="337"/>
    <col min="11266" max="11266" width="12.5" style="337" customWidth="1"/>
    <col min="11267" max="11269" width="10.625" style="337" customWidth="1"/>
    <col min="11270" max="11272" width="12.625" style="337" customWidth="1"/>
    <col min="11273" max="11273" width="9" style="337"/>
    <col min="11274" max="11274" width="11.625" style="337" bestFit="1" customWidth="1"/>
    <col min="11275" max="11521" width="9" style="337"/>
    <col min="11522" max="11522" width="12.5" style="337" customWidth="1"/>
    <col min="11523" max="11525" width="10.625" style="337" customWidth="1"/>
    <col min="11526" max="11528" width="12.625" style="337" customWidth="1"/>
    <col min="11529" max="11529" width="9" style="337"/>
    <col min="11530" max="11530" width="11.625" style="337" bestFit="1" customWidth="1"/>
    <col min="11531" max="11777" width="9" style="337"/>
    <col min="11778" max="11778" width="12.5" style="337" customWidth="1"/>
    <col min="11779" max="11781" width="10.625" style="337" customWidth="1"/>
    <col min="11782" max="11784" width="12.625" style="337" customWidth="1"/>
    <col min="11785" max="11785" width="9" style="337"/>
    <col min="11786" max="11786" width="11.625" style="337" bestFit="1" customWidth="1"/>
    <col min="11787" max="12033" width="9" style="337"/>
    <col min="12034" max="12034" width="12.5" style="337" customWidth="1"/>
    <col min="12035" max="12037" width="10.625" style="337" customWidth="1"/>
    <col min="12038" max="12040" width="12.625" style="337" customWidth="1"/>
    <col min="12041" max="12041" width="9" style="337"/>
    <col min="12042" max="12042" width="11.625" style="337" bestFit="1" customWidth="1"/>
    <col min="12043" max="12289" width="9" style="337"/>
    <col min="12290" max="12290" width="12.5" style="337" customWidth="1"/>
    <col min="12291" max="12293" width="10.625" style="337" customWidth="1"/>
    <col min="12294" max="12296" width="12.625" style="337" customWidth="1"/>
    <col min="12297" max="12297" width="9" style="337"/>
    <col min="12298" max="12298" width="11.625" style="337" bestFit="1" customWidth="1"/>
    <col min="12299" max="12545" width="9" style="337"/>
    <col min="12546" max="12546" width="12.5" style="337" customWidth="1"/>
    <col min="12547" max="12549" width="10.625" style="337" customWidth="1"/>
    <col min="12550" max="12552" width="12.625" style="337" customWidth="1"/>
    <col min="12553" max="12553" width="9" style="337"/>
    <col min="12554" max="12554" width="11.625" style="337" bestFit="1" customWidth="1"/>
    <col min="12555" max="12801" width="9" style="337"/>
    <col min="12802" max="12802" width="12.5" style="337" customWidth="1"/>
    <col min="12803" max="12805" width="10.625" style="337" customWidth="1"/>
    <col min="12806" max="12808" width="12.625" style="337" customWidth="1"/>
    <col min="12809" max="12809" width="9" style="337"/>
    <col min="12810" max="12810" width="11.625" style="337" bestFit="1" customWidth="1"/>
    <col min="12811" max="13057" width="9" style="337"/>
    <col min="13058" max="13058" width="12.5" style="337" customWidth="1"/>
    <col min="13059" max="13061" width="10.625" style="337" customWidth="1"/>
    <col min="13062" max="13064" width="12.625" style="337" customWidth="1"/>
    <col min="13065" max="13065" width="9" style="337"/>
    <col min="13066" max="13066" width="11.625" style="337" bestFit="1" customWidth="1"/>
    <col min="13067" max="13313" width="9" style="337"/>
    <col min="13314" max="13314" width="12.5" style="337" customWidth="1"/>
    <col min="13315" max="13317" width="10.625" style="337" customWidth="1"/>
    <col min="13318" max="13320" width="12.625" style="337" customWidth="1"/>
    <col min="13321" max="13321" width="9" style="337"/>
    <col min="13322" max="13322" width="11.625" style="337" bestFit="1" customWidth="1"/>
    <col min="13323" max="13569" width="9" style="337"/>
    <col min="13570" max="13570" width="12.5" style="337" customWidth="1"/>
    <col min="13571" max="13573" width="10.625" style="337" customWidth="1"/>
    <col min="13574" max="13576" width="12.625" style="337" customWidth="1"/>
    <col min="13577" max="13577" width="9" style="337"/>
    <col min="13578" max="13578" width="11.625" style="337" bestFit="1" customWidth="1"/>
    <col min="13579" max="13825" width="9" style="337"/>
    <col min="13826" max="13826" width="12.5" style="337" customWidth="1"/>
    <col min="13827" max="13829" width="10.625" style="337" customWidth="1"/>
    <col min="13830" max="13832" width="12.625" style="337" customWidth="1"/>
    <col min="13833" max="13833" width="9" style="337"/>
    <col min="13834" max="13834" width="11.625" style="337" bestFit="1" customWidth="1"/>
    <col min="13835" max="14081" width="9" style="337"/>
    <col min="14082" max="14082" width="12.5" style="337" customWidth="1"/>
    <col min="14083" max="14085" width="10.625" style="337" customWidth="1"/>
    <col min="14086" max="14088" width="12.625" style="337" customWidth="1"/>
    <col min="14089" max="14089" width="9" style="337"/>
    <col min="14090" max="14090" width="11.625" style="337" bestFit="1" customWidth="1"/>
    <col min="14091" max="14337" width="9" style="337"/>
    <col min="14338" max="14338" width="12.5" style="337" customWidth="1"/>
    <col min="14339" max="14341" width="10.625" style="337" customWidth="1"/>
    <col min="14342" max="14344" width="12.625" style="337" customWidth="1"/>
    <col min="14345" max="14345" width="9" style="337"/>
    <col min="14346" max="14346" width="11.625" style="337" bestFit="1" customWidth="1"/>
    <col min="14347" max="14593" width="9" style="337"/>
    <col min="14594" max="14594" width="12.5" style="337" customWidth="1"/>
    <col min="14595" max="14597" width="10.625" style="337" customWidth="1"/>
    <col min="14598" max="14600" width="12.625" style="337" customWidth="1"/>
    <col min="14601" max="14601" width="9" style="337"/>
    <col min="14602" max="14602" width="11.625" style="337" bestFit="1" customWidth="1"/>
    <col min="14603" max="14849" width="9" style="337"/>
    <col min="14850" max="14850" width="12.5" style="337" customWidth="1"/>
    <col min="14851" max="14853" width="10.625" style="337" customWidth="1"/>
    <col min="14854" max="14856" width="12.625" style="337" customWidth="1"/>
    <col min="14857" max="14857" width="9" style="337"/>
    <col min="14858" max="14858" width="11.625" style="337" bestFit="1" customWidth="1"/>
    <col min="14859" max="15105" width="9" style="337"/>
    <col min="15106" max="15106" width="12.5" style="337" customWidth="1"/>
    <col min="15107" max="15109" width="10.625" style="337" customWidth="1"/>
    <col min="15110" max="15112" width="12.625" style="337" customWidth="1"/>
    <col min="15113" max="15113" width="9" style="337"/>
    <col min="15114" max="15114" width="11.625" style="337" bestFit="1" customWidth="1"/>
    <col min="15115" max="15361" width="9" style="337"/>
    <col min="15362" max="15362" width="12.5" style="337" customWidth="1"/>
    <col min="15363" max="15365" width="10.625" style="337" customWidth="1"/>
    <col min="15366" max="15368" width="12.625" style="337" customWidth="1"/>
    <col min="15369" max="15369" width="9" style="337"/>
    <col min="15370" max="15370" width="11.625" style="337" bestFit="1" customWidth="1"/>
    <col min="15371" max="15617" width="9" style="337"/>
    <col min="15618" max="15618" width="12.5" style="337" customWidth="1"/>
    <col min="15619" max="15621" width="10.625" style="337" customWidth="1"/>
    <col min="15622" max="15624" width="12.625" style="337" customWidth="1"/>
    <col min="15625" max="15625" width="9" style="337"/>
    <col min="15626" max="15626" width="11.625" style="337" bestFit="1" customWidth="1"/>
    <col min="15627" max="15873" width="9" style="337"/>
    <col min="15874" max="15874" width="12.5" style="337" customWidth="1"/>
    <col min="15875" max="15877" width="10.625" style="337" customWidth="1"/>
    <col min="15878" max="15880" width="12.625" style="337" customWidth="1"/>
    <col min="15881" max="15881" width="9" style="337"/>
    <col min="15882" max="15882" width="11.625" style="337" bestFit="1" customWidth="1"/>
    <col min="15883" max="16129" width="9" style="337"/>
    <col min="16130" max="16130" width="12.5" style="337" customWidth="1"/>
    <col min="16131" max="16133" width="10.625" style="337" customWidth="1"/>
    <col min="16134" max="16136" width="12.625" style="337" customWidth="1"/>
    <col min="16137" max="16137" width="9" style="337"/>
    <col min="16138" max="16138" width="11.625" style="337" bestFit="1" customWidth="1"/>
    <col min="16139" max="16384" width="9" style="337"/>
  </cols>
  <sheetData>
    <row r="1" spans="2:33" ht="21.6" customHeight="1">
      <c r="B1" s="337" t="str">
        <f xml:space="preserve">
IF(表紙!$X$2="事前協議","様式２－３",
IF(表紙!$X$2="交付申請（２次）","様式２－３",
IF(表紙!$X$2="変更申請","様式２－３",
IF(表紙!$X$2="実績報告（１次）","様式１－３",
IF(表紙!$X$2="実績報告（２次）","様式１－３",
IF(表紙!$X$2="交付申請兼実績報告","様式１－３"))))))</f>
        <v>様式１－３</v>
      </c>
      <c r="H1" s="338" t="str">
        <f xml:space="preserve">
IF(表紙!$X$2="事前協議","（10月１日～３月31日分）",
IF(表紙!$X$2="交付申請（２次）","（10月１日～３月31日分）",
IF(表紙!$X$2="変更申請","（10月１日～３月31日分）",
IF(表紙!$X$2="実績報告（１次）","（５月８日～10月31日分）",
IF(表紙!$X$2="実績報告（２次）","（10月１日～３月31日分）",
IF(表紙!$X$2="交付申請兼実績報告","（10月１日～３月31日分）"))))))</f>
        <v>（10月１日～３月31日分）</v>
      </c>
    </row>
    <row r="2" spans="2:33" ht="35.1" customHeight="1">
      <c r="B2" s="1812" t="str">
        <f xml:space="preserve">
IF(表紙!$X$2="事前協議","令和５年度歳入歳出予算書抄本",
IF(表紙!$X$2="交付申請（２次）","令和５年度歳入歳出予算書抄本",
IF(表紙!$X$2="変更申請","令和５年度歳入歳出予算書抄本",
IF(表紙!$X$2="実績報告（１次）","令和５年度歳入歳出決算書（見込書）抄本",
IF(表紙!$X$2="実績報告（２次）","令和５年度歳入歳出決算書（見込書）抄本",
IF(表紙!$X$2="交付申請兼実績報告","令和５年度歳入歳出決算書（見込書）抄本"))))))</f>
        <v>令和５年度歳入歳出決算書（見込書）抄本</v>
      </c>
      <c r="C2" s="1812"/>
      <c r="D2" s="1812"/>
      <c r="E2" s="1812"/>
      <c r="F2" s="1812"/>
      <c r="G2" s="1812"/>
      <c r="H2" s="1812"/>
    </row>
    <row r="3" spans="2:33" ht="15" customHeight="1">
      <c r="B3" s="337" t="s">
        <v>651</v>
      </c>
    </row>
    <row r="4" spans="2:33" ht="15" customHeight="1">
      <c r="B4" s="1811" t="s">
        <v>652</v>
      </c>
      <c r="C4" s="1811" t="s">
        <v>653</v>
      </c>
      <c r="D4" s="1811" t="s">
        <v>654</v>
      </c>
      <c r="E4" s="1811" t="s">
        <v>655</v>
      </c>
      <c r="F4" s="1811" t="s">
        <v>656</v>
      </c>
      <c r="G4" s="1811"/>
      <c r="H4" s="1811" t="s">
        <v>657</v>
      </c>
      <c r="Y4" s="1813" t="s">
        <v>658</v>
      </c>
      <c r="Z4" s="1811" t="s">
        <v>652</v>
      </c>
      <c r="AA4" s="1811" t="s">
        <v>653</v>
      </c>
      <c r="AB4" s="1811" t="s">
        <v>654</v>
      </c>
      <c r="AC4" s="1811" t="s">
        <v>655</v>
      </c>
      <c r="AD4" s="1811" t="s">
        <v>656</v>
      </c>
      <c r="AE4" s="1811"/>
    </row>
    <row r="5" spans="2:33" ht="15" customHeight="1">
      <c r="B5" s="1811"/>
      <c r="C5" s="1811"/>
      <c r="D5" s="1811"/>
      <c r="E5" s="1811"/>
      <c r="F5" s="384" t="s">
        <v>659</v>
      </c>
      <c r="G5" s="384" t="s">
        <v>660</v>
      </c>
      <c r="H5" s="1811"/>
      <c r="Y5" s="1814"/>
      <c r="Z5" s="1815"/>
      <c r="AA5" s="1815"/>
      <c r="AB5" s="1815"/>
      <c r="AC5" s="1815"/>
      <c r="AD5" s="384" t="s">
        <v>659</v>
      </c>
      <c r="AE5" s="384" t="s">
        <v>660</v>
      </c>
    </row>
    <row r="6" spans="2:33" ht="15" customHeight="1">
      <c r="B6" s="1816"/>
      <c r="C6" s="1816"/>
      <c r="D6" s="1816"/>
      <c r="E6" s="1822"/>
      <c r="F6" s="1816"/>
      <c r="G6" s="1822"/>
      <c r="H6" s="1819"/>
      <c r="Y6" s="1811" t="s">
        <v>661</v>
      </c>
      <c r="Z6" s="1811" t="str">
        <f t="shared" ref="Z6:AE6" si="0">IF(COUNTA(B6)=1,"○","×")</f>
        <v>×</v>
      </c>
      <c r="AA6" s="1811" t="str">
        <f t="shared" si="0"/>
        <v>×</v>
      </c>
      <c r="AB6" s="1811" t="str">
        <f t="shared" si="0"/>
        <v>×</v>
      </c>
      <c r="AC6" s="1811" t="str">
        <f t="shared" si="0"/>
        <v>×</v>
      </c>
      <c r="AD6" s="1811" t="str">
        <f t="shared" si="0"/>
        <v>×</v>
      </c>
      <c r="AE6" s="1811" t="str">
        <f t="shared" si="0"/>
        <v>×</v>
      </c>
      <c r="AG6" s="1813" t="str">
        <f>IF(COUNTIF(Z6:AE9,"○")=12,"○","×")</f>
        <v>×</v>
      </c>
    </row>
    <row r="7" spans="2:33" ht="15" customHeight="1">
      <c r="B7" s="1817"/>
      <c r="C7" s="1817"/>
      <c r="D7" s="1817"/>
      <c r="E7" s="1823"/>
      <c r="F7" s="1817"/>
      <c r="G7" s="1823"/>
      <c r="H7" s="1820"/>
      <c r="Y7" s="1826"/>
      <c r="Z7" s="1826"/>
      <c r="AA7" s="1826"/>
      <c r="AB7" s="1826"/>
      <c r="AC7" s="1826"/>
      <c r="AD7" s="1826"/>
      <c r="AE7" s="1826"/>
      <c r="AG7" s="1825"/>
    </row>
    <row r="8" spans="2:33" ht="15" customHeight="1">
      <c r="B8" s="1817"/>
      <c r="C8" s="1817"/>
      <c r="D8" s="1817"/>
      <c r="E8" s="1823"/>
      <c r="F8" s="1817"/>
      <c r="G8" s="1823"/>
      <c r="H8" s="1820"/>
      <c r="Y8" s="1811" t="s">
        <v>662</v>
      </c>
      <c r="Z8" s="1811" t="str">
        <f t="shared" ref="Z8:AE8" si="1">IF(COUNTA(B22)=1,"○","×")</f>
        <v>×</v>
      </c>
      <c r="AA8" s="1811" t="str">
        <f t="shared" si="1"/>
        <v>×</v>
      </c>
      <c r="AB8" s="1811" t="str">
        <f t="shared" si="1"/>
        <v>×</v>
      </c>
      <c r="AC8" s="1811" t="str">
        <f t="shared" si="1"/>
        <v>×</v>
      </c>
      <c r="AD8" s="1811" t="str">
        <f t="shared" si="1"/>
        <v>×</v>
      </c>
      <c r="AE8" s="1811" t="str">
        <f t="shared" si="1"/>
        <v>×</v>
      </c>
      <c r="AG8" s="1825"/>
    </row>
    <row r="9" spans="2:33" ht="15" customHeight="1">
      <c r="B9" s="1817"/>
      <c r="C9" s="1817"/>
      <c r="D9" s="1817"/>
      <c r="E9" s="1823"/>
      <c r="F9" s="1817"/>
      <c r="G9" s="1823"/>
      <c r="H9" s="1820"/>
      <c r="Y9" s="1826"/>
      <c r="Z9" s="1826"/>
      <c r="AA9" s="1826"/>
      <c r="AB9" s="1826"/>
      <c r="AC9" s="1826"/>
      <c r="AD9" s="1826"/>
      <c r="AE9" s="1826"/>
      <c r="AG9" s="1814"/>
    </row>
    <row r="10" spans="2:33" ht="15" customHeight="1">
      <c r="B10" s="1817"/>
      <c r="C10" s="1817"/>
      <c r="D10" s="1817"/>
      <c r="E10" s="1823"/>
      <c r="F10" s="1817"/>
      <c r="G10" s="1823"/>
      <c r="H10" s="1820"/>
      <c r="Y10" s="339"/>
      <c r="Z10" s="339"/>
      <c r="AA10" s="339"/>
      <c r="AB10" s="339"/>
      <c r="AC10" s="339"/>
      <c r="AD10" s="339"/>
      <c r="AE10" s="339"/>
    </row>
    <row r="11" spans="2:33" ht="15" customHeight="1">
      <c r="B11" s="1817"/>
      <c r="C11" s="1817"/>
      <c r="D11" s="1817"/>
      <c r="E11" s="1823"/>
      <c r="F11" s="1817"/>
      <c r="G11" s="1823"/>
      <c r="H11" s="1820"/>
      <c r="Y11" s="1813" t="s">
        <v>97</v>
      </c>
      <c r="Z11" s="1813" t="str">
        <f xml:space="preserve">
IF(AND(はじめに入力してください!O3="○"&amp;CHAR(10)&amp;"（公立）",AG6="○"),"○",
IF(AND(はじめに入力してください!O3="○"&amp;CHAR(10)&amp;"（公立）",AG6="×"),"×",
IF(AND(はじめに入力してください!O3&lt;&gt;"○"&amp;CHAR(10)&amp;"（公立）",AG6="○"),"○",
IF(AND(はじめに入力してください!O3&lt;&gt;"○"&amp;CHAR(10)&amp;"（公立）",AG6="×"),"○",))))</f>
        <v>○</v>
      </c>
      <c r="AA11" s="1829" t="str">
        <f xml:space="preserve">
IF(AND(はじめに入力してください!O3="○"&amp;CHAR(10)&amp;"（公立）",AG6="○"),"適切に入力がされました。",
IF(AND(はじめに入力してください!O3="○"&amp;CHAR(10)&amp;"（公立）",AG6="×"),"【要修正】公立機関なので作成が必要です。",
IF(AND(はじめに入力してください!O3&lt;&gt;"○"&amp;CHAR(10)&amp;"（公立）",AG6="○"),"公立機関ではない場合、作成不要です。（入力されていても特段問題はありません。）",
IF(AND(はじめに入力してください!O3&lt;&gt;"○"&amp;CHAR(10)&amp;"（公立）",AG6="×"),"公立機関ではない場合、作成不要です。（入力されていても特段問題はありません。）",))))</f>
        <v>公立機関ではない場合、作成不要です。（入力されていても特段問題はありません。）</v>
      </c>
      <c r="AB11" s="1830"/>
      <c r="AC11" s="1830"/>
      <c r="AD11" s="1830"/>
      <c r="AE11" s="1830"/>
    </row>
    <row r="12" spans="2:33" ht="15" customHeight="1">
      <c r="B12" s="1817"/>
      <c r="C12" s="1817"/>
      <c r="D12" s="1817"/>
      <c r="E12" s="1823"/>
      <c r="F12" s="1817"/>
      <c r="G12" s="1823"/>
      <c r="H12" s="1820"/>
      <c r="Y12" s="1825"/>
      <c r="Z12" s="1825"/>
      <c r="AA12" s="1831"/>
      <c r="AB12" s="1831"/>
      <c r="AC12" s="1831"/>
      <c r="AD12" s="1831"/>
      <c r="AE12" s="1831"/>
    </row>
    <row r="13" spans="2:33" ht="15" customHeight="1">
      <c r="B13" s="1817"/>
      <c r="C13" s="1817"/>
      <c r="D13" s="1817"/>
      <c r="E13" s="1823"/>
      <c r="F13" s="1817"/>
      <c r="G13" s="1823"/>
      <c r="H13" s="1820"/>
      <c r="Y13" s="1814"/>
      <c r="Z13" s="1814"/>
      <c r="AA13" s="1832"/>
      <c r="AB13" s="1832"/>
      <c r="AC13" s="1832"/>
      <c r="AD13" s="1832"/>
      <c r="AE13" s="1832"/>
    </row>
    <row r="14" spans="2:33" ht="15" customHeight="1">
      <c r="B14" s="1817"/>
      <c r="C14" s="1817"/>
      <c r="D14" s="1817"/>
      <c r="E14" s="1823"/>
      <c r="F14" s="1817"/>
      <c r="G14" s="1823"/>
      <c r="H14" s="1820"/>
    </row>
    <row r="15" spans="2:33" ht="15" customHeight="1">
      <c r="B15" s="1817"/>
      <c r="C15" s="1817"/>
      <c r="D15" s="1817"/>
      <c r="E15" s="1823"/>
      <c r="F15" s="1817"/>
      <c r="G15" s="1823"/>
      <c r="H15" s="1820"/>
    </row>
    <row r="16" spans="2:33" ht="15" customHeight="1">
      <c r="B16" s="1817"/>
      <c r="C16" s="1817"/>
      <c r="D16" s="1817"/>
      <c r="E16" s="1823"/>
      <c r="F16" s="1817"/>
      <c r="G16" s="1823"/>
      <c r="H16" s="1820"/>
    </row>
    <row r="17" spans="2:10" ht="15" customHeight="1">
      <c r="B17" s="1818"/>
      <c r="C17" s="1818"/>
      <c r="D17" s="1818"/>
      <c r="E17" s="1824"/>
      <c r="F17" s="1818"/>
      <c r="G17" s="1824"/>
      <c r="H17" s="1821"/>
    </row>
    <row r="18" spans="2:10" ht="15" customHeight="1">
      <c r="B18" s="340"/>
      <c r="C18" s="340"/>
      <c r="D18" s="340"/>
      <c r="E18" s="341"/>
      <c r="F18" s="340"/>
      <c r="G18" s="341"/>
      <c r="H18" s="342"/>
    </row>
    <row r="19" spans="2:10" ht="15" customHeight="1">
      <c r="B19" s="337" t="s">
        <v>663</v>
      </c>
    </row>
    <row r="20" spans="2:10" ht="15" customHeight="1">
      <c r="B20" s="1811" t="s">
        <v>652</v>
      </c>
      <c r="C20" s="1811" t="s">
        <v>653</v>
      </c>
      <c r="D20" s="1811" t="s">
        <v>654</v>
      </c>
      <c r="E20" s="1827" t="s">
        <v>655</v>
      </c>
      <c r="F20" s="1811" t="s">
        <v>656</v>
      </c>
      <c r="G20" s="1828"/>
      <c r="H20" s="1811" t="s">
        <v>657</v>
      </c>
      <c r="J20" s="343"/>
    </row>
    <row r="21" spans="2:10" ht="15" customHeight="1">
      <c r="B21" s="1811"/>
      <c r="C21" s="1811"/>
      <c r="D21" s="1811"/>
      <c r="E21" s="1827"/>
      <c r="F21" s="384" t="s">
        <v>659</v>
      </c>
      <c r="G21" s="344" t="s">
        <v>660</v>
      </c>
      <c r="H21" s="1811"/>
      <c r="J21" s="343"/>
    </row>
    <row r="22" spans="2:10" ht="15" customHeight="1">
      <c r="B22" s="1816"/>
      <c r="C22" s="1816"/>
      <c r="D22" s="1816"/>
      <c r="E22" s="1822"/>
      <c r="F22" s="1816"/>
      <c r="G22" s="1822"/>
      <c r="H22" s="1819"/>
      <c r="J22" s="343"/>
    </row>
    <row r="23" spans="2:10" ht="15" customHeight="1">
      <c r="B23" s="1817"/>
      <c r="C23" s="1817"/>
      <c r="D23" s="1817"/>
      <c r="E23" s="1823"/>
      <c r="F23" s="1817"/>
      <c r="G23" s="1823"/>
      <c r="H23" s="1820"/>
      <c r="J23" s="343"/>
    </row>
    <row r="24" spans="2:10" ht="15" customHeight="1">
      <c r="B24" s="1817"/>
      <c r="C24" s="1817"/>
      <c r="D24" s="1817"/>
      <c r="E24" s="1823"/>
      <c r="F24" s="1817"/>
      <c r="G24" s="1823"/>
      <c r="H24" s="1820"/>
      <c r="J24" s="345"/>
    </row>
    <row r="25" spans="2:10" ht="15" customHeight="1">
      <c r="B25" s="1817"/>
      <c r="C25" s="1817"/>
      <c r="D25" s="1817"/>
      <c r="E25" s="1823"/>
      <c r="F25" s="1817"/>
      <c r="G25" s="1823"/>
      <c r="H25" s="1820"/>
      <c r="J25" s="343"/>
    </row>
    <row r="26" spans="2:10" ht="15" customHeight="1">
      <c r="B26" s="1817"/>
      <c r="C26" s="1817"/>
      <c r="D26" s="1817"/>
      <c r="E26" s="1823"/>
      <c r="F26" s="1817"/>
      <c r="G26" s="1823"/>
      <c r="H26" s="1820"/>
      <c r="J26" s="343"/>
    </row>
    <row r="27" spans="2:10" ht="15" customHeight="1">
      <c r="B27" s="1817"/>
      <c r="C27" s="1817"/>
      <c r="D27" s="1817"/>
      <c r="E27" s="1823"/>
      <c r="F27" s="1817"/>
      <c r="G27" s="1823"/>
      <c r="H27" s="1820"/>
      <c r="J27" s="343"/>
    </row>
    <row r="28" spans="2:10" ht="15" customHeight="1">
      <c r="B28" s="1817"/>
      <c r="C28" s="1817"/>
      <c r="D28" s="1817"/>
      <c r="E28" s="1823"/>
      <c r="F28" s="1817"/>
      <c r="G28" s="1823"/>
      <c r="H28" s="1820"/>
      <c r="J28" s="343"/>
    </row>
    <row r="29" spans="2:10" ht="15" customHeight="1">
      <c r="B29" s="1817"/>
      <c r="C29" s="1817"/>
      <c r="D29" s="1817"/>
      <c r="E29" s="1823"/>
      <c r="F29" s="1817"/>
      <c r="G29" s="1823"/>
      <c r="H29" s="1820"/>
      <c r="J29" s="346"/>
    </row>
    <row r="30" spans="2:10" ht="15" customHeight="1">
      <c r="B30" s="1817"/>
      <c r="C30" s="1817"/>
      <c r="D30" s="1817"/>
      <c r="E30" s="1823"/>
      <c r="F30" s="1817"/>
      <c r="G30" s="1823"/>
      <c r="H30" s="1820"/>
      <c r="J30" s="343"/>
    </row>
    <row r="31" spans="2:10" ht="15" customHeight="1">
      <c r="B31" s="1817"/>
      <c r="C31" s="1817"/>
      <c r="D31" s="1817"/>
      <c r="E31" s="1823"/>
      <c r="F31" s="1817"/>
      <c r="G31" s="1823"/>
      <c r="H31" s="1820"/>
      <c r="J31" s="343"/>
    </row>
    <row r="32" spans="2:10" ht="15" customHeight="1">
      <c r="B32" s="1817"/>
      <c r="C32" s="1817"/>
      <c r="D32" s="1817"/>
      <c r="E32" s="1823"/>
      <c r="F32" s="1817"/>
      <c r="G32" s="1823"/>
      <c r="H32" s="1820"/>
      <c r="J32" s="343"/>
    </row>
    <row r="33" spans="2:10" ht="15" customHeight="1">
      <c r="B33" s="1818"/>
      <c r="C33" s="1818"/>
      <c r="D33" s="1818"/>
      <c r="E33" s="1824"/>
      <c r="F33" s="1818"/>
      <c r="G33" s="1824"/>
      <c r="H33" s="1821"/>
      <c r="J33" s="343"/>
    </row>
    <row r="34" spans="2:10" ht="15" customHeight="1">
      <c r="J34" s="345"/>
    </row>
    <row r="35" spans="2:10" ht="15" customHeight="1">
      <c r="B35" s="337" t="s">
        <v>664</v>
      </c>
      <c r="J35" s="343"/>
    </row>
    <row r="36" spans="2:10" ht="15" customHeight="1">
      <c r="J36" s="343"/>
    </row>
    <row r="37" spans="2:10" ht="15" customHeight="1">
      <c r="C37" s="347" t="s">
        <v>989</v>
      </c>
      <c r="D37" s="347"/>
      <c r="E37" s="1833" t="str">
        <f>IF(表紙!N5="令和　　年　月　　日","",表紙!N5)</f>
        <v>令和6年3月31日</v>
      </c>
      <c r="F37" s="1834"/>
      <c r="J37" s="343"/>
    </row>
    <row r="38" spans="2:10" ht="15" customHeight="1">
      <c r="J38" s="343"/>
    </row>
    <row r="39" spans="2:10" ht="15" customHeight="1">
      <c r="C39" s="348" t="s">
        <v>665</v>
      </c>
      <c r="D39" s="383"/>
      <c r="E39" s="337" t="str">
        <f>表紙!L9</f>
        <v/>
      </c>
      <c r="J39" s="343"/>
    </row>
    <row r="40" spans="2:10" ht="15" customHeight="1">
      <c r="E40" s="349"/>
      <c r="J40" s="350"/>
    </row>
    <row r="41" spans="2:10" ht="15" customHeight="1">
      <c r="C41" s="348" t="s">
        <v>666</v>
      </c>
      <c r="D41" s="383"/>
      <c r="E41" s="349" t="str">
        <f>表紙!L10</f>
        <v/>
      </c>
    </row>
    <row r="42" spans="2:10" ht="15" customHeight="1">
      <c r="J42" s="343"/>
    </row>
    <row r="43" spans="2:10" ht="15" customHeight="1">
      <c r="J43" s="343"/>
    </row>
    <row r="44" spans="2:10" ht="15" customHeight="1">
      <c r="B44" s="337" t="s">
        <v>667</v>
      </c>
      <c r="J44" s="343"/>
    </row>
    <row r="45" spans="2:10" ht="15" customHeight="1"/>
  </sheetData>
  <sheetProtection algorithmName="SHA-512" hashValue="HLbR6TCWm4jlg1aPDI9tOQaebqz+4PFZkRKHD3BSklq+sJAx+YeBoiuEX88HQslKPhQOlRCgm34Z1gSFiCiHaw==" saltValue="6YfC/c9B3+j2C9hnijVt7A==" spinCount="100000" sheet="1" objects="1" scenarios="1"/>
  <mergeCells count="52">
    <mergeCell ref="E22:E33"/>
    <mergeCell ref="E37:F37"/>
    <mergeCell ref="B22:B33"/>
    <mergeCell ref="C22:C33"/>
    <mergeCell ref="D22:D33"/>
    <mergeCell ref="F22:F33"/>
    <mergeCell ref="H22:H33"/>
    <mergeCell ref="Z11:Z13"/>
    <mergeCell ref="AA11:AE13"/>
    <mergeCell ref="H20:H21"/>
    <mergeCell ref="G22:G33"/>
    <mergeCell ref="Y11:Y13"/>
    <mergeCell ref="B20:B21"/>
    <mergeCell ref="C20:C21"/>
    <mergeCell ref="D20:D21"/>
    <mergeCell ref="E20:E21"/>
    <mergeCell ref="F20:G20"/>
    <mergeCell ref="AG6:AG9"/>
    <mergeCell ref="Y8:Y9"/>
    <mergeCell ref="Z8:Z9"/>
    <mergeCell ref="AA8:AA9"/>
    <mergeCell ref="AB8:AB9"/>
    <mergeCell ref="AC8:AC9"/>
    <mergeCell ref="AD8:AD9"/>
    <mergeCell ref="AE8:AE9"/>
    <mergeCell ref="Z6:Z7"/>
    <mergeCell ref="AA6:AA7"/>
    <mergeCell ref="AB6:AB7"/>
    <mergeCell ref="AC6:AC7"/>
    <mergeCell ref="AD6:AD7"/>
    <mergeCell ref="AE6:AE7"/>
    <mergeCell ref="Y6:Y7"/>
    <mergeCell ref="B6:B17"/>
    <mergeCell ref="C6:C17"/>
    <mergeCell ref="D6:D17"/>
    <mergeCell ref="F6:F17"/>
    <mergeCell ref="H6:H17"/>
    <mergeCell ref="E6:E17"/>
    <mergeCell ref="G6:G17"/>
    <mergeCell ref="AD4:AE4"/>
    <mergeCell ref="B2:H2"/>
    <mergeCell ref="B4:B5"/>
    <mergeCell ref="C4:C5"/>
    <mergeCell ref="D4:D5"/>
    <mergeCell ref="E4:E5"/>
    <mergeCell ref="F4:G4"/>
    <mergeCell ref="H4:H5"/>
    <mergeCell ref="Y4:Y5"/>
    <mergeCell ref="Z4:Z5"/>
    <mergeCell ref="AA4:AA5"/>
    <mergeCell ref="AB4:AB5"/>
    <mergeCell ref="AC4:AC5"/>
  </mergeCells>
  <phoneticPr fontId="9"/>
  <conditionalFormatting sqref="Z6:AE9">
    <cfRule type="containsText" dxfId="152" priority="3" operator="containsText" text="×">
      <formula>NOT(ISERROR(SEARCH("×",Z6)))</formula>
    </cfRule>
  </conditionalFormatting>
  <conditionalFormatting sqref="Z11:Z13">
    <cfRule type="containsText" dxfId="151" priority="2" operator="containsText" text="×">
      <formula>NOT(ISERROR(SEARCH("×",Z11)))</formula>
    </cfRule>
  </conditionalFormatting>
  <conditionalFormatting sqref="AA11:AE13">
    <cfRule type="containsText" dxfId="150" priority="1" operator="containsText" text="要修正">
      <formula>NOT(ISERROR(SEARCH("要修正",AA11)))</formula>
    </cfRule>
  </conditionalFormatting>
  <printOptions horizontalCentered="1" verticalCentered="1"/>
  <pageMargins left="0.78740157480314965" right="0.78740157480314965" top="0.98425196850393704" bottom="0.98425196850393704" header="0.51181102362204722" footer="0.51181102362204722"/>
  <pageSetup paperSize="9" scale="91" orientation="portrait"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sheetPr>
  <dimension ref="A1"/>
  <sheetViews>
    <sheetView workbookViewId="0"/>
  </sheetViews>
  <sheetFormatPr defaultRowHeight="18.75"/>
  <sheetData/>
  <phoneticPr fontId="9"/>
  <pageMargins left="0.7" right="0.7" top="0.75" bottom="0.75" header="0.3" footer="0.3"/>
  <pageSetup paperSize="9" orientation="portrait" copies="0"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51">
    <tabColor rgb="FFFFC000"/>
    <pageSetUpPr fitToPage="1"/>
  </sheetPr>
  <dimension ref="A1:AJ74"/>
  <sheetViews>
    <sheetView showGridLines="0" view="pageBreakPreview" zoomScale="60" zoomScaleNormal="100" workbookViewId="0">
      <selection activeCell="I3" activeCellId="2" sqref="B15:O15 B22:O22 I3"/>
    </sheetView>
  </sheetViews>
  <sheetFormatPr defaultColWidth="8.625" defaultRowHeight="18"/>
  <cols>
    <col min="1" max="1" width="3.625" style="12" customWidth="1"/>
    <col min="2" max="4" width="8.625" style="19"/>
    <col min="5" max="5" width="30.625" style="19" customWidth="1"/>
    <col min="6" max="6" width="8.625" style="19"/>
    <col min="7" max="10" width="12.625" style="19" customWidth="1"/>
    <col min="11" max="13" width="3.625" style="19" customWidth="1"/>
    <col min="14" max="14" width="12.625" style="19" customWidth="1"/>
    <col min="15" max="15" width="8.625" style="19"/>
    <col min="16" max="16" width="3.625" style="19" customWidth="1"/>
    <col min="17" max="17" width="12.625" style="19" customWidth="1"/>
    <col min="18" max="20" width="3.625" style="19" customWidth="1"/>
    <col min="21" max="26" width="8.625" style="19"/>
    <col min="27" max="27" width="8.625" style="19" customWidth="1"/>
    <col min="28" max="28" width="3.625" style="12" customWidth="1"/>
    <col min="29" max="29" width="8.625" style="19"/>
    <col min="30" max="30" width="40.625" style="19" customWidth="1"/>
    <col min="31" max="31" width="3.625" style="19" customWidth="1"/>
    <col min="32" max="35" width="8.625" style="19"/>
    <col min="36" max="36" width="8.625" style="19" customWidth="1"/>
    <col min="37" max="16384" width="8.625" style="19"/>
  </cols>
  <sheetData>
    <row r="1" spans="1:36" ht="20.100000000000001" customHeight="1">
      <c r="N1" s="1859" t="str">
        <f xml:space="preserve">
IF(表紙!$X$2="事前協議","（10月１日～３月31日分）",
IF(表紙!$X$2="交付申請（２次）","（10月１日～３月31日分）",
IF(表紙!$X$2="変更申請","（10月１日～３月31日分）",
IF(表紙!$X$2="実績報告（１次）","（５月８日～10月31日分）",
IF(表紙!$X$2="実績報告（２次）","（10月１日～３月31日分）",
IF(表紙!$X$2="交付申請兼実績報告","（10月１日～３月31日分）"))))))</f>
        <v>（10月１日～３月31日分）</v>
      </c>
      <c r="O1" s="1385"/>
      <c r="P1" s="1385"/>
    </row>
    <row r="2" spans="1:36" ht="20.100000000000001" customHeight="1">
      <c r="B2" s="1847" t="s">
        <v>420</v>
      </c>
      <c r="C2" s="1848"/>
      <c r="D2" s="1849"/>
      <c r="H2" s="5" t="s">
        <v>536</v>
      </c>
      <c r="I2" s="648" t="s">
        <v>537</v>
      </c>
      <c r="J2" s="5" t="s">
        <v>44</v>
      </c>
      <c r="K2" s="586"/>
      <c r="L2" s="586"/>
      <c r="M2" s="586"/>
      <c r="AC2" s="648" t="s">
        <v>417</v>
      </c>
      <c r="AD2" s="648" t="s">
        <v>415</v>
      </c>
      <c r="AG2" s="648" t="str">
        <f>AC9</f>
        <v>×</v>
      </c>
      <c r="AH2" s="648" t="str">
        <f>AC15</f>
        <v>○</v>
      </c>
      <c r="AI2" s="648" t="str">
        <f>AC22</f>
        <v>○</v>
      </c>
      <c r="AJ2" s="648" t="str">
        <f>AC26</f>
        <v>○</v>
      </c>
    </row>
    <row r="3" spans="1:36" ht="20.100000000000001" customHeight="1">
      <c r="B3" s="1850"/>
      <c r="C3" s="1851"/>
      <c r="D3" s="1852"/>
      <c r="H3" s="351">
        <f>SUM(I30:I74)</f>
        <v>0</v>
      </c>
      <c r="I3" s="8"/>
      <c r="J3" s="351">
        <f>IFERROR(ROUNDUP(SUM(N30:N74)*((H3-I3)/H3),0),0)</f>
        <v>0</v>
      </c>
      <c r="K3" s="587"/>
      <c r="L3" s="587"/>
      <c r="M3" s="587"/>
      <c r="AC3" s="884" t="str">
        <f xml:space="preserve">
IF(COUNTIF(AH2:AJ2,"○")=3,"○",
IF(COUNTIF(AH2:AJ2,"◎")=3,"◎","×"
))</f>
        <v>○</v>
      </c>
      <c r="AD3" s="1842" t="str">
        <f xml:space="preserve">
IF(AC3="○","整備しない場合は入力不要です。",
IF(AC3="×","【要修正】入力が不十分な箇所があります。",
IF(AC3="◎","適切に入力がされました。")))</f>
        <v>整備しない場合は入力不要です。</v>
      </c>
    </row>
    <row r="4" spans="1:36" ht="9.9499999999999993" customHeight="1">
      <c r="AC4" s="884"/>
      <c r="AD4" s="1842"/>
    </row>
    <row r="5" spans="1:36" ht="20.100000000000001" customHeight="1">
      <c r="B5" s="652" t="s">
        <v>55</v>
      </c>
      <c r="C5" s="652"/>
      <c r="D5" s="652"/>
      <c r="E5" s="652"/>
      <c r="F5" s="652"/>
      <c r="G5" s="652"/>
      <c r="H5" s="652"/>
      <c r="I5" s="652"/>
      <c r="J5" s="652"/>
      <c r="K5" s="652"/>
      <c r="L5" s="652"/>
      <c r="M5" s="652"/>
      <c r="N5" s="652"/>
      <c r="O5" s="652"/>
      <c r="AC5" s="857"/>
      <c r="AD5" s="858"/>
    </row>
    <row r="6" spans="1:36" ht="9.9499999999999993" customHeight="1"/>
    <row r="7" spans="1:36" ht="20.100000000000001" customHeight="1">
      <c r="B7" s="1863" t="s">
        <v>1387</v>
      </c>
      <c r="C7" s="953"/>
      <c r="D7" s="953"/>
      <c r="E7" s="953"/>
      <c r="F7" s="953"/>
      <c r="G7" s="953"/>
      <c r="H7" s="953"/>
      <c r="I7" s="953"/>
      <c r="J7" s="953"/>
      <c r="K7" s="953"/>
      <c r="L7" s="953"/>
      <c r="M7" s="953"/>
      <c r="N7" s="953"/>
      <c r="O7" s="953"/>
      <c r="AC7" s="1838" t="s">
        <v>413</v>
      </c>
      <c r="AD7" s="1838" t="s">
        <v>415</v>
      </c>
    </row>
    <row r="8" spans="1:36" ht="9.9499999999999993" customHeight="1">
      <c r="AC8" s="1839"/>
      <c r="AD8" s="1839"/>
    </row>
    <row r="9" spans="1:36" ht="35.1" customHeight="1">
      <c r="B9" s="1864" t="s">
        <v>56</v>
      </c>
      <c r="C9" s="1865"/>
      <c r="D9" s="204" t="str">
        <f>IF(はじめに入力してください!K50="","",はじめに入力してください!K50)</f>
        <v/>
      </c>
      <c r="E9" s="352"/>
      <c r="F9" s="353"/>
      <c r="G9" s="353"/>
      <c r="H9" s="353"/>
      <c r="I9" s="353"/>
      <c r="J9" s="354"/>
      <c r="K9" s="354"/>
      <c r="L9" s="354"/>
      <c r="M9" s="354"/>
      <c r="N9" s="354"/>
      <c r="O9" s="354"/>
      <c r="AC9" s="648" t="str">
        <f xml:space="preserve">
IF(D9="","×",
IF(D9=0,"○",
IF(D9&gt;=1,"◎",
)))</f>
        <v>×</v>
      </c>
      <c r="AD9" s="649" t="str">
        <f xml:space="preserve">
IF(D9="","【要修正】「はじめに入力してください」シートに整備を行う病床の数を入力してください。",
IF(D9=0,"申請しない場合は以下入力不要です。",
IF(D9&gt;=1,"適切に入力されました。",
)))</f>
        <v>【要修正】「はじめに入力してください」シートに整備を行う病床の数を入力してください。</v>
      </c>
    </row>
    <row r="10" spans="1:36" ht="20.100000000000001" customHeight="1">
      <c r="B10" s="1860"/>
      <c r="C10" s="1861"/>
      <c r="D10" s="1862"/>
      <c r="E10" s="1862"/>
      <c r="F10" s="1862"/>
      <c r="G10" s="1862"/>
      <c r="H10" s="1862"/>
      <c r="I10" s="1862"/>
      <c r="J10" s="1862"/>
      <c r="K10" s="1862"/>
      <c r="L10" s="1862"/>
      <c r="M10" s="1862"/>
      <c r="N10" s="1862"/>
      <c r="O10" s="1862"/>
    </row>
    <row r="11" spans="1:36" ht="20.100000000000001" hidden="1" customHeight="1"/>
    <row r="12" spans="1:36" ht="20.100000000000001" customHeight="1">
      <c r="B12" s="1863" t="s">
        <v>1411</v>
      </c>
      <c r="C12" s="953"/>
      <c r="D12" s="953"/>
      <c r="E12" s="953"/>
      <c r="F12" s="953"/>
      <c r="G12" s="953"/>
      <c r="H12" s="953"/>
      <c r="I12" s="953"/>
      <c r="J12" s="953"/>
      <c r="K12" s="953"/>
      <c r="L12" s="953"/>
      <c r="M12" s="953"/>
      <c r="N12" s="953"/>
      <c r="O12" s="953"/>
    </row>
    <row r="13" spans="1:36" ht="39.950000000000003" customHeight="1">
      <c r="B13" s="1843" t="s">
        <v>538</v>
      </c>
      <c r="C13" s="952"/>
      <c r="D13" s="952"/>
      <c r="E13" s="952"/>
      <c r="F13" s="952"/>
      <c r="G13" s="952"/>
      <c r="H13" s="952"/>
      <c r="I13" s="952"/>
      <c r="J13" s="952"/>
      <c r="K13" s="952"/>
      <c r="L13" s="952"/>
      <c r="M13" s="952"/>
      <c r="N13" s="952"/>
      <c r="O13" s="952"/>
    </row>
    <row r="14" spans="1:36" s="650" customFormat="1" ht="69.95" customHeight="1">
      <c r="A14" s="13"/>
      <c r="B14" s="1843" t="str">
        <f>VLOOKUP(B2,テーブル!M37:N51,2,FALSE)</f>
        <v>（例）整備を行う病床は、一般の入院患者を受け入れるにあたり必要限度の調度は用意されている。
　　　しかし、これまでコロナ入院患者を受け入れてきた中で、○○の症状を有する患者が多く、○○がないことによりこれへの対応による負担が生じた。
　　　そのため、今後も受け入れを継続していくにあたり、受け入れを行う病床に○○を設置することとしたい。</v>
      </c>
      <c r="C14" s="1675"/>
      <c r="D14" s="1675"/>
      <c r="E14" s="1675"/>
      <c r="F14" s="1675"/>
      <c r="G14" s="1675"/>
      <c r="H14" s="1675"/>
      <c r="I14" s="1675"/>
      <c r="J14" s="1675"/>
      <c r="K14" s="1675"/>
      <c r="L14" s="1675"/>
      <c r="M14" s="1675"/>
      <c r="N14" s="1675"/>
      <c r="O14" s="1675"/>
      <c r="AB14" s="13"/>
      <c r="AC14" s="548" t="s">
        <v>413</v>
      </c>
      <c r="AD14" s="548" t="s">
        <v>414</v>
      </c>
    </row>
    <row r="15" spans="1:36" ht="120" customHeight="1">
      <c r="B15" s="1844"/>
      <c r="C15" s="1845"/>
      <c r="D15" s="1845"/>
      <c r="E15" s="1845"/>
      <c r="F15" s="1845"/>
      <c r="G15" s="1845"/>
      <c r="H15" s="1845"/>
      <c r="I15" s="1845"/>
      <c r="J15" s="1845"/>
      <c r="K15" s="1845"/>
      <c r="L15" s="1845"/>
      <c r="M15" s="1845"/>
      <c r="N15" s="1845"/>
      <c r="O15" s="1846"/>
      <c r="AC15" s="648" t="str">
        <f xml:space="preserve">
IF(COUNTA(B15)=0,"○",
IF(COUNTA(B15)=1,"◎"))</f>
        <v>○</v>
      </c>
      <c r="AD15" s="649" t="str">
        <f xml:space="preserve">
IF(COUNTA(B15)=0,"整備しない場合は入力不要です。",
IF(COUNTA(B15)=1,"入力された状態になりました。"))</f>
        <v>整備しない場合は入力不要です。</v>
      </c>
    </row>
    <row r="16" spans="1:36" ht="20.100000000000001" customHeight="1"/>
    <row r="17" spans="1:34" ht="20.100000000000001" customHeight="1">
      <c r="B17" s="652" t="s">
        <v>452</v>
      </c>
      <c r="C17" s="652"/>
      <c r="D17" s="652"/>
      <c r="E17" s="652"/>
      <c r="F17" s="652"/>
      <c r="G17" s="652"/>
      <c r="H17" s="652"/>
      <c r="I17" s="652"/>
      <c r="J17" s="652"/>
      <c r="K17" s="652"/>
      <c r="L17" s="652"/>
      <c r="M17" s="652"/>
      <c r="N17" s="652"/>
      <c r="O17" s="652"/>
    </row>
    <row r="18" spans="1:34" ht="20.100000000000001" customHeight="1">
      <c r="B18" s="1843" t="s">
        <v>1245</v>
      </c>
      <c r="C18" s="952"/>
      <c r="D18" s="952"/>
      <c r="E18" s="952"/>
      <c r="F18" s="952"/>
      <c r="G18" s="952"/>
      <c r="H18" s="952"/>
      <c r="I18" s="952"/>
      <c r="J18" s="952"/>
      <c r="K18" s="952"/>
      <c r="L18" s="952"/>
      <c r="M18" s="952"/>
      <c r="N18" s="952"/>
      <c r="O18" s="952"/>
    </row>
    <row r="19" spans="1:34" ht="20.100000000000001" customHeight="1">
      <c r="B19" s="1843"/>
      <c r="C19" s="952"/>
      <c r="D19" s="952"/>
      <c r="E19" s="952"/>
      <c r="F19" s="952"/>
      <c r="G19" s="952"/>
      <c r="H19" s="952"/>
      <c r="I19" s="952"/>
      <c r="J19" s="952"/>
      <c r="K19" s="952"/>
      <c r="L19" s="952"/>
      <c r="M19" s="952"/>
      <c r="N19" s="952"/>
      <c r="O19" s="952"/>
    </row>
    <row r="20" spans="1:34" ht="20.100000000000001" customHeight="1">
      <c r="B20" s="1843"/>
      <c r="C20" s="952"/>
      <c r="D20" s="952"/>
      <c r="E20" s="952"/>
      <c r="F20" s="952"/>
      <c r="G20" s="952"/>
      <c r="H20" s="952"/>
      <c r="I20" s="952"/>
      <c r="J20" s="952"/>
      <c r="K20" s="952"/>
      <c r="L20" s="952"/>
      <c r="M20" s="952"/>
      <c r="N20" s="952"/>
      <c r="O20" s="952"/>
    </row>
    <row r="21" spans="1:34" ht="20.100000000000001" customHeight="1">
      <c r="B21" s="952"/>
      <c r="C21" s="952"/>
      <c r="D21" s="952"/>
      <c r="E21" s="952"/>
      <c r="F21" s="952"/>
      <c r="G21" s="952"/>
      <c r="H21" s="952"/>
      <c r="I21" s="952"/>
      <c r="J21" s="952"/>
      <c r="K21" s="952"/>
      <c r="L21" s="952"/>
      <c r="M21" s="952"/>
      <c r="N21" s="952"/>
      <c r="O21" s="952"/>
    </row>
    <row r="22" spans="1:34" ht="120" customHeight="1">
      <c r="B22" s="1844"/>
      <c r="C22" s="1845"/>
      <c r="D22" s="1845"/>
      <c r="E22" s="1845"/>
      <c r="F22" s="1845"/>
      <c r="G22" s="1845"/>
      <c r="H22" s="1845"/>
      <c r="I22" s="1845"/>
      <c r="J22" s="1845"/>
      <c r="K22" s="1845"/>
      <c r="L22" s="1845"/>
      <c r="M22" s="1845"/>
      <c r="N22" s="1845"/>
      <c r="O22" s="1846"/>
      <c r="AC22" s="648" t="str">
        <f xml:space="preserve">
IF(COUNTA(B22)=0,"○",
IF(COUNTA(B22)=1,"◎"))</f>
        <v>○</v>
      </c>
      <c r="AD22" s="649" t="str">
        <f xml:space="preserve">
IF(COUNTA(B22)=0,"整備しない場合は入力不要です。",
IF(COUNTA(B22)=1,"入力された状態になりました。"))</f>
        <v>整備しない場合は入力不要です。</v>
      </c>
      <c r="AH22" s="19" t="e">
        <f t="array" aca="1" ref="AH22" ca="1">OFFSET(テーブル!$X$48, 0, MATCH(B30,テーブル!$Y$47:$Z$47,0), COUNTA(OFFSET(テーブル!$X$48,0,MATCH(はじめに入力してください!$K$50,テーブル!$Y$47:$Z$47,0),$Z$30,1)),1)</f>
        <v>#N/A</v>
      </c>
    </row>
    <row r="23" spans="1:34" ht="20.100000000000001" customHeight="1"/>
    <row r="24" spans="1:34" ht="20.100000000000001" customHeight="1">
      <c r="B24" s="652" t="s">
        <v>451</v>
      </c>
      <c r="C24" s="652"/>
      <c r="D24" s="652"/>
      <c r="E24" s="652"/>
      <c r="F24" s="652"/>
      <c r="G24" s="652"/>
      <c r="H24" s="652"/>
      <c r="I24" s="652"/>
      <c r="J24" s="652"/>
      <c r="K24" s="652"/>
      <c r="L24" s="652"/>
      <c r="M24" s="652"/>
      <c r="N24" s="652"/>
      <c r="O24" s="652"/>
      <c r="AC24" s="14"/>
    </row>
    <row r="25" spans="1:34" ht="9.9499999999999993" customHeight="1"/>
    <row r="26" spans="1:34" ht="60" customHeight="1">
      <c r="B26" s="1843" t="s">
        <v>559</v>
      </c>
      <c r="C26" s="953"/>
      <c r="D26" s="953"/>
      <c r="E26" s="953"/>
      <c r="F26" s="953"/>
      <c r="G26" s="953"/>
      <c r="H26" s="953"/>
      <c r="I26" s="953"/>
      <c r="J26" s="953"/>
      <c r="K26" s="953"/>
      <c r="L26" s="953"/>
      <c r="M26" s="953"/>
      <c r="N26" s="953"/>
      <c r="O26" s="953"/>
      <c r="AC26" s="648" t="str">
        <f xml:space="preserve">
IF(COUNTIF(AC30:AC74,"○")=45,"○",
IF(COUNTIF(AC30:AC74,"×")&gt;=1,"×",
IF(AND(COUNTIF(AC30:AC74,"◎")&gt;=1,COUNTIF(AC30:AC74,"×")=0),"◎")))</f>
        <v>○</v>
      </c>
      <c r="AD26" s="649" t="str">
        <f xml:space="preserve">
IF(COUNTIF(AC30:AC74,"○")=45,"整備しない場合は入力不要です。",
IF(COUNTIF(AC30:AC74,"×")&gt;=1,"【要修正】入力が不十分な箇所があります。",
IF(AND(COUNTIF(AC30:AC74,"◎")&gt;=1,COUNTIF(AC30:AC74,"×")=0),"適切に入力がされました。")))</f>
        <v>整備しない場合は入力不要です。</v>
      </c>
    </row>
    <row r="27" spans="1:34" ht="9.9499999999999993" customHeight="1">
      <c r="AC27" s="1837" t="s">
        <v>416</v>
      </c>
      <c r="AD27" s="1840" t="s">
        <v>418</v>
      </c>
    </row>
    <row r="28" spans="1:34" ht="18.75">
      <c r="B28" s="1853" t="s">
        <v>41</v>
      </c>
      <c r="C28" s="1854"/>
      <c r="D28" s="1855"/>
      <c r="E28" s="1853" t="s">
        <v>42</v>
      </c>
      <c r="F28" s="1855"/>
      <c r="G28" s="1853" t="s">
        <v>43</v>
      </c>
      <c r="H28" s="1854"/>
      <c r="I28" s="1854"/>
      <c r="J28" s="1855"/>
      <c r="K28" s="1858" t="str">
        <f xml:space="preserve">
IF(表紙!$X$2="事前協議","納品予定日",
IF(表紙!$X$2="交付申請（２次）","納品予定日",
IF(表紙!$X$2="変更申請","納品予定日",
IF(表紙!$X$2="実績報告（１次）","納品日",
IF(表紙!$X$2="実績報告（２次）","納品日",
IF(表紙!$X$2="交付申請兼実績報告","納品日"))))))</f>
        <v>納品日</v>
      </c>
      <c r="L28" s="1390"/>
      <c r="M28" s="1390"/>
      <c r="N28" s="1856" t="s">
        <v>44</v>
      </c>
      <c r="O28" s="1856" t="s">
        <v>45</v>
      </c>
      <c r="Q28" s="1835" t="str">
        <f>K28</f>
        <v>納品日</v>
      </c>
      <c r="R28" s="589"/>
      <c r="S28" s="589"/>
      <c r="T28" s="588"/>
      <c r="AC28" s="1105"/>
      <c r="AD28" s="1841"/>
    </row>
    <row r="29" spans="1:34">
      <c r="B29" s="651" t="s">
        <v>46</v>
      </c>
      <c r="C29" s="651" t="s">
        <v>47</v>
      </c>
      <c r="D29" s="651" t="s">
        <v>48</v>
      </c>
      <c r="E29" s="651" t="s">
        <v>54</v>
      </c>
      <c r="F29" s="651" t="s">
        <v>49</v>
      </c>
      <c r="G29" s="651" t="s">
        <v>50</v>
      </c>
      <c r="H29" s="651" t="s">
        <v>51</v>
      </c>
      <c r="I29" s="651" t="s">
        <v>52</v>
      </c>
      <c r="J29" s="651" t="s">
        <v>53</v>
      </c>
      <c r="K29" s="651" t="s">
        <v>1352</v>
      </c>
      <c r="L29" s="651" t="s">
        <v>1353</v>
      </c>
      <c r="M29" s="651" t="s">
        <v>1354</v>
      </c>
      <c r="N29" s="1857"/>
      <c r="O29" s="1857"/>
      <c r="Q29" s="1836"/>
      <c r="R29" s="648" t="s">
        <v>1352</v>
      </c>
      <c r="S29" s="648" t="s">
        <v>1353</v>
      </c>
      <c r="T29" s="648" t="s">
        <v>1354</v>
      </c>
      <c r="AC29" s="648" t="s">
        <v>413</v>
      </c>
      <c r="AD29" s="648" t="s">
        <v>415</v>
      </c>
    </row>
    <row r="30" spans="1:34">
      <c r="A30" s="12">
        <v>1</v>
      </c>
      <c r="B30" s="6"/>
      <c r="C30" s="6"/>
      <c r="D30" s="6"/>
      <c r="E30" s="10"/>
      <c r="F30" s="7"/>
      <c r="G30" s="531"/>
      <c r="H30" s="15">
        <f>ROUNDDOWN(G30*1.1,0)</f>
        <v>0</v>
      </c>
      <c r="I30" s="4">
        <f>F30*H30</f>
        <v>0</v>
      </c>
      <c r="J30" s="9"/>
      <c r="K30" s="595"/>
      <c r="L30" s="595"/>
      <c r="M30" s="595"/>
      <c r="N30" s="4">
        <f>IF(AND(AC30="◎",J30="補助対象"),I30,0)</f>
        <v>0</v>
      </c>
      <c r="O30" s="5" t="str">
        <f>IF(AC30="◎",COUNTIF($AC$30:AC30,"◎"),"")</f>
        <v/>
      </c>
      <c r="Q30" s="596" t="str">
        <f>IF(AND(AC30="◎",J30="補助対象"),DATE(IF(K30=5,2023,IF(K30=6,2024)),L30,M30),"")</f>
        <v/>
      </c>
      <c r="R30" s="648" t="str">
        <f>IF(Q30=MAX($Q$30:$Q$74),K30,"")</f>
        <v/>
      </c>
      <c r="S30" s="648" t="str">
        <f>IF(Q30=MAX($Q$30:$Q$74),L30,"")</f>
        <v/>
      </c>
      <c r="T30" s="648" t="str">
        <f>IF(Q30=MAX($Q$30:$Q$74),M30,"")</f>
        <v/>
      </c>
      <c r="Z30" s="649" t="str">
        <f>IF(B30="個別病床",はじめに入力してください!$K$50,IF(B30="共通使用",はじめに入力してください!$K$52,""))</f>
        <v/>
      </c>
      <c r="AB30" s="12">
        <v>1</v>
      </c>
      <c r="AC30" s="648" t="str">
        <f xml:space="preserve">
IF(SUM(COUNTA(B30:G30),COUNTA(J30:M30))=0,"○",
IF(AND(SUM(COUNTA(B30:G30),COUNTA(J30:M30))&gt;0,SUM(COUNTA(B30:G30),COUNTA(J30:M30))&lt;10),"×",
IF(SUM(COUNTA(B30:G30),COUNTA(J30:M30))=10,"◎")))</f>
        <v>○</v>
      </c>
      <c r="AD30" s="649" t="str">
        <f xml:space="preserve">
IF(SUM(COUNTA(B30:G30),COUNTA(J30:M30))=0,"整備しない場合は入力不要です。",
IF(AND(SUM(COUNTA(B30:G30),COUNTA(J30:M30))&gt;0,SUM(COUNTA(B30:G30),COUNTA(J30:M30))&lt;10),"【要修正】未入力の箇所があります。",
IF(SUM(COUNTA(B30:G30),COUNTA(J30:M30))=10,"適切に入力がされました。")))</f>
        <v>整備しない場合は入力不要です。</v>
      </c>
    </row>
    <row r="31" spans="1:34">
      <c r="A31" s="12">
        <v>2</v>
      </c>
      <c r="B31" s="6"/>
      <c r="C31" s="6"/>
      <c r="D31" s="6"/>
      <c r="E31" s="10"/>
      <c r="F31" s="7"/>
      <c r="G31" s="531"/>
      <c r="H31" s="15">
        <f t="shared" ref="H31:H74" si="0">ROUNDDOWN(G31*1.1,0)</f>
        <v>0</v>
      </c>
      <c r="I31" s="4">
        <f t="shared" ref="I31:I74" si="1">F31*H31</f>
        <v>0</v>
      </c>
      <c r="J31" s="9"/>
      <c r="K31" s="595"/>
      <c r="L31" s="595"/>
      <c r="M31" s="595"/>
      <c r="N31" s="4">
        <f t="shared" ref="N31:N74" si="2">IF(J31="補助対象",I31,IF(J31="補助対象外",0,0))</f>
        <v>0</v>
      </c>
      <c r="O31" s="5" t="str">
        <f>IF(AC31="◎",COUNTIF($AC$30:AC31,"◎"),"")</f>
        <v/>
      </c>
      <c r="Q31" s="596" t="str">
        <f t="shared" ref="Q31:Q74" si="3">IF(AND(AC31="◎",J31="補助対象"),DATE(IF(K31=5,2023,IF(K31=6,2024)),L31,M31),"")</f>
        <v/>
      </c>
      <c r="R31" s="648" t="str">
        <f t="shared" ref="R31:R74" si="4">IF(Q31=MAX($Q$30:$Q$74),K31,"")</f>
        <v/>
      </c>
      <c r="S31" s="648" t="str">
        <f t="shared" ref="S31:S74" si="5">IF(Q31=MAX($Q$30:$Q$74),L31,"")</f>
        <v/>
      </c>
      <c r="T31" s="648" t="str">
        <f t="shared" ref="T31:T74" si="6">IF(Q31=MAX($Q$30:$Q$74),M31,"")</f>
        <v/>
      </c>
      <c r="Z31" s="649" t="str">
        <f>IF(B31="個別病床",はじめに入力してください!$K$50,IF(B31="共通使用",はじめに入力してください!$K$52,""))</f>
        <v/>
      </c>
      <c r="AB31" s="12">
        <v>2</v>
      </c>
      <c r="AC31" s="648" t="str">
        <f t="shared" ref="AC31:AC74" si="7" xml:space="preserve">
IF(SUM(COUNTA(B31:G31),COUNTA(J31:M31))=0,"○",
IF(AND(SUM(COUNTA(B31:G31),COUNTA(J31:M31))&gt;0,SUM(COUNTA(B31:G31),COUNTA(J31:M31))&lt;10),"×",
IF(SUM(COUNTA(B31:G31),COUNTA(J31:M31))=10,"◎")))</f>
        <v>○</v>
      </c>
      <c r="AD31" s="649" t="str">
        <f t="shared" ref="AD31:AD74" si="8" xml:space="preserve">
IF(SUM(COUNTA(B31:G31),COUNTA(J31:M31))=0,"整備しない場合は入力不要です。",
IF(AND(SUM(COUNTA(B31:G31),COUNTA(J31:M31))&gt;0,SUM(COUNTA(B31:G31),COUNTA(J31:M31))&lt;10),"【要修正】未入力の箇所があります。",
IF(SUM(COUNTA(B31:G31),COUNTA(J31:M31))=10,"適切に入力がされました。")))</f>
        <v>整備しない場合は入力不要です。</v>
      </c>
    </row>
    <row r="32" spans="1:34">
      <c r="A32" s="12">
        <v>3</v>
      </c>
      <c r="B32" s="6"/>
      <c r="C32" s="6"/>
      <c r="D32" s="6"/>
      <c r="E32" s="10"/>
      <c r="F32" s="7"/>
      <c r="G32" s="531"/>
      <c r="H32" s="15">
        <f t="shared" si="0"/>
        <v>0</v>
      </c>
      <c r="I32" s="4">
        <f t="shared" si="1"/>
        <v>0</v>
      </c>
      <c r="J32" s="9"/>
      <c r="K32" s="595"/>
      <c r="L32" s="595"/>
      <c r="M32" s="595"/>
      <c r="N32" s="4">
        <f t="shared" si="2"/>
        <v>0</v>
      </c>
      <c r="O32" s="5" t="str">
        <f>IF(AC32="◎",COUNTIF($AC$30:AC32,"◎"),"")</f>
        <v/>
      </c>
      <c r="Q32" s="596" t="str">
        <f t="shared" si="3"/>
        <v/>
      </c>
      <c r="R32" s="648" t="str">
        <f t="shared" si="4"/>
        <v/>
      </c>
      <c r="S32" s="648" t="str">
        <f t="shared" si="5"/>
        <v/>
      </c>
      <c r="T32" s="648" t="str">
        <f t="shared" si="6"/>
        <v/>
      </c>
      <c r="Z32" s="649" t="str">
        <f>IF(B32="個別病床",はじめに入力してください!$K$50,IF(B32="共通使用",はじめに入力してください!$K$52,""))</f>
        <v/>
      </c>
      <c r="AB32" s="12">
        <v>3</v>
      </c>
      <c r="AC32" s="648" t="str">
        <f t="shared" si="7"/>
        <v>○</v>
      </c>
      <c r="AD32" s="649" t="str">
        <f t="shared" si="8"/>
        <v>整備しない場合は入力不要です。</v>
      </c>
    </row>
    <row r="33" spans="1:30">
      <c r="A33" s="12">
        <v>4</v>
      </c>
      <c r="B33" s="6"/>
      <c r="C33" s="6"/>
      <c r="D33" s="6"/>
      <c r="E33" s="10"/>
      <c r="F33" s="7"/>
      <c r="G33" s="531"/>
      <c r="H33" s="15">
        <f t="shared" si="0"/>
        <v>0</v>
      </c>
      <c r="I33" s="4">
        <f t="shared" si="1"/>
        <v>0</v>
      </c>
      <c r="J33" s="9"/>
      <c r="K33" s="595"/>
      <c r="L33" s="595"/>
      <c r="M33" s="595"/>
      <c r="N33" s="4">
        <f t="shared" si="2"/>
        <v>0</v>
      </c>
      <c r="O33" s="5" t="str">
        <f>IF(AC33="◎",COUNTIF($AC$30:AC33,"◎"),"")</f>
        <v/>
      </c>
      <c r="Q33" s="596" t="str">
        <f t="shared" si="3"/>
        <v/>
      </c>
      <c r="R33" s="648" t="str">
        <f t="shared" si="4"/>
        <v/>
      </c>
      <c r="S33" s="648" t="str">
        <f t="shared" si="5"/>
        <v/>
      </c>
      <c r="T33" s="648" t="str">
        <f t="shared" si="6"/>
        <v/>
      </c>
      <c r="Z33" s="649" t="str">
        <f>IF(B33="個別病床",はじめに入力してください!$K$50,IF(B33="共通使用",はじめに入力してください!$K$52,""))</f>
        <v/>
      </c>
      <c r="AB33" s="12">
        <v>4</v>
      </c>
      <c r="AC33" s="648" t="str">
        <f t="shared" si="7"/>
        <v>○</v>
      </c>
      <c r="AD33" s="649" t="str">
        <f t="shared" si="8"/>
        <v>整備しない場合は入力不要です。</v>
      </c>
    </row>
    <row r="34" spans="1:30">
      <c r="A34" s="12">
        <v>5</v>
      </c>
      <c r="B34" s="6"/>
      <c r="C34" s="6"/>
      <c r="D34" s="6"/>
      <c r="E34" s="10"/>
      <c r="F34" s="7"/>
      <c r="G34" s="531"/>
      <c r="H34" s="15">
        <f t="shared" si="0"/>
        <v>0</v>
      </c>
      <c r="I34" s="4">
        <f t="shared" si="1"/>
        <v>0</v>
      </c>
      <c r="J34" s="9"/>
      <c r="K34" s="595"/>
      <c r="L34" s="595"/>
      <c r="M34" s="595"/>
      <c r="N34" s="4">
        <f t="shared" si="2"/>
        <v>0</v>
      </c>
      <c r="O34" s="5" t="str">
        <f>IF(AC34="◎",COUNTIF($AC$30:AC34,"◎"),"")</f>
        <v/>
      </c>
      <c r="Q34" s="596" t="str">
        <f t="shared" si="3"/>
        <v/>
      </c>
      <c r="R34" s="648" t="str">
        <f t="shared" si="4"/>
        <v/>
      </c>
      <c r="S34" s="648" t="str">
        <f t="shared" si="5"/>
        <v/>
      </c>
      <c r="T34" s="648" t="str">
        <f t="shared" si="6"/>
        <v/>
      </c>
      <c r="Z34" s="649" t="str">
        <f>IF(B34="個別病床",はじめに入力してください!$K$50,IF(B34="共通使用",はじめに入力してください!$K$52,""))</f>
        <v/>
      </c>
      <c r="AB34" s="12">
        <v>5</v>
      </c>
      <c r="AC34" s="648" t="str">
        <f t="shared" si="7"/>
        <v>○</v>
      </c>
      <c r="AD34" s="649" t="str">
        <f t="shared" si="8"/>
        <v>整備しない場合は入力不要です。</v>
      </c>
    </row>
    <row r="35" spans="1:30">
      <c r="A35" s="12">
        <v>6</v>
      </c>
      <c r="B35" s="6"/>
      <c r="C35" s="6"/>
      <c r="D35" s="6"/>
      <c r="E35" s="10"/>
      <c r="F35" s="7"/>
      <c r="G35" s="531"/>
      <c r="H35" s="15">
        <f t="shared" si="0"/>
        <v>0</v>
      </c>
      <c r="I35" s="4">
        <f t="shared" si="1"/>
        <v>0</v>
      </c>
      <c r="J35" s="9"/>
      <c r="K35" s="595"/>
      <c r="L35" s="595"/>
      <c r="M35" s="595"/>
      <c r="N35" s="4">
        <f t="shared" si="2"/>
        <v>0</v>
      </c>
      <c r="O35" s="5" t="str">
        <f>IF(AC35="◎",COUNTIF($AC$30:AC35,"◎"),"")</f>
        <v/>
      </c>
      <c r="Q35" s="596" t="str">
        <f t="shared" si="3"/>
        <v/>
      </c>
      <c r="R35" s="648" t="str">
        <f t="shared" si="4"/>
        <v/>
      </c>
      <c r="S35" s="648" t="str">
        <f t="shared" si="5"/>
        <v/>
      </c>
      <c r="T35" s="648" t="str">
        <f t="shared" si="6"/>
        <v/>
      </c>
      <c r="Z35" s="649" t="str">
        <f>IF(B35="個別病床",はじめに入力してください!$K$50,IF(B35="共通使用",はじめに入力してください!$K$52,""))</f>
        <v/>
      </c>
      <c r="AB35" s="12">
        <v>6</v>
      </c>
      <c r="AC35" s="648" t="str">
        <f t="shared" si="7"/>
        <v>○</v>
      </c>
      <c r="AD35" s="649" t="str">
        <f t="shared" si="8"/>
        <v>整備しない場合は入力不要です。</v>
      </c>
    </row>
    <row r="36" spans="1:30">
      <c r="A36" s="12">
        <v>7</v>
      </c>
      <c r="B36" s="6"/>
      <c r="C36" s="6"/>
      <c r="D36" s="6"/>
      <c r="E36" s="10"/>
      <c r="F36" s="7"/>
      <c r="G36" s="531"/>
      <c r="H36" s="15">
        <f t="shared" si="0"/>
        <v>0</v>
      </c>
      <c r="I36" s="4">
        <f t="shared" si="1"/>
        <v>0</v>
      </c>
      <c r="J36" s="9"/>
      <c r="K36" s="595"/>
      <c r="L36" s="595"/>
      <c r="M36" s="595"/>
      <c r="N36" s="4">
        <f t="shared" si="2"/>
        <v>0</v>
      </c>
      <c r="O36" s="5" t="str">
        <f>IF(AC36="◎",COUNTIF($AC$30:AC36,"◎"),"")</f>
        <v/>
      </c>
      <c r="Q36" s="596" t="str">
        <f t="shared" si="3"/>
        <v/>
      </c>
      <c r="R36" s="648" t="str">
        <f t="shared" si="4"/>
        <v/>
      </c>
      <c r="S36" s="648" t="str">
        <f t="shared" si="5"/>
        <v/>
      </c>
      <c r="T36" s="648" t="str">
        <f t="shared" si="6"/>
        <v/>
      </c>
      <c r="Z36" s="649" t="str">
        <f>IF(B36="個別病床",はじめに入力してください!$K$50,IF(B36="共通使用",はじめに入力してください!$K$52,""))</f>
        <v/>
      </c>
      <c r="AB36" s="12">
        <v>7</v>
      </c>
      <c r="AC36" s="648" t="str">
        <f t="shared" si="7"/>
        <v>○</v>
      </c>
      <c r="AD36" s="649" t="str">
        <f t="shared" si="8"/>
        <v>整備しない場合は入力不要です。</v>
      </c>
    </row>
    <row r="37" spans="1:30">
      <c r="A37" s="12">
        <v>8</v>
      </c>
      <c r="B37" s="6"/>
      <c r="C37" s="6"/>
      <c r="D37" s="6"/>
      <c r="E37" s="10"/>
      <c r="F37" s="7"/>
      <c r="G37" s="531"/>
      <c r="H37" s="15">
        <f t="shared" si="0"/>
        <v>0</v>
      </c>
      <c r="I37" s="4">
        <f t="shared" si="1"/>
        <v>0</v>
      </c>
      <c r="J37" s="9"/>
      <c r="K37" s="595"/>
      <c r="L37" s="595"/>
      <c r="M37" s="595"/>
      <c r="N37" s="4">
        <f t="shared" si="2"/>
        <v>0</v>
      </c>
      <c r="O37" s="5" t="str">
        <f>IF(AC37="◎",COUNTIF($AC$30:AC37,"◎"),"")</f>
        <v/>
      </c>
      <c r="Q37" s="596" t="str">
        <f t="shared" si="3"/>
        <v/>
      </c>
      <c r="R37" s="648" t="str">
        <f t="shared" si="4"/>
        <v/>
      </c>
      <c r="S37" s="648" t="str">
        <f t="shared" si="5"/>
        <v/>
      </c>
      <c r="T37" s="648" t="str">
        <f t="shared" si="6"/>
        <v/>
      </c>
      <c r="Z37" s="649" t="str">
        <f>IF(B37="個別病床",はじめに入力してください!$K$50,IF(B37="共通使用",はじめに入力してください!$K$52,""))</f>
        <v/>
      </c>
      <c r="AB37" s="12">
        <v>8</v>
      </c>
      <c r="AC37" s="648" t="str">
        <f t="shared" si="7"/>
        <v>○</v>
      </c>
      <c r="AD37" s="649" t="str">
        <f t="shared" si="8"/>
        <v>整備しない場合は入力不要です。</v>
      </c>
    </row>
    <row r="38" spans="1:30">
      <c r="A38" s="12">
        <v>9</v>
      </c>
      <c r="B38" s="6"/>
      <c r="C38" s="6"/>
      <c r="D38" s="6"/>
      <c r="E38" s="10"/>
      <c r="F38" s="7"/>
      <c r="G38" s="531"/>
      <c r="H38" s="15">
        <f t="shared" si="0"/>
        <v>0</v>
      </c>
      <c r="I38" s="4">
        <f t="shared" si="1"/>
        <v>0</v>
      </c>
      <c r="J38" s="9"/>
      <c r="K38" s="595"/>
      <c r="L38" s="595"/>
      <c r="M38" s="595"/>
      <c r="N38" s="4">
        <f t="shared" si="2"/>
        <v>0</v>
      </c>
      <c r="O38" s="5" t="str">
        <f>IF(AC38="◎",COUNTIF($AC$30:AC38,"◎"),"")</f>
        <v/>
      </c>
      <c r="Q38" s="596" t="str">
        <f t="shared" si="3"/>
        <v/>
      </c>
      <c r="R38" s="648" t="str">
        <f t="shared" si="4"/>
        <v/>
      </c>
      <c r="S38" s="648" t="str">
        <f t="shared" si="5"/>
        <v/>
      </c>
      <c r="T38" s="648" t="str">
        <f t="shared" si="6"/>
        <v/>
      </c>
      <c r="Z38" s="649" t="str">
        <f>IF(B38="個別病床",はじめに入力してください!$K$50,IF(B38="共通使用",はじめに入力してください!$K$52,""))</f>
        <v/>
      </c>
      <c r="AB38" s="12">
        <v>9</v>
      </c>
      <c r="AC38" s="648" t="str">
        <f t="shared" si="7"/>
        <v>○</v>
      </c>
      <c r="AD38" s="649" t="str">
        <f t="shared" si="8"/>
        <v>整備しない場合は入力不要です。</v>
      </c>
    </row>
    <row r="39" spans="1:30">
      <c r="A39" s="12">
        <v>10</v>
      </c>
      <c r="B39" s="6"/>
      <c r="C39" s="6"/>
      <c r="D39" s="6"/>
      <c r="E39" s="10"/>
      <c r="F39" s="7"/>
      <c r="G39" s="531"/>
      <c r="H39" s="15">
        <f t="shared" si="0"/>
        <v>0</v>
      </c>
      <c r="I39" s="4">
        <f t="shared" si="1"/>
        <v>0</v>
      </c>
      <c r="J39" s="9"/>
      <c r="K39" s="595"/>
      <c r="L39" s="595"/>
      <c r="M39" s="595"/>
      <c r="N39" s="4">
        <f t="shared" si="2"/>
        <v>0</v>
      </c>
      <c r="O39" s="5" t="str">
        <f>IF(AC39="◎",COUNTIF($AC$30:AC39,"◎"),"")</f>
        <v/>
      </c>
      <c r="Q39" s="596" t="str">
        <f t="shared" si="3"/>
        <v/>
      </c>
      <c r="R39" s="648" t="str">
        <f t="shared" si="4"/>
        <v/>
      </c>
      <c r="S39" s="648" t="str">
        <f t="shared" si="5"/>
        <v/>
      </c>
      <c r="T39" s="648" t="str">
        <f t="shared" si="6"/>
        <v/>
      </c>
      <c r="Z39" s="649" t="str">
        <f>IF(B39="個別病床",はじめに入力してください!$K$50,IF(B39="共通使用",はじめに入力してください!$K$52,""))</f>
        <v/>
      </c>
      <c r="AB39" s="12">
        <v>10</v>
      </c>
      <c r="AC39" s="648" t="str">
        <f t="shared" si="7"/>
        <v>○</v>
      </c>
      <c r="AD39" s="649" t="str">
        <f t="shared" si="8"/>
        <v>整備しない場合は入力不要です。</v>
      </c>
    </row>
    <row r="40" spans="1:30">
      <c r="A40" s="12">
        <v>11</v>
      </c>
      <c r="B40" s="6"/>
      <c r="C40" s="6"/>
      <c r="D40" s="6"/>
      <c r="E40" s="10"/>
      <c r="F40" s="7"/>
      <c r="G40" s="531"/>
      <c r="H40" s="15">
        <f t="shared" si="0"/>
        <v>0</v>
      </c>
      <c r="I40" s="4">
        <f t="shared" si="1"/>
        <v>0</v>
      </c>
      <c r="J40" s="9"/>
      <c r="K40" s="595"/>
      <c r="L40" s="595"/>
      <c r="M40" s="595"/>
      <c r="N40" s="4">
        <f t="shared" si="2"/>
        <v>0</v>
      </c>
      <c r="O40" s="5" t="str">
        <f>IF(AC40="◎",COUNTIF($AC$30:AC40,"◎"),"")</f>
        <v/>
      </c>
      <c r="Q40" s="596" t="str">
        <f t="shared" si="3"/>
        <v/>
      </c>
      <c r="R40" s="648" t="str">
        <f t="shared" si="4"/>
        <v/>
      </c>
      <c r="S40" s="648" t="str">
        <f t="shared" si="5"/>
        <v/>
      </c>
      <c r="T40" s="648" t="str">
        <f t="shared" si="6"/>
        <v/>
      </c>
      <c r="Z40" s="649" t="str">
        <f>IF(B40="個別病床",はじめに入力してください!$K$50,IF(B40="共通使用",はじめに入力してください!$K$52,""))</f>
        <v/>
      </c>
      <c r="AB40" s="12">
        <v>11</v>
      </c>
      <c r="AC40" s="648" t="str">
        <f t="shared" si="7"/>
        <v>○</v>
      </c>
      <c r="AD40" s="649" t="str">
        <f t="shared" si="8"/>
        <v>整備しない場合は入力不要です。</v>
      </c>
    </row>
    <row r="41" spans="1:30">
      <c r="A41" s="12">
        <v>12</v>
      </c>
      <c r="B41" s="6"/>
      <c r="C41" s="6"/>
      <c r="D41" s="6"/>
      <c r="E41" s="10"/>
      <c r="F41" s="7"/>
      <c r="G41" s="531"/>
      <c r="H41" s="15">
        <f t="shared" si="0"/>
        <v>0</v>
      </c>
      <c r="I41" s="4">
        <f t="shared" si="1"/>
        <v>0</v>
      </c>
      <c r="J41" s="9"/>
      <c r="K41" s="595"/>
      <c r="L41" s="595"/>
      <c r="M41" s="595"/>
      <c r="N41" s="4">
        <f t="shared" si="2"/>
        <v>0</v>
      </c>
      <c r="O41" s="5" t="str">
        <f>IF(AC41="◎",COUNTIF($AC$30:AC41,"◎"),"")</f>
        <v/>
      </c>
      <c r="Q41" s="596" t="str">
        <f t="shared" si="3"/>
        <v/>
      </c>
      <c r="R41" s="648" t="str">
        <f t="shared" si="4"/>
        <v/>
      </c>
      <c r="S41" s="648" t="str">
        <f t="shared" si="5"/>
        <v/>
      </c>
      <c r="T41" s="648" t="str">
        <f t="shared" si="6"/>
        <v/>
      </c>
      <c r="Z41" s="649" t="str">
        <f>IF(B41="個別病床",はじめに入力してください!$K$50,IF(B41="共通使用",はじめに入力してください!$K$52,""))</f>
        <v/>
      </c>
      <c r="AB41" s="12">
        <v>12</v>
      </c>
      <c r="AC41" s="648" t="str">
        <f t="shared" si="7"/>
        <v>○</v>
      </c>
      <c r="AD41" s="649" t="str">
        <f t="shared" si="8"/>
        <v>整備しない場合は入力不要です。</v>
      </c>
    </row>
    <row r="42" spans="1:30">
      <c r="A42" s="12">
        <v>13</v>
      </c>
      <c r="B42" s="6"/>
      <c r="C42" s="6"/>
      <c r="D42" s="6"/>
      <c r="E42" s="10"/>
      <c r="F42" s="7"/>
      <c r="G42" s="531"/>
      <c r="H42" s="15">
        <f t="shared" si="0"/>
        <v>0</v>
      </c>
      <c r="I42" s="4">
        <f t="shared" si="1"/>
        <v>0</v>
      </c>
      <c r="J42" s="9"/>
      <c r="K42" s="595"/>
      <c r="L42" s="595"/>
      <c r="M42" s="595"/>
      <c r="N42" s="4">
        <f t="shared" si="2"/>
        <v>0</v>
      </c>
      <c r="O42" s="5" t="str">
        <f>IF(AC42="◎",COUNTIF($AC$30:AC42,"◎"),"")</f>
        <v/>
      </c>
      <c r="Q42" s="596" t="str">
        <f t="shared" si="3"/>
        <v/>
      </c>
      <c r="R42" s="648" t="str">
        <f t="shared" si="4"/>
        <v/>
      </c>
      <c r="S42" s="648" t="str">
        <f t="shared" si="5"/>
        <v/>
      </c>
      <c r="T42" s="648" t="str">
        <f t="shared" si="6"/>
        <v/>
      </c>
      <c r="Z42" s="649" t="str">
        <f>IF(B42="個別病床",はじめに入力してください!$K$50,IF(B42="共通使用",はじめに入力してください!$K$52,""))</f>
        <v/>
      </c>
      <c r="AB42" s="12">
        <v>13</v>
      </c>
      <c r="AC42" s="648" t="str">
        <f t="shared" si="7"/>
        <v>○</v>
      </c>
      <c r="AD42" s="649" t="str">
        <f t="shared" si="8"/>
        <v>整備しない場合は入力不要です。</v>
      </c>
    </row>
    <row r="43" spans="1:30">
      <c r="A43" s="12">
        <v>14</v>
      </c>
      <c r="B43" s="6"/>
      <c r="C43" s="6"/>
      <c r="D43" s="6"/>
      <c r="E43" s="10"/>
      <c r="F43" s="7"/>
      <c r="G43" s="531"/>
      <c r="H43" s="15">
        <f t="shared" si="0"/>
        <v>0</v>
      </c>
      <c r="I43" s="4">
        <f t="shared" si="1"/>
        <v>0</v>
      </c>
      <c r="J43" s="9"/>
      <c r="K43" s="595"/>
      <c r="L43" s="595"/>
      <c r="M43" s="595"/>
      <c r="N43" s="4">
        <f t="shared" si="2"/>
        <v>0</v>
      </c>
      <c r="O43" s="5" t="str">
        <f>IF(AC43="◎",COUNTIF($AC$30:AC43,"◎"),"")</f>
        <v/>
      </c>
      <c r="Q43" s="596" t="str">
        <f t="shared" si="3"/>
        <v/>
      </c>
      <c r="R43" s="648" t="str">
        <f t="shared" si="4"/>
        <v/>
      </c>
      <c r="S43" s="648" t="str">
        <f t="shared" si="5"/>
        <v/>
      </c>
      <c r="T43" s="648" t="str">
        <f t="shared" si="6"/>
        <v/>
      </c>
      <c r="Z43" s="649" t="str">
        <f>IF(B43="個別病床",はじめに入力してください!$K$50,IF(B43="共通使用",はじめに入力してください!$K$52,""))</f>
        <v/>
      </c>
      <c r="AB43" s="12">
        <v>14</v>
      </c>
      <c r="AC43" s="648" t="str">
        <f t="shared" si="7"/>
        <v>○</v>
      </c>
      <c r="AD43" s="649" t="str">
        <f t="shared" si="8"/>
        <v>整備しない場合は入力不要です。</v>
      </c>
    </row>
    <row r="44" spans="1:30">
      <c r="A44" s="12">
        <v>15</v>
      </c>
      <c r="B44" s="6"/>
      <c r="C44" s="6"/>
      <c r="D44" s="6"/>
      <c r="E44" s="10"/>
      <c r="F44" s="7"/>
      <c r="G44" s="531"/>
      <c r="H44" s="15">
        <f t="shared" si="0"/>
        <v>0</v>
      </c>
      <c r="I44" s="4">
        <f t="shared" si="1"/>
        <v>0</v>
      </c>
      <c r="J44" s="9"/>
      <c r="K44" s="595"/>
      <c r="L44" s="595"/>
      <c r="M44" s="595"/>
      <c r="N44" s="4">
        <f t="shared" si="2"/>
        <v>0</v>
      </c>
      <c r="O44" s="5" t="str">
        <f>IF(AC44="◎",COUNTIF($AC$30:AC44,"◎"),"")</f>
        <v/>
      </c>
      <c r="Q44" s="596" t="str">
        <f t="shared" si="3"/>
        <v/>
      </c>
      <c r="R44" s="648" t="str">
        <f t="shared" si="4"/>
        <v/>
      </c>
      <c r="S44" s="648" t="str">
        <f t="shared" si="5"/>
        <v/>
      </c>
      <c r="T44" s="648" t="str">
        <f t="shared" si="6"/>
        <v/>
      </c>
      <c r="Z44" s="649" t="str">
        <f>IF(B44="個別病床",はじめに入力してください!$K$50,IF(B44="共通使用",はじめに入力してください!$K$52,""))</f>
        <v/>
      </c>
      <c r="AB44" s="12">
        <v>15</v>
      </c>
      <c r="AC44" s="648" t="str">
        <f t="shared" si="7"/>
        <v>○</v>
      </c>
      <c r="AD44" s="649" t="str">
        <f t="shared" si="8"/>
        <v>整備しない場合は入力不要です。</v>
      </c>
    </row>
    <row r="45" spans="1:30">
      <c r="A45" s="12">
        <v>16</v>
      </c>
      <c r="B45" s="6"/>
      <c r="C45" s="6"/>
      <c r="D45" s="6"/>
      <c r="E45" s="10"/>
      <c r="F45" s="7"/>
      <c r="G45" s="531"/>
      <c r="H45" s="15">
        <f t="shared" si="0"/>
        <v>0</v>
      </c>
      <c r="I45" s="4">
        <f t="shared" si="1"/>
        <v>0</v>
      </c>
      <c r="J45" s="9"/>
      <c r="K45" s="595"/>
      <c r="L45" s="595"/>
      <c r="M45" s="595"/>
      <c r="N45" s="4">
        <f t="shared" si="2"/>
        <v>0</v>
      </c>
      <c r="O45" s="5" t="str">
        <f>IF(AC45="◎",COUNTIF($AC$30:AC45,"◎"),"")</f>
        <v/>
      </c>
      <c r="Q45" s="596" t="str">
        <f t="shared" si="3"/>
        <v/>
      </c>
      <c r="R45" s="648" t="str">
        <f t="shared" si="4"/>
        <v/>
      </c>
      <c r="S45" s="648" t="str">
        <f t="shared" si="5"/>
        <v/>
      </c>
      <c r="T45" s="648" t="str">
        <f t="shared" si="6"/>
        <v/>
      </c>
      <c r="Z45" s="649" t="str">
        <f>IF(B45="個別病床",はじめに入力してください!$K$50,IF(B45="共通使用",はじめに入力してください!$K$52,""))</f>
        <v/>
      </c>
      <c r="AB45" s="12">
        <v>16</v>
      </c>
      <c r="AC45" s="648" t="str">
        <f t="shared" si="7"/>
        <v>○</v>
      </c>
      <c r="AD45" s="649" t="str">
        <f t="shared" si="8"/>
        <v>整備しない場合は入力不要です。</v>
      </c>
    </row>
    <row r="46" spans="1:30">
      <c r="A46" s="12">
        <v>17</v>
      </c>
      <c r="B46" s="6"/>
      <c r="C46" s="6"/>
      <c r="D46" s="6"/>
      <c r="E46" s="10"/>
      <c r="F46" s="7"/>
      <c r="G46" s="531"/>
      <c r="H46" s="15">
        <f t="shared" si="0"/>
        <v>0</v>
      </c>
      <c r="I46" s="4">
        <f t="shared" si="1"/>
        <v>0</v>
      </c>
      <c r="J46" s="9"/>
      <c r="K46" s="595"/>
      <c r="L46" s="595"/>
      <c r="M46" s="595"/>
      <c r="N46" s="4">
        <f t="shared" si="2"/>
        <v>0</v>
      </c>
      <c r="O46" s="5" t="str">
        <f>IF(AC46="◎",COUNTIF($AC$30:AC46,"◎"),"")</f>
        <v/>
      </c>
      <c r="Q46" s="596" t="str">
        <f t="shared" si="3"/>
        <v/>
      </c>
      <c r="R46" s="648" t="str">
        <f t="shared" si="4"/>
        <v/>
      </c>
      <c r="S46" s="648" t="str">
        <f t="shared" si="5"/>
        <v/>
      </c>
      <c r="T46" s="648" t="str">
        <f t="shared" si="6"/>
        <v/>
      </c>
      <c r="Z46" s="649" t="str">
        <f>IF(B46="個別病床",はじめに入力してください!$K$50,IF(B46="共通使用",はじめに入力してください!$K$52,""))</f>
        <v/>
      </c>
      <c r="AB46" s="12">
        <v>17</v>
      </c>
      <c r="AC46" s="648" t="str">
        <f t="shared" si="7"/>
        <v>○</v>
      </c>
      <c r="AD46" s="649" t="str">
        <f t="shared" si="8"/>
        <v>整備しない場合は入力不要です。</v>
      </c>
    </row>
    <row r="47" spans="1:30">
      <c r="A47" s="12">
        <v>18</v>
      </c>
      <c r="B47" s="6"/>
      <c r="C47" s="6"/>
      <c r="D47" s="6"/>
      <c r="E47" s="10"/>
      <c r="F47" s="7"/>
      <c r="G47" s="531"/>
      <c r="H47" s="15">
        <f t="shared" si="0"/>
        <v>0</v>
      </c>
      <c r="I47" s="4">
        <f t="shared" si="1"/>
        <v>0</v>
      </c>
      <c r="J47" s="9"/>
      <c r="K47" s="595"/>
      <c r="L47" s="595"/>
      <c r="M47" s="595"/>
      <c r="N47" s="4">
        <f t="shared" si="2"/>
        <v>0</v>
      </c>
      <c r="O47" s="5" t="str">
        <f>IF(AC47="◎",COUNTIF($AC$30:AC47,"◎"),"")</f>
        <v/>
      </c>
      <c r="Q47" s="596" t="str">
        <f t="shared" si="3"/>
        <v/>
      </c>
      <c r="R47" s="648" t="str">
        <f t="shared" si="4"/>
        <v/>
      </c>
      <c r="S47" s="648" t="str">
        <f t="shared" si="5"/>
        <v/>
      </c>
      <c r="T47" s="648" t="str">
        <f t="shared" si="6"/>
        <v/>
      </c>
      <c r="Z47" s="649" t="str">
        <f>IF(B47="個別病床",はじめに入力してください!$K$50,IF(B47="共通使用",はじめに入力してください!$K$52,""))</f>
        <v/>
      </c>
      <c r="AB47" s="12">
        <v>18</v>
      </c>
      <c r="AC47" s="648" t="str">
        <f t="shared" si="7"/>
        <v>○</v>
      </c>
      <c r="AD47" s="649" t="str">
        <f t="shared" si="8"/>
        <v>整備しない場合は入力不要です。</v>
      </c>
    </row>
    <row r="48" spans="1:30">
      <c r="A48" s="12">
        <v>19</v>
      </c>
      <c r="B48" s="6"/>
      <c r="C48" s="6"/>
      <c r="D48" s="6"/>
      <c r="E48" s="10"/>
      <c r="F48" s="7"/>
      <c r="G48" s="531"/>
      <c r="H48" s="15">
        <f t="shared" si="0"/>
        <v>0</v>
      </c>
      <c r="I48" s="4">
        <f t="shared" si="1"/>
        <v>0</v>
      </c>
      <c r="J48" s="9"/>
      <c r="K48" s="595"/>
      <c r="L48" s="595"/>
      <c r="M48" s="595"/>
      <c r="N48" s="4">
        <f t="shared" si="2"/>
        <v>0</v>
      </c>
      <c r="O48" s="5" t="str">
        <f>IF(AC48="◎",COUNTIF($AC$30:AC48,"◎"),"")</f>
        <v/>
      </c>
      <c r="Q48" s="596" t="str">
        <f t="shared" si="3"/>
        <v/>
      </c>
      <c r="R48" s="648" t="str">
        <f t="shared" si="4"/>
        <v/>
      </c>
      <c r="S48" s="648" t="str">
        <f t="shared" si="5"/>
        <v/>
      </c>
      <c r="T48" s="648" t="str">
        <f t="shared" si="6"/>
        <v/>
      </c>
      <c r="Z48" s="649" t="str">
        <f>IF(B48="個別病床",はじめに入力してください!$K$50,IF(B48="共通使用",はじめに入力してください!$K$52,""))</f>
        <v/>
      </c>
      <c r="AB48" s="12">
        <v>19</v>
      </c>
      <c r="AC48" s="648" t="str">
        <f t="shared" si="7"/>
        <v>○</v>
      </c>
      <c r="AD48" s="649" t="str">
        <f t="shared" si="8"/>
        <v>整備しない場合は入力不要です。</v>
      </c>
    </row>
    <row r="49" spans="1:30">
      <c r="A49" s="12">
        <v>20</v>
      </c>
      <c r="B49" s="6"/>
      <c r="C49" s="6"/>
      <c r="D49" s="6"/>
      <c r="E49" s="10"/>
      <c r="F49" s="7"/>
      <c r="G49" s="531"/>
      <c r="H49" s="15">
        <f t="shared" si="0"/>
        <v>0</v>
      </c>
      <c r="I49" s="4">
        <f t="shared" si="1"/>
        <v>0</v>
      </c>
      <c r="J49" s="9"/>
      <c r="K49" s="595"/>
      <c r="L49" s="595"/>
      <c r="M49" s="595"/>
      <c r="N49" s="4">
        <f t="shared" si="2"/>
        <v>0</v>
      </c>
      <c r="O49" s="5" t="str">
        <f>IF(AC49="◎",COUNTIF($AC$30:AC49,"◎"),"")</f>
        <v/>
      </c>
      <c r="Q49" s="596" t="str">
        <f t="shared" si="3"/>
        <v/>
      </c>
      <c r="R49" s="648" t="str">
        <f t="shared" si="4"/>
        <v/>
      </c>
      <c r="S49" s="648" t="str">
        <f t="shared" si="5"/>
        <v/>
      </c>
      <c r="T49" s="648" t="str">
        <f t="shared" si="6"/>
        <v/>
      </c>
      <c r="Z49" s="649" t="str">
        <f>IF(B49="個別病床",はじめに入力してください!$K$50,IF(B49="共通使用",はじめに入力してください!$K$52,""))</f>
        <v/>
      </c>
      <c r="AB49" s="12">
        <v>20</v>
      </c>
      <c r="AC49" s="648" t="str">
        <f t="shared" si="7"/>
        <v>○</v>
      </c>
      <c r="AD49" s="649" t="str">
        <f t="shared" si="8"/>
        <v>整備しない場合は入力不要です。</v>
      </c>
    </row>
    <row r="50" spans="1:30">
      <c r="A50" s="12">
        <v>21</v>
      </c>
      <c r="B50" s="6"/>
      <c r="C50" s="6"/>
      <c r="D50" s="6"/>
      <c r="E50" s="10"/>
      <c r="F50" s="7"/>
      <c r="G50" s="531"/>
      <c r="H50" s="15">
        <f t="shared" si="0"/>
        <v>0</v>
      </c>
      <c r="I50" s="4">
        <f t="shared" si="1"/>
        <v>0</v>
      </c>
      <c r="J50" s="9"/>
      <c r="K50" s="595"/>
      <c r="L50" s="595"/>
      <c r="M50" s="595"/>
      <c r="N50" s="4">
        <f t="shared" si="2"/>
        <v>0</v>
      </c>
      <c r="O50" s="5" t="str">
        <f>IF(AC50="◎",COUNTIF($AC$30:AC50,"◎"),"")</f>
        <v/>
      </c>
      <c r="Q50" s="596" t="str">
        <f t="shared" si="3"/>
        <v/>
      </c>
      <c r="R50" s="648" t="str">
        <f t="shared" si="4"/>
        <v/>
      </c>
      <c r="S50" s="648" t="str">
        <f t="shared" si="5"/>
        <v/>
      </c>
      <c r="T50" s="648" t="str">
        <f t="shared" si="6"/>
        <v/>
      </c>
      <c r="Z50" s="649" t="str">
        <f>IF(B50="個別病床",はじめに入力してください!$K$50,IF(B50="共通使用",はじめに入力してください!$K$52,""))</f>
        <v/>
      </c>
      <c r="AB50" s="12">
        <v>21</v>
      </c>
      <c r="AC50" s="648" t="str">
        <f t="shared" si="7"/>
        <v>○</v>
      </c>
      <c r="AD50" s="649" t="str">
        <f t="shared" si="8"/>
        <v>整備しない場合は入力不要です。</v>
      </c>
    </row>
    <row r="51" spans="1:30">
      <c r="A51" s="12">
        <v>22</v>
      </c>
      <c r="B51" s="6"/>
      <c r="C51" s="6"/>
      <c r="D51" s="6"/>
      <c r="E51" s="10"/>
      <c r="F51" s="7"/>
      <c r="G51" s="531"/>
      <c r="H51" s="15">
        <f t="shared" si="0"/>
        <v>0</v>
      </c>
      <c r="I51" s="4">
        <f t="shared" si="1"/>
        <v>0</v>
      </c>
      <c r="J51" s="9"/>
      <c r="K51" s="595"/>
      <c r="L51" s="595"/>
      <c r="M51" s="595"/>
      <c r="N51" s="4">
        <f t="shared" si="2"/>
        <v>0</v>
      </c>
      <c r="O51" s="5" t="str">
        <f>IF(AC51="◎",COUNTIF($AC$30:AC51,"◎"),"")</f>
        <v/>
      </c>
      <c r="Q51" s="596" t="str">
        <f t="shared" si="3"/>
        <v/>
      </c>
      <c r="R51" s="648" t="str">
        <f t="shared" si="4"/>
        <v/>
      </c>
      <c r="S51" s="648" t="str">
        <f t="shared" si="5"/>
        <v/>
      </c>
      <c r="T51" s="648" t="str">
        <f t="shared" si="6"/>
        <v/>
      </c>
      <c r="Z51" s="649" t="str">
        <f>IF(B51="個別病床",はじめに入力してください!$K$50,IF(B51="共通使用",はじめに入力してください!$K$52,""))</f>
        <v/>
      </c>
      <c r="AB51" s="12">
        <v>22</v>
      </c>
      <c r="AC51" s="648" t="str">
        <f t="shared" si="7"/>
        <v>○</v>
      </c>
      <c r="AD51" s="649" t="str">
        <f t="shared" si="8"/>
        <v>整備しない場合は入力不要です。</v>
      </c>
    </row>
    <row r="52" spans="1:30">
      <c r="A52" s="12">
        <v>23</v>
      </c>
      <c r="B52" s="6"/>
      <c r="C52" s="6"/>
      <c r="D52" s="6"/>
      <c r="E52" s="10"/>
      <c r="F52" s="7"/>
      <c r="G52" s="531"/>
      <c r="H52" s="15">
        <f t="shared" si="0"/>
        <v>0</v>
      </c>
      <c r="I52" s="4">
        <f t="shared" si="1"/>
        <v>0</v>
      </c>
      <c r="J52" s="9"/>
      <c r="K52" s="595"/>
      <c r="L52" s="595"/>
      <c r="M52" s="595"/>
      <c r="N52" s="4">
        <f t="shared" si="2"/>
        <v>0</v>
      </c>
      <c r="O52" s="5" t="str">
        <f>IF(AC52="◎",COUNTIF($AC$30:AC52,"◎"),"")</f>
        <v/>
      </c>
      <c r="Q52" s="596" t="str">
        <f t="shared" si="3"/>
        <v/>
      </c>
      <c r="R52" s="648" t="str">
        <f t="shared" si="4"/>
        <v/>
      </c>
      <c r="S52" s="648" t="str">
        <f t="shared" si="5"/>
        <v/>
      </c>
      <c r="T52" s="648" t="str">
        <f t="shared" si="6"/>
        <v/>
      </c>
      <c r="Z52" s="649" t="str">
        <f>IF(B52="個別病床",はじめに入力してください!$K$50,IF(B52="共通使用",はじめに入力してください!$K$52,""))</f>
        <v/>
      </c>
      <c r="AB52" s="12">
        <v>23</v>
      </c>
      <c r="AC52" s="648" t="str">
        <f t="shared" si="7"/>
        <v>○</v>
      </c>
      <c r="AD52" s="649" t="str">
        <f t="shared" si="8"/>
        <v>整備しない場合は入力不要です。</v>
      </c>
    </row>
    <row r="53" spans="1:30">
      <c r="A53" s="12">
        <v>24</v>
      </c>
      <c r="B53" s="6"/>
      <c r="C53" s="6"/>
      <c r="D53" s="6"/>
      <c r="E53" s="10"/>
      <c r="F53" s="7"/>
      <c r="G53" s="531"/>
      <c r="H53" s="15">
        <f t="shared" si="0"/>
        <v>0</v>
      </c>
      <c r="I53" s="4">
        <f t="shared" si="1"/>
        <v>0</v>
      </c>
      <c r="J53" s="9"/>
      <c r="K53" s="595"/>
      <c r="L53" s="595"/>
      <c r="M53" s="595"/>
      <c r="N53" s="4">
        <f t="shared" si="2"/>
        <v>0</v>
      </c>
      <c r="O53" s="5" t="str">
        <f>IF(AC53="◎",COUNTIF($AC$30:AC53,"◎"),"")</f>
        <v/>
      </c>
      <c r="Q53" s="596" t="str">
        <f t="shared" si="3"/>
        <v/>
      </c>
      <c r="R53" s="648" t="str">
        <f t="shared" si="4"/>
        <v/>
      </c>
      <c r="S53" s="648" t="str">
        <f t="shared" si="5"/>
        <v/>
      </c>
      <c r="T53" s="648" t="str">
        <f t="shared" si="6"/>
        <v/>
      </c>
      <c r="Z53" s="649" t="str">
        <f>IF(B53="個別病床",はじめに入力してください!$K$50,IF(B53="共通使用",はじめに入力してください!$K$52,""))</f>
        <v/>
      </c>
      <c r="AB53" s="12">
        <v>24</v>
      </c>
      <c r="AC53" s="648" t="str">
        <f t="shared" si="7"/>
        <v>○</v>
      </c>
      <c r="AD53" s="649" t="str">
        <f t="shared" si="8"/>
        <v>整備しない場合は入力不要です。</v>
      </c>
    </row>
    <row r="54" spans="1:30">
      <c r="A54" s="12">
        <v>25</v>
      </c>
      <c r="B54" s="6"/>
      <c r="C54" s="6"/>
      <c r="D54" s="6"/>
      <c r="E54" s="10"/>
      <c r="F54" s="7"/>
      <c r="G54" s="531"/>
      <c r="H54" s="15">
        <f t="shared" si="0"/>
        <v>0</v>
      </c>
      <c r="I54" s="4">
        <f t="shared" si="1"/>
        <v>0</v>
      </c>
      <c r="J54" s="9"/>
      <c r="K54" s="595"/>
      <c r="L54" s="595"/>
      <c r="M54" s="595"/>
      <c r="N54" s="4">
        <f t="shared" si="2"/>
        <v>0</v>
      </c>
      <c r="O54" s="5" t="str">
        <f>IF(AC54="◎",COUNTIF($AC$30:AC54,"◎"),"")</f>
        <v/>
      </c>
      <c r="Q54" s="596" t="str">
        <f t="shared" si="3"/>
        <v/>
      </c>
      <c r="R54" s="648" t="str">
        <f t="shared" si="4"/>
        <v/>
      </c>
      <c r="S54" s="648" t="str">
        <f t="shared" si="5"/>
        <v/>
      </c>
      <c r="T54" s="648" t="str">
        <f t="shared" si="6"/>
        <v/>
      </c>
      <c r="Z54" s="649" t="str">
        <f>IF(B54="個別病床",はじめに入力してください!$K$50,IF(B54="共通使用",はじめに入力してください!$K$52,""))</f>
        <v/>
      </c>
      <c r="AB54" s="12">
        <v>25</v>
      </c>
      <c r="AC54" s="648" t="str">
        <f t="shared" si="7"/>
        <v>○</v>
      </c>
      <c r="AD54" s="649" t="str">
        <f t="shared" si="8"/>
        <v>整備しない場合は入力不要です。</v>
      </c>
    </row>
    <row r="55" spans="1:30">
      <c r="A55" s="12">
        <v>26</v>
      </c>
      <c r="B55" s="6"/>
      <c r="C55" s="6"/>
      <c r="D55" s="6"/>
      <c r="E55" s="10"/>
      <c r="F55" s="7"/>
      <c r="G55" s="531"/>
      <c r="H55" s="15">
        <f t="shared" si="0"/>
        <v>0</v>
      </c>
      <c r="I55" s="4">
        <f t="shared" si="1"/>
        <v>0</v>
      </c>
      <c r="J55" s="9"/>
      <c r="K55" s="595"/>
      <c r="L55" s="595"/>
      <c r="M55" s="595"/>
      <c r="N55" s="4">
        <f t="shared" si="2"/>
        <v>0</v>
      </c>
      <c r="O55" s="5" t="str">
        <f>IF(AC55="◎",COUNTIF($AC$30:AC55,"◎"),"")</f>
        <v/>
      </c>
      <c r="Q55" s="596" t="str">
        <f t="shared" si="3"/>
        <v/>
      </c>
      <c r="R55" s="648" t="str">
        <f t="shared" si="4"/>
        <v/>
      </c>
      <c r="S55" s="648" t="str">
        <f t="shared" si="5"/>
        <v/>
      </c>
      <c r="T55" s="648" t="str">
        <f t="shared" si="6"/>
        <v/>
      </c>
      <c r="Z55" s="649" t="str">
        <f>IF(B55="個別病床",はじめに入力してください!$K$50,IF(B55="共通使用",はじめに入力してください!$K$52,""))</f>
        <v/>
      </c>
      <c r="AB55" s="12">
        <v>26</v>
      </c>
      <c r="AC55" s="648" t="str">
        <f t="shared" si="7"/>
        <v>○</v>
      </c>
      <c r="AD55" s="649" t="str">
        <f t="shared" si="8"/>
        <v>整備しない場合は入力不要です。</v>
      </c>
    </row>
    <row r="56" spans="1:30">
      <c r="A56" s="12">
        <v>27</v>
      </c>
      <c r="B56" s="6"/>
      <c r="C56" s="6"/>
      <c r="D56" s="6"/>
      <c r="E56" s="10"/>
      <c r="F56" s="7"/>
      <c r="G56" s="531"/>
      <c r="H56" s="15">
        <f t="shared" si="0"/>
        <v>0</v>
      </c>
      <c r="I56" s="4">
        <f t="shared" si="1"/>
        <v>0</v>
      </c>
      <c r="J56" s="9"/>
      <c r="K56" s="595"/>
      <c r="L56" s="595"/>
      <c r="M56" s="595"/>
      <c r="N56" s="4">
        <f t="shared" si="2"/>
        <v>0</v>
      </c>
      <c r="O56" s="5" t="str">
        <f>IF(AC56="◎",COUNTIF($AC$30:AC56,"◎"),"")</f>
        <v/>
      </c>
      <c r="Q56" s="596" t="str">
        <f t="shared" si="3"/>
        <v/>
      </c>
      <c r="R56" s="648" t="str">
        <f t="shared" si="4"/>
        <v/>
      </c>
      <c r="S56" s="648" t="str">
        <f t="shared" si="5"/>
        <v/>
      </c>
      <c r="T56" s="648" t="str">
        <f t="shared" si="6"/>
        <v/>
      </c>
      <c r="Z56" s="649" t="str">
        <f>IF(B56="個別病床",はじめに入力してください!$K$50,IF(B56="共通使用",はじめに入力してください!$K$52,""))</f>
        <v/>
      </c>
      <c r="AB56" s="12">
        <v>27</v>
      </c>
      <c r="AC56" s="648" t="str">
        <f t="shared" si="7"/>
        <v>○</v>
      </c>
      <c r="AD56" s="649" t="str">
        <f t="shared" si="8"/>
        <v>整備しない場合は入力不要です。</v>
      </c>
    </row>
    <row r="57" spans="1:30">
      <c r="A57" s="12">
        <v>28</v>
      </c>
      <c r="B57" s="6"/>
      <c r="C57" s="6"/>
      <c r="D57" s="6"/>
      <c r="E57" s="10"/>
      <c r="F57" s="7"/>
      <c r="G57" s="531"/>
      <c r="H57" s="15">
        <f t="shared" si="0"/>
        <v>0</v>
      </c>
      <c r="I57" s="4">
        <f t="shared" si="1"/>
        <v>0</v>
      </c>
      <c r="J57" s="9"/>
      <c r="K57" s="595"/>
      <c r="L57" s="595"/>
      <c r="M57" s="595"/>
      <c r="N57" s="4">
        <f t="shared" si="2"/>
        <v>0</v>
      </c>
      <c r="O57" s="5" t="str">
        <f>IF(AC57="◎",COUNTIF($AC$30:AC57,"◎"),"")</f>
        <v/>
      </c>
      <c r="Q57" s="596" t="str">
        <f t="shared" si="3"/>
        <v/>
      </c>
      <c r="R57" s="648" t="str">
        <f t="shared" si="4"/>
        <v/>
      </c>
      <c r="S57" s="648" t="str">
        <f t="shared" si="5"/>
        <v/>
      </c>
      <c r="T57" s="648" t="str">
        <f t="shared" si="6"/>
        <v/>
      </c>
      <c r="Z57" s="649" t="str">
        <f>IF(B57="個別病床",はじめに入力してください!$K$50,IF(B57="共通使用",はじめに入力してください!$K$52,""))</f>
        <v/>
      </c>
      <c r="AB57" s="12">
        <v>28</v>
      </c>
      <c r="AC57" s="648" t="str">
        <f t="shared" si="7"/>
        <v>○</v>
      </c>
      <c r="AD57" s="649" t="str">
        <f t="shared" si="8"/>
        <v>整備しない場合は入力不要です。</v>
      </c>
    </row>
    <row r="58" spans="1:30">
      <c r="A58" s="12">
        <v>29</v>
      </c>
      <c r="B58" s="6"/>
      <c r="C58" s="6"/>
      <c r="D58" s="6"/>
      <c r="E58" s="10"/>
      <c r="F58" s="7"/>
      <c r="G58" s="531"/>
      <c r="H58" s="15">
        <f t="shared" si="0"/>
        <v>0</v>
      </c>
      <c r="I58" s="4">
        <f t="shared" si="1"/>
        <v>0</v>
      </c>
      <c r="J58" s="9"/>
      <c r="K58" s="595"/>
      <c r="L58" s="595"/>
      <c r="M58" s="595"/>
      <c r="N58" s="4">
        <f t="shared" si="2"/>
        <v>0</v>
      </c>
      <c r="O58" s="5" t="str">
        <f>IF(AC58="◎",COUNTIF($AC$30:AC58,"◎"),"")</f>
        <v/>
      </c>
      <c r="Q58" s="596" t="str">
        <f t="shared" si="3"/>
        <v/>
      </c>
      <c r="R58" s="648" t="str">
        <f t="shared" si="4"/>
        <v/>
      </c>
      <c r="S58" s="648" t="str">
        <f t="shared" si="5"/>
        <v/>
      </c>
      <c r="T58" s="648" t="str">
        <f t="shared" si="6"/>
        <v/>
      </c>
      <c r="Z58" s="649" t="str">
        <f>IF(B58="個別病床",はじめに入力してください!$K$50,IF(B58="共通使用",はじめに入力してください!$K$52,""))</f>
        <v/>
      </c>
      <c r="AB58" s="12">
        <v>29</v>
      </c>
      <c r="AC58" s="648" t="str">
        <f t="shared" si="7"/>
        <v>○</v>
      </c>
      <c r="AD58" s="649" t="str">
        <f t="shared" si="8"/>
        <v>整備しない場合は入力不要です。</v>
      </c>
    </row>
    <row r="59" spans="1:30">
      <c r="A59" s="12">
        <v>30</v>
      </c>
      <c r="B59" s="6"/>
      <c r="C59" s="6"/>
      <c r="D59" s="6"/>
      <c r="E59" s="10"/>
      <c r="F59" s="7"/>
      <c r="G59" s="531"/>
      <c r="H59" s="15">
        <f t="shared" si="0"/>
        <v>0</v>
      </c>
      <c r="I59" s="4">
        <f t="shared" si="1"/>
        <v>0</v>
      </c>
      <c r="J59" s="9"/>
      <c r="K59" s="595"/>
      <c r="L59" s="595"/>
      <c r="M59" s="595"/>
      <c r="N59" s="4">
        <f t="shared" si="2"/>
        <v>0</v>
      </c>
      <c r="O59" s="5" t="str">
        <f>IF(AC59="◎",COUNTIF($AC$30:AC59,"◎"),"")</f>
        <v/>
      </c>
      <c r="Q59" s="596" t="str">
        <f t="shared" si="3"/>
        <v/>
      </c>
      <c r="R59" s="648" t="str">
        <f t="shared" si="4"/>
        <v/>
      </c>
      <c r="S59" s="648" t="str">
        <f t="shared" si="5"/>
        <v/>
      </c>
      <c r="T59" s="648" t="str">
        <f t="shared" si="6"/>
        <v/>
      </c>
      <c r="Z59" s="649" t="str">
        <f>IF(B59="個別病床",はじめに入力してください!$K$50,IF(B59="共通使用",はじめに入力してください!$K$52,""))</f>
        <v/>
      </c>
      <c r="AB59" s="12">
        <v>30</v>
      </c>
      <c r="AC59" s="648" t="str">
        <f t="shared" si="7"/>
        <v>○</v>
      </c>
      <c r="AD59" s="649" t="str">
        <f t="shared" si="8"/>
        <v>整備しない場合は入力不要です。</v>
      </c>
    </row>
    <row r="60" spans="1:30">
      <c r="A60" s="12">
        <v>31</v>
      </c>
      <c r="B60" s="6"/>
      <c r="C60" s="6"/>
      <c r="D60" s="6"/>
      <c r="E60" s="10"/>
      <c r="F60" s="7"/>
      <c r="G60" s="531"/>
      <c r="H60" s="15">
        <f t="shared" si="0"/>
        <v>0</v>
      </c>
      <c r="I60" s="4">
        <f t="shared" si="1"/>
        <v>0</v>
      </c>
      <c r="J60" s="9"/>
      <c r="K60" s="595"/>
      <c r="L60" s="595"/>
      <c r="M60" s="595"/>
      <c r="N60" s="4">
        <f t="shared" si="2"/>
        <v>0</v>
      </c>
      <c r="O60" s="5" t="str">
        <f>IF(AC60="◎",COUNTIF($AC$30:AC60,"◎"),"")</f>
        <v/>
      </c>
      <c r="Q60" s="596" t="str">
        <f t="shared" si="3"/>
        <v/>
      </c>
      <c r="R60" s="648" t="str">
        <f t="shared" si="4"/>
        <v/>
      </c>
      <c r="S60" s="648" t="str">
        <f t="shared" si="5"/>
        <v/>
      </c>
      <c r="T60" s="648" t="str">
        <f t="shared" si="6"/>
        <v/>
      </c>
      <c r="Z60" s="649" t="str">
        <f>IF(B60="個別病床",はじめに入力してください!$K$50,IF(B60="共通使用",はじめに入力してください!$K$52,""))</f>
        <v/>
      </c>
      <c r="AB60" s="12">
        <v>31</v>
      </c>
      <c r="AC60" s="648" t="str">
        <f t="shared" si="7"/>
        <v>○</v>
      </c>
      <c r="AD60" s="649" t="str">
        <f t="shared" si="8"/>
        <v>整備しない場合は入力不要です。</v>
      </c>
    </row>
    <row r="61" spans="1:30">
      <c r="A61" s="12">
        <v>32</v>
      </c>
      <c r="B61" s="6"/>
      <c r="C61" s="6"/>
      <c r="D61" s="6"/>
      <c r="E61" s="10"/>
      <c r="F61" s="7"/>
      <c r="G61" s="531"/>
      <c r="H61" s="15">
        <f t="shared" si="0"/>
        <v>0</v>
      </c>
      <c r="I61" s="4">
        <f t="shared" si="1"/>
        <v>0</v>
      </c>
      <c r="J61" s="9"/>
      <c r="K61" s="595"/>
      <c r="L61" s="595"/>
      <c r="M61" s="595"/>
      <c r="N61" s="4">
        <f t="shared" si="2"/>
        <v>0</v>
      </c>
      <c r="O61" s="5" t="str">
        <f>IF(AC61="◎",COUNTIF($AC$30:AC61,"◎"),"")</f>
        <v/>
      </c>
      <c r="Q61" s="596" t="str">
        <f t="shared" si="3"/>
        <v/>
      </c>
      <c r="R61" s="648" t="str">
        <f t="shared" si="4"/>
        <v/>
      </c>
      <c r="S61" s="648" t="str">
        <f t="shared" si="5"/>
        <v/>
      </c>
      <c r="T61" s="648" t="str">
        <f t="shared" si="6"/>
        <v/>
      </c>
      <c r="Z61" s="649" t="str">
        <f>IF(B61="個別病床",はじめに入力してください!$K$50,IF(B61="共通使用",はじめに入力してください!$K$52,""))</f>
        <v/>
      </c>
      <c r="AB61" s="12">
        <v>32</v>
      </c>
      <c r="AC61" s="648" t="str">
        <f t="shared" si="7"/>
        <v>○</v>
      </c>
      <c r="AD61" s="649" t="str">
        <f t="shared" si="8"/>
        <v>整備しない場合は入力不要です。</v>
      </c>
    </row>
    <row r="62" spans="1:30">
      <c r="A62" s="12">
        <v>33</v>
      </c>
      <c r="B62" s="6"/>
      <c r="C62" s="6"/>
      <c r="D62" s="6"/>
      <c r="E62" s="10"/>
      <c r="F62" s="7"/>
      <c r="G62" s="531"/>
      <c r="H62" s="15">
        <f t="shared" si="0"/>
        <v>0</v>
      </c>
      <c r="I62" s="4">
        <f t="shared" si="1"/>
        <v>0</v>
      </c>
      <c r="J62" s="9"/>
      <c r="K62" s="595"/>
      <c r="L62" s="595"/>
      <c r="M62" s="595"/>
      <c r="N62" s="4">
        <f t="shared" si="2"/>
        <v>0</v>
      </c>
      <c r="O62" s="5" t="str">
        <f>IF(AC62="◎",COUNTIF($AC$30:AC62,"◎"),"")</f>
        <v/>
      </c>
      <c r="Q62" s="596" t="str">
        <f t="shared" si="3"/>
        <v/>
      </c>
      <c r="R62" s="648" t="str">
        <f t="shared" si="4"/>
        <v/>
      </c>
      <c r="S62" s="648" t="str">
        <f t="shared" si="5"/>
        <v/>
      </c>
      <c r="T62" s="648" t="str">
        <f t="shared" si="6"/>
        <v/>
      </c>
      <c r="Z62" s="649" t="str">
        <f>IF(B62="個別病床",はじめに入力してください!$K$50,IF(B62="共通使用",はじめに入力してください!$K$52,""))</f>
        <v/>
      </c>
      <c r="AB62" s="12">
        <v>33</v>
      </c>
      <c r="AC62" s="648" t="str">
        <f t="shared" si="7"/>
        <v>○</v>
      </c>
      <c r="AD62" s="649" t="str">
        <f t="shared" si="8"/>
        <v>整備しない場合は入力不要です。</v>
      </c>
    </row>
    <row r="63" spans="1:30">
      <c r="A63" s="12">
        <v>34</v>
      </c>
      <c r="B63" s="6"/>
      <c r="C63" s="6"/>
      <c r="D63" s="6"/>
      <c r="E63" s="10"/>
      <c r="F63" s="7"/>
      <c r="G63" s="531"/>
      <c r="H63" s="15">
        <f t="shared" si="0"/>
        <v>0</v>
      </c>
      <c r="I63" s="4">
        <f t="shared" si="1"/>
        <v>0</v>
      </c>
      <c r="J63" s="9"/>
      <c r="K63" s="595"/>
      <c r="L63" s="595"/>
      <c r="M63" s="595"/>
      <c r="N63" s="4">
        <f t="shared" si="2"/>
        <v>0</v>
      </c>
      <c r="O63" s="5" t="str">
        <f>IF(AC63="◎",COUNTIF($AC$30:AC63,"◎"),"")</f>
        <v/>
      </c>
      <c r="Q63" s="596" t="str">
        <f t="shared" si="3"/>
        <v/>
      </c>
      <c r="R63" s="648" t="str">
        <f t="shared" si="4"/>
        <v/>
      </c>
      <c r="S63" s="648" t="str">
        <f t="shared" si="5"/>
        <v/>
      </c>
      <c r="T63" s="648" t="str">
        <f t="shared" si="6"/>
        <v/>
      </c>
      <c r="Z63" s="649" t="str">
        <f>IF(B63="個別病床",はじめに入力してください!$K$50,IF(B63="共通使用",はじめに入力してください!$K$52,""))</f>
        <v/>
      </c>
      <c r="AB63" s="12">
        <v>34</v>
      </c>
      <c r="AC63" s="648" t="str">
        <f t="shared" si="7"/>
        <v>○</v>
      </c>
      <c r="AD63" s="649" t="str">
        <f t="shared" si="8"/>
        <v>整備しない場合は入力不要です。</v>
      </c>
    </row>
    <row r="64" spans="1:30">
      <c r="A64" s="12">
        <v>35</v>
      </c>
      <c r="B64" s="6"/>
      <c r="C64" s="6"/>
      <c r="D64" s="6"/>
      <c r="E64" s="10"/>
      <c r="F64" s="7"/>
      <c r="G64" s="531"/>
      <c r="H64" s="15">
        <f t="shared" si="0"/>
        <v>0</v>
      </c>
      <c r="I64" s="4">
        <f t="shared" si="1"/>
        <v>0</v>
      </c>
      <c r="J64" s="9"/>
      <c r="K64" s="595"/>
      <c r="L64" s="595"/>
      <c r="M64" s="595"/>
      <c r="N64" s="4">
        <f t="shared" si="2"/>
        <v>0</v>
      </c>
      <c r="O64" s="5" t="str">
        <f>IF(AC64="◎",COUNTIF($AC$30:AC64,"◎"),"")</f>
        <v/>
      </c>
      <c r="Q64" s="596" t="str">
        <f t="shared" si="3"/>
        <v/>
      </c>
      <c r="R64" s="648" t="str">
        <f t="shared" si="4"/>
        <v/>
      </c>
      <c r="S64" s="648" t="str">
        <f t="shared" si="5"/>
        <v/>
      </c>
      <c r="T64" s="648" t="str">
        <f t="shared" si="6"/>
        <v/>
      </c>
      <c r="Z64" s="649" t="str">
        <f>IF(B64="個別病床",はじめに入力してください!$K$50,IF(B64="共通使用",はじめに入力してください!$K$52,""))</f>
        <v/>
      </c>
      <c r="AB64" s="12">
        <v>35</v>
      </c>
      <c r="AC64" s="648" t="str">
        <f t="shared" si="7"/>
        <v>○</v>
      </c>
      <c r="AD64" s="649" t="str">
        <f t="shared" si="8"/>
        <v>整備しない場合は入力不要です。</v>
      </c>
    </row>
    <row r="65" spans="1:30">
      <c r="A65" s="12">
        <v>36</v>
      </c>
      <c r="B65" s="6"/>
      <c r="C65" s="6"/>
      <c r="D65" s="6"/>
      <c r="E65" s="10"/>
      <c r="F65" s="7"/>
      <c r="G65" s="531"/>
      <c r="H65" s="15">
        <f t="shared" si="0"/>
        <v>0</v>
      </c>
      <c r="I65" s="4">
        <f t="shared" si="1"/>
        <v>0</v>
      </c>
      <c r="J65" s="9"/>
      <c r="K65" s="595"/>
      <c r="L65" s="595"/>
      <c r="M65" s="595"/>
      <c r="N65" s="4">
        <f t="shared" si="2"/>
        <v>0</v>
      </c>
      <c r="O65" s="5" t="str">
        <f>IF(AC65="◎",COUNTIF($AC$30:AC65,"◎"),"")</f>
        <v/>
      </c>
      <c r="Q65" s="596" t="str">
        <f t="shared" si="3"/>
        <v/>
      </c>
      <c r="R65" s="648" t="str">
        <f t="shared" si="4"/>
        <v/>
      </c>
      <c r="S65" s="648" t="str">
        <f t="shared" si="5"/>
        <v/>
      </c>
      <c r="T65" s="648" t="str">
        <f t="shared" si="6"/>
        <v/>
      </c>
      <c r="Z65" s="649" t="str">
        <f>IF(B65="個別病床",はじめに入力してください!$K$50,IF(B65="共通使用",はじめに入力してください!$K$52,""))</f>
        <v/>
      </c>
      <c r="AB65" s="12">
        <v>36</v>
      </c>
      <c r="AC65" s="648" t="str">
        <f t="shared" si="7"/>
        <v>○</v>
      </c>
      <c r="AD65" s="649" t="str">
        <f t="shared" si="8"/>
        <v>整備しない場合は入力不要です。</v>
      </c>
    </row>
    <row r="66" spans="1:30">
      <c r="A66" s="12">
        <v>37</v>
      </c>
      <c r="B66" s="6"/>
      <c r="C66" s="6"/>
      <c r="D66" s="6"/>
      <c r="E66" s="10"/>
      <c r="F66" s="7"/>
      <c r="G66" s="531"/>
      <c r="H66" s="15">
        <f t="shared" si="0"/>
        <v>0</v>
      </c>
      <c r="I66" s="4">
        <f t="shared" si="1"/>
        <v>0</v>
      </c>
      <c r="J66" s="9"/>
      <c r="K66" s="595"/>
      <c r="L66" s="595"/>
      <c r="M66" s="595"/>
      <c r="N66" s="4">
        <f t="shared" si="2"/>
        <v>0</v>
      </c>
      <c r="O66" s="5" t="str">
        <f>IF(AC66="◎",COUNTIF($AC$30:AC66,"◎"),"")</f>
        <v/>
      </c>
      <c r="Q66" s="596" t="str">
        <f t="shared" si="3"/>
        <v/>
      </c>
      <c r="R66" s="648" t="str">
        <f t="shared" si="4"/>
        <v/>
      </c>
      <c r="S66" s="648" t="str">
        <f t="shared" si="5"/>
        <v/>
      </c>
      <c r="T66" s="648" t="str">
        <f t="shared" si="6"/>
        <v/>
      </c>
      <c r="Z66" s="649" t="str">
        <f>IF(B66="個別病床",はじめに入力してください!$K$50,IF(B66="共通使用",はじめに入力してください!$K$52,""))</f>
        <v/>
      </c>
      <c r="AB66" s="12">
        <v>37</v>
      </c>
      <c r="AC66" s="648" t="str">
        <f t="shared" si="7"/>
        <v>○</v>
      </c>
      <c r="AD66" s="649" t="str">
        <f t="shared" si="8"/>
        <v>整備しない場合は入力不要です。</v>
      </c>
    </row>
    <row r="67" spans="1:30">
      <c r="A67" s="12">
        <v>38</v>
      </c>
      <c r="B67" s="6"/>
      <c r="C67" s="6"/>
      <c r="D67" s="6"/>
      <c r="E67" s="10"/>
      <c r="F67" s="7"/>
      <c r="G67" s="531"/>
      <c r="H67" s="15">
        <f t="shared" si="0"/>
        <v>0</v>
      </c>
      <c r="I67" s="4">
        <f t="shared" si="1"/>
        <v>0</v>
      </c>
      <c r="J67" s="9"/>
      <c r="K67" s="595"/>
      <c r="L67" s="595"/>
      <c r="M67" s="595"/>
      <c r="N67" s="4">
        <f t="shared" si="2"/>
        <v>0</v>
      </c>
      <c r="O67" s="5" t="str">
        <f>IF(AC67="◎",COUNTIF($AC$30:AC67,"◎"),"")</f>
        <v/>
      </c>
      <c r="Q67" s="596" t="str">
        <f t="shared" si="3"/>
        <v/>
      </c>
      <c r="R67" s="648" t="str">
        <f t="shared" si="4"/>
        <v/>
      </c>
      <c r="S67" s="648" t="str">
        <f t="shared" si="5"/>
        <v/>
      </c>
      <c r="T67" s="648" t="str">
        <f t="shared" si="6"/>
        <v/>
      </c>
      <c r="Z67" s="649" t="str">
        <f>IF(B67="個別病床",はじめに入力してください!$K$50,IF(B67="共通使用",はじめに入力してください!$K$52,""))</f>
        <v/>
      </c>
      <c r="AB67" s="12">
        <v>38</v>
      </c>
      <c r="AC67" s="648" t="str">
        <f t="shared" si="7"/>
        <v>○</v>
      </c>
      <c r="AD67" s="649" t="str">
        <f t="shared" si="8"/>
        <v>整備しない場合は入力不要です。</v>
      </c>
    </row>
    <row r="68" spans="1:30">
      <c r="A68" s="12">
        <v>39</v>
      </c>
      <c r="B68" s="6"/>
      <c r="C68" s="6"/>
      <c r="D68" s="6"/>
      <c r="E68" s="10"/>
      <c r="F68" s="7"/>
      <c r="G68" s="531"/>
      <c r="H68" s="15">
        <f t="shared" si="0"/>
        <v>0</v>
      </c>
      <c r="I68" s="4">
        <f t="shared" si="1"/>
        <v>0</v>
      </c>
      <c r="J68" s="9"/>
      <c r="K68" s="595"/>
      <c r="L68" s="595"/>
      <c r="M68" s="595"/>
      <c r="N68" s="4">
        <f t="shared" si="2"/>
        <v>0</v>
      </c>
      <c r="O68" s="5" t="str">
        <f>IF(AC68="◎",COUNTIF($AC$30:AC68,"◎"),"")</f>
        <v/>
      </c>
      <c r="Q68" s="596" t="str">
        <f t="shared" si="3"/>
        <v/>
      </c>
      <c r="R68" s="648" t="str">
        <f t="shared" si="4"/>
        <v/>
      </c>
      <c r="S68" s="648" t="str">
        <f t="shared" si="5"/>
        <v/>
      </c>
      <c r="T68" s="648" t="str">
        <f t="shared" si="6"/>
        <v/>
      </c>
      <c r="Z68" s="649" t="str">
        <f>IF(B68="個別病床",はじめに入力してください!$K$50,IF(B68="共通使用",はじめに入力してください!$K$52,""))</f>
        <v/>
      </c>
      <c r="AB68" s="12">
        <v>39</v>
      </c>
      <c r="AC68" s="648" t="str">
        <f t="shared" si="7"/>
        <v>○</v>
      </c>
      <c r="AD68" s="649" t="str">
        <f t="shared" si="8"/>
        <v>整備しない場合は入力不要です。</v>
      </c>
    </row>
    <row r="69" spans="1:30">
      <c r="A69" s="12">
        <v>40</v>
      </c>
      <c r="B69" s="6"/>
      <c r="C69" s="6"/>
      <c r="D69" s="6"/>
      <c r="E69" s="10"/>
      <c r="F69" s="7"/>
      <c r="G69" s="531"/>
      <c r="H69" s="15">
        <f t="shared" si="0"/>
        <v>0</v>
      </c>
      <c r="I69" s="4">
        <f t="shared" si="1"/>
        <v>0</v>
      </c>
      <c r="J69" s="9"/>
      <c r="K69" s="595"/>
      <c r="L69" s="595"/>
      <c r="M69" s="595"/>
      <c r="N69" s="4">
        <f t="shared" si="2"/>
        <v>0</v>
      </c>
      <c r="O69" s="5" t="str">
        <f>IF(AC69="◎",COUNTIF($AC$30:AC69,"◎"),"")</f>
        <v/>
      </c>
      <c r="Q69" s="596" t="str">
        <f t="shared" si="3"/>
        <v/>
      </c>
      <c r="R69" s="648" t="str">
        <f t="shared" si="4"/>
        <v/>
      </c>
      <c r="S69" s="648" t="str">
        <f t="shared" si="5"/>
        <v/>
      </c>
      <c r="T69" s="648" t="str">
        <f t="shared" si="6"/>
        <v/>
      </c>
      <c r="Z69" s="649" t="str">
        <f>IF(B69="個別病床",はじめに入力してください!$K$50,IF(B69="共通使用",はじめに入力してください!$K$52,""))</f>
        <v/>
      </c>
      <c r="AB69" s="12">
        <v>40</v>
      </c>
      <c r="AC69" s="648" t="str">
        <f t="shared" si="7"/>
        <v>○</v>
      </c>
      <c r="AD69" s="649" t="str">
        <f t="shared" si="8"/>
        <v>整備しない場合は入力不要です。</v>
      </c>
    </row>
    <row r="70" spans="1:30">
      <c r="A70" s="12">
        <v>41</v>
      </c>
      <c r="B70" s="6"/>
      <c r="C70" s="6"/>
      <c r="D70" s="6"/>
      <c r="E70" s="10"/>
      <c r="F70" s="7"/>
      <c r="G70" s="531"/>
      <c r="H70" s="15">
        <f t="shared" si="0"/>
        <v>0</v>
      </c>
      <c r="I70" s="4">
        <f t="shared" si="1"/>
        <v>0</v>
      </c>
      <c r="J70" s="9"/>
      <c r="K70" s="595"/>
      <c r="L70" s="595"/>
      <c r="M70" s="595"/>
      <c r="N70" s="4">
        <f t="shared" si="2"/>
        <v>0</v>
      </c>
      <c r="O70" s="5" t="str">
        <f>IF(AC70="◎",COUNTIF($AC$30:AC70,"◎"),"")</f>
        <v/>
      </c>
      <c r="Q70" s="596" t="str">
        <f t="shared" si="3"/>
        <v/>
      </c>
      <c r="R70" s="648" t="str">
        <f t="shared" si="4"/>
        <v/>
      </c>
      <c r="S70" s="648" t="str">
        <f t="shared" si="5"/>
        <v/>
      </c>
      <c r="T70" s="648" t="str">
        <f t="shared" si="6"/>
        <v/>
      </c>
      <c r="Z70" s="649" t="str">
        <f>IF(B70="個別病床",はじめに入力してください!$K$50,IF(B70="共通使用",はじめに入力してください!$K$52,""))</f>
        <v/>
      </c>
      <c r="AB70" s="12">
        <v>41</v>
      </c>
      <c r="AC70" s="648" t="str">
        <f t="shared" si="7"/>
        <v>○</v>
      </c>
      <c r="AD70" s="649" t="str">
        <f t="shared" si="8"/>
        <v>整備しない場合は入力不要です。</v>
      </c>
    </row>
    <row r="71" spans="1:30">
      <c r="A71" s="12">
        <v>42</v>
      </c>
      <c r="B71" s="6"/>
      <c r="C71" s="6"/>
      <c r="D71" s="6"/>
      <c r="E71" s="10"/>
      <c r="F71" s="7"/>
      <c r="G71" s="531"/>
      <c r="H71" s="15">
        <f t="shared" si="0"/>
        <v>0</v>
      </c>
      <c r="I71" s="4">
        <f t="shared" si="1"/>
        <v>0</v>
      </c>
      <c r="J71" s="9"/>
      <c r="K71" s="595"/>
      <c r="L71" s="595"/>
      <c r="M71" s="595"/>
      <c r="N71" s="4">
        <f t="shared" si="2"/>
        <v>0</v>
      </c>
      <c r="O71" s="5" t="str">
        <f>IF(AC71="◎",COUNTIF($AC$30:AC71,"◎"),"")</f>
        <v/>
      </c>
      <c r="Q71" s="596" t="str">
        <f t="shared" si="3"/>
        <v/>
      </c>
      <c r="R71" s="648" t="str">
        <f t="shared" si="4"/>
        <v/>
      </c>
      <c r="S71" s="648" t="str">
        <f t="shared" si="5"/>
        <v/>
      </c>
      <c r="T71" s="648" t="str">
        <f t="shared" si="6"/>
        <v/>
      </c>
      <c r="Z71" s="649" t="str">
        <f>IF(B71="個別病床",はじめに入力してください!$K$50,IF(B71="共通使用",はじめに入力してください!$K$52,""))</f>
        <v/>
      </c>
      <c r="AB71" s="12">
        <v>42</v>
      </c>
      <c r="AC71" s="648" t="str">
        <f t="shared" si="7"/>
        <v>○</v>
      </c>
      <c r="AD71" s="649" t="str">
        <f t="shared" si="8"/>
        <v>整備しない場合は入力不要です。</v>
      </c>
    </row>
    <row r="72" spans="1:30">
      <c r="A72" s="12">
        <v>43</v>
      </c>
      <c r="B72" s="6"/>
      <c r="C72" s="6"/>
      <c r="D72" s="6"/>
      <c r="E72" s="10"/>
      <c r="F72" s="7"/>
      <c r="G72" s="531"/>
      <c r="H72" s="15">
        <f t="shared" si="0"/>
        <v>0</v>
      </c>
      <c r="I72" s="4">
        <f t="shared" si="1"/>
        <v>0</v>
      </c>
      <c r="J72" s="9"/>
      <c r="K72" s="595"/>
      <c r="L72" s="595"/>
      <c r="M72" s="595"/>
      <c r="N72" s="4">
        <f t="shared" si="2"/>
        <v>0</v>
      </c>
      <c r="O72" s="5" t="str">
        <f>IF(AC72="◎",COUNTIF($AC$30:AC72,"◎"),"")</f>
        <v/>
      </c>
      <c r="Q72" s="596" t="str">
        <f t="shared" si="3"/>
        <v/>
      </c>
      <c r="R72" s="648" t="str">
        <f t="shared" si="4"/>
        <v/>
      </c>
      <c r="S72" s="648" t="str">
        <f t="shared" si="5"/>
        <v/>
      </c>
      <c r="T72" s="648" t="str">
        <f t="shared" si="6"/>
        <v/>
      </c>
      <c r="Z72" s="649" t="str">
        <f>IF(B72="個別病床",はじめに入力してください!$K$50,IF(B72="共通使用",はじめに入力してください!$K$52,""))</f>
        <v/>
      </c>
      <c r="AB72" s="12">
        <v>43</v>
      </c>
      <c r="AC72" s="648" t="str">
        <f t="shared" si="7"/>
        <v>○</v>
      </c>
      <c r="AD72" s="649" t="str">
        <f t="shared" si="8"/>
        <v>整備しない場合は入力不要です。</v>
      </c>
    </row>
    <row r="73" spans="1:30">
      <c r="A73" s="12">
        <v>44</v>
      </c>
      <c r="B73" s="6"/>
      <c r="C73" s="6"/>
      <c r="D73" s="6"/>
      <c r="E73" s="10"/>
      <c r="F73" s="7"/>
      <c r="G73" s="531"/>
      <c r="H73" s="15">
        <f t="shared" si="0"/>
        <v>0</v>
      </c>
      <c r="I73" s="4">
        <f t="shared" si="1"/>
        <v>0</v>
      </c>
      <c r="J73" s="9"/>
      <c r="K73" s="595"/>
      <c r="L73" s="595"/>
      <c r="M73" s="595"/>
      <c r="N73" s="4">
        <f t="shared" si="2"/>
        <v>0</v>
      </c>
      <c r="O73" s="5" t="str">
        <f>IF(AC73="◎",COUNTIF($AC$30:AC73,"◎"),"")</f>
        <v/>
      </c>
      <c r="Q73" s="596" t="str">
        <f t="shared" si="3"/>
        <v/>
      </c>
      <c r="R73" s="648" t="str">
        <f t="shared" si="4"/>
        <v/>
      </c>
      <c r="S73" s="648" t="str">
        <f t="shared" si="5"/>
        <v/>
      </c>
      <c r="T73" s="648" t="str">
        <f t="shared" si="6"/>
        <v/>
      </c>
      <c r="Z73" s="649" t="str">
        <f>IF(B73="個別病床",はじめに入力してください!$K$50,IF(B73="共通使用",はじめに入力してください!$K$52,""))</f>
        <v/>
      </c>
      <c r="AB73" s="12">
        <v>44</v>
      </c>
      <c r="AC73" s="648" t="str">
        <f t="shared" si="7"/>
        <v>○</v>
      </c>
      <c r="AD73" s="649" t="str">
        <f t="shared" si="8"/>
        <v>整備しない場合は入力不要です。</v>
      </c>
    </row>
    <row r="74" spans="1:30">
      <c r="A74" s="12">
        <v>45</v>
      </c>
      <c r="B74" s="6"/>
      <c r="C74" s="6"/>
      <c r="D74" s="6"/>
      <c r="E74" s="10"/>
      <c r="F74" s="7"/>
      <c r="G74" s="531"/>
      <c r="H74" s="15">
        <f t="shared" si="0"/>
        <v>0</v>
      </c>
      <c r="I74" s="4">
        <f t="shared" si="1"/>
        <v>0</v>
      </c>
      <c r="J74" s="9"/>
      <c r="K74" s="595"/>
      <c r="L74" s="595"/>
      <c r="M74" s="595"/>
      <c r="N74" s="4">
        <f t="shared" si="2"/>
        <v>0</v>
      </c>
      <c r="O74" s="5" t="str">
        <f>IF(AC74="◎",COUNTIF($AC$30:AC74,"◎"),"")</f>
        <v/>
      </c>
      <c r="Q74" s="596" t="str">
        <f t="shared" si="3"/>
        <v/>
      </c>
      <c r="R74" s="648" t="str">
        <f t="shared" si="4"/>
        <v/>
      </c>
      <c r="S74" s="648" t="str">
        <f t="shared" si="5"/>
        <v/>
      </c>
      <c r="T74" s="648" t="str">
        <f t="shared" si="6"/>
        <v/>
      </c>
      <c r="Z74" s="649" t="str">
        <f>IF(B74="個別病床",はじめに入力してください!$K$50,IF(B74="共通使用",はじめに入力してください!$K$52,""))</f>
        <v/>
      </c>
      <c r="AB74" s="12">
        <v>45</v>
      </c>
      <c r="AC74" s="648" t="str">
        <f t="shared" si="7"/>
        <v>○</v>
      </c>
      <c r="AD74" s="649" t="str">
        <f t="shared" si="8"/>
        <v>整備しない場合は入力不要です。</v>
      </c>
    </row>
  </sheetData>
  <sheetProtection algorithmName="SHA-512" hashValue="0NI11HJl2tx7BA64NbRnfNniK3ENGXzm5rX2Z8Dvq4GLXIWoUs+uQ2Gs3CJ8jLPSRS38dChG5reNudK1uHul3w==" saltValue="++3YG/mjr3tAY2ZYtIVDuQ==" spinCount="100000" sheet="1" objects="1" scenarios="1"/>
  <mergeCells count="25">
    <mergeCell ref="N1:P1"/>
    <mergeCell ref="B14:O14"/>
    <mergeCell ref="B15:O15"/>
    <mergeCell ref="B10:O10"/>
    <mergeCell ref="B13:O13"/>
    <mergeCell ref="B7:O7"/>
    <mergeCell ref="B9:C9"/>
    <mergeCell ref="B12:O12"/>
    <mergeCell ref="B28:D28"/>
    <mergeCell ref="E28:F28"/>
    <mergeCell ref="G28:J28"/>
    <mergeCell ref="N28:N29"/>
    <mergeCell ref="O28:O29"/>
    <mergeCell ref="K28:M28"/>
    <mergeCell ref="AC3:AC5"/>
    <mergeCell ref="AD3:AD5"/>
    <mergeCell ref="B26:O26"/>
    <mergeCell ref="B18:O21"/>
    <mergeCell ref="B22:O22"/>
    <mergeCell ref="B2:D3"/>
    <mergeCell ref="Q28:Q29"/>
    <mergeCell ref="AC27:AC28"/>
    <mergeCell ref="AC7:AC8"/>
    <mergeCell ref="AD7:AD8"/>
    <mergeCell ref="AD27:AD28"/>
  </mergeCells>
  <phoneticPr fontId="9"/>
  <conditionalFormatting sqref="AC1:AC4 AC11:AC21 AC6 AC23:AC27 AC29:AC1048576">
    <cfRule type="containsText" dxfId="149" priority="6" operator="containsText" text="×">
      <formula>NOT(ISERROR(SEARCH("×",AC1)))</formula>
    </cfRule>
  </conditionalFormatting>
  <conditionalFormatting sqref="AD1:AD4 AD11:AD21 AD6 AD23:AD27 AD29:AD1048576">
    <cfRule type="containsText" dxfId="148" priority="5" operator="containsText" text="要修正">
      <formula>NOT(ISERROR(SEARCH("要修正",AD1)))</formula>
    </cfRule>
  </conditionalFormatting>
  <conditionalFormatting sqref="AC22">
    <cfRule type="containsText" dxfId="147" priority="4" operator="containsText" text="×">
      <formula>NOT(ISERROR(SEARCH("×",AC22)))</formula>
    </cfRule>
  </conditionalFormatting>
  <conditionalFormatting sqref="AD22">
    <cfRule type="containsText" dxfId="146" priority="3" operator="containsText" text="要修正">
      <formula>NOT(ISERROR(SEARCH("要修正",AD22)))</formula>
    </cfRule>
  </conditionalFormatting>
  <conditionalFormatting sqref="AC9:AC10 AC7">
    <cfRule type="containsText" dxfId="145" priority="2" operator="containsText" text="×">
      <formula>NOT(ISERROR(SEARCH("×",AC7)))</formula>
    </cfRule>
  </conditionalFormatting>
  <conditionalFormatting sqref="AD9:AD10 AD7">
    <cfRule type="containsText" dxfId="144" priority="1" operator="containsText" text="要修正">
      <formula>NOT(ISERROR(SEARCH("要修正",AD7)))</formula>
    </cfRule>
  </conditionalFormatting>
  <dataValidations xWindow="873" yWindow="506" count="10">
    <dataValidation type="list" allowBlank="1" showInputMessage="1" showErrorMessage="1" promptTitle="補助対象の該当非該当" prompt="コロナ対応病床の初度設備に係る経費が対象となります。_x000a_共用部分の設備、備品や医療用消耗品等は補助対象外なので「対象外」を選択してください。_x000a_審査において確認、対象外と認めたものについては対象外として補正をお願いする場合があります。" sqref="J30:J74" xr:uid="{00000000-0002-0000-0E00-000000000000}">
      <formula1>"補助対象,補助対象外"</formula1>
    </dataValidation>
    <dataValidation allowBlank="1" showInputMessage="1" showErrorMessage="1" promptTitle="金額の表示" prompt="数式が入力されているため、自動計算されます。" sqref="N30:N74 I30:I74" xr:uid="{00000000-0002-0000-0E00-000001000000}"/>
    <dataValidation allowBlank="1" showInputMessage="1" showErrorMessage="1" promptTitle="添付書類番号" prompt="種類、規格、数量、単価が全て適切に入力され、右の「判定」が「◎」と表示されると自動で番号が表示されます。" sqref="O30:O74" xr:uid="{00000000-0002-0000-0E00-000002000000}"/>
    <dataValidation allowBlank="1" showInputMessage="1" showErrorMessage="1" promptTitle="単価の入力" prompt="税抜額または税込額のいずれかを入力してください。_x000a_入力しない方は「0」は入力せず、空欄としてください。" sqref="H30:H74" xr:uid="{00000000-0002-0000-0E00-000003000000}"/>
    <dataValidation allowBlank="1" showInputMessage="1" showErrorMessage="1" promptTitle="規格及び数量の入力" prompt="補助対象経費を計上する際、いずれも入力してください。" sqref="E30:E74" xr:uid="{00000000-0002-0000-0E00-000004000000}"/>
    <dataValidation allowBlank="1" showInputMessage="1" showErrorMessage="1" promptTitle="補助対象金額" prompt="補助対象額×（見積書金額-割引額）/見積書金額_x000a_で算出されます。" sqref="J3:M3" xr:uid="{00000000-0002-0000-0E00-000005000000}"/>
    <dataValidation allowBlank="1" showInputMessage="1" showErrorMessage="1" promptTitle="割引額がある場合は入力" prompt="割引がない場合は「0円」のままとしてください。" sqref="I3" xr:uid="{00000000-0002-0000-0E00-000006000000}"/>
    <dataValidation type="list" allowBlank="1" showInputMessage="1" showErrorMessage="1" promptTitle="設備、備品、その他の別を選択" prompt="当該行に記載する品目が_x000a_・「設備」（設備本体）_x000a_・備品（本体設備と別の構成をなすもの）_x000a_・その他（上記の該当しないもの）_x000a_の別をプルダウンから選択してください。" sqref="D30:D74" xr:uid="{00000000-0002-0000-0E00-000007000000}">
      <formula1>"設備,備品,その他"</formula1>
    </dataValidation>
    <dataValidation type="whole" operator="greaterThanOrEqual" allowBlank="1" showInputMessage="1" showErrorMessage="1" errorTitle="数値のみを入力してください。" error="「個」、「枚」等の単位入力は不要です。" promptTitle="規格及び数量の入力" prompt="補助対象経費を計上する際、いずれも入力してください。" sqref="F30:F74" xr:uid="{AFEBEDB5-17F9-405A-9A7E-47C228FB83C5}">
      <formula1>0</formula1>
    </dataValidation>
    <dataValidation type="decimal" operator="greaterThanOrEqual" allowBlank="1" showInputMessage="1" showErrorMessage="1" promptTitle="単価の入力" prompt="税抜額または税込額のいずれかを入力してください。_x000a_入力しない方は「0」は入力せず、空欄としてください。" sqref="G30:G74" xr:uid="{05B02143-0CF3-46F7-93E7-6E906B52FF47}">
      <formula1>0</formula1>
    </dataValidation>
  </dataValidations>
  <pageMargins left="0.7" right="0.7" top="0.75" bottom="0.75" header="0.3" footer="0.3"/>
  <pageSetup paperSize="9" scale="51" orientation="portrait" r:id="rId1"/>
  <drawing r:id="rId2"/>
  <legacyDrawing r:id="rId3"/>
  <extLst>
    <ext xmlns:x14="http://schemas.microsoft.com/office/spreadsheetml/2009/9/main" uri="{CCE6A557-97BC-4b89-ADB6-D9C93CAAB3DF}">
      <x14:dataValidations xmlns:xm="http://schemas.microsoft.com/office/excel/2006/main" xWindow="873" yWindow="506" count="6">
        <x14:dataValidation type="list" allowBlank="1" showInputMessage="1" showErrorMessage="1" promptTitle="配備先の別を選択" prompt="確保病床の共通使用のものか、個別のベッドに配備するものか選択してください。" xr:uid="{00000000-0002-0000-0E00-000009000000}">
          <x14:formula1>
            <xm:f>テーブル!$X$48:$X$49</xm:f>
          </x14:formula1>
          <xm:sqref>B30:B74</xm:sqref>
        </x14:dataValidation>
        <x14:dataValidation type="list" allowBlank="1" showInputMessage="1" showErrorMessage="1" promptTitle="「用途先」病床の選択（左の「病床」を選択しないと表示されません。" prompt="ベッドに必ずしも紐付けるものではありませんが、１病床１台で紐付けした場合、整備する病床に番号付けをした場合の番号を選択してください。" xr:uid="{00000000-0002-0000-0E00-00000A000000}">
          <x14:formula1>
            <xm:f>OFFSET(テーブル!$X$48, 0, MATCH(B30,テーブル!$Y$47:$Z$47,0), COUNTA(OFFSET(テーブル!$X$48,0,MATCH(B30,テーブル!$Y$47:$Z$47,0),$Z$30,1)),1)</xm:f>
          </x14:formula1>
          <xm:sqref>C30:C74</xm:sqref>
        </x14:dataValidation>
        <x14:dataValidation type="list" allowBlank="1" showInputMessage="1" showErrorMessage="1" xr:uid="{00000000-0002-0000-0E00-000008000000}">
          <x14:formula1>
            <xm:f>テーブル!$M$37:$M$51</xm:f>
          </x14:formula1>
          <xm:sqref>B2:D2</xm:sqref>
        </x14:dataValidation>
        <x14:dataValidation type="list" allowBlank="1" showInputMessage="1" showErrorMessage="1" xr:uid="{4EA02154-82D2-49B6-8746-2D8C58A9BAFE}">
          <x14:formula1>
            <xm:f>テーブル!$I$2:$I$3</xm:f>
          </x14:formula1>
          <xm:sqref>K30:K74</xm:sqref>
        </x14:dataValidation>
        <x14:dataValidation type="list" allowBlank="1" showInputMessage="1" showErrorMessage="1" xr:uid="{46E4F90D-4090-4B87-95D5-44A30505627D}">
          <x14:formula1>
            <xm:f>テーブル!$J$2:$J$7</xm:f>
          </x14:formula1>
          <xm:sqref>L30:L74</xm:sqref>
        </x14:dataValidation>
        <x14:dataValidation type="list" allowBlank="1" showInputMessage="1" showErrorMessage="1" xr:uid="{E2A1499E-5490-47E4-A610-8994C01810B8}">
          <x14:formula1>
            <xm:f>テーブル!$K$2:$K$32</xm:f>
          </x14:formula1>
          <xm:sqref>M30:M74</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FFC000"/>
    <pageSetUpPr fitToPage="1"/>
  </sheetPr>
  <dimension ref="A1:AI74"/>
  <sheetViews>
    <sheetView showGridLines="0" view="pageBreakPreview" zoomScale="60" zoomScaleNormal="100" workbookViewId="0">
      <selection activeCell="J30" activeCellId="3" sqref="B15:O15 B22:O22 B30:G33 J30:M33"/>
    </sheetView>
  </sheetViews>
  <sheetFormatPr defaultColWidth="8.625" defaultRowHeight="18"/>
  <cols>
    <col min="1" max="1" width="3.625" style="12" customWidth="1"/>
    <col min="2" max="4" width="8.625" style="19"/>
    <col min="5" max="5" width="30.625" style="19" customWidth="1"/>
    <col min="6" max="6" width="8.625" style="19"/>
    <col min="7" max="10" width="12.625" style="19" customWidth="1"/>
    <col min="11" max="13" width="3.625" style="19" customWidth="1"/>
    <col min="14" max="14" width="12.625" style="19" customWidth="1"/>
    <col min="15" max="15" width="8.625" style="19"/>
    <col min="16" max="16" width="3.625" style="19" customWidth="1"/>
    <col min="17" max="17" width="12.625" style="19" customWidth="1"/>
    <col min="18" max="20" width="3.625" style="19" customWidth="1"/>
    <col min="21" max="26" width="8.625" style="19"/>
    <col min="27" max="27" width="8.625" style="19" customWidth="1"/>
    <col min="28" max="28" width="3.625" style="12" customWidth="1"/>
    <col min="29" max="29" width="8.625" style="19"/>
    <col min="30" max="30" width="40.625" style="19" customWidth="1"/>
    <col min="31" max="31" width="3.625" style="19" customWidth="1"/>
    <col min="32" max="35" width="8.625" style="19"/>
    <col min="36" max="36" width="30.625" style="19" customWidth="1"/>
    <col min="37" max="16384" width="8.625" style="19"/>
  </cols>
  <sheetData>
    <row r="1" spans="1:35" ht="20.100000000000001" customHeight="1">
      <c r="N1" s="1859" t="str">
        <f xml:space="preserve">
IF(表紙!$X$2="事前協議","（10月１日～３月31日分）",
IF(表紙!$X$2="交付申請（２次）","（10月１日～３月31日分）",
IF(表紙!$X$2="変更申請","（10月１日～３月31日分）",
IF(表紙!$X$2="実績報告（１次）","（５月８日～10月31日分）",
IF(表紙!$X$2="実績報告（２次）","（10月１日～３月31日分）",
IF(表紙!$X$2="交付申請兼実績報告","（10月１日～３月31日分）"))))))</f>
        <v>（10月１日～３月31日分）</v>
      </c>
      <c r="O1" s="1385"/>
      <c r="P1" s="1385"/>
    </row>
    <row r="2" spans="1:35" ht="20.100000000000001" customHeight="1">
      <c r="B2" s="1847" t="s">
        <v>421</v>
      </c>
      <c r="C2" s="1848"/>
      <c r="D2" s="1849"/>
      <c r="H2" s="5" t="s">
        <v>536</v>
      </c>
      <c r="I2" s="648" t="s">
        <v>537</v>
      </c>
      <c r="J2" s="5" t="s">
        <v>44</v>
      </c>
      <c r="K2" s="586"/>
      <c r="L2" s="586"/>
      <c r="M2" s="586"/>
      <c r="AC2" s="648" t="s">
        <v>417</v>
      </c>
      <c r="AD2" s="648" t="s">
        <v>415</v>
      </c>
      <c r="AF2" s="648" t="str">
        <f>AC9</f>
        <v>×</v>
      </c>
      <c r="AG2" s="648" t="str">
        <f>AC15</f>
        <v>○</v>
      </c>
      <c r="AH2" s="648" t="str">
        <f>AC22</f>
        <v>○</v>
      </c>
      <c r="AI2" s="648" t="str">
        <f>AC26</f>
        <v>○</v>
      </c>
    </row>
    <row r="3" spans="1:35" ht="20.100000000000001" customHeight="1">
      <c r="B3" s="1850"/>
      <c r="C3" s="1851"/>
      <c r="D3" s="1852"/>
      <c r="H3" s="351">
        <f>SUM(I30:I74)</f>
        <v>0</v>
      </c>
      <c r="I3" s="8"/>
      <c r="J3" s="351">
        <f>IFERROR(ROUNDUP(SUM(N30:N74)*((H3-I3)/H3),0),0)</f>
        <v>0</v>
      </c>
      <c r="K3" s="587"/>
      <c r="L3" s="587"/>
      <c r="M3" s="587"/>
      <c r="AC3" s="884" t="str">
        <f xml:space="preserve">
IF(COUNTIF(AG2:AI2,"○")=3,"○",
IF(COUNTIF(AG2:AI2,"◎")=3,"◎","×"
))</f>
        <v>○</v>
      </c>
      <c r="AD3" s="1842" t="str">
        <f xml:space="preserve">
IF(AC3="○","整備しない場合は入力不要です。",
IF(AC3="×","【要修正】入力が不十分な箇所があります。",
IF(AC3="◎","適切に入力がされました。")))</f>
        <v>整備しない場合は入力不要です。</v>
      </c>
    </row>
    <row r="4" spans="1:35" ht="9.9499999999999993" customHeight="1">
      <c r="AC4" s="884"/>
      <c r="AD4" s="1842"/>
    </row>
    <row r="5" spans="1:35" ht="20.100000000000001" customHeight="1">
      <c r="B5" s="652" t="s">
        <v>55</v>
      </c>
      <c r="C5" s="652"/>
      <c r="D5" s="652"/>
      <c r="E5" s="652"/>
      <c r="F5" s="652"/>
      <c r="G5" s="652"/>
      <c r="H5" s="652"/>
      <c r="I5" s="652"/>
      <c r="J5" s="652"/>
      <c r="K5" s="652"/>
      <c r="L5" s="652"/>
      <c r="M5" s="652"/>
      <c r="N5" s="652"/>
      <c r="O5" s="652"/>
      <c r="AC5" s="857"/>
      <c r="AD5" s="858"/>
    </row>
    <row r="6" spans="1:35" ht="9.9499999999999993" customHeight="1"/>
    <row r="7" spans="1:35" ht="20.100000000000001" customHeight="1">
      <c r="B7" s="1863" t="str">
        <f>初度設備!B7</f>
        <v>（１）整備を行う対象病床数</v>
      </c>
      <c r="C7" s="953"/>
      <c r="D7" s="953"/>
      <c r="E7" s="953"/>
      <c r="F7" s="953"/>
      <c r="G7" s="953"/>
      <c r="H7" s="953"/>
      <c r="I7" s="953"/>
      <c r="J7" s="953"/>
      <c r="K7" s="953"/>
      <c r="L7" s="953"/>
      <c r="M7" s="953"/>
      <c r="N7" s="953"/>
      <c r="O7" s="953"/>
      <c r="AC7" s="1838" t="s">
        <v>413</v>
      </c>
      <c r="AD7" s="1838" t="s">
        <v>415</v>
      </c>
    </row>
    <row r="8" spans="1:35" ht="9.9499999999999993" customHeight="1">
      <c r="AC8" s="1839"/>
      <c r="AD8" s="1839"/>
    </row>
    <row r="9" spans="1:35" ht="35.1" customHeight="1">
      <c r="B9" s="1864" t="s">
        <v>56</v>
      </c>
      <c r="C9" s="1865"/>
      <c r="D9" s="204" t="str">
        <f>IF(はじめに入力してください!K50="","",はじめに入力してください!K50)</f>
        <v/>
      </c>
      <c r="E9" s="352"/>
      <c r="F9" s="353"/>
      <c r="G9" s="353"/>
      <c r="H9" s="353"/>
      <c r="I9" s="353"/>
      <c r="J9" s="354"/>
      <c r="K9" s="354"/>
      <c r="L9" s="354"/>
      <c r="M9" s="354"/>
      <c r="N9" s="354"/>
      <c r="O9" s="354"/>
      <c r="AC9" s="648" t="str">
        <f xml:space="preserve">
IF(D9="","×",
IF(D9=0,"○",
IF(D9&gt;=1,"◎",
)))</f>
        <v>×</v>
      </c>
      <c r="AD9" s="649" t="str">
        <f xml:space="preserve">
IF(D9="","【要修正】「はじめに入力してください」シートに整備を行う病床の数を入力してください。",
IF(D9=0,"申請しない場合は以下入力不要です。",
IF(D9&gt;=1,"適切に入力されました。",
)))</f>
        <v>【要修正】「はじめに入力してください」シートに整備を行う病床の数を入力してください。</v>
      </c>
    </row>
    <row r="10" spans="1:35" ht="20.100000000000001" customHeight="1">
      <c r="B10" s="1860"/>
      <c r="C10" s="1861"/>
      <c r="D10" s="1862"/>
      <c r="E10" s="1862"/>
      <c r="F10" s="1862"/>
      <c r="G10" s="1862"/>
      <c r="H10" s="1862"/>
      <c r="I10" s="1862"/>
      <c r="J10" s="1862"/>
      <c r="K10" s="1862"/>
      <c r="L10" s="1862"/>
      <c r="M10" s="1862"/>
      <c r="N10" s="1862"/>
      <c r="O10" s="1862"/>
    </row>
    <row r="11" spans="1:35" ht="20.100000000000001" hidden="1" customHeight="1"/>
    <row r="12" spans="1:35" ht="20.100000000000001" customHeight="1">
      <c r="B12" s="1863" t="str">
        <f>初度設備!B12</f>
        <v>（２）この度、新たに整備を行う必要が生じた理由（フロア毎の対応から病室毎の対応への移行の計画内容）を詳しく記入してください。</v>
      </c>
      <c r="C12" s="953"/>
      <c r="D12" s="953"/>
      <c r="E12" s="953"/>
      <c r="F12" s="953"/>
      <c r="G12" s="953"/>
      <c r="H12" s="953"/>
      <c r="I12" s="953"/>
      <c r="J12" s="953"/>
      <c r="K12" s="953"/>
      <c r="L12" s="953"/>
      <c r="M12" s="953"/>
      <c r="N12" s="953"/>
      <c r="O12" s="953"/>
    </row>
    <row r="13" spans="1:35" ht="39.950000000000003" customHeight="1">
      <c r="B13" s="1843" t="s">
        <v>538</v>
      </c>
      <c r="C13" s="952"/>
      <c r="D13" s="952"/>
      <c r="E13" s="952"/>
      <c r="F13" s="952"/>
      <c r="G13" s="952"/>
      <c r="H13" s="952"/>
      <c r="I13" s="952"/>
      <c r="J13" s="952"/>
      <c r="K13" s="952"/>
      <c r="L13" s="952"/>
      <c r="M13" s="952"/>
      <c r="N13" s="952"/>
      <c r="O13" s="952"/>
    </row>
    <row r="14" spans="1:35" s="650" customFormat="1" ht="99.95" customHeight="1">
      <c r="A14" s="13"/>
      <c r="B14" s="1843" t="str">
        <f>VLOOKUP(B2,テーブル!M37:N51,2,FALSE)</f>
        <v>（例）当院はこれまで確保病床を有する入院医療機関ではなかったがこれまでコロナ入院患者を受け入れてきた。
　　　これまで要請のあった患者の中には人工呼吸器の使用が必要な重症患者が含まれ、当院に既存の人工呼吸器が既に入院している患者に使用していたため
　　　受け入れを断らざるを得ない事態が生じた。（要請を断ったケース実績については添付資料のとおり。）
　　　入院患者の総体として軽症化の傾向があるものの、直近○月においても上記のケースが生じており、今後も引き続き重症患者を受け入れていく方針のもと
　　　受け入れを断らざるを得ない状況とならないよう、新規で１台追加することとしたい。</v>
      </c>
      <c r="C14" s="1675"/>
      <c r="D14" s="1675"/>
      <c r="E14" s="1675"/>
      <c r="F14" s="1675"/>
      <c r="G14" s="1675"/>
      <c r="H14" s="1675"/>
      <c r="I14" s="1675"/>
      <c r="J14" s="1675"/>
      <c r="K14" s="1675"/>
      <c r="L14" s="1675"/>
      <c r="M14" s="1675"/>
      <c r="N14" s="1675"/>
      <c r="O14" s="1675"/>
      <c r="AB14" s="13"/>
      <c r="AC14" s="548" t="s">
        <v>413</v>
      </c>
      <c r="AD14" s="548" t="s">
        <v>414</v>
      </c>
    </row>
    <row r="15" spans="1:35" ht="120" customHeight="1">
      <c r="B15" s="1844"/>
      <c r="C15" s="1845"/>
      <c r="D15" s="1845"/>
      <c r="E15" s="1845"/>
      <c r="F15" s="1845"/>
      <c r="G15" s="1845"/>
      <c r="H15" s="1845"/>
      <c r="I15" s="1845"/>
      <c r="J15" s="1845"/>
      <c r="K15" s="1845"/>
      <c r="L15" s="1845"/>
      <c r="M15" s="1845"/>
      <c r="N15" s="1845"/>
      <c r="O15" s="1846"/>
      <c r="AC15" s="648" t="str">
        <f xml:space="preserve">
IF(COUNTA(B15)=0,"○",
IF(COUNTA(B15)=1,"◎"))</f>
        <v>○</v>
      </c>
      <c r="AD15" s="649" t="str">
        <f xml:space="preserve">
IF(COUNTA(B15)=0,"整備しない場合は入力不要です。",
IF(COUNTA(B15)=1,"入力された状態になりました。"))</f>
        <v>整備しない場合は入力不要です。</v>
      </c>
    </row>
    <row r="16" spans="1:35" ht="20.100000000000001" customHeight="1"/>
    <row r="17" spans="1:30" ht="20.100000000000001" customHeight="1">
      <c r="B17" s="652" t="s">
        <v>452</v>
      </c>
      <c r="C17" s="652"/>
      <c r="D17" s="652"/>
      <c r="E17" s="652"/>
      <c r="F17" s="652"/>
      <c r="G17" s="652"/>
      <c r="H17" s="652"/>
      <c r="I17" s="652"/>
      <c r="J17" s="652"/>
      <c r="K17" s="652"/>
      <c r="L17" s="652"/>
      <c r="M17" s="652"/>
      <c r="N17" s="652"/>
      <c r="O17" s="652"/>
    </row>
    <row r="18" spans="1:30" ht="20.100000000000001" customHeight="1">
      <c r="B18" s="1843" t="s">
        <v>480</v>
      </c>
      <c r="C18" s="952"/>
      <c r="D18" s="952"/>
      <c r="E18" s="952"/>
      <c r="F18" s="952"/>
      <c r="G18" s="952"/>
      <c r="H18" s="952"/>
      <c r="I18" s="952"/>
      <c r="J18" s="952"/>
      <c r="K18" s="952"/>
      <c r="L18" s="952"/>
      <c r="M18" s="952"/>
      <c r="N18" s="952"/>
      <c r="O18" s="952"/>
    </row>
    <row r="19" spans="1:30" ht="20.100000000000001" customHeight="1">
      <c r="B19" s="1843"/>
      <c r="C19" s="952"/>
      <c r="D19" s="952"/>
      <c r="E19" s="952"/>
      <c r="F19" s="952"/>
      <c r="G19" s="952"/>
      <c r="H19" s="952"/>
      <c r="I19" s="952"/>
      <c r="J19" s="952"/>
      <c r="K19" s="952"/>
      <c r="L19" s="952"/>
      <c r="M19" s="952"/>
      <c r="N19" s="952"/>
      <c r="O19" s="952"/>
    </row>
    <row r="20" spans="1:30" ht="20.100000000000001" customHeight="1">
      <c r="B20" s="1843"/>
      <c r="C20" s="952"/>
      <c r="D20" s="952"/>
      <c r="E20" s="952"/>
      <c r="F20" s="952"/>
      <c r="G20" s="952"/>
      <c r="H20" s="952"/>
      <c r="I20" s="952"/>
      <c r="J20" s="952"/>
      <c r="K20" s="952"/>
      <c r="L20" s="952"/>
      <c r="M20" s="952"/>
      <c r="N20" s="952"/>
      <c r="O20" s="952"/>
    </row>
    <row r="21" spans="1:30" ht="20.100000000000001" customHeight="1">
      <c r="B21" s="952"/>
      <c r="C21" s="952"/>
      <c r="D21" s="952"/>
      <c r="E21" s="952"/>
      <c r="F21" s="952"/>
      <c r="G21" s="952"/>
      <c r="H21" s="952"/>
      <c r="I21" s="952"/>
      <c r="J21" s="952"/>
      <c r="K21" s="952"/>
      <c r="L21" s="952"/>
      <c r="M21" s="952"/>
      <c r="N21" s="952"/>
      <c r="O21" s="952"/>
    </row>
    <row r="22" spans="1:30" ht="120" customHeight="1">
      <c r="B22" s="1844"/>
      <c r="C22" s="1845"/>
      <c r="D22" s="1845"/>
      <c r="E22" s="1845"/>
      <c r="F22" s="1845"/>
      <c r="G22" s="1845"/>
      <c r="H22" s="1845"/>
      <c r="I22" s="1845"/>
      <c r="J22" s="1845"/>
      <c r="K22" s="1845"/>
      <c r="L22" s="1845"/>
      <c r="M22" s="1845"/>
      <c r="N22" s="1845"/>
      <c r="O22" s="1846"/>
      <c r="AC22" s="648" t="str">
        <f xml:space="preserve">
IF(COUNTA(B22)=0,"○",
IF(COUNTA(B22)=1,"◎"))</f>
        <v>○</v>
      </c>
      <c r="AD22" s="649" t="str">
        <f xml:space="preserve">
IF(COUNTA(B22)=0,"整備しない場合は入力不要です。",
IF(COUNTA(B22)=1,"入力された状態になりました。"))</f>
        <v>整備しない場合は入力不要です。</v>
      </c>
    </row>
    <row r="23" spans="1:30" ht="20.100000000000001" customHeight="1"/>
    <row r="24" spans="1:30" ht="20.100000000000001" customHeight="1">
      <c r="B24" s="652" t="s">
        <v>451</v>
      </c>
      <c r="C24" s="652"/>
      <c r="D24" s="652"/>
      <c r="E24" s="652"/>
      <c r="F24" s="652"/>
      <c r="G24" s="652"/>
      <c r="H24" s="652"/>
      <c r="I24" s="652"/>
      <c r="J24" s="652"/>
      <c r="K24" s="652"/>
      <c r="L24" s="652"/>
      <c r="M24" s="652"/>
      <c r="N24" s="652"/>
      <c r="O24" s="652"/>
      <c r="AC24" s="14"/>
    </row>
    <row r="25" spans="1:30" ht="9.9499999999999993" customHeight="1"/>
    <row r="26" spans="1:30" ht="60" customHeight="1">
      <c r="B26" s="1843" t="s">
        <v>559</v>
      </c>
      <c r="C26" s="953"/>
      <c r="D26" s="953"/>
      <c r="E26" s="953"/>
      <c r="F26" s="953"/>
      <c r="G26" s="953"/>
      <c r="H26" s="953"/>
      <c r="I26" s="953"/>
      <c r="J26" s="953"/>
      <c r="K26" s="953"/>
      <c r="L26" s="953"/>
      <c r="M26" s="953"/>
      <c r="N26" s="953"/>
      <c r="O26" s="953"/>
      <c r="AC26" s="648" t="str">
        <f xml:space="preserve">
IF(COUNTIF(AC30:AC74,"○")=45,"○",
IF(COUNTIF(AC30:AC74,"×")&gt;=1,"×",
IF(AND(COUNTIF(AC30:AC74,"◎")&gt;=1,COUNTIF(AC30:AC74,"×")=0),"◎")))</f>
        <v>○</v>
      </c>
      <c r="AD26" s="649" t="str">
        <f xml:space="preserve">
IF(COUNTIF(AC30:AC74,"○")=45,"整備しない場合は入力不要です。",
IF(COUNTIF(AC30:AC74,"×")&gt;=1,"【要修正】入力が不十分な箇所があります。",
IF(AND(COUNTIF(AC30:AC74,"◎")&gt;=1,COUNTIF(AC30:AC74,"×")=0),"適切に入力がされました。")))</f>
        <v>整備しない場合は入力不要です。</v>
      </c>
    </row>
    <row r="27" spans="1:30" ht="9.9499999999999993" customHeight="1">
      <c r="AC27" s="1837" t="s">
        <v>416</v>
      </c>
      <c r="AD27" s="1840" t="s">
        <v>418</v>
      </c>
    </row>
    <row r="28" spans="1:30" ht="18.75">
      <c r="B28" s="1853" t="s">
        <v>41</v>
      </c>
      <c r="C28" s="1854"/>
      <c r="D28" s="1855"/>
      <c r="E28" s="1853" t="s">
        <v>42</v>
      </c>
      <c r="F28" s="1855"/>
      <c r="G28" s="1853" t="s">
        <v>43</v>
      </c>
      <c r="H28" s="1854"/>
      <c r="I28" s="1854"/>
      <c r="J28" s="1855"/>
      <c r="K28" s="1858" t="str">
        <f xml:space="preserve">
IF(表紙!$X$2="事前協議","納品予定日",
IF(表紙!$X$2="交付申請（２次）","納品予定日",
IF(表紙!$X$2="変更申請","納品予定日",
IF(表紙!$X$2="実績報告（１次）","納品日",
IF(表紙!$X$2="実績報告（２次）","納品日",
IF(表紙!$X$2="交付申請兼実績報告","納品日"))))))</f>
        <v>納品日</v>
      </c>
      <c r="L28" s="1390"/>
      <c r="M28" s="1390"/>
      <c r="N28" s="1856" t="s">
        <v>44</v>
      </c>
      <c r="O28" s="1856" t="s">
        <v>45</v>
      </c>
      <c r="Q28" s="1835" t="str">
        <f>K28</f>
        <v>納品日</v>
      </c>
      <c r="R28" s="589"/>
      <c r="S28" s="589"/>
      <c r="T28" s="588"/>
      <c r="AC28" s="1105"/>
      <c r="AD28" s="1841"/>
    </row>
    <row r="29" spans="1:30">
      <c r="B29" s="651" t="s">
        <v>46</v>
      </c>
      <c r="C29" s="651" t="s">
        <v>47</v>
      </c>
      <c r="D29" s="651" t="s">
        <v>48</v>
      </c>
      <c r="E29" s="651" t="s">
        <v>54</v>
      </c>
      <c r="F29" s="651" t="s">
        <v>49</v>
      </c>
      <c r="G29" s="651" t="s">
        <v>50</v>
      </c>
      <c r="H29" s="651" t="s">
        <v>51</v>
      </c>
      <c r="I29" s="651" t="s">
        <v>52</v>
      </c>
      <c r="J29" s="651" t="s">
        <v>53</v>
      </c>
      <c r="K29" s="651" t="s">
        <v>1352</v>
      </c>
      <c r="L29" s="651" t="s">
        <v>1353</v>
      </c>
      <c r="M29" s="651" t="s">
        <v>1354</v>
      </c>
      <c r="N29" s="1857"/>
      <c r="O29" s="1857"/>
      <c r="Q29" s="1836"/>
      <c r="R29" s="648" t="s">
        <v>1352</v>
      </c>
      <c r="S29" s="648" t="s">
        <v>1353</v>
      </c>
      <c r="T29" s="648" t="s">
        <v>1354</v>
      </c>
      <c r="AC29" s="648" t="s">
        <v>413</v>
      </c>
      <c r="AD29" s="648" t="s">
        <v>415</v>
      </c>
    </row>
    <row r="30" spans="1:30">
      <c r="A30" s="12">
        <v>1</v>
      </c>
      <c r="B30" s="6"/>
      <c r="C30" s="6"/>
      <c r="D30" s="6"/>
      <c r="E30" s="10"/>
      <c r="F30" s="7"/>
      <c r="G30" s="531"/>
      <c r="H30" s="15">
        <f>ROUNDDOWN(G30*1.1,0)</f>
        <v>0</v>
      </c>
      <c r="I30" s="4">
        <f>F30*H30</f>
        <v>0</v>
      </c>
      <c r="J30" s="9"/>
      <c r="K30" s="595"/>
      <c r="L30" s="595"/>
      <c r="M30" s="595"/>
      <c r="N30" s="4">
        <f t="shared" ref="N30:N74" si="0">IF(J30="補助対象",I30,IF(J30="補助対象外",0,0))</f>
        <v>0</v>
      </c>
      <c r="O30" s="5" t="str">
        <f>IF(AC30="◎",COUNTIF($AC$30:AC30,"◎"),"")</f>
        <v/>
      </c>
      <c r="Q30" s="596" t="str">
        <f>IF(AND(AC30="◎",J30="補助対象"),DATE(IF(K30=5,2023,IF(K30=6,2024)),L30,M30),"")</f>
        <v/>
      </c>
      <c r="R30" s="648" t="str">
        <f>IF(Q30=MAX($Q$30:$Q$74),K30,"")</f>
        <v/>
      </c>
      <c r="S30" s="648" t="str">
        <f>IF(Q30=MAX($Q$30:$Q$74),L30,"")</f>
        <v/>
      </c>
      <c r="T30" s="648" t="str">
        <f>IF(Q30=MAX($Q$30:$Q$74),M30,"")</f>
        <v/>
      </c>
      <c r="Z30" s="649" t="str">
        <f>IF(B30="個別病床",はじめに入力してください!$K$50,IF(B30="共通使用",はじめに入力してください!$K$52,""))</f>
        <v/>
      </c>
      <c r="AB30" s="12">
        <v>1</v>
      </c>
      <c r="AC30" s="648" t="str">
        <f xml:space="preserve">
IF(SUM(COUNTA(B30:G30),COUNTA(J30:M30))=0,"○",
IF(AND(SUM(COUNTA(B30:G30),COUNTA(J30:M30))&gt;0,SUM(COUNTA(B30:G30),COUNTA(J30:M30))&lt;10),"×",
IF(SUM(COUNTA(B30:G30),COUNTA(J30:M30))=10,"◎")))</f>
        <v>○</v>
      </c>
      <c r="AD30" s="649" t="str">
        <f t="shared" ref="AD30:AD74" si="1" xml:space="preserve">
IF(SUM(COUNTA(B30:G30),COUNTA(J30))=0,"整備しない場合は入力不要です。",
IF(AND(SUM(COUNTA(B30:G30),COUNTA(J30))&gt;0,SUM(COUNTA(B30:G30),COUNTA(J30))&lt;7),"【要修正】未入力の箇所があります。",
IF(SUM(COUNTA(B30:G30),COUNTA(J30))=7,"適切に入力がされました。")))</f>
        <v>整備しない場合は入力不要です。</v>
      </c>
    </row>
    <row r="31" spans="1:30">
      <c r="A31" s="12">
        <v>2</v>
      </c>
      <c r="B31" s="6"/>
      <c r="C31" s="6"/>
      <c r="D31" s="6"/>
      <c r="E31" s="10"/>
      <c r="F31" s="7"/>
      <c r="G31" s="531"/>
      <c r="H31" s="15">
        <f t="shared" ref="H31:H74" si="2">ROUNDDOWN(G31*1.1,0)</f>
        <v>0</v>
      </c>
      <c r="I31" s="4">
        <f t="shared" ref="I31:I74" si="3">F31*H31</f>
        <v>0</v>
      </c>
      <c r="J31" s="9"/>
      <c r="K31" s="595"/>
      <c r="L31" s="595"/>
      <c r="M31" s="595"/>
      <c r="N31" s="4">
        <f t="shared" si="0"/>
        <v>0</v>
      </c>
      <c r="O31" s="5" t="str">
        <f>IF(AC31="◎",COUNTIF($AC$30:AC31,"◎"),"")</f>
        <v/>
      </c>
      <c r="Q31" s="596" t="str">
        <f t="shared" ref="Q31:Q74" si="4">IF(AND(AC31="◎",J31="補助対象"),DATE(IF(K31=5,2023,IF(K31=6,2024)),L31,M31),"")</f>
        <v/>
      </c>
      <c r="R31" s="648" t="str">
        <f t="shared" ref="R31:R74" si="5">IF(Q31=MAX($Q$30:$Q$74),K31,"")</f>
        <v/>
      </c>
      <c r="S31" s="648" t="str">
        <f t="shared" ref="S31:S74" si="6">IF(Q31=MAX($Q$30:$Q$74),L31,"")</f>
        <v/>
      </c>
      <c r="T31" s="648" t="str">
        <f t="shared" ref="T31:T74" si="7">IF(Q31=MAX($Q$30:$Q$74),M31,"")</f>
        <v/>
      </c>
      <c r="Z31" s="649" t="str">
        <f>IF(B31="個別病床",はじめに入力してください!$K$50,IF(B31="共通使用",はじめに入力してください!$K$52,""))</f>
        <v/>
      </c>
      <c r="AB31" s="12">
        <v>2</v>
      </c>
      <c r="AC31" s="648" t="str">
        <f t="shared" ref="AC31:AC74" si="8" xml:space="preserve">
IF(SUM(COUNTA(B31:G31),COUNTA(J31:M31))=0,"○",
IF(AND(SUM(COUNTA(B31:G31),COUNTA(J31:M31))&gt;0,SUM(COUNTA(B31:G31),COUNTA(J31:M31))&lt;10),"×",
IF(SUM(COUNTA(B31:G31),COUNTA(J31:M31))=10,"◎")))</f>
        <v>○</v>
      </c>
      <c r="AD31" s="649" t="str">
        <f t="shared" si="1"/>
        <v>整備しない場合は入力不要です。</v>
      </c>
    </row>
    <row r="32" spans="1:30">
      <c r="A32" s="12">
        <v>3</v>
      </c>
      <c r="B32" s="6"/>
      <c r="C32" s="6"/>
      <c r="D32" s="6"/>
      <c r="E32" s="10"/>
      <c r="F32" s="7"/>
      <c r="G32" s="531"/>
      <c r="H32" s="15">
        <f t="shared" si="2"/>
        <v>0</v>
      </c>
      <c r="I32" s="4">
        <f t="shared" si="3"/>
        <v>0</v>
      </c>
      <c r="J32" s="9"/>
      <c r="K32" s="595"/>
      <c r="L32" s="595"/>
      <c r="M32" s="595"/>
      <c r="N32" s="4">
        <f t="shared" si="0"/>
        <v>0</v>
      </c>
      <c r="O32" s="5" t="str">
        <f>IF(AC32="◎",COUNTIF($AC$30:AC32,"◎"),"")</f>
        <v/>
      </c>
      <c r="Q32" s="596" t="str">
        <f t="shared" si="4"/>
        <v/>
      </c>
      <c r="R32" s="648" t="str">
        <f t="shared" si="5"/>
        <v/>
      </c>
      <c r="S32" s="648" t="str">
        <f t="shared" si="6"/>
        <v/>
      </c>
      <c r="T32" s="648" t="str">
        <f t="shared" si="7"/>
        <v/>
      </c>
      <c r="Z32" s="649" t="str">
        <f>IF(B32="個別病床",はじめに入力してください!$K$50,IF(B32="共通使用",はじめに入力してください!$K$52,""))</f>
        <v/>
      </c>
      <c r="AB32" s="12">
        <v>3</v>
      </c>
      <c r="AC32" s="648" t="str">
        <f t="shared" si="8"/>
        <v>○</v>
      </c>
      <c r="AD32" s="649" t="str">
        <f t="shared" si="1"/>
        <v>整備しない場合は入力不要です。</v>
      </c>
    </row>
    <row r="33" spans="1:30">
      <c r="A33" s="12">
        <v>4</v>
      </c>
      <c r="B33" s="6"/>
      <c r="C33" s="6"/>
      <c r="D33" s="6"/>
      <c r="E33" s="10"/>
      <c r="F33" s="7"/>
      <c r="G33" s="531"/>
      <c r="H33" s="15">
        <f t="shared" si="2"/>
        <v>0</v>
      </c>
      <c r="I33" s="4">
        <f t="shared" si="3"/>
        <v>0</v>
      </c>
      <c r="J33" s="9"/>
      <c r="K33" s="595"/>
      <c r="L33" s="595"/>
      <c r="M33" s="595"/>
      <c r="N33" s="4">
        <f t="shared" si="0"/>
        <v>0</v>
      </c>
      <c r="O33" s="5" t="str">
        <f>IF(AC33="◎",COUNTIF($AC$30:AC33,"◎"),"")</f>
        <v/>
      </c>
      <c r="Q33" s="596" t="str">
        <f t="shared" si="4"/>
        <v/>
      </c>
      <c r="R33" s="648" t="str">
        <f t="shared" si="5"/>
        <v/>
      </c>
      <c r="S33" s="648" t="str">
        <f t="shared" si="6"/>
        <v/>
      </c>
      <c r="T33" s="648" t="str">
        <f t="shared" si="7"/>
        <v/>
      </c>
      <c r="Z33" s="649" t="str">
        <f>IF(B33="個別病床",はじめに入力してください!$K$50,IF(B33="共通使用",はじめに入力してください!$K$52,""))</f>
        <v/>
      </c>
      <c r="AB33" s="12">
        <v>4</v>
      </c>
      <c r="AC33" s="648" t="str">
        <f t="shared" si="8"/>
        <v>○</v>
      </c>
      <c r="AD33" s="649" t="str">
        <f t="shared" si="1"/>
        <v>整備しない場合は入力不要です。</v>
      </c>
    </row>
    <row r="34" spans="1:30">
      <c r="A34" s="12">
        <v>5</v>
      </c>
      <c r="B34" s="6"/>
      <c r="C34" s="6"/>
      <c r="D34" s="6"/>
      <c r="E34" s="10"/>
      <c r="F34" s="7"/>
      <c r="G34" s="531"/>
      <c r="H34" s="15">
        <f t="shared" si="2"/>
        <v>0</v>
      </c>
      <c r="I34" s="4">
        <f t="shared" si="3"/>
        <v>0</v>
      </c>
      <c r="J34" s="9"/>
      <c r="K34" s="595"/>
      <c r="L34" s="595"/>
      <c r="M34" s="595"/>
      <c r="N34" s="4">
        <f t="shared" si="0"/>
        <v>0</v>
      </c>
      <c r="O34" s="5" t="str">
        <f>IF(AC34="◎",COUNTIF($AC$30:AC34,"◎"),"")</f>
        <v/>
      </c>
      <c r="Q34" s="596" t="str">
        <f t="shared" si="4"/>
        <v/>
      </c>
      <c r="R34" s="648" t="str">
        <f t="shared" si="5"/>
        <v/>
      </c>
      <c r="S34" s="648" t="str">
        <f t="shared" si="6"/>
        <v/>
      </c>
      <c r="T34" s="648" t="str">
        <f t="shared" si="7"/>
        <v/>
      </c>
      <c r="Z34" s="649" t="str">
        <f>IF(B34="個別病床",はじめに入力してください!$K$50,IF(B34="共通使用",はじめに入力してください!$K$52,""))</f>
        <v/>
      </c>
      <c r="AB34" s="12">
        <v>5</v>
      </c>
      <c r="AC34" s="648" t="str">
        <f t="shared" si="8"/>
        <v>○</v>
      </c>
      <c r="AD34" s="649" t="str">
        <f t="shared" si="1"/>
        <v>整備しない場合は入力不要です。</v>
      </c>
    </row>
    <row r="35" spans="1:30">
      <c r="A35" s="12">
        <v>6</v>
      </c>
      <c r="B35" s="6"/>
      <c r="C35" s="6"/>
      <c r="D35" s="6"/>
      <c r="E35" s="10"/>
      <c r="F35" s="7"/>
      <c r="G35" s="531"/>
      <c r="H35" s="15">
        <f t="shared" si="2"/>
        <v>0</v>
      </c>
      <c r="I35" s="4">
        <f t="shared" si="3"/>
        <v>0</v>
      </c>
      <c r="J35" s="9"/>
      <c r="K35" s="595"/>
      <c r="L35" s="595"/>
      <c r="M35" s="595"/>
      <c r="N35" s="4">
        <f t="shared" si="0"/>
        <v>0</v>
      </c>
      <c r="O35" s="5" t="str">
        <f>IF(AC35="◎",COUNTIF($AC$30:AC35,"◎"),"")</f>
        <v/>
      </c>
      <c r="Q35" s="596" t="str">
        <f t="shared" si="4"/>
        <v/>
      </c>
      <c r="R35" s="648" t="str">
        <f t="shared" si="5"/>
        <v/>
      </c>
      <c r="S35" s="648" t="str">
        <f t="shared" si="6"/>
        <v/>
      </c>
      <c r="T35" s="648" t="str">
        <f t="shared" si="7"/>
        <v/>
      </c>
      <c r="Z35" s="649" t="str">
        <f>IF(B35="個別病床",はじめに入力してください!$K$50,IF(B35="共通使用",はじめに入力してください!$K$52,""))</f>
        <v/>
      </c>
      <c r="AB35" s="12">
        <v>6</v>
      </c>
      <c r="AC35" s="648" t="str">
        <f t="shared" si="8"/>
        <v>○</v>
      </c>
      <c r="AD35" s="649" t="str">
        <f t="shared" si="1"/>
        <v>整備しない場合は入力不要です。</v>
      </c>
    </row>
    <row r="36" spans="1:30">
      <c r="A36" s="12">
        <v>7</v>
      </c>
      <c r="B36" s="6"/>
      <c r="C36" s="6"/>
      <c r="D36" s="6"/>
      <c r="E36" s="10"/>
      <c r="F36" s="7"/>
      <c r="G36" s="531"/>
      <c r="H36" s="15">
        <f t="shared" si="2"/>
        <v>0</v>
      </c>
      <c r="I36" s="4">
        <f t="shared" si="3"/>
        <v>0</v>
      </c>
      <c r="J36" s="9"/>
      <c r="K36" s="595"/>
      <c r="L36" s="595"/>
      <c r="M36" s="595"/>
      <c r="N36" s="4">
        <f t="shared" si="0"/>
        <v>0</v>
      </c>
      <c r="O36" s="5" t="str">
        <f>IF(AC36="◎",COUNTIF($AC$30:AC36,"◎"),"")</f>
        <v/>
      </c>
      <c r="Q36" s="596" t="str">
        <f t="shared" si="4"/>
        <v/>
      </c>
      <c r="R36" s="648" t="str">
        <f t="shared" si="5"/>
        <v/>
      </c>
      <c r="S36" s="648" t="str">
        <f t="shared" si="6"/>
        <v/>
      </c>
      <c r="T36" s="648" t="str">
        <f t="shared" si="7"/>
        <v/>
      </c>
      <c r="Z36" s="649" t="str">
        <f>IF(B36="個別病床",はじめに入力してください!$K$50,IF(B36="共通使用",はじめに入力してください!$K$52,""))</f>
        <v/>
      </c>
      <c r="AB36" s="12">
        <v>7</v>
      </c>
      <c r="AC36" s="648" t="str">
        <f t="shared" si="8"/>
        <v>○</v>
      </c>
      <c r="AD36" s="649" t="str">
        <f t="shared" si="1"/>
        <v>整備しない場合は入力不要です。</v>
      </c>
    </row>
    <row r="37" spans="1:30">
      <c r="A37" s="12">
        <v>8</v>
      </c>
      <c r="B37" s="6"/>
      <c r="C37" s="6"/>
      <c r="D37" s="6"/>
      <c r="E37" s="10"/>
      <c r="F37" s="7"/>
      <c r="G37" s="531"/>
      <c r="H37" s="15">
        <f t="shared" si="2"/>
        <v>0</v>
      </c>
      <c r="I37" s="4">
        <f t="shared" si="3"/>
        <v>0</v>
      </c>
      <c r="J37" s="9"/>
      <c r="K37" s="595"/>
      <c r="L37" s="595"/>
      <c r="M37" s="595"/>
      <c r="N37" s="4">
        <f t="shared" si="0"/>
        <v>0</v>
      </c>
      <c r="O37" s="5" t="str">
        <f>IF(AC37="◎",COUNTIF($AC$30:AC37,"◎"),"")</f>
        <v/>
      </c>
      <c r="Q37" s="596" t="str">
        <f t="shared" si="4"/>
        <v/>
      </c>
      <c r="R37" s="648" t="str">
        <f t="shared" si="5"/>
        <v/>
      </c>
      <c r="S37" s="648" t="str">
        <f t="shared" si="6"/>
        <v/>
      </c>
      <c r="T37" s="648" t="str">
        <f t="shared" si="7"/>
        <v/>
      </c>
      <c r="Z37" s="649" t="str">
        <f>IF(B37="個別病床",はじめに入力してください!$K$50,IF(B37="共通使用",はじめに入力してください!$K$52,""))</f>
        <v/>
      </c>
      <c r="AB37" s="12">
        <v>8</v>
      </c>
      <c r="AC37" s="648" t="str">
        <f t="shared" si="8"/>
        <v>○</v>
      </c>
      <c r="AD37" s="649" t="str">
        <f t="shared" si="1"/>
        <v>整備しない場合は入力不要です。</v>
      </c>
    </row>
    <row r="38" spans="1:30">
      <c r="A38" s="12">
        <v>9</v>
      </c>
      <c r="B38" s="6"/>
      <c r="C38" s="6"/>
      <c r="D38" s="6"/>
      <c r="E38" s="10"/>
      <c r="F38" s="7"/>
      <c r="G38" s="531"/>
      <c r="H38" s="15">
        <f t="shared" si="2"/>
        <v>0</v>
      </c>
      <c r="I38" s="4">
        <f t="shared" si="3"/>
        <v>0</v>
      </c>
      <c r="J38" s="9"/>
      <c r="K38" s="595"/>
      <c r="L38" s="595"/>
      <c r="M38" s="595"/>
      <c r="N38" s="4">
        <f t="shared" si="0"/>
        <v>0</v>
      </c>
      <c r="O38" s="5" t="str">
        <f>IF(AC38="◎",COUNTIF($AC$30:AC38,"◎"),"")</f>
        <v/>
      </c>
      <c r="Q38" s="596" t="str">
        <f t="shared" si="4"/>
        <v/>
      </c>
      <c r="R38" s="648" t="str">
        <f t="shared" si="5"/>
        <v/>
      </c>
      <c r="S38" s="648" t="str">
        <f t="shared" si="6"/>
        <v/>
      </c>
      <c r="T38" s="648" t="str">
        <f t="shared" si="7"/>
        <v/>
      </c>
      <c r="Z38" s="649" t="str">
        <f>IF(B38="個別病床",はじめに入力してください!$K$50,IF(B38="共通使用",はじめに入力してください!$K$52,""))</f>
        <v/>
      </c>
      <c r="AB38" s="12">
        <v>9</v>
      </c>
      <c r="AC38" s="648" t="str">
        <f t="shared" si="8"/>
        <v>○</v>
      </c>
      <c r="AD38" s="649" t="str">
        <f t="shared" si="1"/>
        <v>整備しない場合は入力不要です。</v>
      </c>
    </row>
    <row r="39" spans="1:30">
      <c r="A39" s="12">
        <v>10</v>
      </c>
      <c r="B39" s="6"/>
      <c r="C39" s="6"/>
      <c r="D39" s="6"/>
      <c r="E39" s="10"/>
      <c r="F39" s="7"/>
      <c r="G39" s="531"/>
      <c r="H39" s="15">
        <f t="shared" si="2"/>
        <v>0</v>
      </c>
      <c r="I39" s="4">
        <f t="shared" si="3"/>
        <v>0</v>
      </c>
      <c r="J39" s="9"/>
      <c r="K39" s="595"/>
      <c r="L39" s="595"/>
      <c r="M39" s="595"/>
      <c r="N39" s="4">
        <f t="shared" si="0"/>
        <v>0</v>
      </c>
      <c r="O39" s="5" t="str">
        <f>IF(AC39="◎",COUNTIF($AC$30:AC39,"◎"),"")</f>
        <v/>
      </c>
      <c r="Q39" s="596" t="str">
        <f t="shared" si="4"/>
        <v/>
      </c>
      <c r="R39" s="648" t="str">
        <f t="shared" si="5"/>
        <v/>
      </c>
      <c r="S39" s="648" t="str">
        <f t="shared" si="6"/>
        <v/>
      </c>
      <c r="T39" s="648" t="str">
        <f t="shared" si="7"/>
        <v/>
      </c>
      <c r="Z39" s="649" t="str">
        <f>IF(B39="個別病床",はじめに入力してください!$K$50,IF(B39="共通使用",はじめに入力してください!$K$52,""))</f>
        <v/>
      </c>
      <c r="AB39" s="12">
        <v>10</v>
      </c>
      <c r="AC39" s="648" t="str">
        <f t="shared" si="8"/>
        <v>○</v>
      </c>
      <c r="AD39" s="649" t="str">
        <f t="shared" si="1"/>
        <v>整備しない場合は入力不要です。</v>
      </c>
    </row>
    <row r="40" spans="1:30">
      <c r="A40" s="12">
        <v>11</v>
      </c>
      <c r="B40" s="6"/>
      <c r="C40" s="6"/>
      <c r="D40" s="6"/>
      <c r="E40" s="10"/>
      <c r="F40" s="7"/>
      <c r="G40" s="531"/>
      <c r="H40" s="15">
        <f t="shared" si="2"/>
        <v>0</v>
      </c>
      <c r="I40" s="4">
        <f t="shared" si="3"/>
        <v>0</v>
      </c>
      <c r="J40" s="9"/>
      <c r="K40" s="595"/>
      <c r="L40" s="595"/>
      <c r="M40" s="595"/>
      <c r="N40" s="4">
        <f t="shared" si="0"/>
        <v>0</v>
      </c>
      <c r="O40" s="5" t="str">
        <f>IF(AC40="◎",COUNTIF($AC$30:AC40,"◎"),"")</f>
        <v/>
      </c>
      <c r="Q40" s="596" t="str">
        <f t="shared" si="4"/>
        <v/>
      </c>
      <c r="R40" s="648" t="str">
        <f t="shared" si="5"/>
        <v/>
      </c>
      <c r="S40" s="648" t="str">
        <f t="shared" si="6"/>
        <v/>
      </c>
      <c r="T40" s="648" t="str">
        <f t="shared" si="7"/>
        <v/>
      </c>
      <c r="Z40" s="649" t="str">
        <f>IF(B40="個別病床",はじめに入力してください!$K$50,IF(B40="共通使用",はじめに入力してください!$K$52,""))</f>
        <v/>
      </c>
      <c r="AB40" s="12">
        <v>11</v>
      </c>
      <c r="AC40" s="648" t="str">
        <f t="shared" si="8"/>
        <v>○</v>
      </c>
      <c r="AD40" s="649" t="str">
        <f t="shared" si="1"/>
        <v>整備しない場合は入力不要です。</v>
      </c>
    </row>
    <row r="41" spans="1:30">
      <c r="A41" s="12">
        <v>12</v>
      </c>
      <c r="B41" s="6"/>
      <c r="C41" s="6"/>
      <c r="D41" s="6"/>
      <c r="E41" s="10"/>
      <c r="F41" s="7"/>
      <c r="G41" s="531"/>
      <c r="H41" s="15">
        <f t="shared" si="2"/>
        <v>0</v>
      </c>
      <c r="I41" s="4">
        <f t="shared" si="3"/>
        <v>0</v>
      </c>
      <c r="J41" s="9"/>
      <c r="K41" s="595"/>
      <c r="L41" s="595"/>
      <c r="M41" s="595"/>
      <c r="N41" s="4">
        <f t="shared" si="0"/>
        <v>0</v>
      </c>
      <c r="O41" s="5" t="str">
        <f>IF(AC41="◎",COUNTIF($AC$30:AC41,"◎"),"")</f>
        <v/>
      </c>
      <c r="Q41" s="596" t="str">
        <f t="shared" si="4"/>
        <v/>
      </c>
      <c r="R41" s="648" t="str">
        <f t="shared" si="5"/>
        <v/>
      </c>
      <c r="S41" s="648" t="str">
        <f t="shared" si="6"/>
        <v/>
      </c>
      <c r="T41" s="648" t="str">
        <f t="shared" si="7"/>
        <v/>
      </c>
      <c r="Z41" s="649" t="str">
        <f>IF(B41="個別病床",はじめに入力してください!$K$50,IF(B41="共通使用",はじめに入力してください!$K$52,""))</f>
        <v/>
      </c>
      <c r="AB41" s="12">
        <v>12</v>
      </c>
      <c r="AC41" s="648" t="str">
        <f t="shared" si="8"/>
        <v>○</v>
      </c>
      <c r="AD41" s="649" t="str">
        <f t="shared" si="1"/>
        <v>整備しない場合は入力不要です。</v>
      </c>
    </row>
    <row r="42" spans="1:30">
      <c r="A42" s="12">
        <v>13</v>
      </c>
      <c r="B42" s="6"/>
      <c r="C42" s="6"/>
      <c r="D42" s="6"/>
      <c r="E42" s="10"/>
      <c r="F42" s="7"/>
      <c r="G42" s="531"/>
      <c r="H42" s="15">
        <f t="shared" si="2"/>
        <v>0</v>
      </c>
      <c r="I42" s="4">
        <f t="shared" si="3"/>
        <v>0</v>
      </c>
      <c r="J42" s="9"/>
      <c r="K42" s="595"/>
      <c r="L42" s="595"/>
      <c r="M42" s="595"/>
      <c r="N42" s="4">
        <f t="shared" si="0"/>
        <v>0</v>
      </c>
      <c r="O42" s="5" t="str">
        <f>IF(AC42="◎",COUNTIF($AC$30:AC42,"◎"),"")</f>
        <v/>
      </c>
      <c r="Q42" s="596" t="str">
        <f t="shared" si="4"/>
        <v/>
      </c>
      <c r="R42" s="648" t="str">
        <f t="shared" si="5"/>
        <v/>
      </c>
      <c r="S42" s="648" t="str">
        <f t="shared" si="6"/>
        <v/>
      </c>
      <c r="T42" s="648" t="str">
        <f t="shared" si="7"/>
        <v/>
      </c>
      <c r="Z42" s="649" t="str">
        <f>IF(B42="個別病床",はじめに入力してください!$K$50,IF(B42="共通使用",はじめに入力してください!$K$52,""))</f>
        <v/>
      </c>
      <c r="AB42" s="12">
        <v>13</v>
      </c>
      <c r="AC42" s="648" t="str">
        <f t="shared" si="8"/>
        <v>○</v>
      </c>
      <c r="AD42" s="649" t="str">
        <f t="shared" si="1"/>
        <v>整備しない場合は入力不要です。</v>
      </c>
    </row>
    <row r="43" spans="1:30">
      <c r="A43" s="12">
        <v>14</v>
      </c>
      <c r="B43" s="6"/>
      <c r="C43" s="6"/>
      <c r="D43" s="6"/>
      <c r="E43" s="10"/>
      <c r="F43" s="7"/>
      <c r="G43" s="531"/>
      <c r="H43" s="15">
        <f t="shared" si="2"/>
        <v>0</v>
      </c>
      <c r="I43" s="4">
        <f t="shared" si="3"/>
        <v>0</v>
      </c>
      <c r="J43" s="9"/>
      <c r="K43" s="595"/>
      <c r="L43" s="595"/>
      <c r="M43" s="595"/>
      <c r="N43" s="4">
        <f t="shared" si="0"/>
        <v>0</v>
      </c>
      <c r="O43" s="5" t="str">
        <f>IF(AC43="◎",COUNTIF($AC$30:AC43,"◎"),"")</f>
        <v/>
      </c>
      <c r="Q43" s="596" t="str">
        <f t="shared" si="4"/>
        <v/>
      </c>
      <c r="R43" s="648" t="str">
        <f t="shared" si="5"/>
        <v/>
      </c>
      <c r="S43" s="648" t="str">
        <f t="shared" si="6"/>
        <v/>
      </c>
      <c r="T43" s="648" t="str">
        <f t="shared" si="7"/>
        <v/>
      </c>
      <c r="Z43" s="649" t="str">
        <f>IF(B43="個別病床",はじめに入力してください!$K$50,IF(B43="共通使用",はじめに入力してください!$K$52,""))</f>
        <v/>
      </c>
      <c r="AB43" s="12">
        <v>14</v>
      </c>
      <c r="AC43" s="648" t="str">
        <f t="shared" si="8"/>
        <v>○</v>
      </c>
      <c r="AD43" s="649" t="str">
        <f t="shared" si="1"/>
        <v>整備しない場合は入力不要です。</v>
      </c>
    </row>
    <row r="44" spans="1:30">
      <c r="A44" s="12">
        <v>15</v>
      </c>
      <c r="B44" s="6"/>
      <c r="C44" s="6"/>
      <c r="D44" s="6"/>
      <c r="E44" s="10"/>
      <c r="F44" s="7"/>
      <c r="G44" s="531"/>
      <c r="H44" s="15">
        <f t="shared" si="2"/>
        <v>0</v>
      </c>
      <c r="I44" s="4">
        <f t="shared" si="3"/>
        <v>0</v>
      </c>
      <c r="J44" s="9"/>
      <c r="K44" s="595"/>
      <c r="L44" s="595"/>
      <c r="M44" s="595"/>
      <c r="N44" s="4">
        <f t="shared" si="0"/>
        <v>0</v>
      </c>
      <c r="O44" s="5" t="str">
        <f>IF(AC44="◎",COUNTIF($AC$30:AC44,"◎"),"")</f>
        <v/>
      </c>
      <c r="Q44" s="596" t="str">
        <f t="shared" si="4"/>
        <v/>
      </c>
      <c r="R44" s="648" t="str">
        <f t="shared" si="5"/>
        <v/>
      </c>
      <c r="S44" s="648" t="str">
        <f t="shared" si="6"/>
        <v/>
      </c>
      <c r="T44" s="648" t="str">
        <f t="shared" si="7"/>
        <v/>
      </c>
      <c r="Z44" s="649" t="str">
        <f>IF(B44="個別病床",はじめに入力してください!$K$50,IF(B44="共通使用",はじめに入力してください!$K$52,""))</f>
        <v/>
      </c>
      <c r="AB44" s="12">
        <v>15</v>
      </c>
      <c r="AC44" s="648" t="str">
        <f t="shared" si="8"/>
        <v>○</v>
      </c>
      <c r="AD44" s="649" t="str">
        <f t="shared" si="1"/>
        <v>整備しない場合は入力不要です。</v>
      </c>
    </row>
    <row r="45" spans="1:30">
      <c r="A45" s="12">
        <v>16</v>
      </c>
      <c r="B45" s="6"/>
      <c r="C45" s="6"/>
      <c r="D45" s="6"/>
      <c r="E45" s="10"/>
      <c r="F45" s="7"/>
      <c r="G45" s="531"/>
      <c r="H45" s="15">
        <f t="shared" si="2"/>
        <v>0</v>
      </c>
      <c r="I45" s="4">
        <f t="shared" si="3"/>
        <v>0</v>
      </c>
      <c r="J45" s="9"/>
      <c r="K45" s="595"/>
      <c r="L45" s="595"/>
      <c r="M45" s="595"/>
      <c r="N45" s="4">
        <f t="shared" si="0"/>
        <v>0</v>
      </c>
      <c r="O45" s="5" t="str">
        <f>IF(AC45="◎",COUNTIF($AC$30:AC45,"◎"),"")</f>
        <v/>
      </c>
      <c r="Q45" s="596" t="str">
        <f t="shared" si="4"/>
        <v/>
      </c>
      <c r="R45" s="648" t="str">
        <f t="shared" si="5"/>
        <v/>
      </c>
      <c r="S45" s="648" t="str">
        <f t="shared" si="6"/>
        <v/>
      </c>
      <c r="T45" s="648" t="str">
        <f t="shared" si="7"/>
        <v/>
      </c>
      <c r="Z45" s="649" t="str">
        <f>IF(B45="個別病床",はじめに入力してください!$K$50,IF(B45="共通使用",はじめに入力してください!$K$52,""))</f>
        <v/>
      </c>
      <c r="AB45" s="12">
        <v>16</v>
      </c>
      <c r="AC45" s="648" t="str">
        <f t="shared" si="8"/>
        <v>○</v>
      </c>
      <c r="AD45" s="649" t="str">
        <f t="shared" si="1"/>
        <v>整備しない場合は入力不要です。</v>
      </c>
    </row>
    <row r="46" spans="1:30">
      <c r="A46" s="12">
        <v>17</v>
      </c>
      <c r="B46" s="6"/>
      <c r="C46" s="6"/>
      <c r="D46" s="6"/>
      <c r="E46" s="10"/>
      <c r="F46" s="7"/>
      <c r="G46" s="531"/>
      <c r="H46" s="15">
        <f t="shared" si="2"/>
        <v>0</v>
      </c>
      <c r="I46" s="4">
        <f t="shared" si="3"/>
        <v>0</v>
      </c>
      <c r="J46" s="9"/>
      <c r="K46" s="595"/>
      <c r="L46" s="595"/>
      <c r="M46" s="595"/>
      <c r="N46" s="4">
        <f t="shared" si="0"/>
        <v>0</v>
      </c>
      <c r="O46" s="5" t="str">
        <f>IF(AC46="◎",COUNTIF($AC$30:AC46,"◎"),"")</f>
        <v/>
      </c>
      <c r="Q46" s="596" t="str">
        <f t="shared" si="4"/>
        <v/>
      </c>
      <c r="R46" s="648" t="str">
        <f t="shared" si="5"/>
        <v/>
      </c>
      <c r="S46" s="648" t="str">
        <f t="shared" si="6"/>
        <v/>
      </c>
      <c r="T46" s="648" t="str">
        <f t="shared" si="7"/>
        <v/>
      </c>
      <c r="Z46" s="649" t="str">
        <f>IF(B46="個別病床",はじめに入力してください!$K$50,IF(B46="共通使用",はじめに入力してください!$K$52,""))</f>
        <v/>
      </c>
      <c r="AB46" s="12">
        <v>17</v>
      </c>
      <c r="AC46" s="648" t="str">
        <f t="shared" si="8"/>
        <v>○</v>
      </c>
      <c r="AD46" s="649" t="str">
        <f t="shared" si="1"/>
        <v>整備しない場合は入力不要です。</v>
      </c>
    </row>
    <row r="47" spans="1:30">
      <c r="A47" s="12">
        <v>18</v>
      </c>
      <c r="B47" s="6"/>
      <c r="C47" s="6"/>
      <c r="D47" s="6"/>
      <c r="E47" s="10"/>
      <c r="F47" s="7"/>
      <c r="G47" s="531"/>
      <c r="H47" s="15">
        <f t="shared" si="2"/>
        <v>0</v>
      </c>
      <c r="I47" s="4">
        <f t="shared" si="3"/>
        <v>0</v>
      </c>
      <c r="J47" s="9"/>
      <c r="K47" s="595"/>
      <c r="L47" s="595"/>
      <c r="M47" s="595"/>
      <c r="N47" s="4">
        <f t="shared" si="0"/>
        <v>0</v>
      </c>
      <c r="O47" s="5" t="str">
        <f>IF(AC47="◎",COUNTIF($AC$30:AC47,"◎"),"")</f>
        <v/>
      </c>
      <c r="Q47" s="596" t="str">
        <f t="shared" si="4"/>
        <v/>
      </c>
      <c r="R47" s="648" t="str">
        <f t="shared" si="5"/>
        <v/>
      </c>
      <c r="S47" s="648" t="str">
        <f t="shared" si="6"/>
        <v/>
      </c>
      <c r="T47" s="648" t="str">
        <f t="shared" si="7"/>
        <v/>
      </c>
      <c r="Z47" s="649" t="str">
        <f>IF(B47="個別病床",はじめに入力してください!$K$50,IF(B47="共通使用",はじめに入力してください!$K$52,""))</f>
        <v/>
      </c>
      <c r="AB47" s="12">
        <v>18</v>
      </c>
      <c r="AC47" s="648" t="str">
        <f t="shared" si="8"/>
        <v>○</v>
      </c>
      <c r="AD47" s="649" t="str">
        <f t="shared" si="1"/>
        <v>整備しない場合は入力不要です。</v>
      </c>
    </row>
    <row r="48" spans="1:30">
      <c r="A48" s="12">
        <v>19</v>
      </c>
      <c r="B48" s="6"/>
      <c r="C48" s="6"/>
      <c r="D48" s="6"/>
      <c r="E48" s="10"/>
      <c r="F48" s="7"/>
      <c r="G48" s="531"/>
      <c r="H48" s="15">
        <f t="shared" si="2"/>
        <v>0</v>
      </c>
      <c r="I48" s="4">
        <f t="shared" si="3"/>
        <v>0</v>
      </c>
      <c r="J48" s="9"/>
      <c r="K48" s="595"/>
      <c r="L48" s="595"/>
      <c r="M48" s="595"/>
      <c r="N48" s="4">
        <f t="shared" si="0"/>
        <v>0</v>
      </c>
      <c r="O48" s="5" t="str">
        <f>IF(AC48="◎",COUNTIF($AC$30:AC48,"◎"),"")</f>
        <v/>
      </c>
      <c r="Q48" s="596" t="str">
        <f t="shared" si="4"/>
        <v/>
      </c>
      <c r="R48" s="648" t="str">
        <f t="shared" si="5"/>
        <v/>
      </c>
      <c r="S48" s="648" t="str">
        <f t="shared" si="6"/>
        <v/>
      </c>
      <c r="T48" s="648" t="str">
        <f t="shared" si="7"/>
        <v/>
      </c>
      <c r="Z48" s="649" t="str">
        <f>IF(B48="個別病床",はじめに入力してください!$K$50,IF(B48="共通使用",はじめに入力してください!$K$52,""))</f>
        <v/>
      </c>
      <c r="AB48" s="12">
        <v>19</v>
      </c>
      <c r="AC48" s="648" t="str">
        <f t="shared" si="8"/>
        <v>○</v>
      </c>
      <c r="AD48" s="649" t="str">
        <f t="shared" si="1"/>
        <v>整備しない場合は入力不要です。</v>
      </c>
    </row>
    <row r="49" spans="1:30">
      <c r="A49" s="12">
        <v>20</v>
      </c>
      <c r="B49" s="6"/>
      <c r="C49" s="6"/>
      <c r="D49" s="6"/>
      <c r="E49" s="10"/>
      <c r="F49" s="7"/>
      <c r="G49" s="531"/>
      <c r="H49" s="15">
        <f t="shared" si="2"/>
        <v>0</v>
      </c>
      <c r="I49" s="4">
        <f t="shared" si="3"/>
        <v>0</v>
      </c>
      <c r="J49" s="9"/>
      <c r="K49" s="595"/>
      <c r="L49" s="595"/>
      <c r="M49" s="595"/>
      <c r="N49" s="4">
        <f t="shared" si="0"/>
        <v>0</v>
      </c>
      <c r="O49" s="5" t="str">
        <f>IF(AC49="◎",COUNTIF($AC$30:AC49,"◎"),"")</f>
        <v/>
      </c>
      <c r="Q49" s="596" t="str">
        <f t="shared" si="4"/>
        <v/>
      </c>
      <c r="R49" s="648" t="str">
        <f t="shared" si="5"/>
        <v/>
      </c>
      <c r="S49" s="648" t="str">
        <f t="shared" si="6"/>
        <v/>
      </c>
      <c r="T49" s="648" t="str">
        <f t="shared" si="7"/>
        <v/>
      </c>
      <c r="Z49" s="649" t="str">
        <f>IF(B49="個別病床",はじめに入力してください!$K$50,IF(B49="共通使用",はじめに入力してください!$K$52,""))</f>
        <v/>
      </c>
      <c r="AB49" s="12">
        <v>20</v>
      </c>
      <c r="AC49" s="648" t="str">
        <f t="shared" si="8"/>
        <v>○</v>
      </c>
      <c r="AD49" s="649" t="str">
        <f t="shared" si="1"/>
        <v>整備しない場合は入力不要です。</v>
      </c>
    </row>
    <row r="50" spans="1:30">
      <c r="A50" s="12">
        <v>21</v>
      </c>
      <c r="B50" s="6"/>
      <c r="C50" s="6"/>
      <c r="D50" s="6"/>
      <c r="E50" s="10"/>
      <c r="F50" s="7"/>
      <c r="G50" s="531"/>
      <c r="H50" s="15">
        <f t="shared" si="2"/>
        <v>0</v>
      </c>
      <c r="I50" s="4">
        <f t="shared" si="3"/>
        <v>0</v>
      </c>
      <c r="J50" s="9"/>
      <c r="K50" s="595"/>
      <c r="L50" s="595"/>
      <c r="M50" s="595"/>
      <c r="N50" s="4">
        <f t="shared" si="0"/>
        <v>0</v>
      </c>
      <c r="O50" s="5" t="str">
        <f>IF(AC50="◎",COUNTIF($AC$30:AC50,"◎"),"")</f>
        <v/>
      </c>
      <c r="Q50" s="596" t="str">
        <f t="shared" si="4"/>
        <v/>
      </c>
      <c r="R50" s="648" t="str">
        <f t="shared" si="5"/>
        <v/>
      </c>
      <c r="S50" s="648" t="str">
        <f t="shared" si="6"/>
        <v/>
      </c>
      <c r="T50" s="648" t="str">
        <f t="shared" si="7"/>
        <v/>
      </c>
      <c r="Z50" s="649" t="str">
        <f>IF(B50="個別病床",はじめに入力してください!$K$50,IF(B50="共通使用",はじめに入力してください!$K$52,""))</f>
        <v/>
      </c>
      <c r="AB50" s="12">
        <v>21</v>
      </c>
      <c r="AC50" s="648" t="str">
        <f t="shared" si="8"/>
        <v>○</v>
      </c>
      <c r="AD50" s="649" t="str">
        <f t="shared" si="1"/>
        <v>整備しない場合は入力不要です。</v>
      </c>
    </row>
    <row r="51" spans="1:30">
      <c r="A51" s="12">
        <v>22</v>
      </c>
      <c r="B51" s="6"/>
      <c r="C51" s="6"/>
      <c r="D51" s="6"/>
      <c r="E51" s="10"/>
      <c r="F51" s="7"/>
      <c r="G51" s="531"/>
      <c r="H51" s="15">
        <f t="shared" si="2"/>
        <v>0</v>
      </c>
      <c r="I51" s="4">
        <f t="shared" si="3"/>
        <v>0</v>
      </c>
      <c r="J51" s="9"/>
      <c r="K51" s="595"/>
      <c r="L51" s="595"/>
      <c r="M51" s="595"/>
      <c r="N51" s="4">
        <f t="shared" si="0"/>
        <v>0</v>
      </c>
      <c r="O51" s="5" t="str">
        <f>IF(AC51="◎",COUNTIF($AC$30:AC51,"◎"),"")</f>
        <v/>
      </c>
      <c r="Q51" s="596" t="str">
        <f t="shared" si="4"/>
        <v/>
      </c>
      <c r="R51" s="648" t="str">
        <f t="shared" si="5"/>
        <v/>
      </c>
      <c r="S51" s="648" t="str">
        <f t="shared" si="6"/>
        <v/>
      </c>
      <c r="T51" s="648" t="str">
        <f t="shared" si="7"/>
        <v/>
      </c>
      <c r="Z51" s="649" t="str">
        <f>IF(B51="個別病床",はじめに入力してください!$K$50,IF(B51="共通使用",はじめに入力してください!$K$52,""))</f>
        <v/>
      </c>
      <c r="AB51" s="12">
        <v>22</v>
      </c>
      <c r="AC51" s="648" t="str">
        <f t="shared" si="8"/>
        <v>○</v>
      </c>
      <c r="AD51" s="649" t="str">
        <f t="shared" si="1"/>
        <v>整備しない場合は入力不要です。</v>
      </c>
    </row>
    <row r="52" spans="1:30">
      <c r="A52" s="12">
        <v>23</v>
      </c>
      <c r="B52" s="6"/>
      <c r="C52" s="6"/>
      <c r="D52" s="6"/>
      <c r="E52" s="10"/>
      <c r="F52" s="7"/>
      <c r="G52" s="531"/>
      <c r="H52" s="15">
        <f t="shared" si="2"/>
        <v>0</v>
      </c>
      <c r="I52" s="4">
        <f t="shared" si="3"/>
        <v>0</v>
      </c>
      <c r="J52" s="9"/>
      <c r="K52" s="595"/>
      <c r="L52" s="595"/>
      <c r="M52" s="595"/>
      <c r="N52" s="4">
        <f t="shared" si="0"/>
        <v>0</v>
      </c>
      <c r="O52" s="5" t="str">
        <f>IF(AC52="◎",COUNTIF($AC$30:AC52,"◎"),"")</f>
        <v/>
      </c>
      <c r="Q52" s="596" t="str">
        <f t="shared" si="4"/>
        <v/>
      </c>
      <c r="R52" s="648" t="str">
        <f t="shared" si="5"/>
        <v/>
      </c>
      <c r="S52" s="648" t="str">
        <f t="shared" si="6"/>
        <v/>
      </c>
      <c r="T52" s="648" t="str">
        <f t="shared" si="7"/>
        <v/>
      </c>
      <c r="Z52" s="649" t="str">
        <f>IF(B52="個別病床",はじめに入力してください!$K$50,IF(B52="共通使用",はじめに入力してください!$K$52,""))</f>
        <v/>
      </c>
      <c r="AB52" s="12">
        <v>23</v>
      </c>
      <c r="AC52" s="648" t="str">
        <f t="shared" si="8"/>
        <v>○</v>
      </c>
      <c r="AD52" s="649" t="str">
        <f t="shared" si="1"/>
        <v>整備しない場合は入力不要です。</v>
      </c>
    </row>
    <row r="53" spans="1:30">
      <c r="A53" s="12">
        <v>24</v>
      </c>
      <c r="B53" s="6"/>
      <c r="C53" s="6"/>
      <c r="D53" s="6"/>
      <c r="E53" s="10"/>
      <c r="F53" s="7"/>
      <c r="G53" s="531"/>
      <c r="H53" s="15">
        <f t="shared" si="2"/>
        <v>0</v>
      </c>
      <c r="I53" s="4">
        <f t="shared" si="3"/>
        <v>0</v>
      </c>
      <c r="J53" s="9"/>
      <c r="K53" s="595"/>
      <c r="L53" s="595"/>
      <c r="M53" s="595"/>
      <c r="N53" s="4">
        <f t="shared" si="0"/>
        <v>0</v>
      </c>
      <c r="O53" s="5" t="str">
        <f>IF(AC53="◎",COUNTIF($AC$30:AC53,"◎"),"")</f>
        <v/>
      </c>
      <c r="Q53" s="596" t="str">
        <f t="shared" si="4"/>
        <v/>
      </c>
      <c r="R53" s="648" t="str">
        <f t="shared" si="5"/>
        <v/>
      </c>
      <c r="S53" s="648" t="str">
        <f t="shared" si="6"/>
        <v/>
      </c>
      <c r="T53" s="648" t="str">
        <f t="shared" si="7"/>
        <v/>
      </c>
      <c r="Z53" s="649" t="str">
        <f>IF(B53="個別病床",はじめに入力してください!$K$50,IF(B53="共通使用",はじめに入力してください!$K$52,""))</f>
        <v/>
      </c>
      <c r="AB53" s="12">
        <v>24</v>
      </c>
      <c r="AC53" s="648" t="str">
        <f t="shared" si="8"/>
        <v>○</v>
      </c>
      <c r="AD53" s="649" t="str">
        <f t="shared" si="1"/>
        <v>整備しない場合は入力不要です。</v>
      </c>
    </row>
    <row r="54" spans="1:30">
      <c r="A54" s="12">
        <v>25</v>
      </c>
      <c r="B54" s="6"/>
      <c r="C54" s="6"/>
      <c r="D54" s="6"/>
      <c r="E54" s="10"/>
      <c r="F54" s="7"/>
      <c r="G54" s="531"/>
      <c r="H54" s="15">
        <f t="shared" si="2"/>
        <v>0</v>
      </c>
      <c r="I54" s="4">
        <f t="shared" si="3"/>
        <v>0</v>
      </c>
      <c r="J54" s="9"/>
      <c r="K54" s="595"/>
      <c r="L54" s="595"/>
      <c r="M54" s="595"/>
      <c r="N54" s="4">
        <f t="shared" si="0"/>
        <v>0</v>
      </c>
      <c r="O54" s="5" t="str">
        <f>IF(AC54="◎",COUNTIF($AC$30:AC54,"◎"),"")</f>
        <v/>
      </c>
      <c r="Q54" s="596" t="str">
        <f t="shared" si="4"/>
        <v/>
      </c>
      <c r="R54" s="648" t="str">
        <f t="shared" si="5"/>
        <v/>
      </c>
      <c r="S54" s="648" t="str">
        <f t="shared" si="6"/>
        <v/>
      </c>
      <c r="T54" s="648" t="str">
        <f t="shared" si="7"/>
        <v/>
      </c>
      <c r="Z54" s="649" t="str">
        <f>IF(B54="個別病床",はじめに入力してください!$K$50,IF(B54="共通使用",はじめに入力してください!$K$52,""))</f>
        <v/>
      </c>
      <c r="AB54" s="12">
        <v>25</v>
      </c>
      <c r="AC54" s="648" t="str">
        <f t="shared" si="8"/>
        <v>○</v>
      </c>
      <c r="AD54" s="649" t="str">
        <f t="shared" si="1"/>
        <v>整備しない場合は入力不要です。</v>
      </c>
    </row>
    <row r="55" spans="1:30">
      <c r="A55" s="12">
        <v>26</v>
      </c>
      <c r="B55" s="6"/>
      <c r="C55" s="6"/>
      <c r="D55" s="6"/>
      <c r="E55" s="10"/>
      <c r="F55" s="7"/>
      <c r="G55" s="531"/>
      <c r="H55" s="15">
        <f t="shared" si="2"/>
        <v>0</v>
      </c>
      <c r="I55" s="4">
        <f t="shared" si="3"/>
        <v>0</v>
      </c>
      <c r="J55" s="9"/>
      <c r="K55" s="595"/>
      <c r="L55" s="595"/>
      <c r="M55" s="595"/>
      <c r="N55" s="4">
        <f t="shared" si="0"/>
        <v>0</v>
      </c>
      <c r="O55" s="5" t="str">
        <f>IF(AC55="◎",COUNTIF($AC$30:AC55,"◎"),"")</f>
        <v/>
      </c>
      <c r="Q55" s="596" t="str">
        <f t="shared" si="4"/>
        <v/>
      </c>
      <c r="R55" s="648" t="str">
        <f t="shared" si="5"/>
        <v/>
      </c>
      <c r="S55" s="648" t="str">
        <f t="shared" si="6"/>
        <v/>
      </c>
      <c r="T55" s="648" t="str">
        <f t="shared" si="7"/>
        <v/>
      </c>
      <c r="Z55" s="649" t="str">
        <f>IF(B55="個別病床",はじめに入力してください!$K$50,IF(B55="共通使用",はじめに入力してください!$K$52,""))</f>
        <v/>
      </c>
      <c r="AB55" s="12">
        <v>26</v>
      </c>
      <c r="AC55" s="648" t="str">
        <f t="shared" si="8"/>
        <v>○</v>
      </c>
      <c r="AD55" s="649" t="str">
        <f t="shared" si="1"/>
        <v>整備しない場合は入力不要です。</v>
      </c>
    </row>
    <row r="56" spans="1:30">
      <c r="A56" s="12">
        <v>27</v>
      </c>
      <c r="B56" s="6"/>
      <c r="C56" s="6"/>
      <c r="D56" s="6"/>
      <c r="E56" s="10"/>
      <c r="F56" s="7"/>
      <c r="G56" s="531"/>
      <c r="H56" s="15">
        <f t="shared" si="2"/>
        <v>0</v>
      </c>
      <c r="I56" s="4">
        <f t="shared" si="3"/>
        <v>0</v>
      </c>
      <c r="J56" s="9"/>
      <c r="K56" s="595"/>
      <c r="L56" s="595"/>
      <c r="M56" s="595"/>
      <c r="N56" s="4">
        <f t="shared" si="0"/>
        <v>0</v>
      </c>
      <c r="O56" s="5" t="str">
        <f>IF(AC56="◎",COUNTIF($AC$30:AC56,"◎"),"")</f>
        <v/>
      </c>
      <c r="Q56" s="596" t="str">
        <f t="shared" si="4"/>
        <v/>
      </c>
      <c r="R56" s="648" t="str">
        <f t="shared" si="5"/>
        <v/>
      </c>
      <c r="S56" s="648" t="str">
        <f t="shared" si="6"/>
        <v/>
      </c>
      <c r="T56" s="648" t="str">
        <f t="shared" si="7"/>
        <v/>
      </c>
      <c r="Z56" s="649" t="str">
        <f>IF(B56="個別病床",はじめに入力してください!$K$50,IF(B56="共通使用",はじめに入力してください!$K$52,""))</f>
        <v/>
      </c>
      <c r="AB56" s="12">
        <v>27</v>
      </c>
      <c r="AC56" s="648" t="str">
        <f t="shared" si="8"/>
        <v>○</v>
      </c>
      <c r="AD56" s="649" t="str">
        <f t="shared" si="1"/>
        <v>整備しない場合は入力不要です。</v>
      </c>
    </row>
    <row r="57" spans="1:30">
      <c r="A57" s="12">
        <v>28</v>
      </c>
      <c r="B57" s="6"/>
      <c r="C57" s="6"/>
      <c r="D57" s="6"/>
      <c r="E57" s="10"/>
      <c r="F57" s="7"/>
      <c r="G57" s="531"/>
      <c r="H57" s="15">
        <f t="shared" si="2"/>
        <v>0</v>
      </c>
      <c r="I57" s="4">
        <f t="shared" si="3"/>
        <v>0</v>
      </c>
      <c r="J57" s="9"/>
      <c r="K57" s="595"/>
      <c r="L57" s="595"/>
      <c r="M57" s="595"/>
      <c r="N57" s="4">
        <f t="shared" si="0"/>
        <v>0</v>
      </c>
      <c r="O57" s="5" t="str">
        <f>IF(AC57="◎",COUNTIF($AC$30:AC57,"◎"),"")</f>
        <v/>
      </c>
      <c r="Q57" s="596" t="str">
        <f t="shared" si="4"/>
        <v/>
      </c>
      <c r="R57" s="648" t="str">
        <f t="shared" si="5"/>
        <v/>
      </c>
      <c r="S57" s="648" t="str">
        <f t="shared" si="6"/>
        <v/>
      </c>
      <c r="T57" s="648" t="str">
        <f t="shared" si="7"/>
        <v/>
      </c>
      <c r="Z57" s="649" t="str">
        <f>IF(B57="個別病床",はじめに入力してください!$K$50,IF(B57="共通使用",はじめに入力してください!$K$52,""))</f>
        <v/>
      </c>
      <c r="AB57" s="12">
        <v>28</v>
      </c>
      <c r="AC57" s="648" t="str">
        <f t="shared" si="8"/>
        <v>○</v>
      </c>
      <c r="AD57" s="649" t="str">
        <f t="shared" si="1"/>
        <v>整備しない場合は入力不要です。</v>
      </c>
    </row>
    <row r="58" spans="1:30">
      <c r="A58" s="12">
        <v>29</v>
      </c>
      <c r="B58" s="6"/>
      <c r="C58" s="6"/>
      <c r="D58" s="6"/>
      <c r="E58" s="10"/>
      <c r="F58" s="7"/>
      <c r="G58" s="531"/>
      <c r="H58" s="15">
        <f t="shared" si="2"/>
        <v>0</v>
      </c>
      <c r="I58" s="4">
        <f t="shared" si="3"/>
        <v>0</v>
      </c>
      <c r="J58" s="9"/>
      <c r="K58" s="595"/>
      <c r="L58" s="595"/>
      <c r="M58" s="595"/>
      <c r="N58" s="4">
        <f t="shared" si="0"/>
        <v>0</v>
      </c>
      <c r="O58" s="5" t="str">
        <f>IF(AC58="◎",COUNTIF($AC$30:AC58,"◎"),"")</f>
        <v/>
      </c>
      <c r="Q58" s="596" t="str">
        <f t="shared" si="4"/>
        <v/>
      </c>
      <c r="R58" s="648" t="str">
        <f t="shared" si="5"/>
        <v/>
      </c>
      <c r="S58" s="648" t="str">
        <f t="shared" si="6"/>
        <v/>
      </c>
      <c r="T58" s="648" t="str">
        <f t="shared" si="7"/>
        <v/>
      </c>
      <c r="Z58" s="649" t="str">
        <f>IF(B58="個別病床",はじめに入力してください!$K$50,IF(B58="共通使用",はじめに入力してください!$K$52,""))</f>
        <v/>
      </c>
      <c r="AB58" s="12">
        <v>29</v>
      </c>
      <c r="AC58" s="648" t="str">
        <f t="shared" si="8"/>
        <v>○</v>
      </c>
      <c r="AD58" s="649" t="str">
        <f t="shared" si="1"/>
        <v>整備しない場合は入力不要です。</v>
      </c>
    </row>
    <row r="59" spans="1:30">
      <c r="A59" s="12">
        <v>30</v>
      </c>
      <c r="B59" s="6"/>
      <c r="C59" s="6"/>
      <c r="D59" s="6"/>
      <c r="E59" s="10"/>
      <c r="F59" s="7"/>
      <c r="G59" s="531"/>
      <c r="H59" s="15">
        <f t="shared" si="2"/>
        <v>0</v>
      </c>
      <c r="I59" s="4">
        <f t="shared" si="3"/>
        <v>0</v>
      </c>
      <c r="J59" s="9"/>
      <c r="K59" s="595"/>
      <c r="L59" s="595"/>
      <c r="M59" s="595"/>
      <c r="N59" s="4">
        <f t="shared" si="0"/>
        <v>0</v>
      </c>
      <c r="O59" s="5" t="str">
        <f>IF(AC59="◎",COUNTIF($AC$30:AC59,"◎"),"")</f>
        <v/>
      </c>
      <c r="Q59" s="596" t="str">
        <f t="shared" si="4"/>
        <v/>
      </c>
      <c r="R59" s="648" t="str">
        <f t="shared" si="5"/>
        <v/>
      </c>
      <c r="S59" s="648" t="str">
        <f t="shared" si="6"/>
        <v/>
      </c>
      <c r="T59" s="648" t="str">
        <f t="shared" si="7"/>
        <v/>
      </c>
      <c r="Z59" s="649" t="str">
        <f>IF(B59="個別病床",はじめに入力してください!$K$50,IF(B59="共通使用",はじめに入力してください!$K$52,""))</f>
        <v/>
      </c>
      <c r="AB59" s="12">
        <v>30</v>
      </c>
      <c r="AC59" s="648" t="str">
        <f t="shared" si="8"/>
        <v>○</v>
      </c>
      <c r="AD59" s="649" t="str">
        <f t="shared" si="1"/>
        <v>整備しない場合は入力不要です。</v>
      </c>
    </row>
    <row r="60" spans="1:30">
      <c r="A60" s="12">
        <v>31</v>
      </c>
      <c r="B60" s="6"/>
      <c r="C60" s="6"/>
      <c r="D60" s="6"/>
      <c r="E60" s="10"/>
      <c r="F60" s="7"/>
      <c r="G60" s="531"/>
      <c r="H60" s="15">
        <f t="shared" si="2"/>
        <v>0</v>
      </c>
      <c r="I60" s="4">
        <f t="shared" si="3"/>
        <v>0</v>
      </c>
      <c r="J60" s="9"/>
      <c r="K60" s="595"/>
      <c r="L60" s="595"/>
      <c r="M60" s="595"/>
      <c r="N60" s="4">
        <f t="shared" si="0"/>
        <v>0</v>
      </c>
      <c r="O60" s="5" t="str">
        <f>IF(AC60="◎",COUNTIF($AC$30:AC60,"◎"),"")</f>
        <v/>
      </c>
      <c r="Q60" s="596" t="str">
        <f t="shared" si="4"/>
        <v/>
      </c>
      <c r="R60" s="648" t="str">
        <f t="shared" si="5"/>
        <v/>
      </c>
      <c r="S60" s="648" t="str">
        <f t="shared" si="6"/>
        <v/>
      </c>
      <c r="T60" s="648" t="str">
        <f t="shared" si="7"/>
        <v/>
      </c>
      <c r="Z60" s="649" t="str">
        <f>IF(B60="個別病床",はじめに入力してください!$K$50,IF(B60="共通使用",はじめに入力してください!$K$52,""))</f>
        <v/>
      </c>
      <c r="AB60" s="12">
        <v>31</v>
      </c>
      <c r="AC60" s="648" t="str">
        <f t="shared" si="8"/>
        <v>○</v>
      </c>
      <c r="AD60" s="649" t="str">
        <f t="shared" si="1"/>
        <v>整備しない場合は入力不要です。</v>
      </c>
    </row>
    <row r="61" spans="1:30">
      <c r="A61" s="12">
        <v>32</v>
      </c>
      <c r="B61" s="6"/>
      <c r="C61" s="6"/>
      <c r="D61" s="6"/>
      <c r="E61" s="10"/>
      <c r="F61" s="7"/>
      <c r="G61" s="531"/>
      <c r="H61" s="15">
        <f t="shared" si="2"/>
        <v>0</v>
      </c>
      <c r="I61" s="4">
        <f t="shared" si="3"/>
        <v>0</v>
      </c>
      <c r="J61" s="9"/>
      <c r="K61" s="595"/>
      <c r="L61" s="595"/>
      <c r="M61" s="595"/>
      <c r="N61" s="4">
        <f t="shared" si="0"/>
        <v>0</v>
      </c>
      <c r="O61" s="5" t="str">
        <f>IF(AC61="◎",COUNTIF($AC$30:AC61,"◎"),"")</f>
        <v/>
      </c>
      <c r="Q61" s="596" t="str">
        <f t="shared" si="4"/>
        <v/>
      </c>
      <c r="R61" s="648" t="str">
        <f t="shared" si="5"/>
        <v/>
      </c>
      <c r="S61" s="648" t="str">
        <f t="shared" si="6"/>
        <v/>
      </c>
      <c r="T61" s="648" t="str">
        <f t="shared" si="7"/>
        <v/>
      </c>
      <c r="Z61" s="649" t="str">
        <f>IF(B61="個別病床",はじめに入力してください!$K$50,IF(B61="共通使用",はじめに入力してください!$K$52,""))</f>
        <v/>
      </c>
      <c r="AB61" s="12">
        <v>32</v>
      </c>
      <c r="AC61" s="648" t="str">
        <f t="shared" si="8"/>
        <v>○</v>
      </c>
      <c r="AD61" s="649" t="str">
        <f t="shared" si="1"/>
        <v>整備しない場合は入力不要です。</v>
      </c>
    </row>
    <row r="62" spans="1:30">
      <c r="A62" s="12">
        <v>33</v>
      </c>
      <c r="B62" s="6"/>
      <c r="C62" s="6"/>
      <c r="D62" s="6"/>
      <c r="E62" s="10"/>
      <c r="F62" s="7"/>
      <c r="G62" s="531"/>
      <c r="H62" s="15">
        <f t="shared" si="2"/>
        <v>0</v>
      </c>
      <c r="I62" s="4">
        <f t="shared" si="3"/>
        <v>0</v>
      </c>
      <c r="J62" s="9"/>
      <c r="K62" s="595"/>
      <c r="L62" s="595"/>
      <c r="M62" s="595"/>
      <c r="N62" s="4">
        <f t="shared" si="0"/>
        <v>0</v>
      </c>
      <c r="O62" s="5" t="str">
        <f>IF(AC62="◎",COUNTIF($AC$30:AC62,"◎"),"")</f>
        <v/>
      </c>
      <c r="Q62" s="596" t="str">
        <f t="shared" si="4"/>
        <v/>
      </c>
      <c r="R62" s="648" t="str">
        <f t="shared" si="5"/>
        <v/>
      </c>
      <c r="S62" s="648" t="str">
        <f t="shared" si="6"/>
        <v/>
      </c>
      <c r="T62" s="648" t="str">
        <f t="shared" si="7"/>
        <v/>
      </c>
      <c r="Z62" s="649" t="str">
        <f>IF(B62="個別病床",はじめに入力してください!$K$50,IF(B62="共通使用",はじめに入力してください!$K$52,""))</f>
        <v/>
      </c>
      <c r="AB62" s="12">
        <v>33</v>
      </c>
      <c r="AC62" s="648" t="str">
        <f t="shared" si="8"/>
        <v>○</v>
      </c>
      <c r="AD62" s="649" t="str">
        <f t="shared" si="1"/>
        <v>整備しない場合は入力不要です。</v>
      </c>
    </row>
    <row r="63" spans="1:30">
      <c r="A63" s="12">
        <v>34</v>
      </c>
      <c r="B63" s="6"/>
      <c r="C63" s="6"/>
      <c r="D63" s="6"/>
      <c r="E63" s="10"/>
      <c r="F63" s="7"/>
      <c r="G63" s="531"/>
      <c r="H63" s="15">
        <f t="shared" si="2"/>
        <v>0</v>
      </c>
      <c r="I63" s="4">
        <f t="shared" si="3"/>
        <v>0</v>
      </c>
      <c r="J63" s="9"/>
      <c r="K63" s="595"/>
      <c r="L63" s="595"/>
      <c r="M63" s="595"/>
      <c r="N63" s="4">
        <f t="shared" si="0"/>
        <v>0</v>
      </c>
      <c r="O63" s="5" t="str">
        <f>IF(AC63="◎",COUNTIF($AC$30:AC63,"◎"),"")</f>
        <v/>
      </c>
      <c r="Q63" s="596" t="str">
        <f t="shared" si="4"/>
        <v/>
      </c>
      <c r="R63" s="648" t="str">
        <f t="shared" si="5"/>
        <v/>
      </c>
      <c r="S63" s="648" t="str">
        <f t="shared" si="6"/>
        <v/>
      </c>
      <c r="T63" s="648" t="str">
        <f t="shared" si="7"/>
        <v/>
      </c>
      <c r="Z63" s="649" t="str">
        <f>IF(B63="個別病床",はじめに入力してください!$K$50,IF(B63="共通使用",はじめに入力してください!$K$52,""))</f>
        <v/>
      </c>
      <c r="AB63" s="12">
        <v>34</v>
      </c>
      <c r="AC63" s="648" t="str">
        <f t="shared" si="8"/>
        <v>○</v>
      </c>
      <c r="AD63" s="649" t="str">
        <f t="shared" si="1"/>
        <v>整備しない場合は入力不要です。</v>
      </c>
    </row>
    <row r="64" spans="1:30">
      <c r="A64" s="12">
        <v>35</v>
      </c>
      <c r="B64" s="6"/>
      <c r="C64" s="6"/>
      <c r="D64" s="6"/>
      <c r="E64" s="10"/>
      <c r="F64" s="7"/>
      <c r="G64" s="531"/>
      <c r="H64" s="15">
        <f t="shared" si="2"/>
        <v>0</v>
      </c>
      <c r="I64" s="4">
        <f t="shared" si="3"/>
        <v>0</v>
      </c>
      <c r="J64" s="9"/>
      <c r="K64" s="595"/>
      <c r="L64" s="595"/>
      <c r="M64" s="595"/>
      <c r="N64" s="4">
        <f t="shared" si="0"/>
        <v>0</v>
      </c>
      <c r="O64" s="5" t="str">
        <f>IF(AC64="◎",COUNTIF($AC$30:AC64,"◎"),"")</f>
        <v/>
      </c>
      <c r="Q64" s="596" t="str">
        <f t="shared" si="4"/>
        <v/>
      </c>
      <c r="R64" s="648" t="str">
        <f t="shared" si="5"/>
        <v/>
      </c>
      <c r="S64" s="648" t="str">
        <f t="shared" si="6"/>
        <v/>
      </c>
      <c r="T64" s="648" t="str">
        <f t="shared" si="7"/>
        <v/>
      </c>
      <c r="Z64" s="649" t="str">
        <f>IF(B64="個別病床",はじめに入力してください!$K$50,IF(B64="共通使用",はじめに入力してください!$K$52,""))</f>
        <v/>
      </c>
      <c r="AB64" s="12">
        <v>35</v>
      </c>
      <c r="AC64" s="648" t="str">
        <f t="shared" si="8"/>
        <v>○</v>
      </c>
      <c r="AD64" s="649" t="str">
        <f t="shared" si="1"/>
        <v>整備しない場合は入力不要です。</v>
      </c>
    </row>
    <row r="65" spans="1:30">
      <c r="A65" s="12">
        <v>36</v>
      </c>
      <c r="B65" s="6"/>
      <c r="C65" s="6"/>
      <c r="D65" s="6"/>
      <c r="E65" s="10"/>
      <c r="F65" s="7"/>
      <c r="G65" s="531"/>
      <c r="H65" s="15">
        <f t="shared" si="2"/>
        <v>0</v>
      </c>
      <c r="I65" s="4">
        <f t="shared" si="3"/>
        <v>0</v>
      </c>
      <c r="J65" s="9"/>
      <c r="K65" s="595"/>
      <c r="L65" s="595"/>
      <c r="M65" s="595"/>
      <c r="N65" s="4">
        <f t="shared" si="0"/>
        <v>0</v>
      </c>
      <c r="O65" s="5" t="str">
        <f>IF(AC65="◎",COUNTIF($AC$30:AC65,"◎"),"")</f>
        <v/>
      </c>
      <c r="Q65" s="596" t="str">
        <f t="shared" si="4"/>
        <v/>
      </c>
      <c r="R65" s="648" t="str">
        <f t="shared" si="5"/>
        <v/>
      </c>
      <c r="S65" s="648" t="str">
        <f t="shared" si="6"/>
        <v/>
      </c>
      <c r="T65" s="648" t="str">
        <f t="shared" si="7"/>
        <v/>
      </c>
      <c r="Z65" s="649" t="str">
        <f>IF(B65="個別病床",はじめに入力してください!$K$50,IF(B65="共通使用",はじめに入力してください!$K$52,""))</f>
        <v/>
      </c>
      <c r="AB65" s="12">
        <v>36</v>
      </c>
      <c r="AC65" s="648" t="str">
        <f t="shared" si="8"/>
        <v>○</v>
      </c>
      <c r="AD65" s="649" t="str">
        <f t="shared" si="1"/>
        <v>整備しない場合は入力不要です。</v>
      </c>
    </row>
    <row r="66" spans="1:30">
      <c r="A66" s="12">
        <v>37</v>
      </c>
      <c r="B66" s="6"/>
      <c r="C66" s="6"/>
      <c r="D66" s="6"/>
      <c r="E66" s="10"/>
      <c r="F66" s="7"/>
      <c r="G66" s="531"/>
      <c r="H66" s="15">
        <f t="shared" si="2"/>
        <v>0</v>
      </c>
      <c r="I66" s="4">
        <f t="shared" si="3"/>
        <v>0</v>
      </c>
      <c r="J66" s="9"/>
      <c r="K66" s="595"/>
      <c r="L66" s="595"/>
      <c r="M66" s="595"/>
      <c r="N66" s="4">
        <f t="shared" si="0"/>
        <v>0</v>
      </c>
      <c r="O66" s="5" t="str">
        <f>IF(AC66="◎",COUNTIF($AC$30:AC66,"◎"),"")</f>
        <v/>
      </c>
      <c r="Q66" s="596" t="str">
        <f t="shared" si="4"/>
        <v/>
      </c>
      <c r="R66" s="648" t="str">
        <f t="shared" si="5"/>
        <v/>
      </c>
      <c r="S66" s="648" t="str">
        <f t="shared" si="6"/>
        <v/>
      </c>
      <c r="T66" s="648" t="str">
        <f t="shared" si="7"/>
        <v/>
      </c>
      <c r="Z66" s="649" t="str">
        <f>IF(B66="個別病床",はじめに入力してください!$K$50,IF(B66="共通使用",はじめに入力してください!$K$52,""))</f>
        <v/>
      </c>
      <c r="AB66" s="12">
        <v>37</v>
      </c>
      <c r="AC66" s="648" t="str">
        <f t="shared" si="8"/>
        <v>○</v>
      </c>
      <c r="AD66" s="649" t="str">
        <f t="shared" si="1"/>
        <v>整備しない場合は入力不要です。</v>
      </c>
    </row>
    <row r="67" spans="1:30">
      <c r="A67" s="12">
        <v>38</v>
      </c>
      <c r="B67" s="6"/>
      <c r="C67" s="6"/>
      <c r="D67" s="6"/>
      <c r="E67" s="10"/>
      <c r="F67" s="7"/>
      <c r="G67" s="531"/>
      <c r="H67" s="15">
        <f t="shared" si="2"/>
        <v>0</v>
      </c>
      <c r="I67" s="4">
        <f t="shared" si="3"/>
        <v>0</v>
      </c>
      <c r="J67" s="9"/>
      <c r="K67" s="595"/>
      <c r="L67" s="595"/>
      <c r="M67" s="595"/>
      <c r="N67" s="4">
        <f t="shared" si="0"/>
        <v>0</v>
      </c>
      <c r="O67" s="5" t="str">
        <f>IF(AC67="◎",COUNTIF($AC$30:AC67,"◎"),"")</f>
        <v/>
      </c>
      <c r="Q67" s="596" t="str">
        <f t="shared" si="4"/>
        <v/>
      </c>
      <c r="R67" s="648" t="str">
        <f t="shared" si="5"/>
        <v/>
      </c>
      <c r="S67" s="648" t="str">
        <f t="shared" si="6"/>
        <v/>
      </c>
      <c r="T67" s="648" t="str">
        <f t="shared" si="7"/>
        <v/>
      </c>
      <c r="Z67" s="649" t="str">
        <f>IF(B67="個別病床",はじめに入力してください!$K$50,IF(B67="共通使用",はじめに入力してください!$K$52,""))</f>
        <v/>
      </c>
      <c r="AB67" s="12">
        <v>38</v>
      </c>
      <c r="AC67" s="648" t="str">
        <f t="shared" si="8"/>
        <v>○</v>
      </c>
      <c r="AD67" s="649" t="str">
        <f t="shared" si="1"/>
        <v>整備しない場合は入力不要です。</v>
      </c>
    </row>
    <row r="68" spans="1:30">
      <c r="A68" s="12">
        <v>39</v>
      </c>
      <c r="B68" s="6"/>
      <c r="C68" s="6"/>
      <c r="D68" s="6"/>
      <c r="E68" s="10"/>
      <c r="F68" s="7"/>
      <c r="G68" s="531"/>
      <c r="H68" s="15">
        <f t="shared" si="2"/>
        <v>0</v>
      </c>
      <c r="I68" s="4">
        <f t="shared" si="3"/>
        <v>0</v>
      </c>
      <c r="J68" s="9"/>
      <c r="K68" s="595"/>
      <c r="L68" s="595"/>
      <c r="M68" s="595"/>
      <c r="N68" s="4">
        <f t="shared" si="0"/>
        <v>0</v>
      </c>
      <c r="O68" s="5" t="str">
        <f>IF(AC68="◎",COUNTIF($AC$30:AC68,"◎"),"")</f>
        <v/>
      </c>
      <c r="Q68" s="596" t="str">
        <f t="shared" si="4"/>
        <v/>
      </c>
      <c r="R68" s="648" t="str">
        <f t="shared" si="5"/>
        <v/>
      </c>
      <c r="S68" s="648" t="str">
        <f t="shared" si="6"/>
        <v/>
      </c>
      <c r="T68" s="648" t="str">
        <f t="shared" si="7"/>
        <v/>
      </c>
      <c r="Z68" s="649" t="str">
        <f>IF(B68="個別病床",はじめに入力してください!$K$50,IF(B68="共通使用",はじめに入力してください!$K$52,""))</f>
        <v/>
      </c>
      <c r="AB68" s="12">
        <v>39</v>
      </c>
      <c r="AC68" s="648" t="str">
        <f t="shared" si="8"/>
        <v>○</v>
      </c>
      <c r="AD68" s="649" t="str">
        <f t="shared" si="1"/>
        <v>整備しない場合は入力不要です。</v>
      </c>
    </row>
    <row r="69" spans="1:30">
      <c r="A69" s="12">
        <v>40</v>
      </c>
      <c r="B69" s="6"/>
      <c r="C69" s="6"/>
      <c r="D69" s="6"/>
      <c r="E69" s="10"/>
      <c r="F69" s="7"/>
      <c r="G69" s="531"/>
      <c r="H69" s="15">
        <f t="shared" si="2"/>
        <v>0</v>
      </c>
      <c r="I69" s="4">
        <f t="shared" si="3"/>
        <v>0</v>
      </c>
      <c r="J69" s="9"/>
      <c r="K69" s="595"/>
      <c r="L69" s="595"/>
      <c r="M69" s="595"/>
      <c r="N69" s="4">
        <f t="shared" si="0"/>
        <v>0</v>
      </c>
      <c r="O69" s="5" t="str">
        <f>IF(AC69="◎",COUNTIF($AC$30:AC69,"◎"),"")</f>
        <v/>
      </c>
      <c r="Q69" s="596" t="str">
        <f t="shared" si="4"/>
        <v/>
      </c>
      <c r="R69" s="648" t="str">
        <f t="shared" si="5"/>
        <v/>
      </c>
      <c r="S69" s="648" t="str">
        <f t="shared" si="6"/>
        <v/>
      </c>
      <c r="T69" s="648" t="str">
        <f t="shared" si="7"/>
        <v/>
      </c>
      <c r="Z69" s="649" t="str">
        <f>IF(B69="個別病床",はじめに入力してください!$K$50,IF(B69="共通使用",はじめに入力してください!$K$52,""))</f>
        <v/>
      </c>
      <c r="AB69" s="12">
        <v>40</v>
      </c>
      <c r="AC69" s="648" t="str">
        <f t="shared" si="8"/>
        <v>○</v>
      </c>
      <c r="AD69" s="649" t="str">
        <f t="shared" si="1"/>
        <v>整備しない場合は入力不要です。</v>
      </c>
    </row>
    <row r="70" spans="1:30">
      <c r="A70" s="12">
        <v>41</v>
      </c>
      <c r="B70" s="6"/>
      <c r="C70" s="6"/>
      <c r="D70" s="6"/>
      <c r="E70" s="10"/>
      <c r="F70" s="7"/>
      <c r="G70" s="531"/>
      <c r="H70" s="15">
        <f t="shared" si="2"/>
        <v>0</v>
      </c>
      <c r="I70" s="4">
        <f t="shared" si="3"/>
        <v>0</v>
      </c>
      <c r="J70" s="9"/>
      <c r="K70" s="595"/>
      <c r="L70" s="595"/>
      <c r="M70" s="595"/>
      <c r="N70" s="4">
        <f t="shared" si="0"/>
        <v>0</v>
      </c>
      <c r="O70" s="5" t="str">
        <f>IF(AC70="◎",COUNTIF($AC$30:AC70,"◎"),"")</f>
        <v/>
      </c>
      <c r="Q70" s="596" t="str">
        <f t="shared" si="4"/>
        <v/>
      </c>
      <c r="R70" s="648" t="str">
        <f t="shared" si="5"/>
        <v/>
      </c>
      <c r="S70" s="648" t="str">
        <f t="shared" si="6"/>
        <v/>
      </c>
      <c r="T70" s="648" t="str">
        <f t="shared" si="7"/>
        <v/>
      </c>
      <c r="Z70" s="649" t="str">
        <f>IF(B70="個別病床",はじめに入力してください!$K$50,IF(B70="共通使用",はじめに入力してください!$K$52,""))</f>
        <v/>
      </c>
      <c r="AB70" s="12">
        <v>41</v>
      </c>
      <c r="AC70" s="648" t="str">
        <f t="shared" si="8"/>
        <v>○</v>
      </c>
      <c r="AD70" s="649" t="str">
        <f t="shared" si="1"/>
        <v>整備しない場合は入力不要です。</v>
      </c>
    </row>
    <row r="71" spans="1:30">
      <c r="A71" s="12">
        <v>42</v>
      </c>
      <c r="B71" s="6"/>
      <c r="C71" s="6"/>
      <c r="D71" s="6"/>
      <c r="E71" s="10"/>
      <c r="F71" s="7"/>
      <c r="G71" s="531"/>
      <c r="H71" s="15">
        <f t="shared" si="2"/>
        <v>0</v>
      </c>
      <c r="I71" s="4">
        <f t="shared" si="3"/>
        <v>0</v>
      </c>
      <c r="J71" s="9"/>
      <c r="K71" s="595"/>
      <c r="L71" s="595"/>
      <c r="M71" s="595"/>
      <c r="N71" s="4">
        <f t="shared" si="0"/>
        <v>0</v>
      </c>
      <c r="O71" s="5" t="str">
        <f>IF(AC71="◎",COUNTIF($AC$30:AC71,"◎"),"")</f>
        <v/>
      </c>
      <c r="Q71" s="596" t="str">
        <f t="shared" si="4"/>
        <v/>
      </c>
      <c r="R71" s="648" t="str">
        <f t="shared" si="5"/>
        <v/>
      </c>
      <c r="S71" s="648" t="str">
        <f t="shared" si="6"/>
        <v/>
      </c>
      <c r="T71" s="648" t="str">
        <f t="shared" si="7"/>
        <v/>
      </c>
      <c r="Z71" s="649" t="str">
        <f>IF(B71="個別病床",はじめに入力してください!$K$50,IF(B71="共通使用",はじめに入力してください!$K$52,""))</f>
        <v/>
      </c>
      <c r="AB71" s="12">
        <v>42</v>
      </c>
      <c r="AC71" s="648" t="str">
        <f t="shared" si="8"/>
        <v>○</v>
      </c>
      <c r="AD71" s="649" t="str">
        <f t="shared" si="1"/>
        <v>整備しない場合は入力不要です。</v>
      </c>
    </row>
    <row r="72" spans="1:30">
      <c r="A72" s="12">
        <v>43</v>
      </c>
      <c r="B72" s="6"/>
      <c r="C72" s="6"/>
      <c r="D72" s="6"/>
      <c r="E72" s="10"/>
      <c r="F72" s="7"/>
      <c r="G72" s="531"/>
      <c r="H72" s="15">
        <f t="shared" si="2"/>
        <v>0</v>
      </c>
      <c r="I72" s="4">
        <f t="shared" si="3"/>
        <v>0</v>
      </c>
      <c r="J72" s="9"/>
      <c r="K72" s="595"/>
      <c r="L72" s="595"/>
      <c r="M72" s="595"/>
      <c r="N72" s="4">
        <f t="shared" si="0"/>
        <v>0</v>
      </c>
      <c r="O72" s="5" t="str">
        <f>IF(AC72="◎",COUNTIF($AC$30:AC72,"◎"),"")</f>
        <v/>
      </c>
      <c r="Q72" s="596" t="str">
        <f t="shared" si="4"/>
        <v/>
      </c>
      <c r="R72" s="648" t="str">
        <f t="shared" si="5"/>
        <v/>
      </c>
      <c r="S72" s="648" t="str">
        <f t="shared" si="6"/>
        <v/>
      </c>
      <c r="T72" s="648" t="str">
        <f t="shared" si="7"/>
        <v/>
      </c>
      <c r="Z72" s="649" t="str">
        <f>IF(B72="個別病床",はじめに入力してください!$K$50,IF(B72="共通使用",はじめに入力してください!$K$52,""))</f>
        <v/>
      </c>
      <c r="AB72" s="12">
        <v>43</v>
      </c>
      <c r="AC72" s="648" t="str">
        <f t="shared" si="8"/>
        <v>○</v>
      </c>
      <c r="AD72" s="649" t="str">
        <f t="shared" si="1"/>
        <v>整備しない場合は入力不要です。</v>
      </c>
    </row>
    <row r="73" spans="1:30">
      <c r="A73" s="12">
        <v>44</v>
      </c>
      <c r="B73" s="6"/>
      <c r="C73" s="6"/>
      <c r="D73" s="6"/>
      <c r="E73" s="10"/>
      <c r="F73" s="7"/>
      <c r="G73" s="531"/>
      <c r="H73" s="15">
        <f t="shared" si="2"/>
        <v>0</v>
      </c>
      <c r="I73" s="4">
        <f t="shared" si="3"/>
        <v>0</v>
      </c>
      <c r="J73" s="9"/>
      <c r="K73" s="595"/>
      <c r="L73" s="595"/>
      <c r="M73" s="595"/>
      <c r="N73" s="4">
        <f t="shared" si="0"/>
        <v>0</v>
      </c>
      <c r="O73" s="5" t="str">
        <f>IF(AC73="◎",COUNTIF($AC$30:AC73,"◎"),"")</f>
        <v/>
      </c>
      <c r="Q73" s="596" t="str">
        <f t="shared" si="4"/>
        <v/>
      </c>
      <c r="R73" s="648" t="str">
        <f t="shared" si="5"/>
        <v/>
      </c>
      <c r="S73" s="648" t="str">
        <f t="shared" si="6"/>
        <v/>
      </c>
      <c r="T73" s="648" t="str">
        <f t="shared" si="7"/>
        <v/>
      </c>
      <c r="Z73" s="649" t="str">
        <f>IF(B73="個別病床",はじめに入力してください!$K$50,IF(B73="共通使用",はじめに入力してください!$K$52,""))</f>
        <v/>
      </c>
      <c r="AB73" s="12">
        <v>44</v>
      </c>
      <c r="AC73" s="648" t="str">
        <f t="shared" si="8"/>
        <v>○</v>
      </c>
      <c r="AD73" s="649" t="str">
        <f t="shared" si="1"/>
        <v>整備しない場合は入力不要です。</v>
      </c>
    </row>
    <row r="74" spans="1:30">
      <c r="A74" s="12">
        <v>45</v>
      </c>
      <c r="B74" s="6"/>
      <c r="C74" s="6"/>
      <c r="D74" s="6"/>
      <c r="E74" s="10"/>
      <c r="F74" s="7"/>
      <c r="G74" s="531"/>
      <c r="H74" s="15">
        <f t="shared" si="2"/>
        <v>0</v>
      </c>
      <c r="I74" s="4">
        <f t="shared" si="3"/>
        <v>0</v>
      </c>
      <c r="J74" s="9"/>
      <c r="K74" s="595"/>
      <c r="L74" s="595"/>
      <c r="M74" s="595"/>
      <c r="N74" s="4">
        <f t="shared" si="0"/>
        <v>0</v>
      </c>
      <c r="O74" s="5" t="str">
        <f>IF(AC74="◎",COUNTIF($AC$30:AC74,"◎"),"")</f>
        <v/>
      </c>
      <c r="Q74" s="596" t="str">
        <f t="shared" si="4"/>
        <v/>
      </c>
      <c r="R74" s="648" t="str">
        <f t="shared" si="5"/>
        <v/>
      </c>
      <c r="S74" s="648" t="str">
        <f t="shared" si="6"/>
        <v/>
      </c>
      <c r="T74" s="648" t="str">
        <f t="shared" si="7"/>
        <v/>
      </c>
      <c r="Z74" s="649" t="str">
        <f>IF(B74="個別病床",はじめに入力してください!$K$50,IF(B74="共通使用",はじめに入力してください!$K$52,""))</f>
        <v/>
      </c>
      <c r="AB74" s="12">
        <v>45</v>
      </c>
      <c r="AC74" s="648" t="str">
        <f t="shared" si="8"/>
        <v>○</v>
      </c>
      <c r="AD74" s="649" t="str">
        <f t="shared" si="1"/>
        <v>整備しない場合は入力不要です。</v>
      </c>
    </row>
  </sheetData>
  <sheetProtection algorithmName="SHA-512" hashValue="p0DfNq4adxsIv8i9kbnV291KCLiXkAEHtbOAF27ryB2iFWbpXmQ7LZmcfwVM8K0PpVLbpi9P+ym9/J+C0iN+Vw==" saltValue="HhhryyGLR07J5wMDmeG0Ng==" spinCount="100000" sheet="1" objects="1" scenarios="1"/>
  <mergeCells count="25">
    <mergeCell ref="N1:P1"/>
    <mergeCell ref="B22:O22"/>
    <mergeCell ref="B2:D3"/>
    <mergeCell ref="AC3:AC5"/>
    <mergeCell ref="AD3:AD5"/>
    <mergeCell ref="AC7:AC8"/>
    <mergeCell ref="AD7:AD8"/>
    <mergeCell ref="B10:O10"/>
    <mergeCell ref="B13:O13"/>
    <mergeCell ref="B14:O14"/>
    <mergeCell ref="B15:O15"/>
    <mergeCell ref="B18:O21"/>
    <mergeCell ref="B7:O7"/>
    <mergeCell ref="B9:C9"/>
    <mergeCell ref="B12:O12"/>
    <mergeCell ref="B26:O26"/>
    <mergeCell ref="AC27:AC28"/>
    <mergeCell ref="AD27:AD28"/>
    <mergeCell ref="B28:D28"/>
    <mergeCell ref="E28:F28"/>
    <mergeCell ref="G28:J28"/>
    <mergeCell ref="N28:N29"/>
    <mergeCell ref="O28:O29"/>
    <mergeCell ref="K28:M28"/>
    <mergeCell ref="Q28:Q29"/>
  </mergeCells>
  <phoneticPr fontId="9"/>
  <conditionalFormatting sqref="AC29 AC1:AC2 AC11:AC21 AC6 AC23:AC27 AC75:AC1048576">
    <cfRule type="containsText" dxfId="143" priority="11" operator="containsText" text="×">
      <formula>NOT(ISERROR(SEARCH("×",AC1)))</formula>
    </cfRule>
  </conditionalFormatting>
  <conditionalFormatting sqref="AD1:AD2 AD11:AD21 AD29 AD6 AD23:AD27 AD75:AD1048576">
    <cfRule type="containsText" dxfId="142" priority="10" operator="containsText" text="要修正">
      <formula>NOT(ISERROR(SEARCH("要修正",AD1)))</formula>
    </cfRule>
  </conditionalFormatting>
  <conditionalFormatting sqref="AC22">
    <cfRule type="containsText" dxfId="141" priority="9" operator="containsText" text="×">
      <formula>NOT(ISERROR(SEARCH("×",AC22)))</formula>
    </cfRule>
  </conditionalFormatting>
  <conditionalFormatting sqref="AD22">
    <cfRule type="containsText" dxfId="140" priority="8" operator="containsText" text="要修正">
      <formula>NOT(ISERROR(SEARCH("要修正",AD22)))</formula>
    </cfRule>
  </conditionalFormatting>
  <conditionalFormatting sqref="AC9:AC10 AC7">
    <cfRule type="containsText" dxfId="139" priority="7" operator="containsText" text="×">
      <formula>NOT(ISERROR(SEARCH("×",AC7)))</formula>
    </cfRule>
  </conditionalFormatting>
  <conditionalFormatting sqref="AD9:AD10 AD7">
    <cfRule type="containsText" dxfId="138" priority="6" operator="containsText" text="要修正">
      <formula>NOT(ISERROR(SEARCH("要修正",AD7)))</formula>
    </cfRule>
  </conditionalFormatting>
  <conditionalFormatting sqref="AC3:AC4">
    <cfRule type="containsText" dxfId="137" priority="5" operator="containsText" text="×">
      <formula>NOT(ISERROR(SEARCH("×",AC3)))</formula>
    </cfRule>
  </conditionalFormatting>
  <conditionalFormatting sqref="AD3:AD4">
    <cfRule type="containsText" dxfId="136" priority="4" operator="containsText" text="要修正">
      <formula>NOT(ISERROR(SEARCH("要修正",AD3)))</formula>
    </cfRule>
  </conditionalFormatting>
  <conditionalFormatting sqref="AD30:AD74">
    <cfRule type="containsText" dxfId="135" priority="2" operator="containsText" text="要修正">
      <formula>NOT(ISERROR(SEARCH("要修正",AD30)))</formula>
    </cfRule>
  </conditionalFormatting>
  <conditionalFormatting sqref="AC30:AC74">
    <cfRule type="containsText" dxfId="134" priority="1" operator="containsText" text="×">
      <formula>NOT(ISERROR(SEARCH("×",AC30)))</formula>
    </cfRule>
  </conditionalFormatting>
  <dataValidations xWindow="402" yWindow="610" count="10">
    <dataValidation allowBlank="1" showInputMessage="1" showErrorMessage="1" promptTitle="割引額がある場合は入力" prompt="割引がない場合は「0円」のままとしてください。" sqref="I3" xr:uid="{00000000-0002-0000-0F00-000000000000}"/>
    <dataValidation allowBlank="1" showInputMessage="1" showErrorMessage="1" promptTitle="補助対象金額" prompt="補助対象額×（見積書金額-割引額）/見積書金額_x000a_で算出されます。" sqref="J3:M3" xr:uid="{5612C498-9D87-49BB-9B26-A20476B23FEB}"/>
    <dataValidation allowBlank="1" showInputMessage="1" showErrorMessage="1" promptTitle="規格及び数量の入力" prompt="補助対象経費を計上する際、いずれも入力してください。" sqref="E30:E74" xr:uid="{73214E1F-1142-476E-B863-E6D119B443E9}"/>
    <dataValidation allowBlank="1" showInputMessage="1" showErrorMessage="1" promptTitle="単価の入力" prompt="税抜額または税込額のいずれかを入力してください。_x000a_入力しない方は「0」は入力せず、空欄としてください。" sqref="H30:H74" xr:uid="{5B6C633B-F106-4B4A-988F-13E29FEE74A7}"/>
    <dataValidation allowBlank="1" showInputMessage="1" showErrorMessage="1" promptTitle="添付書類番号" prompt="種類、規格、数量、単価が全て適切に入力され、右の「判定」が「◎」と表示されると自動で番号が表示されます。" sqref="O30:O74" xr:uid="{52C5CA48-047A-42F7-9207-D5486BFE2D8B}"/>
    <dataValidation allowBlank="1" showInputMessage="1" showErrorMessage="1" promptTitle="金額の表示" prompt="数式が入力されているため、自動計算されます。" sqref="N30:N74 I30:I74" xr:uid="{51F5CCC9-4DCE-4705-89FB-59BDAE585DDF}"/>
    <dataValidation type="list" allowBlank="1" showInputMessage="1" showErrorMessage="1" promptTitle="補助対象の該当非該当" prompt="コロナ対応病床の初度設備に係る経費が対象となります。_x000a_共用部分の設備、備品や医療用消耗品等は補助対象外なので「対象外」を選択してください。_x000a_審査において確認、対象外と認めたものについては対象外として補正をお願いする場合があります。" sqref="J30:J74" xr:uid="{AF5F3CA1-6F00-42FF-8DC1-32C5157A1230}">
      <formula1>"補助対象,補助対象外"</formula1>
    </dataValidation>
    <dataValidation type="list" allowBlank="1" showInputMessage="1" showErrorMessage="1" promptTitle="設備、備品、その他の別を選択" prompt="当該行に記載する品目が_x000a_・「設備」（設備本体）_x000a_・備品（本体設備と別の構成をなすもの）_x000a_・その他（上記の該当しないもの）_x000a_の別をプルダウンから選択してください。" sqref="D30:D74" xr:uid="{C9170411-4D0A-4AA6-A423-795EB647B14A}">
      <formula1>"設備,備品,その他"</formula1>
    </dataValidation>
    <dataValidation type="decimal" operator="greaterThanOrEqual" allowBlank="1" showInputMessage="1" showErrorMessage="1" promptTitle="単価の入力" prompt="税抜額または税込額のいずれかを入力してください。_x000a_入力しない方は「0」は入力せず、空欄としてください。" sqref="G30:G74" xr:uid="{C30D93D2-C9A1-49FC-9B6C-1E0BA3DFDE1E}">
      <formula1>0</formula1>
    </dataValidation>
    <dataValidation type="whole" operator="greaterThanOrEqual" allowBlank="1" showInputMessage="1" showErrorMessage="1" errorTitle="数値のみを入力してください。" error="「個」、「枚」等の単位入力は不要です。" promptTitle="規格及び数量の入力" prompt="補助対象経費を計上する際、いずれも入力してください。" sqref="F30:F74" xr:uid="{FA9170C8-AD59-4E0D-BCE4-075F0260E2F9}">
      <formula1>0</formula1>
    </dataValidation>
  </dataValidations>
  <pageMargins left="0.7" right="0.7" top="0.75" bottom="0.75" header="0.3" footer="0.3"/>
  <pageSetup paperSize="9" scale="51" orientation="portrait" r:id="rId1"/>
  <drawing r:id="rId2"/>
  <legacyDrawing r:id="rId3"/>
  <extLst>
    <ext xmlns:x14="http://schemas.microsoft.com/office/spreadsheetml/2009/9/main" uri="{CCE6A557-97BC-4b89-ADB6-D9C93CAAB3DF}">
      <x14:dataValidations xmlns:xm="http://schemas.microsoft.com/office/excel/2006/main" xWindow="402" yWindow="610" count="6">
        <x14:dataValidation type="list" allowBlank="1" showInputMessage="1" showErrorMessage="1" promptTitle="配備先の別を選択" prompt="確保病床の共通使用のものか、個別のベッドに配備するものか選択してください。" xr:uid="{3869A10F-3C07-4D15-A54F-447043BBE572}">
          <x14:formula1>
            <xm:f>テーブル!$X$48:$X$49</xm:f>
          </x14:formula1>
          <xm:sqref>B30:B74</xm:sqref>
        </x14:dataValidation>
        <x14:dataValidation type="list" allowBlank="1" showInputMessage="1" showErrorMessage="1" promptTitle="「用途先」病床の選択（左の「病床」を選択しないと表示されません。" prompt="ベッドに必ずしも紐付けるものではありませんが、１病床１台で紐付けした場合、整備する病床に番号付けをした場合の番号を選択してください。" xr:uid="{2C83132E-3842-4B1B-859D-3661596D5AB7}">
          <x14:formula1>
            <xm:f>OFFSET(テーブル!$X$48, 0, MATCH(B30,テーブル!$Y$47:$Z$47,0), COUNTA(OFFSET(テーブル!$X$48,0,MATCH(B30,テーブル!$Y$47:$Z$47,0),$Z$30,1)),1)</xm:f>
          </x14:formula1>
          <xm:sqref>C30:C74</xm:sqref>
        </x14:dataValidation>
        <x14:dataValidation type="list" allowBlank="1" showInputMessage="1" showErrorMessage="1" xr:uid="{00000000-0002-0000-0F00-000008000000}">
          <x14:formula1>
            <xm:f>テーブル!$M$37:$M$51</xm:f>
          </x14:formula1>
          <xm:sqref>B2:D2</xm:sqref>
        </x14:dataValidation>
        <x14:dataValidation type="list" allowBlank="1" showInputMessage="1" showErrorMessage="1" xr:uid="{0EA76063-BEF9-4B24-A056-CC37555473AB}">
          <x14:formula1>
            <xm:f>テーブル!$K$2:$K$32</xm:f>
          </x14:formula1>
          <xm:sqref>M30:M74</xm:sqref>
        </x14:dataValidation>
        <x14:dataValidation type="list" allowBlank="1" showInputMessage="1" showErrorMessage="1" xr:uid="{531ABD70-7AFF-42E1-A3B0-63404230C774}">
          <x14:formula1>
            <xm:f>テーブル!$J$2:$J$7</xm:f>
          </x14:formula1>
          <xm:sqref>L30:L74</xm:sqref>
        </x14:dataValidation>
        <x14:dataValidation type="list" allowBlank="1" showInputMessage="1" showErrorMessage="1" xr:uid="{0583BCCB-E920-435A-B8C3-AD8C07A7F683}">
          <x14:formula1>
            <xm:f>テーブル!$I$2:$I$3</xm:f>
          </x14:formula1>
          <xm:sqref>K30:K74</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6FFDD-B26A-4592-A410-E25663822702}">
  <sheetPr>
    <tabColor rgb="FFFFC000"/>
  </sheetPr>
  <dimension ref="A1:BE212"/>
  <sheetViews>
    <sheetView showGridLines="0" view="pageBreakPreview" zoomScale="50" zoomScaleNormal="100" zoomScaleSheetLayoutView="50" workbookViewId="0"/>
  </sheetViews>
  <sheetFormatPr defaultColWidth="9" defaultRowHeight="20.100000000000001" customHeight="1"/>
  <cols>
    <col min="1" max="1" width="3.625" style="454" customWidth="1"/>
    <col min="2" max="3" width="15.625" style="475" customWidth="1"/>
    <col min="4" max="5" width="10.625" style="475" customWidth="1"/>
    <col min="6" max="6" width="10.625" style="809" customWidth="1"/>
    <col min="7" max="7" width="8.625" style="457" customWidth="1"/>
    <col min="8" max="8" width="8.625" style="458" customWidth="1"/>
    <col min="9" max="9" width="11.625" style="458" customWidth="1"/>
    <col min="10" max="13" width="12.625" style="458" customWidth="1"/>
    <col min="14" max="16" width="3.625" style="458" customWidth="1"/>
    <col min="17" max="17" width="10.625" style="458" customWidth="1"/>
    <col min="18" max="18" width="9" style="458"/>
    <col min="19" max="19" width="15.625" style="458" customWidth="1"/>
    <col min="20" max="20" width="8.625" style="765" customWidth="1"/>
    <col min="21" max="21" width="12.625" style="458" customWidth="1"/>
    <col min="22" max="24" width="3.625" style="458" customWidth="1"/>
    <col min="25" max="25" width="35.625" style="458" customWidth="1"/>
    <col min="26" max="35" width="12.625" style="458" customWidth="1"/>
    <col min="36" max="36" width="3.625" style="461" customWidth="1"/>
    <col min="37" max="37" width="9" style="454"/>
    <col min="38" max="38" width="9" style="458"/>
    <col min="39" max="39" width="90.625" style="458" customWidth="1"/>
    <col min="40" max="44" width="9" style="458"/>
    <col min="45" max="45" width="30.625" style="458" customWidth="1"/>
    <col min="46" max="46" width="10.75" style="458" bestFit="1" customWidth="1"/>
    <col min="47" max="47" width="9" style="458"/>
    <col min="48" max="48" width="60.625" style="458" customWidth="1"/>
    <col min="49" max="49" width="9" style="458"/>
    <col min="50" max="50" width="20.625" style="454" customWidth="1"/>
    <col min="51" max="51" width="20.625" style="458" customWidth="1"/>
    <col min="52" max="52" width="10.625" style="458" customWidth="1"/>
    <col min="53" max="56" width="15.625" style="458" customWidth="1"/>
    <col min="57" max="57" width="10.625" style="458" customWidth="1"/>
    <col min="58" max="16384" width="9" style="458"/>
  </cols>
  <sheetData>
    <row r="1" spans="1:50" s="452" customFormat="1" ht="30" customHeight="1">
      <c r="A1" s="448"/>
      <c r="B1" s="449"/>
      <c r="C1" s="449"/>
      <c r="D1" s="449"/>
      <c r="E1" s="449"/>
      <c r="F1" s="450"/>
      <c r="G1" s="451"/>
      <c r="R1" s="1905" t="str">
        <f xml:space="preserve">
IF(表紙!$X$2="事前協議","（10月１日～３月31日分）",
IF(表紙!$X$2="交付申請（２次）","（10月１日～３月31日分）",
IF(表紙!$X$2="変更申請","（10月１日～３月31日分）",
IF(表紙!$X$2="実績報告（１次）","（５月８日～10月31日分）",
IF(表紙!$X$2="実績報告（２次）","（10月１日～３月31日分）",
IF(表紙!$X$2="交付申請兼実績報告","（10月１日～３月31日分）"))))))</f>
        <v>（10月１日～３月31日分）</v>
      </c>
      <c r="S1" s="1905"/>
      <c r="T1" s="1906"/>
      <c r="AJ1" s="453"/>
      <c r="AK1" s="448"/>
      <c r="AX1" s="448"/>
    </row>
    <row r="2" spans="1:50" ht="20.100000000000001" customHeight="1">
      <c r="B2" s="455" t="s">
        <v>453</v>
      </c>
      <c r="C2" s="455"/>
      <c r="D2" s="456"/>
      <c r="E2" s="456"/>
      <c r="L2" s="459"/>
      <c r="Q2" s="460" t="s">
        <v>454</v>
      </c>
      <c r="R2" s="1907">
        <f xml:space="preserve">
IF(AU118="○",0,
IF(AU118="◎",SUM(M13:M112),
IF(AU118="×",0)))</f>
        <v>0</v>
      </c>
      <c r="S2" s="1908"/>
    </row>
    <row r="3" spans="1:50" ht="9.9499999999999993" customHeight="1">
      <c r="B3" s="456"/>
      <c r="C3" s="456"/>
      <c r="D3" s="456"/>
      <c r="E3" s="456"/>
      <c r="H3" s="454"/>
      <c r="R3" s="462"/>
      <c r="S3" s="462"/>
    </row>
    <row r="4" spans="1:50" ht="24.95" customHeight="1">
      <c r="A4" s="813" t="s">
        <v>455</v>
      </c>
      <c r="B4" s="463"/>
      <c r="C4" s="463"/>
      <c r="D4" s="463"/>
      <c r="E4" s="463"/>
      <c r="F4" s="464"/>
      <c r="G4" s="465"/>
      <c r="H4" s="466"/>
      <c r="I4" s="467"/>
      <c r="J4" s="467"/>
      <c r="K4" s="467"/>
      <c r="L4" s="467"/>
      <c r="M4" s="467"/>
      <c r="N4" s="467"/>
      <c r="O4" s="467"/>
      <c r="P4" s="467"/>
      <c r="Q4" s="467"/>
      <c r="R4" s="467"/>
      <c r="S4" s="467"/>
    </row>
    <row r="5" spans="1:50" ht="20.100000000000001" customHeight="1">
      <c r="A5" s="1909" t="s">
        <v>1236</v>
      </c>
      <c r="B5" s="1910"/>
      <c r="C5" s="1910"/>
      <c r="D5" s="1910"/>
      <c r="E5" s="1910"/>
      <c r="F5" s="1910"/>
      <c r="G5" s="1910"/>
      <c r="H5" s="1910"/>
      <c r="I5" s="1910"/>
      <c r="J5" s="1910"/>
      <c r="K5" s="1910"/>
      <c r="L5" s="1910"/>
      <c r="M5" s="1910"/>
      <c r="N5" s="1910"/>
      <c r="O5" s="1910"/>
      <c r="P5" s="1910"/>
      <c r="Q5" s="1910"/>
      <c r="R5" s="1910"/>
      <c r="S5" s="1910"/>
    </row>
    <row r="6" spans="1:50" ht="20.100000000000001" customHeight="1">
      <c r="A6" s="460">
        <v>1</v>
      </c>
      <c r="B6" s="468" t="s">
        <v>1479</v>
      </c>
      <c r="C6" s="469" t="str">
        <f>基礎情報!AK84</f>
        <v>×</v>
      </c>
      <c r="D6" s="470" t="str">
        <f>IF(C6="要修正・表示不可","×","○")</f>
        <v>○</v>
      </c>
      <c r="E6" s="1911" t="s">
        <v>456</v>
      </c>
      <c r="F6" s="1912"/>
      <c r="G6" s="1912"/>
      <c r="AN6" s="454"/>
      <c r="AO6" s="454"/>
      <c r="AP6" s="454"/>
      <c r="AQ6" s="454"/>
    </row>
    <row r="7" spans="1:50" ht="20.100000000000001" customHeight="1">
      <c r="A7" s="460">
        <v>2</v>
      </c>
      <c r="B7" s="468" t="s">
        <v>1204</v>
      </c>
      <c r="C7" s="471" t="str">
        <f>基礎情報!AK89</f>
        <v>×</v>
      </c>
      <c r="D7" s="470" t="str">
        <f>IF(C7="要修正・表示不可","×","○")</f>
        <v>○</v>
      </c>
      <c r="E7" s="811" t="s">
        <v>457</v>
      </c>
      <c r="F7" s="1913"/>
      <c r="G7" s="1914"/>
      <c r="H7" s="1892" t="s">
        <v>1460</v>
      </c>
      <c r="I7" s="1915"/>
      <c r="J7" s="1915"/>
      <c r="K7" s="1915"/>
      <c r="L7" s="812"/>
      <c r="M7" s="472"/>
      <c r="N7" s="472"/>
      <c r="O7" s="472"/>
      <c r="P7" s="472"/>
      <c r="Q7" s="472"/>
      <c r="AN7" s="457"/>
      <c r="AO7" s="457"/>
      <c r="AP7" s="457"/>
      <c r="AQ7" s="457"/>
    </row>
    <row r="8" spans="1:50" ht="20.100000000000001" customHeight="1">
      <c r="A8" s="460">
        <v>3</v>
      </c>
      <c r="B8" s="473" t="s">
        <v>1205</v>
      </c>
      <c r="C8" s="474" t="e">
        <f xml:space="preserve">
IF(COUNTIF(D6:D7,"○")=2,ROUNDUP(C6*C7,1),
IF(COUNTIF(D6:D7,"○")&lt;&gt;2,"表示不可"))</f>
        <v>#VALUE!</v>
      </c>
      <c r="E8" s="811" t="s">
        <v>458</v>
      </c>
      <c r="F8" s="1917">
        <f>ROUNDUP(F7/1.1,2)</f>
        <v>0</v>
      </c>
      <c r="G8" s="1918"/>
      <c r="H8" s="1916"/>
      <c r="I8" s="1915"/>
      <c r="J8" s="1915"/>
      <c r="K8" s="1915"/>
      <c r="L8" s="812"/>
      <c r="M8" s="472"/>
      <c r="N8" s="472"/>
      <c r="O8" s="472"/>
      <c r="P8" s="472"/>
      <c r="Q8" s="472"/>
      <c r="AN8" s="457"/>
      <c r="AO8" s="457"/>
      <c r="AP8" s="457"/>
      <c r="AQ8" s="457"/>
    </row>
    <row r="9" spans="1:50" ht="20.100000000000001" customHeight="1">
      <c r="A9" s="460">
        <v>4</v>
      </c>
      <c r="B9" s="473" t="s">
        <v>1105</v>
      </c>
      <c r="C9" s="486" t="e">
        <f>C8*3600</f>
        <v>#VALUE!</v>
      </c>
      <c r="D9" s="476"/>
      <c r="E9" s="477" t="s">
        <v>459</v>
      </c>
      <c r="G9" s="478"/>
      <c r="H9" s="479"/>
      <c r="AN9" s="457"/>
      <c r="AO9" s="457"/>
      <c r="AP9" s="457"/>
      <c r="AQ9" s="457"/>
    </row>
    <row r="10" spans="1:50" ht="24.95" customHeight="1">
      <c r="A10" s="1922" t="s">
        <v>460</v>
      </c>
      <c r="B10" s="1923"/>
      <c r="C10" s="814"/>
      <c r="D10" s="480"/>
      <c r="E10" s="480"/>
      <c r="F10" s="464"/>
      <c r="G10" s="465"/>
      <c r="H10" s="481"/>
      <c r="I10" s="481"/>
      <c r="J10" s="481"/>
      <c r="K10" s="481"/>
      <c r="L10" s="481"/>
      <c r="M10" s="481"/>
      <c r="N10" s="481"/>
      <c r="O10" s="481"/>
      <c r="P10" s="481"/>
      <c r="Q10" s="481"/>
      <c r="R10" s="481"/>
      <c r="S10" s="481"/>
      <c r="AN10" s="454"/>
      <c r="AO10" s="454"/>
      <c r="AP10" s="454"/>
      <c r="AQ10" s="454"/>
    </row>
    <row r="11" spans="1:50" ht="120" customHeight="1">
      <c r="A11" s="1924" t="str">
        <f xml:space="preserve">
IF(OR(表紙!$X$2="事前協議",表紙!$X$2="交付申請",表紙!$X$2="交付申請（２次）"),
"【注意１】！！発注書、見積書、カタログ等の提出は不要です。！！"&amp;CHAR(10)&amp;
"【注意２】記載にあたってはお手元の発注書、見積書、カタログ等に記載の金額と一致するようにしてください。"&amp;CHAR(10)&amp;
"【注意３】購入数量に基づく１人１日あたり使用量が過剰と見受けられる場合は、県から確認の連絡をさせていただく場合があります。"&amp;CHAR(10)&amp;
"【注意４】補助対象期間"&amp;R1&amp;"の納品（見込）分のみ入力するようにしてください。"&amp;CHAR(10)&amp;
"【注意５】公費補助の範囲は直近募集における品目毎の平均単価を上限とし、これを超える購入単価の場合は部分補助とさせていただきます。",
IF(OR(表紙!X2="変更申請"),
"【注意１】！！発注書、見積書、カタログ等の提出は不要です。！！"&amp;CHAR(10)&amp;
"【注意２】記載にあたってはお手元の発注書、見積書、カタログ等に記載の金額と一致するようにしてください。"&amp;CHAR(10)&amp;
"【注意３】変更前の記載を入力した上で、印刷したものに数量等変更の箇所及び追記した部分をマーカーで着色してください。"&amp;CHAR(10)&amp;
"【注意４】購入数量に基づく１人１日あたり使用量が過剰と見受けられる場合は、県から確認の連絡をさせていただく場合があります。"&amp;CHAR(10)&amp;
"【注意５】補助対象期間"&amp;R1&amp;"の納品（見込）分のみ入力するようにしてください。"&amp;CHAR(10)&amp;
"【注意６】公費補助の範囲は直近募集における品目毎の平均単価を上限とし、これを超える購入単価の場合は部分補助とさせていただきます。",
IF(OR(表紙!X2="実績報告（１次）",表紙!X2="実績報告（２次）"),
"【注意１】！！購入の具体的内容及び経費発生の事実がわかる書類（納品書、領収書等）の提出が必要です。！！"&amp;CHAR(10)&amp;
"【注意２】記載にあたっては納品書、領収書等に記載の金額と一致するようにしてください。"&amp;CHAR(10)&amp;
"【注意３】各行の右に表示の「添付資料番号」は資料中、該当の記述箇所に番号を付記してください。"&amp;CHAR(10)&amp;
"【注意４】購入数量に基づく１人１日あたり使用量が過剰と見受けられる場合は、県から確認の連絡をさせていただく場合があります。"&amp;CHAR(10)&amp;
"【注意５】補助対象期間"&amp;R1&amp;"の納品分のみ入力するようにしてください。"&amp;CHAR(10)&amp;
"【注意６】公費補助の範囲は直近募集における品目毎の平均単価を上限とし、これを超える購入単価の場合は部分補助とさせていただきます。",
IF(表紙!X2="交付申請兼実績報告",
"【注意１】！！購入の具体的内容及び経費発生の事実がわかる書類（納品書、領収書等）の提出が必要です。！！"&amp;CHAR(10)&amp;
"【注意２】記載にあたっては納品書、領収書等に記載の金額と一致するようにしてください。"&amp;CHAR(10)&amp;
"【注意３】各行の右に表示の「添付資料番号」は資料中、該当の記述箇所に番号を付記してください。"&amp;CHAR(10)&amp;
"【注意４】購入数量に基づく１人１日あたり使用量が過剰と見受けられる場合は、県から確認の連絡をさせていただく場合があります。"&amp;CHAR(10)&amp;
"【注意５】補助対象期間"&amp;R1&amp;"の納品分のみ入力するようにしてください。"&amp;CHAR(10)&amp;
"【注意６】公費補助の範囲は直近募集における品目毎の平均単価を上限とし、これを超える購入単価の場合は部分補助とさせていただきます。"))))</f>
        <v>【注意１】！！購入の具体的内容及び経費発生の事実がわかる書類（納品書、領収書等）の提出が必要です。！！
【注意２】記載にあたっては納品書、領収書等に記載の金額と一致するようにしてください。
【注意３】各行の右に表示の「添付資料番号」は資料中、該当の記述箇所に番号を付記してください。
【注意４】購入数量に基づく１人１日あたり使用量が過剰と見受けられる場合は、県から確認の連絡をさせていただく場合があります。
【注意５】補助対象期間（10月１日～３月31日分）の納品分のみ入力するようにしてください。
【注意６】公費補助の範囲は直近募集における品目毎の平均単価を上限とし、これを超える購入単価の場合は部分補助とさせていただきます。</v>
      </c>
      <c r="B11" s="1910"/>
      <c r="C11" s="1910"/>
      <c r="D11" s="1910"/>
      <c r="E11" s="1910"/>
      <c r="F11" s="1910"/>
      <c r="G11" s="1910"/>
      <c r="H11" s="1910"/>
      <c r="I11" s="1910"/>
      <c r="J11" s="1910"/>
      <c r="K11" s="1910"/>
      <c r="L11" s="1910"/>
      <c r="M11" s="1910"/>
      <c r="N11" s="1910"/>
      <c r="O11" s="1910"/>
      <c r="P11" s="1910"/>
      <c r="Q11" s="1910"/>
      <c r="R11" s="1910"/>
      <c r="S11" s="810"/>
      <c r="AN11" s="454"/>
      <c r="AO11" s="454"/>
      <c r="AP11" s="454"/>
      <c r="AQ11" s="454"/>
    </row>
    <row r="12" spans="1:50" ht="39.950000000000003" customHeight="1" thickBot="1">
      <c r="B12" s="717" t="s">
        <v>1107</v>
      </c>
      <c r="C12" s="815" t="s">
        <v>1206</v>
      </c>
      <c r="D12" s="1925" t="s">
        <v>1207</v>
      </c>
      <c r="E12" s="1926"/>
      <c r="F12" s="1927"/>
      <c r="G12" s="717" t="s">
        <v>1111</v>
      </c>
      <c r="H12" s="717" t="s">
        <v>1208</v>
      </c>
      <c r="I12" s="717" t="s">
        <v>50</v>
      </c>
      <c r="J12" s="717" t="s">
        <v>51</v>
      </c>
      <c r="K12" s="717" t="s">
        <v>52</v>
      </c>
      <c r="L12" s="717" t="s">
        <v>1209</v>
      </c>
      <c r="M12" s="717" t="s">
        <v>1210</v>
      </c>
      <c r="N12" s="1919" t="s">
        <v>1370</v>
      </c>
      <c r="O12" s="1920"/>
      <c r="P12" s="1921"/>
      <c r="Q12" s="717" t="s">
        <v>1211</v>
      </c>
      <c r="R12" s="717" t="s">
        <v>462</v>
      </c>
      <c r="S12" s="717" t="s">
        <v>463</v>
      </c>
      <c r="U12" s="808" t="s">
        <v>1371</v>
      </c>
      <c r="V12" s="787" t="s">
        <v>1352</v>
      </c>
      <c r="W12" s="787" t="s">
        <v>1153</v>
      </c>
      <c r="X12" s="787" t="s">
        <v>1354</v>
      </c>
      <c r="Y12" s="468" t="s">
        <v>1385</v>
      </c>
      <c r="AK12" s="482" t="s">
        <v>464</v>
      </c>
      <c r="AL12" s="483" t="s">
        <v>98</v>
      </c>
      <c r="AM12" s="482" t="s">
        <v>465</v>
      </c>
      <c r="AN12" s="484"/>
      <c r="AO12" s="460" t="s">
        <v>49</v>
      </c>
      <c r="AP12" s="454"/>
      <c r="AQ12" s="454"/>
    </row>
    <row r="13" spans="1:50" ht="20.100000000000001" customHeight="1">
      <c r="A13" s="485">
        <v>1</v>
      </c>
      <c r="B13" s="742" t="s">
        <v>1183</v>
      </c>
      <c r="C13" s="743" t="s">
        <v>1212</v>
      </c>
      <c r="D13" s="1928" t="s">
        <v>1452</v>
      </c>
      <c r="E13" s="1929"/>
      <c r="F13" s="1930"/>
      <c r="G13" s="821"/>
      <c r="H13" s="821"/>
      <c r="I13" s="744">
        <v>0</v>
      </c>
      <c r="J13" s="745">
        <f>ROUNDDOWN(I13*1.1,0)</f>
        <v>0</v>
      </c>
      <c r="K13" s="746">
        <f>ROUNDDOWN(H13*J13,0)</f>
        <v>0</v>
      </c>
      <c r="L13" s="746">
        <v>0</v>
      </c>
      <c r="M13" s="746">
        <f>IF(L13="","",MIN(K13,L13))</f>
        <v>0</v>
      </c>
      <c r="N13" s="747">
        <v>5</v>
      </c>
      <c r="O13" s="747">
        <f xml:space="preserve">
IF(表紙!$X$2="実績報告（１次）",5,
IF(OR(表紙!$X$2="実績報告（２次）",表紙!$X$2="交付申請兼実績報告"),10
))</f>
        <v>10</v>
      </c>
      <c r="P13" s="747">
        <f xml:space="preserve">
IF(表紙!$X$2="実績報告（１次）",8,
IF(OR(表紙!$X$2="実績報告（２次）",表紙!$X$2="交付申請兼実績報告"),1
))</f>
        <v>1</v>
      </c>
      <c r="Q13" s="748">
        <f xml:space="preserve">
IF(AND(AL13="◎",M13&gt;=0),G13*H13,
IF(AND(AL13="◎",M13&lt;0),0,0))</f>
        <v>0</v>
      </c>
      <c r="R13" s="749" t="s">
        <v>1459</v>
      </c>
      <c r="S13" s="750"/>
      <c r="U13" s="596" t="str">
        <f>IF(AL13="◎",DATE(IF(N13=5,2023,IF(N13=6,2024)),O13,P13),"")</f>
        <v/>
      </c>
      <c r="V13" s="787" t="str">
        <f>IF($U13=MAX($U$13:$U$212),N13,"")</f>
        <v/>
      </c>
      <c r="W13" s="787" t="str">
        <f>IF($U13=MAX($U$13:$U$212),O13,"")</f>
        <v/>
      </c>
      <c r="X13" s="787" t="str">
        <f>IF($U13=MAX($U$13:$U$212),P13,"")</f>
        <v/>
      </c>
      <c r="Y13" s="491" t="str">
        <f>U13&amp;
IF(OR(C13="N95マスク",C13="ハイラックマスク"),"N95マスク・ハイラックマスク",
IF(OR(C13="ニトリルグローブ",C13="プラスチックグローブ等"),"グローブ",
IF(OR(C13="アイソレーションガウン",C13="プラスチックガウン",C13="エプロン"),"ガウン",C13)))</f>
        <v>その他マスク</v>
      </c>
      <c r="AJ13" s="461" t="s">
        <v>466</v>
      </c>
      <c r="AK13" s="490">
        <v>1</v>
      </c>
      <c r="AL13" s="460" t="str">
        <f xml:space="preserve">
IF(COUNTA(B13:I13,N13:P13)=0,"○",
IF(AND(COUNTA(B13:I13,N13:P13)&gt;=1,COUNTA(B13:I13,N13:P13)&lt;9),"×",
IF(COUNTA(B13:I13,N13:P13)=9,"◎")))</f>
        <v>×</v>
      </c>
      <c r="AM13" s="468" t="str">
        <f xml:space="preserve">
IF(COUNTA(B13:I13)=0,"申請しない場合は入力不要です。",
IF(AND(COUNTA(B13:I13)&gt;=1,COUNTA(B13:I13)&lt;6),"【要修正】種類、品名、内容量、数量、税抜単価の内、未入力の箇所があります。",
IF(COUNTA(B13:I13)=6,"適切に入力がされました。")))</f>
        <v>【要修正】種類、品名、内容量、数量、税抜単価の内、未入力の箇所があります。</v>
      </c>
      <c r="AO13" s="468">
        <f t="shared" ref="AO13:AO76" si="0">G13*H13</f>
        <v>0</v>
      </c>
    </row>
    <row r="14" spans="1:50" ht="20.100000000000001" customHeight="1">
      <c r="A14" s="485">
        <v>2</v>
      </c>
      <c r="B14" s="751" t="s">
        <v>1183</v>
      </c>
      <c r="C14" s="741" t="s">
        <v>1222</v>
      </c>
      <c r="D14" s="1902" t="s">
        <v>1452</v>
      </c>
      <c r="E14" s="1903"/>
      <c r="F14" s="1904"/>
      <c r="G14" s="207"/>
      <c r="H14" s="207"/>
      <c r="I14" s="740">
        <v>0</v>
      </c>
      <c r="J14" s="486">
        <f t="shared" ref="J14:J77" si="1">ROUNDDOWN(I14*1.1,0)</f>
        <v>0</v>
      </c>
      <c r="K14" s="487">
        <f t="shared" ref="K14:K77" si="2">ROUNDDOWN(H14*J14,0)</f>
        <v>0</v>
      </c>
      <c r="L14" s="487">
        <v>0</v>
      </c>
      <c r="M14" s="487">
        <f t="shared" ref="M14:M29" si="3">IF(L14="","",MIN(K14,L14))</f>
        <v>0</v>
      </c>
      <c r="N14" s="739">
        <v>5</v>
      </c>
      <c r="O14" s="739">
        <f xml:space="preserve">
IF(表紙!$X$2="実績報告（１次）",5,
IF(OR(表紙!$X$2="実績報告（２次）",表紙!$X$2="交付申請兼実績報告"),10
))</f>
        <v>10</v>
      </c>
      <c r="P14" s="739">
        <f xml:space="preserve">
IF(表紙!$X$2="実績報告（１次）",8,
IF(OR(表紙!$X$2="実績報告（２次）",表紙!$X$2="交付申請兼実績報告"),1
))</f>
        <v>1</v>
      </c>
      <c r="Q14" s="488">
        <f xml:space="preserve">
IF(AND(AL14="◎",M14&gt;=0),G14*H14,
IF(AND(AL14="◎",M14&lt;0),0,0))</f>
        <v>0</v>
      </c>
      <c r="R14" s="489" t="s">
        <v>1459</v>
      </c>
      <c r="S14" s="752"/>
      <c r="U14" s="596" t="str">
        <f>IF(AL14="◎",DATE(IF(N14=5,2023,IF(N14=6,2024)),O14,P14),"")</f>
        <v/>
      </c>
      <c r="V14" s="787" t="str">
        <f t="shared" ref="V14:V77" si="4">IF($U14=MAX($U$13:$U$212),N14,"")</f>
        <v/>
      </c>
      <c r="W14" s="787" t="str">
        <f t="shared" ref="W14:W77" si="5">IF($U14=MAX($U$13:$U$212),O14,"")</f>
        <v/>
      </c>
      <c r="X14" s="787" t="str">
        <f t="shared" ref="X14:X77" si="6">IF($U14=MAX($U$13:$U$212),P14,"")</f>
        <v/>
      </c>
      <c r="Y14" s="491" t="str">
        <f t="shared" ref="Y14:Y77" si="7">U14&amp;
IF(OR(C14="N95マスク",C14="ハイラックマスク"),"N95マスク・ハイラックマスク",
IF(OR(C14="ニトリルグローブ",C14="プラスチックグローブ等"),"グローブ",
IF(OR(C14="アイソレーションガウン",C14="プラスチックガウン",C14="エプロン"),"ガウン",C14)))</f>
        <v>シールド付きマスク</v>
      </c>
      <c r="AJ14" s="461" t="s">
        <v>466</v>
      </c>
      <c r="AK14" s="490">
        <v>2</v>
      </c>
      <c r="AL14" s="460" t="str">
        <f xml:space="preserve">
IF(COUNTA(B14:I14,N14:P14)=0,"○",
IF(AND(COUNTA(B14:I14,N14:P14)&gt;=1,COUNTA(B14:I14,N14:P14)&lt;9),"×",
IF(COUNTA(B14:I14,N14:P14)=9,"◎")))</f>
        <v>×</v>
      </c>
      <c r="AM14" s="468" t="str">
        <f t="shared" ref="AM14:AM29" si="8" xml:space="preserve">
IF(COUNTA(B14:I14)=0,"申請しない場合は入力不要です。",
IF(AND(COUNTA(B14:I14)&gt;=1,COUNTA(B14:I14)&lt;6),"【要修正】種類、品名、内容量、数量、税抜単価の内、未入力の箇所があります。",
IF(COUNTA(B14:I14)=6,"適切に入力がされました。")))</f>
        <v>【要修正】種類、品名、内容量、数量、税抜単価の内、未入力の箇所があります。</v>
      </c>
      <c r="AO14" s="468">
        <f t="shared" si="0"/>
        <v>0</v>
      </c>
    </row>
    <row r="15" spans="1:50" ht="20.100000000000001" customHeight="1">
      <c r="A15" s="485">
        <v>3</v>
      </c>
      <c r="B15" s="751" t="s">
        <v>1183</v>
      </c>
      <c r="C15" s="741" t="s">
        <v>1223</v>
      </c>
      <c r="D15" s="1902" t="s">
        <v>1452</v>
      </c>
      <c r="E15" s="1903"/>
      <c r="F15" s="1904"/>
      <c r="G15" s="207"/>
      <c r="H15" s="207"/>
      <c r="I15" s="740">
        <v>0</v>
      </c>
      <c r="J15" s="486">
        <f t="shared" si="1"/>
        <v>0</v>
      </c>
      <c r="K15" s="487">
        <f t="shared" si="2"/>
        <v>0</v>
      </c>
      <c r="L15" s="487">
        <v>0</v>
      </c>
      <c r="M15" s="487">
        <f t="shared" si="3"/>
        <v>0</v>
      </c>
      <c r="N15" s="739">
        <v>5</v>
      </c>
      <c r="O15" s="739">
        <f xml:space="preserve">
IF(表紙!$X$2="実績報告（１次）",5,
IF(OR(表紙!$X$2="実績報告（２次）",表紙!$X$2="交付申請兼実績報告"),10
))</f>
        <v>10</v>
      </c>
      <c r="P15" s="739">
        <f xml:space="preserve">
IF(表紙!$X$2="実績報告（１次）",8,
IF(OR(表紙!$X$2="実績報告（２次）",表紙!$X$2="交付申請兼実績報告"),1
))</f>
        <v>1</v>
      </c>
      <c r="Q15" s="488">
        <f t="shared" ref="Q15:Q20" si="9" xml:space="preserve">
IF(AND(AL15="◎",M15&gt;=0),G15*H15,
IF(AND(AL15="◎",M15&lt;0),0,0))</f>
        <v>0</v>
      </c>
      <c r="R15" s="489" t="s">
        <v>1459</v>
      </c>
      <c r="S15" s="752"/>
      <c r="U15" s="596" t="str">
        <f t="shared" ref="U15:U78" si="10">IF(AL15="◎",DATE(IF(N15=5,2023,IF(N15=6,2024)),O15,P15),"")</f>
        <v/>
      </c>
      <c r="V15" s="787" t="str">
        <f t="shared" si="4"/>
        <v/>
      </c>
      <c r="W15" s="787" t="str">
        <f t="shared" si="5"/>
        <v/>
      </c>
      <c r="X15" s="787" t="str">
        <f t="shared" si="6"/>
        <v/>
      </c>
      <c r="Y15" s="491" t="str">
        <f t="shared" si="7"/>
        <v>N95マスク・ハイラックマスク</v>
      </c>
      <c r="AJ15" s="461" t="s">
        <v>466</v>
      </c>
      <c r="AK15" s="490">
        <v>3</v>
      </c>
      <c r="AL15" s="460" t="str">
        <f t="shared" ref="AL15:AL29" si="11" xml:space="preserve">
IF(COUNTA(B15:I15,N15:P15)=0,"○",
IF(AND(COUNTA(B15:I15,N15:P15)&gt;=1,COUNTA(B15:I15,N15:P15)&lt;9),"×",
IF(COUNTA(B15:I15,N15:P15)=9,"◎")))</f>
        <v>×</v>
      </c>
      <c r="AM15" s="468" t="str">
        <f t="shared" si="8"/>
        <v>【要修正】種類、品名、内容量、数量、税抜単価の内、未入力の箇所があります。</v>
      </c>
      <c r="AO15" s="468">
        <f t="shared" si="0"/>
        <v>0</v>
      </c>
    </row>
    <row r="16" spans="1:50" ht="20.100000000000001" customHeight="1">
      <c r="A16" s="485">
        <v>4</v>
      </c>
      <c r="B16" s="751" t="s">
        <v>1183</v>
      </c>
      <c r="C16" s="741" t="s">
        <v>1224</v>
      </c>
      <c r="D16" s="1902" t="s">
        <v>1452</v>
      </c>
      <c r="E16" s="1903"/>
      <c r="F16" s="1904"/>
      <c r="G16" s="207"/>
      <c r="H16" s="207"/>
      <c r="I16" s="740">
        <v>0</v>
      </c>
      <c r="J16" s="486">
        <f t="shared" si="1"/>
        <v>0</v>
      </c>
      <c r="K16" s="487">
        <f t="shared" si="2"/>
        <v>0</v>
      </c>
      <c r="L16" s="487">
        <v>0</v>
      </c>
      <c r="M16" s="487">
        <f t="shared" si="3"/>
        <v>0</v>
      </c>
      <c r="N16" s="739">
        <v>5</v>
      </c>
      <c r="O16" s="739">
        <f xml:space="preserve">
IF(表紙!$X$2="実績報告（１次）",5,
IF(OR(表紙!$X$2="実績報告（２次）",表紙!$X$2="交付申請兼実績報告"),10
))</f>
        <v>10</v>
      </c>
      <c r="P16" s="739">
        <f xml:space="preserve">
IF(表紙!$X$2="実績報告（１次）",8,
IF(OR(表紙!$X$2="実績報告（２次）",表紙!$X$2="交付申請兼実績報告"),1
))</f>
        <v>1</v>
      </c>
      <c r="Q16" s="488">
        <f t="shared" si="9"/>
        <v>0</v>
      </c>
      <c r="R16" s="489" t="s">
        <v>1459</v>
      </c>
      <c r="S16" s="752"/>
      <c r="U16" s="596" t="str">
        <f t="shared" si="10"/>
        <v/>
      </c>
      <c r="V16" s="787" t="str">
        <f t="shared" si="4"/>
        <v/>
      </c>
      <c r="W16" s="787" t="str">
        <f t="shared" si="5"/>
        <v/>
      </c>
      <c r="X16" s="787" t="str">
        <f t="shared" si="6"/>
        <v/>
      </c>
      <c r="Y16" s="491" t="str">
        <f t="shared" si="7"/>
        <v>N95マスク・ハイラックマスク</v>
      </c>
      <c r="AJ16" s="461" t="s">
        <v>466</v>
      </c>
      <c r="AK16" s="490">
        <v>4</v>
      </c>
      <c r="AL16" s="460" t="str">
        <f t="shared" si="11"/>
        <v>×</v>
      </c>
      <c r="AM16" s="468" t="str">
        <f t="shared" si="8"/>
        <v>【要修正】種類、品名、内容量、数量、税抜単価の内、未入力の箇所があります。</v>
      </c>
      <c r="AO16" s="468">
        <f t="shared" si="0"/>
        <v>0</v>
      </c>
    </row>
    <row r="17" spans="1:41" ht="20.100000000000001" customHeight="1">
      <c r="A17" s="485">
        <v>5</v>
      </c>
      <c r="B17" s="751" t="s">
        <v>1213</v>
      </c>
      <c r="C17" s="741" t="s">
        <v>1381</v>
      </c>
      <c r="D17" s="1902" t="s">
        <v>1452</v>
      </c>
      <c r="E17" s="1903"/>
      <c r="F17" s="1904"/>
      <c r="G17" s="207"/>
      <c r="H17" s="207"/>
      <c r="I17" s="740">
        <v>0</v>
      </c>
      <c r="J17" s="486">
        <f t="shared" si="1"/>
        <v>0</v>
      </c>
      <c r="K17" s="487">
        <f t="shared" si="2"/>
        <v>0</v>
      </c>
      <c r="L17" s="487">
        <v>0</v>
      </c>
      <c r="M17" s="487">
        <f t="shared" si="3"/>
        <v>0</v>
      </c>
      <c r="N17" s="739">
        <v>5</v>
      </c>
      <c r="O17" s="739">
        <f xml:space="preserve">
IF(表紙!$X$2="実績報告（１次）",5,
IF(OR(表紙!$X$2="実績報告（２次）",表紙!$X$2="交付申請兼実績報告"),10
))</f>
        <v>10</v>
      </c>
      <c r="P17" s="739">
        <f xml:space="preserve">
IF(表紙!$X$2="実績報告（１次）",8,
IF(OR(表紙!$X$2="実績報告（２次）",表紙!$X$2="交付申請兼実績報告"),1
))</f>
        <v>1</v>
      </c>
      <c r="Q17" s="488">
        <f t="shared" si="9"/>
        <v>0</v>
      </c>
      <c r="R17" s="489" t="s">
        <v>1459</v>
      </c>
      <c r="S17" s="752"/>
      <c r="U17" s="596" t="str">
        <f t="shared" si="10"/>
        <v/>
      </c>
      <c r="V17" s="787" t="str">
        <f t="shared" si="4"/>
        <v/>
      </c>
      <c r="W17" s="787" t="str">
        <f t="shared" si="5"/>
        <v/>
      </c>
      <c r="X17" s="787" t="str">
        <f t="shared" si="6"/>
        <v/>
      </c>
      <c r="Y17" s="491" t="str">
        <f t="shared" si="7"/>
        <v>リユーサブルゴーグル</v>
      </c>
      <c r="AJ17" s="461" t="s">
        <v>466</v>
      </c>
      <c r="AK17" s="490">
        <v>5</v>
      </c>
      <c r="AL17" s="460" t="str">
        <f t="shared" si="11"/>
        <v>×</v>
      </c>
      <c r="AM17" s="468" t="str">
        <f t="shared" si="8"/>
        <v>【要修正】種類、品名、内容量、数量、税抜単価の内、未入力の箇所があります。</v>
      </c>
      <c r="AO17" s="468">
        <f t="shared" si="0"/>
        <v>0</v>
      </c>
    </row>
    <row r="18" spans="1:41" ht="20.100000000000001" customHeight="1">
      <c r="A18" s="485">
        <v>6</v>
      </c>
      <c r="B18" s="751" t="s">
        <v>1213</v>
      </c>
      <c r="C18" s="741" t="s">
        <v>1225</v>
      </c>
      <c r="D18" s="1902" t="s">
        <v>1452</v>
      </c>
      <c r="E18" s="1903"/>
      <c r="F18" s="1904"/>
      <c r="G18" s="207"/>
      <c r="H18" s="207"/>
      <c r="I18" s="740">
        <v>0</v>
      </c>
      <c r="J18" s="486">
        <f t="shared" si="1"/>
        <v>0</v>
      </c>
      <c r="K18" s="487">
        <f t="shared" si="2"/>
        <v>0</v>
      </c>
      <c r="L18" s="487">
        <v>0</v>
      </c>
      <c r="M18" s="487">
        <f t="shared" si="3"/>
        <v>0</v>
      </c>
      <c r="N18" s="739">
        <v>5</v>
      </c>
      <c r="O18" s="739">
        <f xml:space="preserve">
IF(表紙!$X$2="実績報告（１次）",5,
IF(OR(表紙!$X$2="実績報告（２次）",表紙!$X$2="交付申請兼実績報告"),10
))</f>
        <v>10</v>
      </c>
      <c r="P18" s="739">
        <f xml:space="preserve">
IF(表紙!$X$2="実績報告（１次）",8,
IF(OR(表紙!$X$2="実績報告（２次）",表紙!$X$2="交付申請兼実績報告"),1
))</f>
        <v>1</v>
      </c>
      <c r="Q18" s="488">
        <f t="shared" si="9"/>
        <v>0</v>
      </c>
      <c r="R18" s="489" t="s">
        <v>1459</v>
      </c>
      <c r="S18" s="752"/>
      <c r="U18" s="596" t="str">
        <f t="shared" si="10"/>
        <v/>
      </c>
      <c r="V18" s="787" t="str">
        <f t="shared" si="4"/>
        <v/>
      </c>
      <c r="W18" s="787" t="str">
        <f t="shared" si="5"/>
        <v/>
      </c>
      <c r="X18" s="787" t="str">
        <f t="shared" si="6"/>
        <v/>
      </c>
      <c r="Y18" s="491" t="str">
        <f t="shared" si="7"/>
        <v>レンズ交換型</v>
      </c>
      <c r="AJ18" s="461" t="s">
        <v>466</v>
      </c>
      <c r="AK18" s="490">
        <v>6</v>
      </c>
      <c r="AL18" s="460" t="str">
        <f t="shared" si="11"/>
        <v>×</v>
      </c>
      <c r="AM18" s="468" t="str">
        <f t="shared" si="8"/>
        <v>【要修正】種類、品名、内容量、数量、税抜単価の内、未入力の箇所があります。</v>
      </c>
      <c r="AO18" s="468">
        <f t="shared" si="0"/>
        <v>0</v>
      </c>
    </row>
    <row r="19" spans="1:41" ht="20.100000000000001" customHeight="1">
      <c r="A19" s="485">
        <v>7</v>
      </c>
      <c r="B19" s="751" t="s">
        <v>1213</v>
      </c>
      <c r="C19" s="741" t="s">
        <v>1226</v>
      </c>
      <c r="D19" s="1902" t="s">
        <v>1452</v>
      </c>
      <c r="E19" s="1903"/>
      <c r="F19" s="1904"/>
      <c r="G19" s="207"/>
      <c r="H19" s="207"/>
      <c r="I19" s="740">
        <v>0</v>
      </c>
      <c r="J19" s="486">
        <f t="shared" si="1"/>
        <v>0</v>
      </c>
      <c r="K19" s="487">
        <f t="shared" si="2"/>
        <v>0</v>
      </c>
      <c r="L19" s="487">
        <v>0</v>
      </c>
      <c r="M19" s="487">
        <f t="shared" si="3"/>
        <v>0</v>
      </c>
      <c r="N19" s="739">
        <v>5</v>
      </c>
      <c r="O19" s="739">
        <f xml:space="preserve">
IF(表紙!$X$2="実績報告（１次）",5,
IF(OR(表紙!$X$2="実績報告（２次）",表紙!$X$2="交付申請兼実績報告"),10
))</f>
        <v>10</v>
      </c>
      <c r="P19" s="739">
        <f xml:space="preserve">
IF(表紙!$X$2="実績報告（１次）",8,
IF(OR(表紙!$X$2="実績報告（２次）",表紙!$X$2="交付申請兼実績報告"),1
))</f>
        <v>1</v>
      </c>
      <c r="Q19" s="488">
        <f t="shared" si="9"/>
        <v>0</v>
      </c>
      <c r="R19" s="489" t="s">
        <v>1459</v>
      </c>
      <c r="S19" s="752"/>
      <c r="U19" s="596" t="str">
        <f t="shared" si="10"/>
        <v/>
      </c>
      <c r="V19" s="787" t="str">
        <f t="shared" si="4"/>
        <v/>
      </c>
      <c r="W19" s="787" t="str">
        <f t="shared" si="5"/>
        <v/>
      </c>
      <c r="X19" s="787" t="str">
        <f t="shared" si="6"/>
        <v/>
      </c>
      <c r="Y19" s="491" t="str">
        <f t="shared" si="7"/>
        <v>スペアレンズ</v>
      </c>
      <c r="AJ19" s="461" t="s">
        <v>466</v>
      </c>
      <c r="AK19" s="490">
        <v>7</v>
      </c>
      <c r="AL19" s="460" t="str">
        <f t="shared" si="11"/>
        <v>×</v>
      </c>
      <c r="AM19" s="468" t="str">
        <f t="shared" si="8"/>
        <v>【要修正】種類、品名、内容量、数量、税抜単価の内、未入力の箇所があります。</v>
      </c>
      <c r="AO19" s="468">
        <f t="shared" si="0"/>
        <v>0</v>
      </c>
    </row>
    <row r="20" spans="1:41" ht="20.100000000000001" customHeight="1">
      <c r="A20" s="485">
        <v>8</v>
      </c>
      <c r="B20" s="751" t="s">
        <v>1296</v>
      </c>
      <c r="C20" s="741" t="s">
        <v>1227</v>
      </c>
      <c r="D20" s="1902" t="s">
        <v>1452</v>
      </c>
      <c r="E20" s="1903"/>
      <c r="F20" s="1904"/>
      <c r="G20" s="207"/>
      <c r="H20" s="207"/>
      <c r="I20" s="740">
        <v>0</v>
      </c>
      <c r="J20" s="486">
        <f t="shared" si="1"/>
        <v>0</v>
      </c>
      <c r="K20" s="487">
        <f t="shared" si="2"/>
        <v>0</v>
      </c>
      <c r="L20" s="487">
        <v>0</v>
      </c>
      <c r="M20" s="487">
        <f t="shared" si="3"/>
        <v>0</v>
      </c>
      <c r="N20" s="739">
        <v>5</v>
      </c>
      <c r="O20" s="739">
        <f xml:space="preserve">
IF(表紙!$X$2="実績報告（１次）",5,
IF(OR(表紙!$X$2="実績報告（２次）",表紙!$X$2="交付申請兼実績報告"),10
))</f>
        <v>10</v>
      </c>
      <c r="P20" s="739">
        <f xml:space="preserve">
IF(表紙!$X$2="実績報告（１次）",8,
IF(OR(表紙!$X$2="実績報告（２次）",表紙!$X$2="交付申請兼実績報告"),1
))</f>
        <v>1</v>
      </c>
      <c r="Q20" s="488">
        <f t="shared" si="9"/>
        <v>0</v>
      </c>
      <c r="R20" s="489" t="s">
        <v>1459</v>
      </c>
      <c r="S20" s="752"/>
      <c r="U20" s="596" t="str">
        <f t="shared" si="10"/>
        <v/>
      </c>
      <c r="V20" s="787" t="str">
        <f t="shared" si="4"/>
        <v/>
      </c>
      <c r="W20" s="787" t="str">
        <f t="shared" si="5"/>
        <v/>
      </c>
      <c r="X20" s="787" t="str">
        <f t="shared" si="6"/>
        <v/>
      </c>
      <c r="Y20" s="491" t="str">
        <f t="shared" si="7"/>
        <v>ガウン</v>
      </c>
      <c r="AJ20" s="461" t="s">
        <v>466</v>
      </c>
      <c r="AK20" s="490">
        <v>8</v>
      </c>
      <c r="AL20" s="460" t="str">
        <f t="shared" si="11"/>
        <v>×</v>
      </c>
      <c r="AM20" s="468" t="str">
        <f t="shared" si="8"/>
        <v>【要修正】種類、品名、内容量、数量、税抜単価の内、未入力の箇所があります。</v>
      </c>
      <c r="AO20" s="468">
        <f t="shared" si="0"/>
        <v>0</v>
      </c>
    </row>
    <row r="21" spans="1:41" ht="20.100000000000001" customHeight="1">
      <c r="A21" s="485">
        <v>9</v>
      </c>
      <c r="B21" s="751" t="s">
        <v>1296</v>
      </c>
      <c r="C21" s="741" t="s">
        <v>1228</v>
      </c>
      <c r="D21" s="1902" t="s">
        <v>1452</v>
      </c>
      <c r="E21" s="1903"/>
      <c r="F21" s="1904"/>
      <c r="G21" s="207"/>
      <c r="H21" s="207"/>
      <c r="I21" s="740">
        <v>0</v>
      </c>
      <c r="J21" s="486">
        <f t="shared" si="1"/>
        <v>0</v>
      </c>
      <c r="K21" s="487">
        <f t="shared" si="2"/>
        <v>0</v>
      </c>
      <c r="L21" s="487">
        <v>0</v>
      </c>
      <c r="M21" s="487">
        <f t="shared" si="3"/>
        <v>0</v>
      </c>
      <c r="N21" s="739">
        <v>5</v>
      </c>
      <c r="O21" s="739">
        <f xml:space="preserve">
IF(表紙!$X$2="実績報告（１次）",5,
IF(OR(表紙!$X$2="実績報告（２次）",表紙!$X$2="交付申請兼実績報告"),10
))</f>
        <v>10</v>
      </c>
      <c r="P21" s="739">
        <f xml:space="preserve">
IF(表紙!$X$2="実績報告（１次）",8,
IF(OR(表紙!$X$2="実績報告（２次）",表紙!$X$2="交付申請兼実績報告"),1
))</f>
        <v>1</v>
      </c>
      <c r="Q21" s="488">
        <f t="shared" ref="Q21:Q29" si="12" xml:space="preserve">
IF(AND(AL21="◎",M21&gt;=0),G21*H21,
IF(AND(AL21="◎",M21&lt;0),0,0))</f>
        <v>0</v>
      </c>
      <c r="R21" s="489" t="s">
        <v>1459</v>
      </c>
      <c r="S21" s="752"/>
      <c r="U21" s="596" t="str">
        <f t="shared" si="10"/>
        <v/>
      </c>
      <c r="V21" s="787" t="str">
        <f t="shared" si="4"/>
        <v/>
      </c>
      <c r="W21" s="787" t="str">
        <f t="shared" si="5"/>
        <v/>
      </c>
      <c r="X21" s="787" t="str">
        <f t="shared" si="6"/>
        <v/>
      </c>
      <c r="Y21" s="491" t="str">
        <f t="shared" si="7"/>
        <v>ガウン</v>
      </c>
      <c r="AJ21" s="461" t="s">
        <v>466</v>
      </c>
      <c r="AK21" s="490">
        <v>9</v>
      </c>
      <c r="AL21" s="460" t="str">
        <f t="shared" si="11"/>
        <v>×</v>
      </c>
      <c r="AM21" s="468" t="str">
        <f t="shared" si="8"/>
        <v>【要修正】種類、品名、内容量、数量、税抜単価の内、未入力の箇所があります。</v>
      </c>
      <c r="AO21" s="468">
        <f t="shared" si="0"/>
        <v>0</v>
      </c>
    </row>
    <row r="22" spans="1:41" ht="20.100000000000001" customHeight="1">
      <c r="A22" s="485">
        <v>10</v>
      </c>
      <c r="B22" s="751" t="s">
        <v>1296</v>
      </c>
      <c r="C22" s="741" t="s">
        <v>1229</v>
      </c>
      <c r="D22" s="1902" t="s">
        <v>1452</v>
      </c>
      <c r="E22" s="1903"/>
      <c r="F22" s="1904"/>
      <c r="G22" s="207"/>
      <c r="H22" s="207"/>
      <c r="I22" s="740">
        <v>0</v>
      </c>
      <c r="J22" s="486">
        <f t="shared" si="1"/>
        <v>0</v>
      </c>
      <c r="K22" s="487">
        <f t="shared" si="2"/>
        <v>0</v>
      </c>
      <c r="L22" s="487">
        <v>0</v>
      </c>
      <c r="M22" s="487">
        <f t="shared" si="3"/>
        <v>0</v>
      </c>
      <c r="N22" s="739">
        <v>5</v>
      </c>
      <c r="O22" s="739">
        <f xml:space="preserve">
IF(表紙!$X$2="実績報告（１次）",5,
IF(OR(表紙!$X$2="実績報告（２次）",表紙!$X$2="交付申請兼実績報告"),10
))</f>
        <v>10</v>
      </c>
      <c r="P22" s="739">
        <f xml:space="preserve">
IF(表紙!$X$2="実績報告（１次）",8,
IF(OR(表紙!$X$2="実績報告（２次）",表紙!$X$2="交付申請兼実績報告"),1
))</f>
        <v>1</v>
      </c>
      <c r="Q22" s="488">
        <f t="shared" si="12"/>
        <v>0</v>
      </c>
      <c r="R22" s="489" t="s">
        <v>1459</v>
      </c>
      <c r="S22" s="752"/>
      <c r="U22" s="596" t="str">
        <f t="shared" si="10"/>
        <v/>
      </c>
      <c r="V22" s="787" t="str">
        <f t="shared" si="4"/>
        <v/>
      </c>
      <c r="W22" s="787" t="str">
        <f t="shared" si="5"/>
        <v/>
      </c>
      <c r="X22" s="787" t="str">
        <f t="shared" si="6"/>
        <v/>
      </c>
      <c r="Y22" s="491" t="str">
        <f t="shared" si="7"/>
        <v>ガウン</v>
      </c>
      <c r="AJ22" s="461" t="s">
        <v>466</v>
      </c>
      <c r="AK22" s="490">
        <v>10</v>
      </c>
      <c r="AL22" s="460" t="str">
        <f t="shared" si="11"/>
        <v>×</v>
      </c>
      <c r="AM22" s="468" t="str">
        <f t="shared" si="8"/>
        <v>【要修正】種類、品名、内容量、数量、税抜単価の内、未入力の箇所があります。</v>
      </c>
      <c r="AO22" s="468">
        <f t="shared" si="0"/>
        <v>0</v>
      </c>
    </row>
    <row r="23" spans="1:41" ht="20.100000000000001" customHeight="1">
      <c r="A23" s="485">
        <v>11</v>
      </c>
      <c r="B23" s="751" t="s">
        <v>1297</v>
      </c>
      <c r="C23" s="741" t="s">
        <v>1230</v>
      </c>
      <c r="D23" s="1902" t="s">
        <v>1452</v>
      </c>
      <c r="E23" s="1903"/>
      <c r="F23" s="1904"/>
      <c r="G23" s="207"/>
      <c r="H23" s="207"/>
      <c r="I23" s="740">
        <v>0</v>
      </c>
      <c r="J23" s="486">
        <f t="shared" si="1"/>
        <v>0</v>
      </c>
      <c r="K23" s="487">
        <f t="shared" si="2"/>
        <v>0</v>
      </c>
      <c r="L23" s="487">
        <v>0</v>
      </c>
      <c r="M23" s="487">
        <f t="shared" si="3"/>
        <v>0</v>
      </c>
      <c r="N23" s="739">
        <v>5</v>
      </c>
      <c r="O23" s="739">
        <f xml:space="preserve">
IF(表紙!$X$2="実績報告（１次）",5,
IF(OR(表紙!$X$2="実績報告（２次）",表紙!$X$2="交付申請兼実績報告"),10
))</f>
        <v>10</v>
      </c>
      <c r="P23" s="739">
        <f xml:space="preserve">
IF(表紙!$X$2="実績報告（１次）",8,
IF(OR(表紙!$X$2="実績報告（２次）",表紙!$X$2="交付申請兼実績報告"),1
))</f>
        <v>1</v>
      </c>
      <c r="Q23" s="488">
        <f t="shared" si="12"/>
        <v>0</v>
      </c>
      <c r="R23" s="489" t="s">
        <v>1459</v>
      </c>
      <c r="S23" s="752"/>
      <c r="U23" s="596" t="str">
        <f t="shared" si="10"/>
        <v/>
      </c>
      <c r="V23" s="787" t="str">
        <f t="shared" si="4"/>
        <v/>
      </c>
      <c r="W23" s="787" t="str">
        <f t="shared" si="5"/>
        <v/>
      </c>
      <c r="X23" s="787" t="str">
        <f t="shared" si="6"/>
        <v/>
      </c>
      <c r="Y23" s="491" t="str">
        <f t="shared" si="7"/>
        <v>グローブ</v>
      </c>
      <c r="AJ23" s="461" t="s">
        <v>466</v>
      </c>
      <c r="AK23" s="490">
        <v>11</v>
      </c>
      <c r="AL23" s="460" t="str">
        <f t="shared" si="11"/>
        <v>×</v>
      </c>
      <c r="AM23" s="468" t="str">
        <f t="shared" si="8"/>
        <v>【要修正】種類、品名、内容量、数量、税抜単価の内、未入力の箇所があります。</v>
      </c>
      <c r="AO23" s="468">
        <f t="shared" si="0"/>
        <v>0</v>
      </c>
    </row>
    <row r="24" spans="1:41" ht="20.100000000000001" customHeight="1">
      <c r="A24" s="485">
        <v>12</v>
      </c>
      <c r="B24" s="751" t="s">
        <v>1297</v>
      </c>
      <c r="C24" s="741" t="s">
        <v>1231</v>
      </c>
      <c r="D24" s="1902" t="s">
        <v>1452</v>
      </c>
      <c r="E24" s="1903"/>
      <c r="F24" s="1904"/>
      <c r="G24" s="207"/>
      <c r="H24" s="207"/>
      <c r="I24" s="740">
        <v>0</v>
      </c>
      <c r="J24" s="486">
        <f t="shared" si="1"/>
        <v>0</v>
      </c>
      <c r="K24" s="487">
        <f t="shared" si="2"/>
        <v>0</v>
      </c>
      <c r="L24" s="487">
        <v>0</v>
      </c>
      <c r="M24" s="487">
        <f t="shared" si="3"/>
        <v>0</v>
      </c>
      <c r="N24" s="739">
        <v>5</v>
      </c>
      <c r="O24" s="739">
        <f xml:space="preserve">
IF(表紙!$X$2="実績報告（１次）",5,
IF(OR(表紙!$X$2="実績報告（２次）",表紙!$X$2="交付申請兼実績報告"),10
))</f>
        <v>10</v>
      </c>
      <c r="P24" s="739">
        <f xml:space="preserve">
IF(表紙!$X$2="実績報告（１次）",8,
IF(OR(表紙!$X$2="実績報告（２次）",表紙!$X$2="交付申請兼実績報告"),1
))</f>
        <v>1</v>
      </c>
      <c r="Q24" s="488">
        <f t="shared" si="12"/>
        <v>0</v>
      </c>
      <c r="R24" s="489" t="s">
        <v>1459</v>
      </c>
      <c r="S24" s="752"/>
      <c r="U24" s="596" t="str">
        <f t="shared" si="10"/>
        <v/>
      </c>
      <c r="V24" s="787" t="str">
        <f t="shared" si="4"/>
        <v/>
      </c>
      <c r="W24" s="787" t="str">
        <f t="shared" si="5"/>
        <v/>
      </c>
      <c r="X24" s="787" t="str">
        <f t="shared" si="6"/>
        <v/>
      </c>
      <c r="Y24" s="491" t="str">
        <f t="shared" si="7"/>
        <v>グローブ</v>
      </c>
      <c r="AJ24" s="461" t="s">
        <v>466</v>
      </c>
      <c r="AK24" s="490">
        <v>12</v>
      </c>
      <c r="AL24" s="460" t="str">
        <f t="shared" si="11"/>
        <v>×</v>
      </c>
      <c r="AM24" s="468" t="str">
        <f t="shared" si="8"/>
        <v>【要修正】種類、品名、内容量、数量、税抜単価の内、未入力の箇所があります。</v>
      </c>
      <c r="AO24" s="468">
        <f t="shared" si="0"/>
        <v>0</v>
      </c>
    </row>
    <row r="25" spans="1:41" ht="20.100000000000001" customHeight="1">
      <c r="A25" s="485">
        <v>13</v>
      </c>
      <c r="B25" s="751" t="s">
        <v>1298</v>
      </c>
      <c r="C25" s="741" t="s">
        <v>1298</v>
      </c>
      <c r="D25" s="1902" t="s">
        <v>1452</v>
      </c>
      <c r="E25" s="1903"/>
      <c r="F25" s="1904"/>
      <c r="G25" s="207"/>
      <c r="H25" s="207"/>
      <c r="I25" s="740">
        <v>0</v>
      </c>
      <c r="J25" s="486">
        <f t="shared" si="1"/>
        <v>0</v>
      </c>
      <c r="K25" s="487">
        <f t="shared" si="2"/>
        <v>0</v>
      </c>
      <c r="L25" s="487">
        <v>0</v>
      </c>
      <c r="M25" s="487">
        <f t="shared" si="3"/>
        <v>0</v>
      </c>
      <c r="N25" s="739">
        <v>5</v>
      </c>
      <c r="O25" s="739">
        <f xml:space="preserve">
IF(表紙!$X$2="実績報告（１次）",5,
IF(OR(表紙!$X$2="実績報告（２次）",表紙!$X$2="交付申請兼実績報告"),10
))</f>
        <v>10</v>
      </c>
      <c r="P25" s="739">
        <f xml:space="preserve">
IF(表紙!$X$2="実績報告（１次）",8,
IF(OR(表紙!$X$2="実績報告（２次）",表紙!$X$2="交付申請兼実績報告"),1
))</f>
        <v>1</v>
      </c>
      <c r="Q25" s="488">
        <f t="shared" si="12"/>
        <v>0</v>
      </c>
      <c r="R25" s="489" t="s">
        <v>1459</v>
      </c>
      <c r="S25" s="752"/>
      <c r="U25" s="596" t="str">
        <f t="shared" si="10"/>
        <v/>
      </c>
      <c r="V25" s="787" t="str">
        <f t="shared" si="4"/>
        <v/>
      </c>
      <c r="W25" s="787" t="str">
        <f t="shared" si="5"/>
        <v/>
      </c>
      <c r="X25" s="787" t="str">
        <f t="shared" si="6"/>
        <v/>
      </c>
      <c r="Y25" s="491" t="str">
        <f t="shared" si="7"/>
        <v>キャップ</v>
      </c>
      <c r="AJ25" s="461" t="s">
        <v>466</v>
      </c>
      <c r="AK25" s="490">
        <v>13</v>
      </c>
      <c r="AL25" s="460" t="str">
        <f t="shared" si="11"/>
        <v>×</v>
      </c>
      <c r="AM25" s="468" t="str">
        <f t="shared" si="8"/>
        <v>【要修正】種類、品名、内容量、数量、税抜単価の内、未入力の箇所があります。</v>
      </c>
      <c r="AO25" s="468">
        <f t="shared" si="0"/>
        <v>0</v>
      </c>
    </row>
    <row r="26" spans="1:41" ht="20.100000000000001" customHeight="1">
      <c r="A26" s="485">
        <v>14</v>
      </c>
      <c r="B26" s="751" t="s">
        <v>1372</v>
      </c>
      <c r="C26" s="741" t="s">
        <v>1232</v>
      </c>
      <c r="D26" s="1902" t="s">
        <v>1452</v>
      </c>
      <c r="E26" s="1903"/>
      <c r="F26" s="1904"/>
      <c r="G26" s="207"/>
      <c r="H26" s="207"/>
      <c r="I26" s="740">
        <v>0</v>
      </c>
      <c r="J26" s="486">
        <f t="shared" si="1"/>
        <v>0</v>
      </c>
      <c r="K26" s="487">
        <f t="shared" si="2"/>
        <v>0</v>
      </c>
      <c r="L26" s="487">
        <v>0</v>
      </c>
      <c r="M26" s="487">
        <f t="shared" si="3"/>
        <v>0</v>
      </c>
      <c r="N26" s="739">
        <v>5</v>
      </c>
      <c r="O26" s="739">
        <f xml:space="preserve">
IF(表紙!$X$2="実績報告（１次）",5,
IF(OR(表紙!$X$2="実績報告（２次）",表紙!$X$2="交付申請兼実績報告"),10
))</f>
        <v>10</v>
      </c>
      <c r="P26" s="739">
        <f xml:space="preserve">
IF(表紙!$X$2="実績報告（１次）",8,
IF(OR(表紙!$X$2="実績報告（２次）",表紙!$X$2="交付申請兼実績報告"),1
))</f>
        <v>1</v>
      </c>
      <c r="Q26" s="488">
        <f t="shared" si="12"/>
        <v>0</v>
      </c>
      <c r="R26" s="489" t="s">
        <v>1459</v>
      </c>
      <c r="S26" s="752"/>
      <c r="U26" s="596" t="str">
        <f t="shared" si="10"/>
        <v/>
      </c>
      <c r="V26" s="787" t="str">
        <f t="shared" si="4"/>
        <v/>
      </c>
      <c r="W26" s="787" t="str">
        <f t="shared" si="5"/>
        <v/>
      </c>
      <c r="X26" s="787" t="str">
        <f t="shared" si="6"/>
        <v/>
      </c>
      <c r="Y26" s="491" t="str">
        <f t="shared" si="7"/>
        <v>使い捨て一体型</v>
      </c>
      <c r="AJ26" s="461" t="s">
        <v>466</v>
      </c>
      <c r="AK26" s="490">
        <v>14</v>
      </c>
      <c r="AL26" s="460" t="str">
        <f t="shared" si="11"/>
        <v>×</v>
      </c>
      <c r="AM26" s="468" t="str">
        <f t="shared" si="8"/>
        <v>【要修正】種類、品名、内容量、数量、税抜単価の内、未入力の箇所があります。</v>
      </c>
      <c r="AO26" s="468">
        <f t="shared" si="0"/>
        <v>0</v>
      </c>
    </row>
    <row r="27" spans="1:41" ht="20.100000000000001" customHeight="1">
      <c r="A27" s="485">
        <v>15</v>
      </c>
      <c r="B27" s="751" t="s">
        <v>1372</v>
      </c>
      <c r="C27" s="741" t="s">
        <v>1233</v>
      </c>
      <c r="D27" s="1902" t="s">
        <v>1452</v>
      </c>
      <c r="E27" s="1903"/>
      <c r="F27" s="1904"/>
      <c r="G27" s="207"/>
      <c r="H27" s="207"/>
      <c r="I27" s="740">
        <v>0</v>
      </c>
      <c r="J27" s="486">
        <f t="shared" si="1"/>
        <v>0</v>
      </c>
      <c r="K27" s="487">
        <f t="shared" si="2"/>
        <v>0</v>
      </c>
      <c r="L27" s="487">
        <v>0</v>
      </c>
      <c r="M27" s="487">
        <f t="shared" si="3"/>
        <v>0</v>
      </c>
      <c r="N27" s="739">
        <v>5</v>
      </c>
      <c r="O27" s="739">
        <f xml:space="preserve">
IF(表紙!$X$2="実績報告（１次）",5,
IF(OR(表紙!$X$2="実績報告（２次）",表紙!$X$2="交付申請兼実績報告"),10
))</f>
        <v>10</v>
      </c>
      <c r="P27" s="739">
        <f xml:space="preserve">
IF(表紙!$X$2="実績報告（１次）",8,
IF(OR(表紙!$X$2="実績報告（２次）",表紙!$X$2="交付申請兼実績報告"),1
))</f>
        <v>1</v>
      </c>
      <c r="Q27" s="488">
        <f t="shared" si="12"/>
        <v>0</v>
      </c>
      <c r="R27" s="489" t="s">
        <v>1459</v>
      </c>
      <c r="S27" s="752"/>
      <c r="U27" s="596" t="str">
        <f t="shared" si="10"/>
        <v/>
      </c>
      <c r="V27" s="787" t="str">
        <f t="shared" si="4"/>
        <v/>
      </c>
      <c r="W27" s="787" t="str">
        <f t="shared" si="5"/>
        <v/>
      </c>
      <c r="X27" s="787" t="str">
        <f t="shared" si="6"/>
        <v/>
      </c>
      <c r="Y27" s="491" t="str">
        <f t="shared" si="7"/>
        <v>フレーム</v>
      </c>
      <c r="AJ27" s="461" t="s">
        <v>466</v>
      </c>
      <c r="AK27" s="490">
        <v>15</v>
      </c>
      <c r="AL27" s="460" t="str">
        <f t="shared" si="11"/>
        <v>×</v>
      </c>
      <c r="AM27" s="468" t="str">
        <f t="shared" si="8"/>
        <v>【要修正】種類、品名、内容量、数量、税抜単価の内、未入力の箇所があります。</v>
      </c>
      <c r="AO27" s="468">
        <f t="shared" si="0"/>
        <v>0</v>
      </c>
    </row>
    <row r="28" spans="1:41" ht="20.100000000000001" customHeight="1">
      <c r="A28" s="485">
        <v>16</v>
      </c>
      <c r="B28" s="751" t="s">
        <v>1372</v>
      </c>
      <c r="C28" s="741" t="s">
        <v>1070</v>
      </c>
      <c r="D28" s="1902" t="s">
        <v>1452</v>
      </c>
      <c r="E28" s="1903"/>
      <c r="F28" s="1904"/>
      <c r="G28" s="207"/>
      <c r="H28" s="207"/>
      <c r="I28" s="740">
        <v>0</v>
      </c>
      <c r="J28" s="486">
        <f t="shared" si="1"/>
        <v>0</v>
      </c>
      <c r="K28" s="487">
        <f t="shared" si="2"/>
        <v>0</v>
      </c>
      <c r="L28" s="487">
        <v>0</v>
      </c>
      <c r="M28" s="487">
        <f t="shared" si="3"/>
        <v>0</v>
      </c>
      <c r="N28" s="739">
        <v>5</v>
      </c>
      <c r="O28" s="739">
        <f xml:space="preserve">
IF(表紙!$X$2="実績報告（１次）",5,
IF(OR(表紙!$X$2="実績報告（２次）",表紙!$X$2="交付申請兼実績報告"),10
))</f>
        <v>10</v>
      </c>
      <c r="P28" s="739">
        <f xml:space="preserve">
IF(表紙!$X$2="実績報告（１次）",8,
IF(OR(表紙!$X$2="実績報告（２次）",表紙!$X$2="交付申請兼実績報告"),1
))</f>
        <v>1</v>
      </c>
      <c r="Q28" s="488">
        <f t="shared" si="12"/>
        <v>0</v>
      </c>
      <c r="R28" s="489" t="s">
        <v>1459</v>
      </c>
      <c r="S28" s="752"/>
      <c r="U28" s="596" t="str">
        <f t="shared" si="10"/>
        <v/>
      </c>
      <c r="V28" s="787" t="str">
        <f t="shared" si="4"/>
        <v/>
      </c>
      <c r="W28" s="787" t="str">
        <f t="shared" si="5"/>
        <v/>
      </c>
      <c r="X28" s="787" t="str">
        <f t="shared" si="6"/>
        <v/>
      </c>
      <c r="Y28" s="491" t="str">
        <f t="shared" si="7"/>
        <v>交換用シールド</v>
      </c>
      <c r="AJ28" s="461" t="s">
        <v>466</v>
      </c>
      <c r="AK28" s="490">
        <v>16</v>
      </c>
      <c r="AL28" s="460" t="str">
        <f t="shared" si="11"/>
        <v>×</v>
      </c>
      <c r="AM28" s="468" t="str">
        <f t="shared" si="8"/>
        <v>【要修正】種類、品名、内容量、数量、税抜単価の内、未入力の箇所があります。</v>
      </c>
      <c r="AO28" s="468">
        <f t="shared" si="0"/>
        <v>0</v>
      </c>
    </row>
    <row r="29" spans="1:41" ht="20.100000000000001" customHeight="1" thickBot="1">
      <c r="A29" s="485">
        <v>17</v>
      </c>
      <c r="B29" s="753" t="s">
        <v>1372</v>
      </c>
      <c r="C29" s="754" t="s">
        <v>1375</v>
      </c>
      <c r="D29" s="1896" t="s">
        <v>1452</v>
      </c>
      <c r="E29" s="1897"/>
      <c r="F29" s="1898"/>
      <c r="G29" s="822"/>
      <c r="H29" s="822"/>
      <c r="I29" s="755">
        <v>0</v>
      </c>
      <c r="J29" s="756">
        <f t="shared" si="1"/>
        <v>0</v>
      </c>
      <c r="K29" s="757">
        <f t="shared" si="2"/>
        <v>0</v>
      </c>
      <c r="L29" s="757">
        <v>0</v>
      </c>
      <c r="M29" s="757">
        <f t="shared" si="3"/>
        <v>0</v>
      </c>
      <c r="N29" s="758">
        <v>5</v>
      </c>
      <c r="O29" s="758">
        <f xml:space="preserve">
IF(表紙!$X$2="実績報告（１次）",5,
IF(OR(表紙!$X$2="実績報告（２次）",表紙!$X$2="交付申請兼実績報告"),10
))</f>
        <v>10</v>
      </c>
      <c r="P29" s="758">
        <f xml:space="preserve">
IF(表紙!$X$2="実績報告（１次）",8,
IF(OR(表紙!$X$2="実績報告（２次）",表紙!$X$2="交付申請兼実績報告"),1
))</f>
        <v>1</v>
      </c>
      <c r="Q29" s="759">
        <f t="shared" si="12"/>
        <v>0</v>
      </c>
      <c r="R29" s="760" t="s">
        <v>1459</v>
      </c>
      <c r="S29" s="761"/>
      <c r="U29" s="596" t="str">
        <f t="shared" si="10"/>
        <v/>
      </c>
      <c r="V29" s="787" t="str">
        <f t="shared" si="4"/>
        <v/>
      </c>
      <c r="W29" s="787" t="str">
        <f t="shared" si="5"/>
        <v/>
      </c>
      <c r="X29" s="787" t="str">
        <f t="shared" si="6"/>
        <v/>
      </c>
      <c r="Y29" s="491" t="str">
        <f t="shared" si="7"/>
        <v>リユーサブルシールド</v>
      </c>
      <c r="AJ29" s="461" t="s">
        <v>466</v>
      </c>
      <c r="AK29" s="490">
        <v>17</v>
      </c>
      <c r="AL29" s="460" t="str">
        <f t="shared" si="11"/>
        <v>×</v>
      </c>
      <c r="AM29" s="468" t="str">
        <f t="shared" si="8"/>
        <v>【要修正】種類、品名、内容量、数量、税抜単価の内、未入力の箇所があります。</v>
      </c>
      <c r="AO29" s="468">
        <f t="shared" si="0"/>
        <v>0</v>
      </c>
    </row>
    <row r="30" spans="1:41" ht="20.100000000000001" customHeight="1">
      <c r="A30" s="485">
        <v>18</v>
      </c>
      <c r="B30" s="718"/>
      <c r="C30" s="719"/>
      <c r="D30" s="1899"/>
      <c r="E30" s="1900"/>
      <c r="F30" s="1901"/>
      <c r="G30" s="720"/>
      <c r="H30" s="720"/>
      <c r="I30" s="721"/>
      <c r="J30" s="722">
        <f t="shared" si="1"/>
        <v>0</v>
      </c>
      <c r="K30" s="723">
        <f t="shared" si="2"/>
        <v>0</v>
      </c>
      <c r="L30" s="723" t="str">
        <f t="shared" ref="L30:L77" si="13">IFERROR(G30*H30*VLOOKUP(C30,$AY$123:$AZ$139,2,FALSE),"")</f>
        <v/>
      </c>
      <c r="M30" s="487" t="str">
        <f xml:space="preserve">
IF(AL30&lt;&gt;"◎","",
IF(AND(表紙!X1="実績報告（１次）",DATE(IF(N30=5,2023,IF(N30=6,2024)),O30,P30)&lt;DATE(2023,5,8)),0,
IF(AND(OR(表紙!X1="実績報告（２次）",表紙!X1="交付申請兼実績報告"),DATE(IF(N30=5,2023,IF(N30=6,2024)),O30,P30)&lt;DATE(2023,10,1)),0,
MIN(K30,L30))))</f>
        <v/>
      </c>
      <c r="N30" s="726"/>
      <c r="O30" s="726"/>
      <c r="P30" s="726"/>
      <c r="Q30" s="488" t="str">
        <f xml:space="preserve">
IF(AL30&lt;&gt;"◎","",
IF(AND(表紙!X1="実績報告（１次）",DATE(IF(N30=5,2023,IF(N30=6,2024)),O30,P30)&lt;DATE(2023,5,8)),0,
IF(AND(OR(表紙!X1="実績報告（２次）",表紙!X1="交付申請兼実績報告"),DATE(IF(N30=5,2023,IF(N30=6,2024)),O30,P30)&lt;DATE(2023,10,1)),0,
G30*H30)))</f>
        <v/>
      </c>
      <c r="R30" s="724" t="str">
        <f xml:space="preserve">
IF(表紙!$X$2="事前協議","－",
IF(表紙!$X$2="交付申請（２次）","－",
IF(表紙!$X$2="変更申請","－",
IF(AND(OR(表紙!$X$2="実績報告（１次）",表紙!$X$2="実績報告（２次）",表紙!$X$2="交付申請兼実績報告"),AL30="◎"),COUNTIF($AL$30:AL30,"◎"),""))))</f>
        <v/>
      </c>
      <c r="S30" s="724" t="str">
        <f t="shared" ref="S30:S77" si="14">IFERROR(
"@"&amp;TEXT(ROUNDUP(J30/G30,0),"#,###円")&amp;
IF(ROUNDUP(J30/G30,0)&lt;VLOOKUP(C30,$AY$123:$AZ$139,2,FALSE),"&lt;",
IF(ROUNDUP(J30/G30,0)=VLOOKUP(C30,$AY$123:$AZ$139,2,FALSE),"=",
IF(ROUNDUP(J30/G30,0)&gt;VLOOKUP(C30,$AY$123:$AZ$139,2,FALSE),"&gt;")))&amp;
"上限@"&amp;TEXT(VLOOKUP(C30,$AY$123:$AZ$139,2,FALSE),"#,###円"),"")</f>
        <v/>
      </c>
      <c r="T30" s="765" t="str">
        <f>IF(H30="","",H30)</f>
        <v/>
      </c>
      <c r="U30" s="596" t="str">
        <f t="shared" si="10"/>
        <v/>
      </c>
      <c r="V30" s="787" t="str">
        <f t="shared" si="4"/>
        <v/>
      </c>
      <c r="W30" s="787" t="str">
        <f t="shared" si="5"/>
        <v/>
      </c>
      <c r="X30" s="787" t="str">
        <f t="shared" si="6"/>
        <v/>
      </c>
      <c r="Y30" s="491" t="str">
        <f t="shared" si="7"/>
        <v/>
      </c>
      <c r="AJ30" s="461" t="s">
        <v>466</v>
      </c>
      <c r="AK30" s="490">
        <v>18</v>
      </c>
      <c r="AL30" s="460" t="str">
        <f xml:space="preserve">
IF(COUNTA(B30:I30,N30:P30)=0,"○",
IF(AND(COUNTA(B30:I30,N30:P30)&gt;=1,COUNTA(B30:I30,N30:P30)&lt;9),"×",
IF(OR(COUNTA(B30:I30,N30:P30)=9,COUNTA(B30:I30,N30:P30)=11),"◎")))</f>
        <v>○</v>
      </c>
      <c r="AM30" s="468" t="str">
        <f xml:space="preserve">
IF(COUNTA(B30:I30,N30:P30)=0,"申請しない場合は入力不要です。",
IF(AND(COUNTA(B30:I30,N30:P30)&gt;=1,COUNTA(B30:I30,N30:P30)&lt;9),"【要修正】種類、品名、内容量、数量、税抜単価及び納品日の内、未入力の箇所があります。",
IF(OR(COUNTA(B30:I30,N30:P30)=9,COUNTA(B30:I30,N30:P30)=11),"適切に入力がされました。")))</f>
        <v>申請しない場合は入力不要です。</v>
      </c>
      <c r="AO30" s="468">
        <f t="shared" si="0"/>
        <v>0</v>
      </c>
    </row>
    <row r="31" spans="1:41" ht="20.100000000000001" customHeight="1">
      <c r="A31" s="485">
        <v>19</v>
      </c>
      <c r="B31" s="205"/>
      <c r="C31" s="206"/>
      <c r="D31" s="1889"/>
      <c r="E31" s="1890"/>
      <c r="F31" s="1891"/>
      <c r="G31" s="207"/>
      <c r="H31" s="207"/>
      <c r="I31" s="208"/>
      <c r="J31" s="486">
        <f t="shared" si="1"/>
        <v>0</v>
      </c>
      <c r="K31" s="487">
        <f t="shared" si="2"/>
        <v>0</v>
      </c>
      <c r="L31" s="487" t="str">
        <f t="shared" si="13"/>
        <v/>
      </c>
      <c r="M31" s="487" t="str">
        <f xml:space="preserve">
IF(AL31&lt;&gt;"◎","",
IF(AND(表紙!X2="実績報告（１次）",DATE(IF(N31=5,2023,IF(N31=6,2024)),O31,P31)&lt;DATE(2023,5,8)),0,
IF(AND(OR(表紙!X2="実績報告（２次）",表紙!X2="交付申請兼実績報告"),DATE(IF(N31=5,2023,IF(N31=6,2024)),O31,P31)&lt;DATE(2023,10,1)),0,
MIN(K31,L31))))</f>
        <v/>
      </c>
      <c r="N31" s="725"/>
      <c r="O31" s="725"/>
      <c r="P31" s="725"/>
      <c r="Q31" s="488" t="str">
        <f xml:space="preserve">
IF(AL31&lt;&gt;"◎","",
IF(AND(表紙!X2="実績報告（１次）",DATE(IF(N31=5,2023,IF(N31=6,2024)),O31,P31)&lt;DATE(2023,5,8)),0,
IF(AND(OR(表紙!X2="実績報告（２次）",表紙!X2="交付申請兼実績報告"),DATE(IF(N31=5,2023,IF(N31=6,2024)),O31,P31)&lt;DATE(2023,10,1)),0,
G31*H31)))</f>
        <v/>
      </c>
      <c r="R31" s="724" t="str">
        <f xml:space="preserve">
IF(表紙!$X$2="事前協議","－",
IF(表紙!$X$2="交付申請（２次）","－",
IF(表紙!$X$2="変更申請","－",
IF(AND(OR(表紙!$X$2="実績報告（１次）",表紙!$X$2="実績報告（２次）",表紙!$X$2="交付申請兼実績報告"),AL31="◎"),COUNTIF($AL$30:AL31,"◎"),""))))</f>
        <v/>
      </c>
      <c r="S31" s="489" t="str">
        <f t="shared" si="14"/>
        <v/>
      </c>
      <c r="T31" s="765" t="str">
        <f t="shared" ref="T31:T94" si="15">IF(H31="","",H31)</f>
        <v/>
      </c>
      <c r="U31" s="596" t="str">
        <f t="shared" si="10"/>
        <v/>
      </c>
      <c r="V31" s="787" t="str">
        <f t="shared" si="4"/>
        <v/>
      </c>
      <c r="W31" s="787" t="str">
        <f t="shared" si="5"/>
        <v/>
      </c>
      <c r="X31" s="787" t="str">
        <f t="shared" si="6"/>
        <v/>
      </c>
      <c r="Y31" s="491" t="str">
        <f t="shared" si="7"/>
        <v/>
      </c>
      <c r="AJ31" s="461" t="s">
        <v>466</v>
      </c>
      <c r="AK31" s="490">
        <v>19</v>
      </c>
      <c r="AL31" s="460" t="str">
        <f t="shared" ref="AL31:AL94" si="16" xml:space="preserve">
IF(COUNTA(B31:I31,N31:P31)=0,"○",
IF(AND(COUNTA(B31:I31,N31:P31)&gt;=1,COUNTA(B31:I31,N31:P31)&lt;9),"×",
IF(OR(COUNTA(B31:I31,N31:P31)=9,COUNTA(B31:I31,N31:P31)=11),"◎")))</f>
        <v>○</v>
      </c>
      <c r="AM31" s="468" t="str">
        <f t="shared" ref="AM31:AM94" si="17" xml:space="preserve">
IF(COUNTA(B31:I31,N31:P31)=0,"申請しない場合は入力不要です。",
IF(AND(COUNTA(B31:I31,N31:P31)&gt;=1,COUNTA(B31:I31,N31:P31)&lt;9),"【要修正】種類、品名、内容量、数量、税抜単価及び納品日の内、未入力の箇所があります。",
IF(OR(COUNTA(B31:I31,N31:P31)=9,COUNTA(B31:I31,N31:P31)=11),"適切に入力がされました。")))</f>
        <v>申請しない場合は入力不要です。</v>
      </c>
      <c r="AO31" s="468">
        <f t="shared" si="0"/>
        <v>0</v>
      </c>
    </row>
    <row r="32" spans="1:41" ht="20.100000000000001" customHeight="1">
      <c r="A32" s="485">
        <v>20</v>
      </c>
      <c r="B32" s="205"/>
      <c r="C32" s="206"/>
      <c r="D32" s="1889"/>
      <c r="E32" s="1890"/>
      <c r="F32" s="1891"/>
      <c r="G32" s="207"/>
      <c r="H32" s="207"/>
      <c r="I32" s="208"/>
      <c r="J32" s="486">
        <f t="shared" si="1"/>
        <v>0</v>
      </c>
      <c r="K32" s="487">
        <f t="shared" si="2"/>
        <v>0</v>
      </c>
      <c r="L32" s="487" t="str">
        <f t="shared" si="13"/>
        <v/>
      </c>
      <c r="M32" s="487" t="str">
        <f xml:space="preserve">
IF(AL32&lt;&gt;"◎","",
IF(AND(表紙!X3="実績報告（１次）",DATE(IF(N32=5,2023,IF(N32=6,2024)),O32,P32)&lt;DATE(2023,5,8)),0,
IF(AND(OR(表紙!X3="実績報告（２次）",表紙!X3="交付申請兼実績報告"),DATE(IF(N32=5,2023,IF(N32=6,2024)),O32,P32)&lt;DATE(2023,10,1)),0,
MIN(K32,L32))))</f>
        <v/>
      </c>
      <c r="N32" s="725"/>
      <c r="O32" s="725"/>
      <c r="P32" s="725"/>
      <c r="Q32" s="488" t="str">
        <f xml:space="preserve">
IF(AL32&lt;&gt;"◎","",
IF(AND(表紙!X3="実績報告（１次）",DATE(IF(N32=5,2023,IF(N32=6,2024)),O32,P32)&lt;DATE(2023,5,8)),0,
IF(AND(OR(表紙!X3="実績報告（２次）",表紙!X3="交付申請兼実績報告"),DATE(IF(N32=5,2023,IF(N32=6,2024)),O32,P32)&lt;DATE(2023,10,1)),0,
G32*H32)))</f>
        <v/>
      </c>
      <c r="R32" s="724" t="str">
        <f xml:space="preserve">
IF(表紙!$X$2="事前協議","－",
IF(表紙!$X$2="交付申請（２次）","－",
IF(表紙!$X$2="変更申請","－",
IF(AND(OR(表紙!$X$2="実績報告（１次）",表紙!$X$2="実績報告（２次）",表紙!$X$2="交付申請兼実績報告"),AL32="◎"),COUNTIF($AL$30:AL32,"◎"),""))))</f>
        <v/>
      </c>
      <c r="S32" s="489" t="str">
        <f t="shared" si="14"/>
        <v/>
      </c>
      <c r="T32" s="765" t="str">
        <f t="shared" si="15"/>
        <v/>
      </c>
      <c r="U32" s="596" t="str">
        <f t="shared" si="10"/>
        <v/>
      </c>
      <c r="V32" s="787" t="str">
        <f t="shared" si="4"/>
        <v/>
      </c>
      <c r="W32" s="787" t="str">
        <f t="shared" si="5"/>
        <v/>
      </c>
      <c r="X32" s="787" t="str">
        <f t="shared" si="6"/>
        <v/>
      </c>
      <c r="Y32" s="491" t="str">
        <f t="shared" si="7"/>
        <v/>
      </c>
      <c r="AJ32" s="461" t="s">
        <v>466</v>
      </c>
      <c r="AK32" s="490">
        <v>20</v>
      </c>
      <c r="AL32" s="460" t="str">
        <f t="shared" si="16"/>
        <v>○</v>
      </c>
      <c r="AM32" s="468" t="str">
        <f t="shared" si="17"/>
        <v>申請しない場合は入力不要です。</v>
      </c>
      <c r="AO32" s="468">
        <f t="shared" si="0"/>
        <v>0</v>
      </c>
    </row>
    <row r="33" spans="1:41" ht="20.100000000000001" customHeight="1">
      <c r="A33" s="485">
        <v>21</v>
      </c>
      <c r="B33" s="205"/>
      <c r="C33" s="206"/>
      <c r="D33" s="1889"/>
      <c r="E33" s="1890"/>
      <c r="F33" s="1891"/>
      <c r="G33" s="207"/>
      <c r="H33" s="207"/>
      <c r="I33" s="208"/>
      <c r="J33" s="486">
        <f t="shared" si="1"/>
        <v>0</v>
      </c>
      <c r="K33" s="487">
        <f t="shared" si="2"/>
        <v>0</v>
      </c>
      <c r="L33" s="487" t="str">
        <f t="shared" si="13"/>
        <v/>
      </c>
      <c r="M33" s="487" t="str">
        <f xml:space="preserve">
IF(AL33&lt;&gt;"◎","",
IF(AND(表紙!X4="実績報告（１次）",DATE(IF(N33=5,2023,IF(N33=6,2024)),O33,P33)&lt;DATE(2023,5,8)),0,
IF(AND(OR(表紙!X4="実績報告（２次）",表紙!X4="交付申請兼実績報告"),DATE(IF(N33=5,2023,IF(N33=6,2024)),O33,P33)&lt;DATE(2023,10,1)),0,
MIN(K33,L33))))</f>
        <v/>
      </c>
      <c r="N33" s="725"/>
      <c r="O33" s="725"/>
      <c r="P33" s="725"/>
      <c r="Q33" s="488" t="str">
        <f xml:space="preserve">
IF(AL33&lt;&gt;"◎","",
IF(AND(表紙!X4="実績報告（１次）",DATE(IF(N33=5,2023,IF(N33=6,2024)),O33,P33)&lt;DATE(2023,5,8)),0,
IF(AND(OR(表紙!X4="実績報告（２次）",表紙!X4="交付申請兼実績報告"),DATE(IF(N33=5,2023,IF(N33=6,2024)),O33,P33)&lt;DATE(2023,10,1)),0,
G33*H33)))</f>
        <v/>
      </c>
      <c r="R33" s="724" t="str">
        <f xml:space="preserve">
IF(表紙!$X$2="事前協議","－",
IF(表紙!$X$2="交付申請（２次）","－",
IF(表紙!$X$2="変更申請","－",
IF(AND(OR(表紙!$X$2="実績報告（１次）",表紙!$X$2="実績報告（２次）",表紙!$X$2="交付申請兼実績報告"),AL33="◎"),COUNTIF($AL$30:AL33,"◎"),""))))</f>
        <v/>
      </c>
      <c r="S33" s="489" t="str">
        <f t="shared" si="14"/>
        <v/>
      </c>
      <c r="T33" s="765" t="str">
        <f t="shared" si="15"/>
        <v/>
      </c>
      <c r="U33" s="596" t="str">
        <f t="shared" si="10"/>
        <v/>
      </c>
      <c r="V33" s="787" t="str">
        <f t="shared" si="4"/>
        <v/>
      </c>
      <c r="W33" s="787" t="str">
        <f t="shared" si="5"/>
        <v/>
      </c>
      <c r="X33" s="787" t="str">
        <f t="shared" si="6"/>
        <v/>
      </c>
      <c r="Y33" s="491" t="str">
        <f t="shared" si="7"/>
        <v/>
      </c>
      <c r="AJ33" s="461" t="s">
        <v>466</v>
      </c>
      <c r="AK33" s="490">
        <v>21</v>
      </c>
      <c r="AL33" s="460" t="str">
        <f t="shared" si="16"/>
        <v>○</v>
      </c>
      <c r="AM33" s="468" t="str">
        <f t="shared" si="17"/>
        <v>申請しない場合は入力不要です。</v>
      </c>
      <c r="AO33" s="468">
        <f t="shared" si="0"/>
        <v>0</v>
      </c>
    </row>
    <row r="34" spans="1:41" ht="20.100000000000001" customHeight="1">
      <c r="A34" s="485">
        <v>22</v>
      </c>
      <c r="B34" s="205"/>
      <c r="C34" s="206"/>
      <c r="D34" s="1889"/>
      <c r="E34" s="1890"/>
      <c r="F34" s="1891"/>
      <c r="G34" s="207"/>
      <c r="H34" s="207"/>
      <c r="I34" s="208"/>
      <c r="J34" s="486">
        <f t="shared" si="1"/>
        <v>0</v>
      </c>
      <c r="K34" s="487">
        <f t="shared" si="2"/>
        <v>0</v>
      </c>
      <c r="L34" s="487" t="str">
        <f t="shared" si="13"/>
        <v/>
      </c>
      <c r="M34" s="487" t="str">
        <f xml:space="preserve">
IF(AL34&lt;&gt;"◎","",
IF(AND(表紙!X5="実績報告（１次）",DATE(IF(N34=5,2023,IF(N34=6,2024)),O34,P34)&lt;DATE(2023,5,8)),0,
IF(AND(OR(表紙!X5="実績報告（２次）",表紙!X5="交付申請兼実績報告"),DATE(IF(N34=5,2023,IF(N34=6,2024)),O34,P34)&lt;DATE(2023,10,1)),0,
MIN(K34,L34))))</f>
        <v/>
      </c>
      <c r="N34" s="725"/>
      <c r="O34" s="725"/>
      <c r="P34" s="725"/>
      <c r="Q34" s="488" t="str">
        <f xml:space="preserve">
IF(AL34&lt;&gt;"◎","",
IF(AND(表紙!X5="実績報告（１次）",DATE(IF(N34=5,2023,IF(N34=6,2024)),O34,P34)&lt;DATE(2023,5,8)),0,
IF(AND(OR(表紙!X5="実績報告（２次）",表紙!X5="交付申請兼実績報告"),DATE(IF(N34=5,2023,IF(N34=6,2024)),O34,P34)&lt;DATE(2023,10,1)),0,
G34*H34)))</f>
        <v/>
      </c>
      <c r="R34" s="724" t="str">
        <f xml:space="preserve">
IF(表紙!$X$2="事前協議","－",
IF(表紙!$X$2="交付申請（２次）","－",
IF(表紙!$X$2="変更申請","－",
IF(AND(OR(表紙!$X$2="実績報告（１次）",表紙!$X$2="実績報告（２次）",表紙!$X$2="交付申請兼実績報告"),AL34="◎"),COUNTIF($AL$30:AL34,"◎"),""))))</f>
        <v/>
      </c>
      <c r="S34" s="489" t="str">
        <f t="shared" si="14"/>
        <v/>
      </c>
      <c r="T34" s="765" t="str">
        <f t="shared" si="15"/>
        <v/>
      </c>
      <c r="U34" s="596" t="str">
        <f t="shared" si="10"/>
        <v/>
      </c>
      <c r="V34" s="787" t="str">
        <f t="shared" si="4"/>
        <v/>
      </c>
      <c r="W34" s="787" t="str">
        <f t="shared" si="5"/>
        <v/>
      </c>
      <c r="X34" s="787" t="str">
        <f t="shared" si="6"/>
        <v/>
      </c>
      <c r="Y34" s="491" t="str">
        <f t="shared" si="7"/>
        <v/>
      </c>
      <c r="AJ34" s="461" t="s">
        <v>466</v>
      </c>
      <c r="AK34" s="490">
        <v>22</v>
      </c>
      <c r="AL34" s="460" t="str">
        <f t="shared" si="16"/>
        <v>○</v>
      </c>
      <c r="AM34" s="468" t="str">
        <f t="shared" si="17"/>
        <v>申請しない場合は入力不要です。</v>
      </c>
      <c r="AO34" s="468">
        <f t="shared" si="0"/>
        <v>0</v>
      </c>
    </row>
    <row r="35" spans="1:41" ht="20.100000000000001" customHeight="1">
      <c r="A35" s="485">
        <v>23</v>
      </c>
      <c r="B35" s="205"/>
      <c r="C35" s="206"/>
      <c r="D35" s="1889"/>
      <c r="E35" s="1890"/>
      <c r="F35" s="1891"/>
      <c r="G35" s="207"/>
      <c r="H35" s="207"/>
      <c r="I35" s="208"/>
      <c r="J35" s="486">
        <f t="shared" si="1"/>
        <v>0</v>
      </c>
      <c r="K35" s="487">
        <f t="shared" si="2"/>
        <v>0</v>
      </c>
      <c r="L35" s="487" t="str">
        <f t="shared" si="13"/>
        <v/>
      </c>
      <c r="M35" s="487" t="str">
        <f xml:space="preserve">
IF(AL35&lt;&gt;"◎","",
IF(AND(表紙!X6="実績報告（１次）",DATE(IF(N35=5,2023,IF(N35=6,2024)),O35,P35)&lt;DATE(2023,5,8)),0,
IF(AND(OR(表紙!X6="実績報告（２次）",表紙!X6="交付申請兼実績報告"),DATE(IF(N35=5,2023,IF(N35=6,2024)),O35,P35)&lt;DATE(2023,10,1)),0,
MIN(K35,L35))))</f>
        <v/>
      </c>
      <c r="N35" s="725"/>
      <c r="O35" s="725"/>
      <c r="P35" s="725"/>
      <c r="Q35" s="488" t="str">
        <f xml:space="preserve">
IF(AL35&lt;&gt;"◎","",
IF(AND(表紙!X6="実績報告（１次）",DATE(IF(N35=5,2023,IF(N35=6,2024)),O35,P35)&lt;DATE(2023,5,8)),0,
IF(AND(OR(表紙!X6="実績報告（２次）",表紙!X6="交付申請兼実績報告"),DATE(IF(N35=5,2023,IF(N35=6,2024)),O35,P35)&lt;DATE(2023,10,1)),0,
G35*H35)))</f>
        <v/>
      </c>
      <c r="R35" s="724" t="str">
        <f xml:space="preserve">
IF(表紙!$X$2="事前協議","－",
IF(表紙!$X$2="交付申請（２次）","－",
IF(表紙!$X$2="変更申請","－",
IF(AND(OR(表紙!$X$2="実績報告（１次）",表紙!$X$2="実績報告（２次）",表紙!$X$2="交付申請兼実績報告"),AL35="◎"),COUNTIF($AL$30:AL35,"◎"),""))))</f>
        <v/>
      </c>
      <c r="S35" s="489" t="str">
        <f t="shared" si="14"/>
        <v/>
      </c>
      <c r="T35" s="765" t="str">
        <f t="shared" si="15"/>
        <v/>
      </c>
      <c r="U35" s="596" t="str">
        <f t="shared" si="10"/>
        <v/>
      </c>
      <c r="V35" s="787" t="str">
        <f t="shared" si="4"/>
        <v/>
      </c>
      <c r="W35" s="787" t="str">
        <f t="shared" si="5"/>
        <v/>
      </c>
      <c r="X35" s="787" t="str">
        <f t="shared" si="6"/>
        <v/>
      </c>
      <c r="Y35" s="491" t="str">
        <f t="shared" si="7"/>
        <v/>
      </c>
      <c r="AJ35" s="461" t="s">
        <v>466</v>
      </c>
      <c r="AK35" s="490">
        <v>23</v>
      </c>
      <c r="AL35" s="460" t="str">
        <f t="shared" si="16"/>
        <v>○</v>
      </c>
      <c r="AM35" s="468" t="str">
        <f t="shared" si="17"/>
        <v>申請しない場合は入力不要です。</v>
      </c>
      <c r="AO35" s="468">
        <f t="shared" si="0"/>
        <v>0</v>
      </c>
    </row>
    <row r="36" spans="1:41" ht="20.100000000000001" customHeight="1">
      <c r="A36" s="485">
        <v>24</v>
      </c>
      <c r="B36" s="205"/>
      <c r="C36" s="206"/>
      <c r="D36" s="1889"/>
      <c r="E36" s="1890"/>
      <c r="F36" s="1891"/>
      <c r="G36" s="207"/>
      <c r="H36" s="207"/>
      <c r="I36" s="208"/>
      <c r="J36" s="486">
        <f t="shared" si="1"/>
        <v>0</v>
      </c>
      <c r="K36" s="487">
        <f t="shared" si="2"/>
        <v>0</v>
      </c>
      <c r="L36" s="487" t="str">
        <f t="shared" si="13"/>
        <v/>
      </c>
      <c r="M36" s="487" t="str">
        <f xml:space="preserve">
IF(AL36&lt;&gt;"◎","",
IF(AND(表紙!X7="実績報告（１次）",DATE(IF(N36=5,2023,IF(N36=6,2024)),O36,P36)&lt;DATE(2023,5,8)),0,
IF(AND(OR(表紙!X7="実績報告（２次）",表紙!X7="交付申請兼実績報告"),DATE(IF(N36=5,2023,IF(N36=6,2024)),O36,P36)&lt;DATE(2023,10,1)),0,
MIN(K36,L36))))</f>
        <v/>
      </c>
      <c r="N36" s="725"/>
      <c r="O36" s="725"/>
      <c r="P36" s="725"/>
      <c r="Q36" s="488" t="str">
        <f xml:space="preserve">
IF(AL36&lt;&gt;"◎","",
IF(AND(表紙!X7="実績報告（１次）",DATE(IF(N36=5,2023,IF(N36=6,2024)),O36,P36)&lt;DATE(2023,5,8)),0,
IF(AND(OR(表紙!X7="実績報告（２次）",表紙!X7="交付申請兼実績報告"),DATE(IF(N36=5,2023,IF(N36=6,2024)),O36,P36)&lt;DATE(2023,10,1)),0,
G36*H36)))</f>
        <v/>
      </c>
      <c r="R36" s="724" t="str">
        <f xml:space="preserve">
IF(表紙!$X$2="事前協議","－",
IF(表紙!$X$2="交付申請（２次）","－",
IF(表紙!$X$2="変更申請","－",
IF(AND(OR(表紙!$X$2="実績報告（１次）",表紙!$X$2="実績報告（２次）",表紙!$X$2="交付申請兼実績報告"),AL36="◎"),COUNTIF($AL$30:AL36,"◎"),""))))</f>
        <v/>
      </c>
      <c r="S36" s="489" t="str">
        <f t="shared" si="14"/>
        <v/>
      </c>
      <c r="T36" s="765" t="str">
        <f t="shared" si="15"/>
        <v/>
      </c>
      <c r="U36" s="596" t="str">
        <f t="shared" si="10"/>
        <v/>
      </c>
      <c r="V36" s="787" t="str">
        <f t="shared" si="4"/>
        <v/>
      </c>
      <c r="W36" s="787" t="str">
        <f t="shared" si="5"/>
        <v/>
      </c>
      <c r="X36" s="787" t="str">
        <f t="shared" si="6"/>
        <v/>
      </c>
      <c r="Y36" s="491" t="str">
        <f t="shared" si="7"/>
        <v/>
      </c>
      <c r="AJ36" s="461" t="s">
        <v>466</v>
      </c>
      <c r="AK36" s="490">
        <v>24</v>
      </c>
      <c r="AL36" s="460" t="str">
        <f t="shared" si="16"/>
        <v>○</v>
      </c>
      <c r="AM36" s="468" t="str">
        <f t="shared" si="17"/>
        <v>申請しない場合は入力不要です。</v>
      </c>
      <c r="AO36" s="468">
        <f t="shared" si="0"/>
        <v>0</v>
      </c>
    </row>
    <row r="37" spans="1:41" ht="20.100000000000001" customHeight="1">
      <c r="A37" s="485">
        <v>25</v>
      </c>
      <c r="B37" s="205"/>
      <c r="C37" s="206"/>
      <c r="D37" s="1889"/>
      <c r="E37" s="1890"/>
      <c r="F37" s="1891"/>
      <c r="G37" s="207"/>
      <c r="H37" s="207"/>
      <c r="I37" s="208"/>
      <c r="J37" s="486">
        <f t="shared" si="1"/>
        <v>0</v>
      </c>
      <c r="K37" s="487">
        <f t="shared" si="2"/>
        <v>0</v>
      </c>
      <c r="L37" s="487" t="str">
        <f t="shared" si="13"/>
        <v/>
      </c>
      <c r="M37" s="487" t="str">
        <f xml:space="preserve">
IF(AL37&lt;&gt;"◎","",
IF(AND(表紙!X8="実績報告（１次）",DATE(IF(N37=5,2023,IF(N37=6,2024)),O37,P37)&lt;DATE(2023,5,8)),0,
IF(AND(OR(表紙!X8="実績報告（２次）",表紙!X8="交付申請兼実績報告"),DATE(IF(N37=5,2023,IF(N37=6,2024)),O37,P37)&lt;DATE(2023,10,1)),0,
MIN(K37,L37))))</f>
        <v/>
      </c>
      <c r="N37" s="725"/>
      <c r="O37" s="725"/>
      <c r="P37" s="725"/>
      <c r="Q37" s="488" t="str">
        <f xml:space="preserve">
IF(AL37&lt;&gt;"◎","",
IF(AND(表紙!X8="実績報告（１次）",DATE(IF(N37=5,2023,IF(N37=6,2024)),O37,P37)&lt;DATE(2023,5,8)),0,
IF(AND(OR(表紙!X8="実績報告（２次）",表紙!X8="交付申請兼実績報告"),DATE(IF(N37=5,2023,IF(N37=6,2024)),O37,P37)&lt;DATE(2023,10,1)),0,
G37*H37)))</f>
        <v/>
      </c>
      <c r="R37" s="724" t="str">
        <f xml:space="preserve">
IF(表紙!$X$2="事前協議","－",
IF(表紙!$X$2="交付申請（２次）","－",
IF(表紙!$X$2="変更申請","－",
IF(AND(OR(表紙!$X$2="実績報告（１次）",表紙!$X$2="実績報告（２次）",表紙!$X$2="交付申請兼実績報告"),AL37="◎"),COUNTIF($AL$30:AL37,"◎"),""))))</f>
        <v/>
      </c>
      <c r="S37" s="489" t="str">
        <f t="shared" si="14"/>
        <v/>
      </c>
      <c r="T37" s="765" t="str">
        <f t="shared" si="15"/>
        <v/>
      </c>
      <c r="U37" s="596" t="str">
        <f t="shared" si="10"/>
        <v/>
      </c>
      <c r="V37" s="787" t="str">
        <f t="shared" si="4"/>
        <v/>
      </c>
      <c r="W37" s="787" t="str">
        <f t="shared" si="5"/>
        <v/>
      </c>
      <c r="X37" s="787" t="str">
        <f t="shared" si="6"/>
        <v/>
      </c>
      <c r="Y37" s="491" t="str">
        <f t="shared" si="7"/>
        <v/>
      </c>
      <c r="AJ37" s="461" t="s">
        <v>466</v>
      </c>
      <c r="AK37" s="490">
        <v>25</v>
      </c>
      <c r="AL37" s="460" t="str">
        <f t="shared" si="16"/>
        <v>○</v>
      </c>
      <c r="AM37" s="468" t="str">
        <f t="shared" si="17"/>
        <v>申請しない場合は入力不要です。</v>
      </c>
      <c r="AO37" s="468">
        <f t="shared" si="0"/>
        <v>0</v>
      </c>
    </row>
    <row r="38" spans="1:41" ht="20.100000000000001" customHeight="1">
      <c r="A38" s="485">
        <v>26</v>
      </c>
      <c r="B38" s="205"/>
      <c r="C38" s="206"/>
      <c r="D38" s="1889"/>
      <c r="E38" s="1890"/>
      <c r="F38" s="1891"/>
      <c r="G38" s="207"/>
      <c r="H38" s="207"/>
      <c r="I38" s="208"/>
      <c r="J38" s="486">
        <f t="shared" si="1"/>
        <v>0</v>
      </c>
      <c r="K38" s="487">
        <f t="shared" si="2"/>
        <v>0</v>
      </c>
      <c r="L38" s="487" t="str">
        <f t="shared" si="13"/>
        <v/>
      </c>
      <c r="M38" s="487" t="str">
        <f xml:space="preserve">
IF(AL38&lt;&gt;"◎","",
IF(AND(表紙!X9="実績報告（１次）",DATE(IF(N38=5,2023,IF(N38=6,2024)),O38,P38)&lt;DATE(2023,5,8)),0,
IF(AND(OR(表紙!X9="実績報告（２次）",表紙!X9="交付申請兼実績報告"),DATE(IF(N38=5,2023,IF(N38=6,2024)),O38,P38)&lt;DATE(2023,10,1)),0,
MIN(K38,L38))))</f>
        <v/>
      </c>
      <c r="N38" s="725"/>
      <c r="O38" s="725"/>
      <c r="P38" s="725"/>
      <c r="Q38" s="488" t="str">
        <f xml:space="preserve">
IF(AL38&lt;&gt;"◎","",
IF(AND(表紙!X9="実績報告（１次）",DATE(IF(N38=5,2023,IF(N38=6,2024)),O38,P38)&lt;DATE(2023,5,8)),0,
IF(AND(OR(表紙!X9="実績報告（２次）",表紙!X9="交付申請兼実績報告"),DATE(IF(N38=5,2023,IF(N38=6,2024)),O38,P38)&lt;DATE(2023,10,1)),0,
G38*H38)))</f>
        <v/>
      </c>
      <c r="R38" s="724" t="str">
        <f xml:space="preserve">
IF(表紙!$X$2="事前協議","－",
IF(表紙!$X$2="交付申請（２次）","－",
IF(表紙!$X$2="変更申請","－",
IF(AND(OR(表紙!$X$2="実績報告（１次）",表紙!$X$2="実績報告（２次）",表紙!$X$2="交付申請兼実績報告"),AL38="◎"),COUNTIF($AL$30:AL38,"◎"),""))))</f>
        <v/>
      </c>
      <c r="S38" s="489" t="str">
        <f t="shared" si="14"/>
        <v/>
      </c>
      <c r="T38" s="765" t="str">
        <f t="shared" si="15"/>
        <v/>
      </c>
      <c r="U38" s="596" t="str">
        <f t="shared" si="10"/>
        <v/>
      </c>
      <c r="V38" s="787" t="str">
        <f t="shared" si="4"/>
        <v/>
      </c>
      <c r="W38" s="787" t="str">
        <f t="shared" si="5"/>
        <v/>
      </c>
      <c r="X38" s="787" t="str">
        <f t="shared" si="6"/>
        <v/>
      </c>
      <c r="Y38" s="491" t="str">
        <f t="shared" si="7"/>
        <v/>
      </c>
      <c r="AJ38" s="461" t="s">
        <v>466</v>
      </c>
      <c r="AK38" s="490">
        <v>26</v>
      </c>
      <c r="AL38" s="460" t="str">
        <f t="shared" si="16"/>
        <v>○</v>
      </c>
      <c r="AM38" s="468" t="str">
        <f t="shared" si="17"/>
        <v>申請しない場合は入力不要です。</v>
      </c>
      <c r="AO38" s="468">
        <f t="shared" si="0"/>
        <v>0</v>
      </c>
    </row>
    <row r="39" spans="1:41" ht="20.100000000000001" customHeight="1">
      <c r="A39" s="485">
        <v>27</v>
      </c>
      <c r="B39" s="205"/>
      <c r="C39" s="206"/>
      <c r="D39" s="1889"/>
      <c r="E39" s="1890"/>
      <c r="F39" s="1891"/>
      <c r="G39" s="207"/>
      <c r="H39" s="207"/>
      <c r="I39" s="208"/>
      <c r="J39" s="486">
        <f t="shared" si="1"/>
        <v>0</v>
      </c>
      <c r="K39" s="487">
        <f t="shared" si="2"/>
        <v>0</v>
      </c>
      <c r="L39" s="487" t="str">
        <f t="shared" si="13"/>
        <v/>
      </c>
      <c r="M39" s="487" t="str">
        <f xml:space="preserve">
IF(AL39&lt;&gt;"◎","",
IF(AND(表紙!X10="実績報告（１次）",DATE(IF(N39=5,2023,IF(N39=6,2024)),O39,P39)&lt;DATE(2023,5,8)),0,
IF(AND(OR(表紙!X10="実績報告（２次）",表紙!X10="交付申請兼実績報告"),DATE(IF(N39=5,2023,IF(N39=6,2024)),O39,P39)&lt;DATE(2023,10,1)),0,
MIN(K39,L39))))</f>
        <v/>
      </c>
      <c r="N39" s="725"/>
      <c r="O39" s="725"/>
      <c r="P39" s="725"/>
      <c r="Q39" s="488" t="str">
        <f xml:space="preserve">
IF(AL39&lt;&gt;"◎","",
IF(AND(表紙!X10="実績報告（１次）",DATE(IF(N39=5,2023,IF(N39=6,2024)),O39,P39)&lt;DATE(2023,5,8)),0,
IF(AND(OR(表紙!X10="実績報告（２次）",表紙!X10="交付申請兼実績報告"),DATE(IF(N39=5,2023,IF(N39=6,2024)),O39,P39)&lt;DATE(2023,10,1)),0,
G39*H39)))</f>
        <v/>
      </c>
      <c r="R39" s="724" t="str">
        <f xml:space="preserve">
IF(表紙!$X$2="事前協議","－",
IF(表紙!$X$2="交付申請（２次）","－",
IF(表紙!$X$2="変更申請","－",
IF(AND(OR(表紙!$X$2="実績報告（１次）",表紙!$X$2="実績報告（２次）",表紙!$X$2="交付申請兼実績報告"),AL39="◎"),COUNTIF($AL$30:AL39,"◎"),""))))</f>
        <v/>
      </c>
      <c r="S39" s="489" t="str">
        <f t="shared" si="14"/>
        <v/>
      </c>
      <c r="T39" s="765" t="str">
        <f t="shared" si="15"/>
        <v/>
      </c>
      <c r="U39" s="596" t="str">
        <f t="shared" si="10"/>
        <v/>
      </c>
      <c r="V39" s="787" t="str">
        <f t="shared" si="4"/>
        <v/>
      </c>
      <c r="W39" s="787" t="str">
        <f t="shared" si="5"/>
        <v/>
      </c>
      <c r="X39" s="787" t="str">
        <f t="shared" si="6"/>
        <v/>
      </c>
      <c r="Y39" s="491" t="str">
        <f t="shared" si="7"/>
        <v/>
      </c>
      <c r="AJ39" s="461" t="s">
        <v>466</v>
      </c>
      <c r="AK39" s="490">
        <v>27</v>
      </c>
      <c r="AL39" s="460" t="str">
        <f t="shared" si="16"/>
        <v>○</v>
      </c>
      <c r="AM39" s="468" t="str">
        <f t="shared" si="17"/>
        <v>申請しない場合は入力不要です。</v>
      </c>
      <c r="AO39" s="468">
        <f t="shared" si="0"/>
        <v>0</v>
      </c>
    </row>
    <row r="40" spans="1:41" ht="20.100000000000001" customHeight="1">
      <c r="A40" s="485">
        <v>28</v>
      </c>
      <c r="B40" s="205"/>
      <c r="C40" s="206"/>
      <c r="D40" s="1889"/>
      <c r="E40" s="1890"/>
      <c r="F40" s="1891"/>
      <c r="G40" s="207"/>
      <c r="H40" s="207"/>
      <c r="I40" s="208"/>
      <c r="J40" s="486">
        <f t="shared" si="1"/>
        <v>0</v>
      </c>
      <c r="K40" s="487">
        <f t="shared" si="2"/>
        <v>0</v>
      </c>
      <c r="L40" s="487" t="str">
        <f t="shared" si="13"/>
        <v/>
      </c>
      <c r="M40" s="487" t="str">
        <f xml:space="preserve">
IF(AL40&lt;&gt;"◎","",
IF(AND(表紙!X11="実績報告（１次）",DATE(IF(N40=5,2023,IF(N40=6,2024)),O40,P40)&lt;DATE(2023,5,8)),0,
IF(AND(OR(表紙!X11="実績報告（２次）",表紙!X11="交付申請兼実績報告"),DATE(IF(N40=5,2023,IF(N40=6,2024)),O40,P40)&lt;DATE(2023,10,1)),0,
MIN(K40,L40))))</f>
        <v/>
      </c>
      <c r="N40" s="725"/>
      <c r="O40" s="725"/>
      <c r="P40" s="725"/>
      <c r="Q40" s="488" t="str">
        <f xml:space="preserve">
IF(AL40&lt;&gt;"◎","",
IF(AND(表紙!X11="実績報告（１次）",DATE(IF(N40=5,2023,IF(N40=6,2024)),O40,P40)&lt;DATE(2023,5,8)),0,
IF(AND(OR(表紙!X11="実績報告（２次）",表紙!X11="交付申請兼実績報告"),DATE(IF(N40=5,2023,IF(N40=6,2024)),O40,P40)&lt;DATE(2023,10,1)),0,
G40*H40)))</f>
        <v/>
      </c>
      <c r="R40" s="724" t="str">
        <f xml:space="preserve">
IF(表紙!$X$2="事前協議","－",
IF(表紙!$X$2="交付申請（２次）","－",
IF(表紙!$X$2="変更申請","－",
IF(AND(OR(表紙!$X$2="実績報告（１次）",表紙!$X$2="実績報告（２次）",表紙!$X$2="交付申請兼実績報告"),AL40="◎"),COUNTIF($AL$30:AL40,"◎"),""))))</f>
        <v/>
      </c>
      <c r="S40" s="489" t="str">
        <f t="shared" si="14"/>
        <v/>
      </c>
      <c r="T40" s="765" t="str">
        <f t="shared" si="15"/>
        <v/>
      </c>
      <c r="U40" s="596" t="str">
        <f t="shared" si="10"/>
        <v/>
      </c>
      <c r="V40" s="787" t="str">
        <f t="shared" si="4"/>
        <v/>
      </c>
      <c r="W40" s="787" t="str">
        <f t="shared" si="5"/>
        <v/>
      </c>
      <c r="X40" s="787" t="str">
        <f t="shared" si="6"/>
        <v/>
      </c>
      <c r="Y40" s="491" t="str">
        <f t="shared" si="7"/>
        <v/>
      </c>
      <c r="AJ40" s="461" t="s">
        <v>466</v>
      </c>
      <c r="AK40" s="490">
        <v>28</v>
      </c>
      <c r="AL40" s="460" t="str">
        <f t="shared" si="16"/>
        <v>○</v>
      </c>
      <c r="AM40" s="468" t="str">
        <f t="shared" si="17"/>
        <v>申請しない場合は入力不要です。</v>
      </c>
      <c r="AO40" s="468">
        <f t="shared" si="0"/>
        <v>0</v>
      </c>
    </row>
    <row r="41" spans="1:41" ht="20.100000000000001" customHeight="1">
      <c r="A41" s="485">
        <v>29</v>
      </c>
      <c r="B41" s="205"/>
      <c r="C41" s="206"/>
      <c r="D41" s="1889"/>
      <c r="E41" s="1890"/>
      <c r="F41" s="1891"/>
      <c r="G41" s="207"/>
      <c r="H41" s="207"/>
      <c r="I41" s="208"/>
      <c r="J41" s="486">
        <f t="shared" si="1"/>
        <v>0</v>
      </c>
      <c r="K41" s="487">
        <f t="shared" si="2"/>
        <v>0</v>
      </c>
      <c r="L41" s="487" t="str">
        <f t="shared" si="13"/>
        <v/>
      </c>
      <c r="M41" s="487" t="str">
        <f xml:space="preserve">
IF(AL41&lt;&gt;"◎","",
IF(AND(表紙!X12="実績報告（１次）",DATE(IF(N41=5,2023,IF(N41=6,2024)),O41,P41)&lt;DATE(2023,5,8)),0,
IF(AND(OR(表紙!X12="実績報告（２次）",表紙!X12="交付申請兼実績報告"),DATE(IF(N41=5,2023,IF(N41=6,2024)),O41,P41)&lt;DATE(2023,10,1)),0,
MIN(K41,L41))))</f>
        <v/>
      </c>
      <c r="N41" s="725"/>
      <c r="O41" s="725"/>
      <c r="P41" s="725"/>
      <c r="Q41" s="488" t="str">
        <f xml:space="preserve">
IF(AL41&lt;&gt;"◎","",
IF(AND(表紙!X12="実績報告（１次）",DATE(IF(N41=5,2023,IF(N41=6,2024)),O41,P41)&lt;DATE(2023,5,8)),0,
IF(AND(OR(表紙!X12="実績報告（２次）",表紙!X12="交付申請兼実績報告"),DATE(IF(N41=5,2023,IF(N41=6,2024)),O41,P41)&lt;DATE(2023,10,1)),0,
G41*H41)))</f>
        <v/>
      </c>
      <c r="R41" s="724" t="str">
        <f xml:space="preserve">
IF(表紙!$X$2="事前協議","－",
IF(表紙!$X$2="交付申請（２次）","－",
IF(表紙!$X$2="変更申請","－",
IF(AND(OR(表紙!$X$2="実績報告（１次）",表紙!$X$2="実績報告（２次）",表紙!$X$2="交付申請兼実績報告"),AL41="◎"),COUNTIF($AL$30:AL41,"◎"),""))))</f>
        <v/>
      </c>
      <c r="S41" s="489" t="str">
        <f t="shared" si="14"/>
        <v/>
      </c>
      <c r="T41" s="765" t="str">
        <f t="shared" si="15"/>
        <v/>
      </c>
      <c r="U41" s="596" t="str">
        <f t="shared" si="10"/>
        <v/>
      </c>
      <c r="V41" s="787" t="str">
        <f t="shared" si="4"/>
        <v/>
      </c>
      <c r="W41" s="787" t="str">
        <f t="shared" si="5"/>
        <v/>
      </c>
      <c r="X41" s="787" t="str">
        <f t="shared" si="6"/>
        <v/>
      </c>
      <c r="Y41" s="491" t="str">
        <f t="shared" si="7"/>
        <v/>
      </c>
      <c r="AJ41" s="461" t="s">
        <v>466</v>
      </c>
      <c r="AK41" s="490">
        <v>29</v>
      </c>
      <c r="AL41" s="460" t="str">
        <f t="shared" si="16"/>
        <v>○</v>
      </c>
      <c r="AM41" s="468" t="str">
        <f t="shared" si="17"/>
        <v>申請しない場合は入力不要です。</v>
      </c>
      <c r="AO41" s="468">
        <f t="shared" si="0"/>
        <v>0</v>
      </c>
    </row>
    <row r="42" spans="1:41" ht="20.100000000000001" customHeight="1">
      <c r="A42" s="485">
        <v>30</v>
      </c>
      <c r="B42" s="205"/>
      <c r="C42" s="206"/>
      <c r="D42" s="1889"/>
      <c r="E42" s="1890"/>
      <c r="F42" s="1891"/>
      <c r="G42" s="207"/>
      <c r="H42" s="207"/>
      <c r="I42" s="208"/>
      <c r="J42" s="486">
        <f t="shared" si="1"/>
        <v>0</v>
      </c>
      <c r="K42" s="487">
        <f t="shared" si="2"/>
        <v>0</v>
      </c>
      <c r="L42" s="487" t="str">
        <f t="shared" si="13"/>
        <v/>
      </c>
      <c r="M42" s="487" t="str">
        <f xml:space="preserve">
IF(AL42&lt;&gt;"◎","",
IF(AND(表紙!X13="実績報告（１次）",DATE(IF(N42=5,2023,IF(N42=6,2024)),O42,P42)&lt;DATE(2023,5,8)),0,
IF(AND(OR(表紙!X13="実績報告（２次）",表紙!X13="交付申請兼実績報告"),DATE(IF(N42=5,2023,IF(N42=6,2024)),O42,P42)&lt;DATE(2023,10,1)),0,
MIN(K42,L42))))</f>
        <v/>
      </c>
      <c r="N42" s="725"/>
      <c r="O42" s="725"/>
      <c r="P42" s="725"/>
      <c r="Q42" s="488" t="str">
        <f xml:space="preserve">
IF(AL42&lt;&gt;"◎","",
IF(AND(表紙!X13="実績報告（１次）",DATE(IF(N42=5,2023,IF(N42=6,2024)),O42,P42)&lt;DATE(2023,5,8)),0,
IF(AND(OR(表紙!X13="実績報告（２次）",表紙!X13="交付申請兼実績報告"),DATE(IF(N42=5,2023,IF(N42=6,2024)),O42,P42)&lt;DATE(2023,10,1)),0,
G42*H42)))</f>
        <v/>
      </c>
      <c r="R42" s="724" t="str">
        <f xml:space="preserve">
IF(表紙!$X$2="事前協議","－",
IF(表紙!$X$2="交付申請（２次）","－",
IF(表紙!$X$2="変更申請","－",
IF(AND(OR(表紙!$X$2="実績報告（１次）",表紙!$X$2="実績報告（２次）",表紙!$X$2="交付申請兼実績報告"),AL42="◎"),COUNTIF($AL$30:AL42,"◎"),""))))</f>
        <v/>
      </c>
      <c r="S42" s="489" t="str">
        <f t="shared" si="14"/>
        <v/>
      </c>
      <c r="T42" s="765" t="str">
        <f t="shared" si="15"/>
        <v/>
      </c>
      <c r="U42" s="596" t="str">
        <f t="shared" si="10"/>
        <v/>
      </c>
      <c r="V42" s="787" t="str">
        <f t="shared" si="4"/>
        <v/>
      </c>
      <c r="W42" s="787" t="str">
        <f t="shared" si="5"/>
        <v/>
      </c>
      <c r="X42" s="787" t="str">
        <f t="shared" si="6"/>
        <v/>
      </c>
      <c r="Y42" s="491" t="str">
        <f t="shared" si="7"/>
        <v/>
      </c>
      <c r="AJ42" s="461" t="s">
        <v>466</v>
      </c>
      <c r="AK42" s="490">
        <v>30</v>
      </c>
      <c r="AL42" s="460" t="str">
        <f t="shared" si="16"/>
        <v>○</v>
      </c>
      <c r="AM42" s="468" t="str">
        <f t="shared" si="17"/>
        <v>申請しない場合は入力不要です。</v>
      </c>
      <c r="AO42" s="468">
        <f t="shared" si="0"/>
        <v>0</v>
      </c>
    </row>
    <row r="43" spans="1:41" ht="20.100000000000001" customHeight="1">
      <c r="A43" s="485">
        <v>31</v>
      </c>
      <c r="B43" s="205"/>
      <c r="C43" s="206"/>
      <c r="D43" s="1889"/>
      <c r="E43" s="1890"/>
      <c r="F43" s="1891"/>
      <c r="G43" s="207"/>
      <c r="H43" s="207"/>
      <c r="I43" s="208"/>
      <c r="J43" s="486">
        <f t="shared" si="1"/>
        <v>0</v>
      </c>
      <c r="K43" s="487">
        <f t="shared" si="2"/>
        <v>0</v>
      </c>
      <c r="L43" s="487" t="str">
        <f t="shared" si="13"/>
        <v/>
      </c>
      <c r="M43" s="487" t="str">
        <f xml:space="preserve">
IF(AL43&lt;&gt;"◎","",
IF(AND(表紙!X14="実績報告（１次）",DATE(IF(N43=5,2023,IF(N43=6,2024)),O43,P43)&lt;DATE(2023,5,8)),0,
IF(AND(OR(表紙!X14="実績報告（２次）",表紙!X14="交付申請兼実績報告"),DATE(IF(N43=5,2023,IF(N43=6,2024)),O43,P43)&lt;DATE(2023,10,1)),0,
MIN(K43,L43))))</f>
        <v/>
      </c>
      <c r="N43" s="725"/>
      <c r="O43" s="725"/>
      <c r="P43" s="725"/>
      <c r="Q43" s="488" t="str">
        <f xml:space="preserve">
IF(AL43&lt;&gt;"◎","",
IF(AND(表紙!X14="実績報告（１次）",DATE(IF(N43=5,2023,IF(N43=6,2024)),O43,P43)&lt;DATE(2023,5,8)),0,
IF(AND(OR(表紙!X14="実績報告（２次）",表紙!X14="交付申請兼実績報告"),DATE(IF(N43=5,2023,IF(N43=6,2024)),O43,P43)&lt;DATE(2023,10,1)),0,
G43*H43)))</f>
        <v/>
      </c>
      <c r="R43" s="724" t="str">
        <f xml:space="preserve">
IF(表紙!$X$2="事前協議","－",
IF(表紙!$X$2="交付申請（２次）","－",
IF(表紙!$X$2="変更申請","－",
IF(AND(OR(表紙!$X$2="実績報告（１次）",表紙!$X$2="実績報告（２次）",表紙!$X$2="交付申請兼実績報告"),AL43="◎"),COUNTIF($AL$30:AL43,"◎"),""))))</f>
        <v/>
      </c>
      <c r="S43" s="489" t="str">
        <f t="shared" si="14"/>
        <v/>
      </c>
      <c r="T43" s="765" t="str">
        <f t="shared" si="15"/>
        <v/>
      </c>
      <c r="U43" s="596" t="str">
        <f t="shared" si="10"/>
        <v/>
      </c>
      <c r="V43" s="787" t="str">
        <f t="shared" si="4"/>
        <v/>
      </c>
      <c r="W43" s="787" t="str">
        <f t="shared" si="5"/>
        <v/>
      </c>
      <c r="X43" s="787" t="str">
        <f t="shared" si="6"/>
        <v/>
      </c>
      <c r="Y43" s="491" t="str">
        <f t="shared" si="7"/>
        <v/>
      </c>
      <c r="AJ43" s="461" t="s">
        <v>466</v>
      </c>
      <c r="AK43" s="490">
        <v>31</v>
      </c>
      <c r="AL43" s="460" t="str">
        <f t="shared" si="16"/>
        <v>○</v>
      </c>
      <c r="AM43" s="468" t="str">
        <f t="shared" si="17"/>
        <v>申請しない場合は入力不要です。</v>
      </c>
      <c r="AO43" s="468">
        <f t="shared" si="0"/>
        <v>0</v>
      </c>
    </row>
    <row r="44" spans="1:41" ht="20.100000000000001" customHeight="1">
      <c r="A44" s="485">
        <v>32</v>
      </c>
      <c r="B44" s="205"/>
      <c r="C44" s="206"/>
      <c r="D44" s="1889"/>
      <c r="E44" s="1890"/>
      <c r="F44" s="1891"/>
      <c r="G44" s="207"/>
      <c r="H44" s="207"/>
      <c r="I44" s="208"/>
      <c r="J44" s="486">
        <f t="shared" si="1"/>
        <v>0</v>
      </c>
      <c r="K44" s="487">
        <f t="shared" si="2"/>
        <v>0</v>
      </c>
      <c r="L44" s="487" t="str">
        <f t="shared" si="13"/>
        <v/>
      </c>
      <c r="M44" s="487" t="str">
        <f xml:space="preserve">
IF(AL44&lt;&gt;"◎","",
IF(AND(表紙!X15="実績報告（１次）",DATE(IF(N44=5,2023,IF(N44=6,2024)),O44,P44)&lt;DATE(2023,5,8)),0,
IF(AND(OR(表紙!X15="実績報告（２次）",表紙!X15="交付申請兼実績報告"),DATE(IF(N44=5,2023,IF(N44=6,2024)),O44,P44)&lt;DATE(2023,10,1)),0,
MIN(K44,L44))))</f>
        <v/>
      </c>
      <c r="N44" s="725"/>
      <c r="O44" s="725"/>
      <c r="P44" s="725"/>
      <c r="Q44" s="488" t="str">
        <f xml:space="preserve">
IF(AL44&lt;&gt;"◎","",
IF(AND(表紙!X15="実績報告（１次）",DATE(IF(N44=5,2023,IF(N44=6,2024)),O44,P44)&lt;DATE(2023,5,8)),0,
IF(AND(OR(表紙!X15="実績報告（２次）",表紙!X15="交付申請兼実績報告"),DATE(IF(N44=5,2023,IF(N44=6,2024)),O44,P44)&lt;DATE(2023,10,1)),0,
G44*H44)))</f>
        <v/>
      </c>
      <c r="R44" s="724" t="str">
        <f xml:space="preserve">
IF(表紙!$X$2="事前協議","－",
IF(表紙!$X$2="交付申請（２次）","－",
IF(表紙!$X$2="変更申請","－",
IF(AND(OR(表紙!$X$2="実績報告（１次）",表紙!$X$2="実績報告（２次）",表紙!$X$2="交付申請兼実績報告"),AL44="◎"),COUNTIF($AL$30:AL44,"◎"),""))))</f>
        <v/>
      </c>
      <c r="S44" s="489" t="str">
        <f t="shared" si="14"/>
        <v/>
      </c>
      <c r="T44" s="765" t="str">
        <f t="shared" si="15"/>
        <v/>
      </c>
      <c r="U44" s="596" t="str">
        <f t="shared" si="10"/>
        <v/>
      </c>
      <c r="V44" s="787" t="str">
        <f t="shared" si="4"/>
        <v/>
      </c>
      <c r="W44" s="787" t="str">
        <f t="shared" si="5"/>
        <v/>
      </c>
      <c r="X44" s="787" t="str">
        <f t="shared" si="6"/>
        <v/>
      </c>
      <c r="Y44" s="491" t="str">
        <f t="shared" si="7"/>
        <v/>
      </c>
      <c r="AJ44" s="461" t="s">
        <v>466</v>
      </c>
      <c r="AK44" s="490">
        <v>32</v>
      </c>
      <c r="AL44" s="460" t="str">
        <f t="shared" si="16"/>
        <v>○</v>
      </c>
      <c r="AM44" s="468" t="str">
        <f t="shared" si="17"/>
        <v>申請しない場合は入力不要です。</v>
      </c>
      <c r="AO44" s="468">
        <f t="shared" si="0"/>
        <v>0</v>
      </c>
    </row>
    <row r="45" spans="1:41" ht="20.100000000000001" customHeight="1">
      <c r="A45" s="485">
        <v>33</v>
      </c>
      <c r="B45" s="205"/>
      <c r="C45" s="206"/>
      <c r="D45" s="1889"/>
      <c r="E45" s="1890"/>
      <c r="F45" s="1891"/>
      <c r="G45" s="207"/>
      <c r="H45" s="207"/>
      <c r="I45" s="208"/>
      <c r="J45" s="486">
        <f t="shared" si="1"/>
        <v>0</v>
      </c>
      <c r="K45" s="487">
        <f t="shared" si="2"/>
        <v>0</v>
      </c>
      <c r="L45" s="487" t="str">
        <f t="shared" si="13"/>
        <v/>
      </c>
      <c r="M45" s="487" t="str">
        <f xml:space="preserve">
IF(AL45&lt;&gt;"◎","",
IF(AND(表紙!X16="実績報告（１次）",DATE(IF(N45=5,2023,IF(N45=6,2024)),O45,P45)&lt;DATE(2023,5,8)),0,
IF(AND(OR(表紙!X16="実績報告（２次）",表紙!X16="交付申請兼実績報告"),DATE(IF(N45=5,2023,IF(N45=6,2024)),O45,P45)&lt;DATE(2023,10,1)),0,
MIN(K45,L45))))</f>
        <v/>
      </c>
      <c r="N45" s="725"/>
      <c r="O45" s="725"/>
      <c r="P45" s="725"/>
      <c r="Q45" s="488" t="str">
        <f xml:space="preserve">
IF(AL45&lt;&gt;"◎","",
IF(AND(表紙!X16="実績報告（１次）",DATE(IF(N45=5,2023,IF(N45=6,2024)),O45,P45)&lt;DATE(2023,5,8)),0,
IF(AND(OR(表紙!X16="実績報告（２次）",表紙!X16="交付申請兼実績報告"),DATE(IF(N45=5,2023,IF(N45=6,2024)),O45,P45)&lt;DATE(2023,10,1)),0,
G45*H45)))</f>
        <v/>
      </c>
      <c r="R45" s="724" t="str">
        <f xml:space="preserve">
IF(表紙!$X$2="事前協議","－",
IF(表紙!$X$2="交付申請（２次）","－",
IF(表紙!$X$2="変更申請","－",
IF(AND(OR(表紙!$X$2="実績報告（１次）",表紙!$X$2="実績報告（２次）",表紙!$X$2="交付申請兼実績報告"),AL45="◎"),COUNTIF($AL$30:AL45,"◎"),""))))</f>
        <v/>
      </c>
      <c r="S45" s="489" t="str">
        <f t="shared" si="14"/>
        <v/>
      </c>
      <c r="T45" s="765" t="str">
        <f t="shared" si="15"/>
        <v/>
      </c>
      <c r="U45" s="596" t="str">
        <f t="shared" si="10"/>
        <v/>
      </c>
      <c r="V45" s="787" t="str">
        <f t="shared" si="4"/>
        <v/>
      </c>
      <c r="W45" s="787" t="str">
        <f t="shared" si="5"/>
        <v/>
      </c>
      <c r="X45" s="787" t="str">
        <f t="shared" si="6"/>
        <v/>
      </c>
      <c r="Y45" s="491" t="str">
        <f t="shared" si="7"/>
        <v/>
      </c>
      <c r="AI45" s="461"/>
      <c r="AJ45" s="461" t="s">
        <v>466</v>
      </c>
      <c r="AK45" s="490">
        <v>33</v>
      </c>
      <c r="AL45" s="460" t="str">
        <f t="shared" si="16"/>
        <v>○</v>
      </c>
      <c r="AM45" s="468" t="str">
        <f t="shared" si="17"/>
        <v>申請しない場合は入力不要です。</v>
      </c>
      <c r="AO45" s="468">
        <f t="shared" si="0"/>
        <v>0</v>
      </c>
    </row>
    <row r="46" spans="1:41" ht="20.100000000000001" customHeight="1">
      <c r="A46" s="485">
        <v>34</v>
      </c>
      <c r="B46" s="205"/>
      <c r="C46" s="206"/>
      <c r="D46" s="1889"/>
      <c r="E46" s="1890"/>
      <c r="F46" s="1891"/>
      <c r="G46" s="207"/>
      <c r="H46" s="207"/>
      <c r="I46" s="208"/>
      <c r="J46" s="486">
        <f t="shared" si="1"/>
        <v>0</v>
      </c>
      <c r="K46" s="487">
        <f t="shared" si="2"/>
        <v>0</v>
      </c>
      <c r="L46" s="487" t="str">
        <f t="shared" si="13"/>
        <v/>
      </c>
      <c r="M46" s="487" t="str">
        <f xml:space="preserve">
IF(AL46&lt;&gt;"◎","",
IF(AND(表紙!X17="実績報告（１次）",DATE(IF(N46=5,2023,IF(N46=6,2024)),O46,P46)&lt;DATE(2023,5,8)),0,
IF(AND(OR(表紙!X17="実績報告（２次）",表紙!X17="交付申請兼実績報告"),DATE(IF(N46=5,2023,IF(N46=6,2024)),O46,P46)&lt;DATE(2023,10,1)),0,
MIN(K46,L46))))</f>
        <v/>
      </c>
      <c r="N46" s="725"/>
      <c r="O46" s="725"/>
      <c r="P46" s="725"/>
      <c r="Q46" s="488" t="str">
        <f xml:space="preserve">
IF(AL46&lt;&gt;"◎","",
IF(AND(表紙!X17="実績報告（１次）",DATE(IF(N46=5,2023,IF(N46=6,2024)),O46,P46)&lt;DATE(2023,5,8)),0,
IF(AND(OR(表紙!X17="実績報告（２次）",表紙!X17="交付申請兼実績報告"),DATE(IF(N46=5,2023,IF(N46=6,2024)),O46,P46)&lt;DATE(2023,10,1)),0,
G46*H46)))</f>
        <v/>
      </c>
      <c r="R46" s="724" t="str">
        <f xml:space="preserve">
IF(表紙!$X$2="事前協議","－",
IF(表紙!$X$2="交付申請（２次）","－",
IF(表紙!$X$2="変更申請","－",
IF(AND(OR(表紙!$X$2="実績報告（１次）",表紙!$X$2="実績報告（２次）",表紙!$X$2="交付申請兼実績報告"),AL46="◎"),COUNTIF($AL$30:AL46,"◎"),""))))</f>
        <v/>
      </c>
      <c r="S46" s="489" t="str">
        <f t="shared" si="14"/>
        <v/>
      </c>
      <c r="T46" s="765" t="str">
        <f t="shared" si="15"/>
        <v/>
      </c>
      <c r="U46" s="596" t="str">
        <f t="shared" si="10"/>
        <v/>
      </c>
      <c r="V46" s="787" t="str">
        <f t="shared" si="4"/>
        <v/>
      </c>
      <c r="W46" s="787" t="str">
        <f t="shared" si="5"/>
        <v/>
      </c>
      <c r="X46" s="787" t="str">
        <f t="shared" si="6"/>
        <v/>
      </c>
      <c r="Y46" s="491" t="str">
        <f t="shared" si="7"/>
        <v/>
      </c>
      <c r="AJ46" s="461" t="s">
        <v>466</v>
      </c>
      <c r="AK46" s="490">
        <v>34</v>
      </c>
      <c r="AL46" s="460" t="str">
        <f t="shared" si="16"/>
        <v>○</v>
      </c>
      <c r="AM46" s="468" t="str">
        <f t="shared" si="17"/>
        <v>申請しない場合は入力不要です。</v>
      </c>
      <c r="AO46" s="468">
        <f t="shared" si="0"/>
        <v>0</v>
      </c>
    </row>
    <row r="47" spans="1:41" ht="20.100000000000001" customHeight="1">
      <c r="A47" s="485">
        <v>35</v>
      </c>
      <c r="B47" s="205"/>
      <c r="C47" s="206"/>
      <c r="D47" s="1889"/>
      <c r="E47" s="1890"/>
      <c r="F47" s="1891"/>
      <c r="G47" s="207"/>
      <c r="H47" s="207"/>
      <c r="I47" s="208"/>
      <c r="J47" s="486">
        <f t="shared" si="1"/>
        <v>0</v>
      </c>
      <c r="K47" s="487">
        <f t="shared" si="2"/>
        <v>0</v>
      </c>
      <c r="L47" s="487" t="str">
        <f t="shared" si="13"/>
        <v/>
      </c>
      <c r="M47" s="487" t="str">
        <f xml:space="preserve">
IF(AL47&lt;&gt;"◎","",
IF(AND(表紙!X18="実績報告（１次）",DATE(IF(N47=5,2023,IF(N47=6,2024)),O47,P47)&lt;DATE(2023,5,8)),0,
IF(AND(OR(表紙!X18="実績報告（２次）",表紙!X18="交付申請兼実績報告"),DATE(IF(N47=5,2023,IF(N47=6,2024)),O47,P47)&lt;DATE(2023,10,1)),0,
MIN(K47,L47))))</f>
        <v/>
      </c>
      <c r="N47" s="725"/>
      <c r="O47" s="725"/>
      <c r="P47" s="725"/>
      <c r="Q47" s="488" t="str">
        <f xml:space="preserve">
IF(AL47&lt;&gt;"◎","",
IF(AND(表紙!X18="実績報告（１次）",DATE(IF(N47=5,2023,IF(N47=6,2024)),O47,P47)&lt;DATE(2023,5,8)),0,
IF(AND(OR(表紙!X18="実績報告（２次）",表紙!X18="交付申請兼実績報告"),DATE(IF(N47=5,2023,IF(N47=6,2024)),O47,P47)&lt;DATE(2023,10,1)),0,
G47*H47)))</f>
        <v/>
      </c>
      <c r="R47" s="724" t="str">
        <f xml:space="preserve">
IF(表紙!$X$2="事前協議","－",
IF(表紙!$X$2="交付申請（２次）","－",
IF(表紙!$X$2="変更申請","－",
IF(AND(OR(表紙!$X$2="実績報告（１次）",表紙!$X$2="実績報告（２次）",表紙!$X$2="交付申請兼実績報告"),AL47="◎"),COUNTIF($AL$30:AL47,"◎"),""))))</f>
        <v/>
      </c>
      <c r="S47" s="489" t="str">
        <f t="shared" si="14"/>
        <v/>
      </c>
      <c r="T47" s="765" t="str">
        <f t="shared" si="15"/>
        <v/>
      </c>
      <c r="U47" s="596" t="str">
        <f t="shared" si="10"/>
        <v/>
      </c>
      <c r="V47" s="787" t="str">
        <f t="shared" si="4"/>
        <v/>
      </c>
      <c r="W47" s="787" t="str">
        <f t="shared" si="5"/>
        <v/>
      </c>
      <c r="X47" s="787" t="str">
        <f t="shared" si="6"/>
        <v/>
      </c>
      <c r="Y47" s="491" t="str">
        <f t="shared" si="7"/>
        <v/>
      </c>
      <c r="AJ47" s="461" t="s">
        <v>466</v>
      </c>
      <c r="AK47" s="490">
        <v>35</v>
      </c>
      <c r="AL47" s="460" t="str">
        <f t="shared" si="16"/>
        <v>○</v>
      </c>
      <c r="AM47" s="468" t="str">
        <f t="shared" si="17"/>
        <v>申請しない場合は入力不要です。</v>
      </c>
      <c r="AO47" s="468">
        <f t="shared" si="0"/>
        <v>0</v>
      </c>
    </row>
    <row r="48" spans="1:41" ht="20.100000000000001" customHeight="1">
      <c r="A48" s="485">
        <v>36</v>
      </c>
      <c r="B48" s="205"/>
      <c r="C48" s="206"/>
      <c r="D48" s="1889"/>
      <c r="E48" s="1890"/>
      <c r="F48" s="1891"/>
      <c r="G48" s="207"/>
      <c r="H48" s="207"/>
      <c r="I48" s="208"/>
      <c r="J48" s="486">
        <f t="shared" si="1"/>
        <v>0</v>
      </c>
      <c r="K48" s="487">
        <f t="shared" si="2"/>
        <v>0</v>
      </c>
      <c r="L48" s="487" t="str">
        <f t="shared" si="13"/>
        <v/>
      </c>
      <c r="M48" s="487" t="str">
        <f xml:space="preserve">
IF(AL48&lt;&gt;"◎","",
IF(AND(表紙!X19="実績報告（１次）",DATE(IF(N48=5,2023,IF(N48=6,2024)),O48,P48)&lt;DATE(2023,5,8)),0,
IF(AND(OR(表紙!X19="実績報告（２次）",表紙!X19="交付申請兼実績報告"),DATE(IF(N48=5,2023,IF(N48=6,2024)),O48,P48)&lt;DATE(2023,10,1)),0,
MIN(K48,L48))))</f>
        <v/>
      </c>
      <c r="N48" s="725"/>
      <c r="O48" s="725"/>
      <c r="P48" s="725"/>
      <c r="Q48" s="488" t="str">
        <f xml:space="preserve">
IF(AL48&lt;&gt;"◎","",
IF(AND(表紙!X19="実績報告（１次）",DATE(IF(N48=5,2023,IF(N48=6,2024)),O48,P48)&lt;DATE(2023,5,8)),0,
IF(AND(OR(表紙!X19="実績報告（２次）",表紙!X19="交付申請兼実績報告"),DATE(IF(N48=5,2023,IF(N48=6,2024)),O48,P48)&lt;DATE(2023,10,1)),0,
G48*H48)))</f>
        <v/>
      </c>
      <c r="R48" s="724" t="str">
        <f xml:space="preserve">
IF(表紙!$X$2="事前協議","－",
IF(表紙!$X$2="交付申請（２次）","－",
IF(表紙!$X$2="変更申請","－",
IF(AND(OR(表紙!$X$2="実績報告（１次）",表紙!$X$2="実績報告（２次）",表紙!$X$2="交付申請兼実績報告"),AL48="◎"),COUNTIF($AL$30:AL48,"◎"),""))))</f>
        <v/>
      </c>
      <c r="S48" s="489" t="str">
        <f t="shared" si="14"/>
        <v/>
      </c>
      <c r="T48" s="765" t="str">
        <f t="shared" si="15"/>
        <v/>
      </c>
      <c r="U48" s="596" t="str">
        <f t="shared" si="10"/>
        <v/>
      </c>
      <c r="V48" s="787" t="str">
        <f t="shared" si="4"/>
        <v/>
      </c>
      <c r="W48" s="787" t="str">
        <f t="shared" si="5"/>
        <v/>
      </c>
      <c r="X48" s="787" t="str">
        <f t="shared" si="6"/>
        <v/>
      </c>
      <c r="Y48" s="491" t="str">
        <f t="shared" si="7"/>
        <v/>
      </c>
      <c r="AJ48" s="461" t="s">
        <v>466</v>
      </c>
      <c r="AK48" s="490">
        <v>36</v>
      </c>
      <c r="AL48" s="460" t="str">
        <f t="shared" si="16"/>
        <v>○</v>
      </c>
      <c r="AM48" s="468" t="str">
        <f t="shared" si="17"/>
        <v>申請しない場合は入力不要です。</v>
      </c>
      <c r="AO48" s="468">
        <f t="shared" si="0"/>
        <v>0</v>
      </c>
    </row>
    <row r="49" spans="1:41" ht="20.100000000000001" customHeight="1">
      <c r="A49" s="485">
        <v>37</v>
      </c>
      <c r="B49" s="205"/>
      <c r="C49" s="206"/>
      <c r="D49" s="1889"/>
      <c r="E49" s="1890"/>
      <c r="F49" s="1891"/>
      <c r="G49" s="207"/>
      <c r="H49" s="207"/>
      <c r="I49" s="208"/>
      <c r="J49" s="486">
        <f t="shared" si="1"/>
        <v>0</v>
      </c>
      <c r="K49" s="487">
        <f t="shared" si="2"/>
        <v>0</v>
      </c>
      <c r="L49" s="487" t="str">
        <f t="shared" si="13"/>
        <v/>
      </c>
      <c r="M49" s="487" t="str">
        <f xml:space="preserve">
IF(AL49&lt;&gt;"◎","",
IF(AND(表紙!X20="実績報告（１次）",DATE(IF(N49=5,2023,IF(N49=6,2024)),O49,P49)&lt;DATE(2023,5,8)),0,
IF(AND(OR(表紙!X20="実績報告（２次）",表紙!X20="交付申請兼実績報告"),DATE(IF(N49=5,2023,IF(N49=6,2024)),O49,P49)&lt;DATE(2023,10,1)),0,
MIN(K49,L49))))</f>
        <v/>
      </c>
      <c r="N49" s="725"/>
      <c r="O49" s="725"/>
      <c r="P49" s="725"/>
      <c r="Q49" s="488" t="str">
        <f xml:space="preserve">
IF(AL49&lt;&gt;"◎","",
IF(AND(表紙!X20="実績報告（１次）",DATE(IF(N49=5,2023,IF(N49=6,2024)),O49,P49)&lt;DATE(2023,5,8)),0,
IF(AND(OR(表紙!X20="実績報告（２次）",表紙!X20="交付申請兼実績報告"),DATE(IF(N49=5,2023,IF(N49=6,2024)),O49,P49)&lt;DATE(2023,10,1)),0,
G49*H49)))</f>
        <v/>
      </c>
      <c r="R49" s="724" t="str">
        <f xml:space="preserve">
IF(表紙!$X$2="事前協議","－",
IF(表紙!$X$2="交付申請（２次）","－",
IF(表紙!$X$2="変更申請","－",
IF(AND(OR(表紙!$X$2="実績報告（１次）",表紙!$X$2="実績報告（２次）",表紙!$X$2="交付申請兼実績報告"),AL49="◎"),COUNTIF($AL$30:AL49,"◎"),""))))</f>
        <v/>
      </c>
      <c r="S49" s="489" t="str">
        <f t="shared" si="14"/>
        <v/>
      </c>
      <c r="T49" s="765" t="str">
        <f t="shared" si="15"/>
        <v/>
      </c>
      <c r="U49" s="596" t="str">
        <f t="shared" si="10"/>
        <v/>
      </c>
      <c r="V49" s="787" t="str">
        <f t="shared" si="4"/>
        <v/>
      </c>
      <c r="W49" s="787" t="str">
        <f t="shared" si="5"/>
        <v/>
      </c>
      <c r="X49" s="787" t="str">
        <f t="shared" si="6"/>
        <v/>
      </c>
      <c r="Y49" s="491" t="str">
        <f t="shared" si="7"/>
        <v/>
      </c>
      <c r="AJ49" s="461" t="s">
        <v>466</v>
      </c>
      <c r="AK49" s="490">
        <v>37</v>
      </c>
      <c r="AL49" s="460" t="str">
        <f t="shared" si="16"/>
        <v>○</v>
      </c>
      <c r="AM49" s="468" t="str">
        <f t="shared" si="17"/>
        <v>申請しない場合は入力不要です。</v>
      </c>
      <c r="AO49" s="468">
        <f t="shared" si="0"/>
        <v>0</v>
      </c>
    </row>
    <row r="50" spans="1:41" ht="20.100000000000001" customHeight="1">
      <c r="A50" s="485">
        <v>38</v>
      </c>
      <c r="B50" s="205"/>
      <c r="C50" s="206"/>
      <c r="D50" s="1889"/>
      <c r="E50" s="1890"/>
      <c r="F50" s="1891"/>
      <c r="G50" s="207"/>
      <c r="H50" s="207"/>
      <c r="I50" s="208"/>
      <c r="J50" s="486">
        <f t="shared" si="1"/>
        <v>0</v>
      </c>
      <c r="K50" s="487">
        <f t="shared" si="2"/>
        <v>0</v>
      </c>
      <c r="L50" s="487" t="str">
        <f t="shared" si="13"/>
        <v/>
      </c>
      <c r="M50" s="487" t="str">
        <f xml:space="preserve">
IF(AL50&lt;&gt;"◎","",
IF(AND(表紙!X21="実績報告（１次）",DATE(IF(N50=5,2023,IF(N50=6,2024)),O50,P50)&lt;DATE(2023,5,8)),0,
IF(AND(OR(表紙!X21="実績報告（２次）",表紙!X21="交付申請兼実績報告"),DATE(IF(N50=5,2023,IF(N50=6,2024)),O50,P50)&lt;DATE(2023,10,1)),0,
MIN(K50,L50))))</f>
        <v/>
      </c>
      <c r="N50" s="725"/>
      <c r="O50" s="725"/>
      <c r="P50" s="725"/>
      <c r="Q50" s="488" t="str">
        <f xml:space="preserve">
IF(AL50&lt;&gt;"◎","",
IF(AND(表紙!X21="実績報告（１次）",DATE(IF(N50=5,2023,IF(N50=6,2024)),O50,P50)&lt;DATE(2023,5,8)),0,
IF(AND(OR(表紙!X21="実績報告（２次）",表紙!X21="交付申請兼実績報告"),DATE(IF(N50=5,2023,IF(N50=6,2024)),O50,P50)&lt;DATE(2023,10,1)),0,
G50*H50)))</f>
        <v/>
      </c>
      <c r="R50" s="724" t="str">
        <f xml:space="preserve">
IF(表紙!$X$2="事前協議","－",
IF(表紙!$X$2="交付申請（２次）","－",
IF(表紙!$X$2="変更申請","－",
IF(AND(OR(表紙!$X$2="実績報告（１次）",表紙!$X$2="実績報告（２次）",表紙!$X$2="交付申請兼実績報告"),AL50="◎"),COUNTIF($AL$30:AL50,"◎"),""))))</f>
        <v/>
      </c>
      <c r="S50" s="489" t="str">
        <f t="shared" si="14"/>
        <v/>
      </c>
      <c r="T50" s="765" t="str">
        <f t="shared" si="15"/>
        <v/>
      </c>
      <c r="U50" s="596" t="str">
        <f t="shared" si="10"/>
        <v/>
      </c>
      <c r="V50" s="787" t="str">
        <f t="shared" si="4"/>
        <v/>
      </c>
      <c r="W50" s="787" t="str">
        <f t="shared" si="5"/>
        <v/>
      </c>
      <c r="X50" s="787" t="str">
        <f t="shared" si="6"/>
        <v/>
      </c>
      <c r="Y50" s="491" t="str">
        <f t="shared" si="7"/>
        <v/>
      </c>
      <c r="AJ50" s="461" t="s">
        <v>466</v>
      </c>
      <c r="AK50" s="490">
        <v>38</v>
      </c>
      <c r="AL50" s="460" t="str">
        <f t="shared" si="16"/>
        <v>○</v>
      </c>
      <c r="AM50" s="468" t="str">
        <f t="shared" si="17"/>
        <v>申請しない場合は入力不要です。</v>
      </c>
      <c r="AO50" s="468">
        <f t="shared" si="0"/>
        <v>0</v>
      </c>
    </row>
    <row r="51" spans="1:41" ht="20.100000000000001" customHeight="1">
      <c r="A51" s="485">
        <v>39</v>
      </c>
      <c r="B51" s="205"/>
      <c r="C51" s="206"/>
      <c r="D51" s="1889"/>
      <c r="E51" s="1890"/>
      <c r="F51" s="1891"/>
      <c r="G51" s="207"/>
      <c r="H51" s="207"/>
      <c r="I51" s="208"/>
      <c r="J51" s="486">
        <f t="shared" si="1"/>
        <v>0</v>
      </c>
      <c r="K51" s="487">
        <f t="shared" si="2"/>
        <v>0</v>
      </c>
      <c r="L51" s="487" t="str">
        <f t="shared" si="13"/>
        <v/>
      </c>
      <c r="M51" s="487" t="str">
        <f xml:space="preserve">
IF(AL51&lt;&gt;"◎","",
IF(AND(表紙!X22="実績報告（１次）",DATE(IF(N51=5,2023,IF(N51=6,2024)),O51,P51)&lt;DATE(2023,5,8)),0,
IF(AND(OR(表紙!X22="実績報告（２次）",表紙!X22="交付申請兼実績報告"),DATE(IF(N51=5,2023,IF(N51=6,2024)),O51,P51)&lt;DATE(2023,10,1)),0,
MIN(K51,L51))))</f>
        <v/>
      </c>
      <c r="N51" s="725"/>
      <c r="O51" s="725"/>
      <c r="P51" s="725"/>
      <c r="Q51" s="488" t="str">
        <f xml:space="preserve">
IF(AL51&lt;&gt;"◎","",
IF(AND(表紙!X22="実績報告（１次）",DATE(IF(N51=5,2023,IF(N51=6,2024)),O51,P51)&lt;DATE(2023,5,8)),0,
IF(AND(OR(表紙!X22="実績報告（２次）",表紙!X22="交付申請兼実績報告"),DATE(IF(N51=5,2023,IF(N51=6,2024)),O51,P51)&lt;DATE(2023,10,1)),0,
G51*H51)))</f>
        <v/>
      </c>
      <c r="R51" s="724" t="str">
        <f xml:space="preserve">
IF(表紙!$X$2="事前協議","－",
IF(表紙!$X$2="交付申請（２次）","－",
IF(表紙!$X$2="変更申請","－",
IF(AND(OR(表紙!$X$2="実績報告（１次）",表紙!$X$2="実績報告（２次）",表紙!$X$2="交付申請兼実績報告"),AL51="◎"),COUNTIF($AL$30:AL51,"◎"),""))))</f>
        <v/>
      </c>
      <c r="S51" s="489" t="str">
        <f t="shared" si="14"/>
        <v/>
      </c>
      <c r="T51" s="765" t="str">
        <f t="shared" si="15"/>
        <v/>
      </c>
      <c r="U51" s="596" t="str">
        <f t="shared" si="10"/>
        <v/>
      </c>
      <c r="V51" s="787" t="str">
        <f t="shared" si="4"/>
        <v/>
      </c>
      <c r="W51" s="787" t="str">
        <f t="shared" si="5"/>
        <v/>
      </c>
      <c r="X51" s="787" t="str">
        <f t="shared" si="6"/>
        <v/>
      </c>
      <c r="Y51" s="491" t="str">
        <f t="shared" si="7"/>
        <v/>
      </c>
      <c r="AJ51" s="461" t="s">
        <v>466</v>
      </c>
      <c r="AK51" s="490">
        <v>39</v>
      </c>
      <c r="AL51" s="460" t="str">
        <f t="shared" si="16"/>
        <v>○</v>
      </c>
      <c r="AM51" s="468" t="str">
        <f t="shared" si="17"/>
        <v>申請しない場合は入力不要です。</v>
      </c>
      <c r="AO51" s="468">
        <f t="shared" si="0"/>
        <v>0</v>
      </c>
    </row>
    <row r="52" spans="1:41" ht="20.100000000000001" customHeight="1">
      <c r="A52" s="485">
        <v>40</v>
      </c>
      <c r="B52" s="205"/>
      <c r="C52" s="206"/>
      <c r="D52" s="1889"/>
      <c r="E52" s="1890"/>
      <c r="F52" s="1891"/>
      <c r="G52" s="207"/>
      <c r="H52" s="207"/>
      <c r="I52" s="208"/>
      <c r="J52" s="486">
        <f t="shared" si="1"/>
        <v>0</v>
      </c>
      <c r="K52" s="487">
        <f t="shared" si="2"/>
        <v>0</v>
      </c>
      <c r="L52" s="487" t="str">
        <f t="shared" si="13"/>
        <v/>
      </c>
      <c r="M52" s="487" t="str">
        <f xml:space="preserve">
IF(AL52&lt;&gt;"◎","",
IF(AND(表紙!X23="実績報告（１次）",DATE(IF(N52=5,2023,IF(N52=6,2024)),O52,P52)&lt;DATE(2023,5,8)),0,
IF(AND(OR(表紙!X23="実績報告（２次）",表紙!X23="交付申請兼実績報告"),DATE(IF(N52=5,2023,IF(N52=6,2024)),O52,P52)&lt;DATE(2023,10,1)),0,
MIN(K52,L52))))</f>
        <v/>
      </c>
      <c r="N52" s="725"/>
      <c r="O52" s="725"/>
      <c r="P52" s="725"/>
      <c r="Q52" s="488" t="str">
        <f xml:space="preserve">
IF(AL52&lt;&gt;"◎","",
IF(AND(表紙!X23="実績報告（１次）",DATE(IF(N52=5,2023,IF(N52=6,2024)),O52,P52)&lt;DATE(2023,5,8)),0,
IF(AND(OR(表紙!X23="実績報告（２次）",表紙!X23="交付申請兼実績報告"),DATE(IF(N52=5,2023,IF(N52=6,2024)),O52,P52)&lt;DATE(2023,10,1)),0,
G52*H52)))</f>
        <v/>
      </c>
      <c r="R52" s="724" t="str">
        <f xml:space="preserve">
IF(表紙!$X$2="事前協議","－",
IF(表紙!$X$2="交付申請（２次）","－",
IF(表紙!$X$2="変更申請","－",
IF(AND(OR(表紙!$X$2="実績報告（１次）",表紙!$X$2="実績報告（２次）",表紙!$X$2="交付申請兼実績報告"),AL52="◎"),COUNTIF($AL$30:AL52,"◎"),""))))</f>
        <v/>
      </c>
      <c r="S52" s="489" t="str">
        <f t="shared" si="14"/>
        <v/>
      </c>
      <c r="T52" s="765" t="str">
        <f t="shared" si="15"/>
        <v/>
      </c>
      <c r="U52" s="596" t="str">
        <f t="shared" si="10"/>
        <v/>
      </c>
      <c r="V52" s="787" t="str">
        <f t="shared" si="4"/>
        <v/>
      </c>
      <c r="W52" s="787" t="str">
        <f t="shared" si="5"/>
        <v/>
      </c>
      <c r="X52" s="787" t="str">
        <f t="shared" si="6"/>
        <v/>
      </c>
      <c r="Y52" s="491" t="str">
        <f t="shared" si="7"/>
        <v/>
      </c>
      <c r="AJ52" s="461" t="s">
        <v>466</v>
      </c>
      <c r="AK52" s="490">
        <v>40</v>
      </c>
      <c r="AL52" s="460" t="str">
        <f t="shared" si="16"/>
        <v>○</v>
      </c>
      <c r="AM52" s="468" t="str">
        <f t="shared" si="17"/>
        <v>申請しない場合は入力不要です。</v>
      </c>
      <c r="AO52" s="468">
        <f t="shared" si="0"/>
        <v>0</v>
      </c>
    </row>
    <row r="53" spans="1:41" ht="20.100000000000001" customHeight="1">
      <c r="A53" s="485">
        <v>41</v>
      </c>
      <c r="B53" s="205"/>
      <c r="C53" s="206"/>
      <c r="D53" s="1889"/>
      <c r="E53" s="1890"/>
      <c r="F53" s="1891"/>
      <c r="G53" s="207"/>
      <c r="H53" s="207"/>
      <c r="I53" s="208"/>
      <c r="J53" s="486">
        <f t="shared" si="1"/>
        <v>0</v>
      </c>
      <c r="K53" s="487">
        <f t="shared" si="2"/>
        <v>0</v>
      </c>
      <c r="L53" s="487" t="str">
        <f t="shared" si="13"/>
        <v/>
      </c>
      <c r="M53" s="487" t="str">
        <f xml:space="preserve">
IF(AL53&lt;&gt;"◎","",
IF(AND(表紙!X24="実績報告（１次）",DATE(IF(N53=5,2023,IF(N53=6,2024)),O53,P53)&lt;DATE(2023,5,8)),0,
IF(AND(OR(表紙!X24="実績報告（２次）",表紙!X24="交付申請兼実績報告"),DATE(IF(N53=5,2023,IF(N53=6,2024)),O53,P53)&lt;DATE(2023,10,1)),0,
MIN(K53,L53))))</f>
        <v/>
      </c>
      <c r="N53" s="725"/>
      <c r="O53" s="725"/>
      <c r="P53" s="725"/>
      <c r="Q53" s="488" t="str">
        <f xml:space="preserve">
IF(AL53&lt;&gt;"◎","",
IF(AND(表紙!X24="実績報告（１次）",DATE(IF(N53=5,2023,IF(N53=6,2024)),O53,P53)&lt;DATE(2023,5,8)),0,
IF(AND(OR(表紙!X24="実績報告（２次）",表紙!X24="交付申請兼実績報告"),DATE(IF(N53=5,2023,IF(N53=6,2024)),O53,P53)&lt;DATE(2023,10,1)),0,
G53*H53)))</f>
        <v/>
      </c>
      <c r="R53" s="724" t="str">
        <f xml:space="preserve">
IF(表紙!$X$2="事前協議","－",
IF(表紙!$X$2="交付申請（２次）","－",
IF(表紙!$X$2="変更申請","－",
IF(AND(OR(表紙!$X$2="実績報告（１次）",表紙!$X$2="実績報告（２次）",表紙!$X$2="交付申請兼実績報告"),AL53="◎"),COUNTIF($AL$30:AL53,"◎"),""))))</f>
        <v/>
      </c>
      <c r="S53" s="489" t="str">
        <f t="shared" si="14"/>
        <v/>
      </c>
      <c r="T53" s="765" t="str">
        <f t="shared" si="15"/>
        <v/>
      </c>
      <c r="U53" s="596" t="str">
        <f t="shared" si="10"/>
        <v/>
      </c>
      <c r="V53" s="787" t="str">
        <f t="shared" si="4"/>
        <v/>
      </c>
      <c r="W53" s="787" t="str">
        <f t="shared" si="5"/>
        <v/>
      </c>
      <c r="X53" s="787" t="str">
        <f t="shared" si="6"/>
        <v/>
      </c>
      <c r="Y53" s="491" t="str">
        <f t="shared" si="7"/>
        <v/>
      </c>
      <c r="AJ53" s="461" t="s">
        <v>466</v>
      </c>
      <c r="AK53" s="490">
        <v>41</v>
      </c>
      <c r="AL53" s="460" t="str">
        <f t="shared" si="16"/>
        <v>○</v>
      </c>
      <c r="AM53" s="468" t="str">
        <f t="shared" si="17"/>
        <v>申請しない場合は入力不要です。</v>
      </c>
      <c r="AO53" s="468">
        <f t="shared" si="0"/>
        <v>0</v>
      </c>
    </row>
    <row r="54" spans="1:41" ht="20.100000000000001" customHeight="1">
      <c r="A54" s="485">
        <v>42</v>
      </c>
      <c r="B54" s="205"/>
      <c r="C54" s="206"/>
      <c r="D54" s="1889"/>
      <c r="E54" s="1890"/>
      <c r="F54" s="1891"/>
      <c r="G54" s="207"/>
      <c r="H54" s="207"/>
      <c r="I54" s="208"/>
      <c r="J54" s="486">
        <f t="shared" si="1"/>
        <v>0</v>
      </c>
      <c r="K54" s="487">
        <f t="shared" si="2"/>
        <v>0</v>
      </c>
      <c r="L54" s="487" t="str">
        <f t="shared" si="13"/>
        <v/>
      </c>
      <c r="M54" s="487" t="str">
        <f xml:space="preserve">
IF(AL54&lt;&gt;"◎","",
IF(AND(表紙!X25="実績報告（１次）",DATE(IF(N54=5,2023,IF(N54=6,2024)),O54,P54)&lt;DATE(2023,5,8)),0,
IF(AND(OR(表紙!X25="実績報告（２次）",表紙!X25="交付申請兼実績報告"),DATE(IF(N54=5,2023,IF(N54=6,2024)),O54,P54)&lt;DATE(2023,10,1)),0,
MIN(K54,L54))))</f>
        <v/>
      </c>
      <c r="N54" s="725"/>
      <c r="O54" s="725"/>
      <c r="P54" s="725"/>
      <c r="Q54" s="488" t="str">
        <f xml:space="preserve">
IF(AL54&lt;&gt;"◎","",
IF(AND(表紙!X25="実績報告（１次）",DATE(IF(N54=5,2023,IF(N54=6,2024)),O54,P54)&lt;DATE(2023,5,8)),0,
IF(AND(OR(表紙!X25="実績報告（２次）",表紙!X25="交付申請兼実績報告"),DATE(IF(N54=5,2023,IF(N54=6,2024)),O54,P54)&lt;DATE(2023,10,1)),0,
G54*H54)))</f>
        <v/>
      </c>
      <c r="R54" s="724" t="str">
        <f xml:space="preserve">
IF(表紙!$X$2="事前協議","－",
IF(表紙!$X$2="交付申請（２次）","－",
IF(表紙!$X$2="変更申請","－",
IF(AND(OR(表紙!$X$2="実績報告（１次）",表紙!$X$2="実績報告（２次）",表紙!$X$2="交付申請兼実績報告"),AL54="◎"),COUNTIF($AL$30:AL54,"◎"),""))))</f>
        <v/>
      </c>
      <c r="S54" s="489" t="str">
        <f t="shared" si="14"/>
        <v/>
      </c>
      <c r="T54" s="765" t="str">
        <f t="shared" si="15"/>
        <v/>
      </c>
      <c r="U54" s="596" t="str">
        <f t="shared" si="10"/>
        <v/>
      </c>
      <c r="V54" s="787" t="str">
        <f t="shared" si="4"/>
        <v/>
      </c>
      <c r="W54" s="787" t="str">
        <f t="shared" si="5"/>
        <v/>
      </c>
      <c r="X54" s="787" t="str">
        <f t="shared" si="6"/>
        <v/>
      </c>
      <c r="Y54" s="491" t="str">
        <f t="shared" si="7"/>
        <v/>
      </c>
      <c r="AJ54" s="461" t="s">
        <v>466</v>
      </c>
      <c r="AK54" s="490">
        <v>42</v>
      </c>
      <c r="AL54" s="460" t="str">
        <f t="shared" si="16"/>
        <v>○</v>
      </c>
      <c r="AM54" s="468" t="str">
        <f t="shared" si="17"/>
        <v>申請しない場合は入力不要です。</v>
      </c>
      <c r="AO54" s="468">
        <f t="shared" si="0"/>
        <v>0</v>
      </c>
    </row>
    <row r="55" spans="1:41" ht="20.100000000000001" customHeight="1">
      <c r="A55" s="485">
        <v>43</v>
      </c>
      <c r="B55" s="205"/>
      <c r="C55" s="206"/>
      <c r="D55" s="1889"/>
      <c r="E55" s="1890"/>
      <c r="F55" s="1891"/>
      <c r="G55" s="207"/>
      <c r="H55" s="207"/>
      <c r="I55" s="208"/>
      <c r="J55" s="486">
        <f t="shared" si="1"/>
        <v>0</v>
      </c>
      <c r="K55" s="487">
        <f t="shared" si="2"/>
        <v>0</v>
      </c>
      <c r="L55" s="487" t="str">
        <f t="shared" si="13"/>
        <v/>
      </c>
      <c r="M55" s="487" t="str">
        <f xml:space="preserve">
IF(AL55&lt;&gt;"◎","",
IF(AND(表紙!X26="実績報告（１次）",DATE(IF(N55=5,2023,IF(N55=6,2024)),O55,P55)&lt;DATE(2023,5,8)),0,
IF(AND(OR(表紙!X26="実績報告（２次）",表紙!X26="交付申請兼実績報告"),DATE(IF(N55=5,2023,IF(N55=6,2024)),O55,P55)&lt;DATE(2023,10,1)),0,
MIN(K55,L55))))</f>
        <v/>
      </c>
      <c r="N55" s="725"/>
      <c r="O55" s="725"/>
      <c r="P55" s="725"/>
      <c r="Q55" s="488" t="str">
        <f xml:space="preserve">
IF(AL55&lt;&gt;"◎","",
IF(AND(表紙!X26="実績報告（１次）",DATE(IF(N55=5,2023,IF(N55=6,2024)),O55,P55)&lt;DATE(2023,5,8)),0,
IF(AND(OR(表紙!X26="実績報告（２次）",表紙!X26="交付申請兼実績報告"),DATE(IF(N55=5,2023,IF(N55=6,2024)),O55,P55)&lt;DATE(2023,10,1)),0,
G55*H55)))</f>
        <v/>
      </c>
      <c r="R55" s="724" t="str">
        <f xml:space="preserve">
IF(表紙!$X$2="事前協議","－",
IF(表紙!$X$2="交付申請（２次）","－",
IF(表紙!$X$2="変更申請","－",
IF(AND(OR(表紙!$X$2="実績報告（１次）",表紙!$X$2="実績報告（２次）",表紙!$X$2="交付申請兼実績報告"),AL55="◎"),COUNTIF($AL$30:AL55,"◎"),""))))</f>
        <v/>
      </c>
      <c r="S55" s="489" t="str">
        <f t="shared" si="14"/>
        <v/>
      </c>
      <c r="T55" s="765" t="str">
        <f t="shared" si="15"/>
        <v/>
      </c>
      <c r="U55" s="596" t="str">
        <f t="shared" si="10"/>
        <v/>
      </c>
      <c r="V55" s="787" t="str">
        <f t="shared" si="4"/>
        <v/>
      </c>
      <c r="W55" s="787" t="str">
        <f t="shared" si="5"/>
        <v/>
      </c>
      <c r="X55" s="787" t="str">
        <f t="shared" si="6"/>
        <v/>
      </c>
      <c r="Y55" s="491" t="str">
        <f t="shared" si="7"/>
        <v/>
      </c>
      <c r="AJ55" s="461" t="s">
        <v>466</v>
      </c>
      <c r="AK55" s="490">
        <v>43</v>
      </c>
      <c r="AL55" s="460" t="str">
        <f t="shared" si="16"/>
        <v>○</v>
      </c>
      <c r="AM55" s="468" t="str">
        <f t="shared" si="17"/>
        <v>申請しない場合は入力不要です。</v>
      </c>
      <c r="AO55" s="468">
        <f t="shared" si="0"/>
        <v>0</v>
      </c>
    </row>
    <row r="56" spans="1:41" ht="20.100000000000001" customHeight="1">
      <c r="A56" s="485">
        <v>44</v>
      </c>
      <c r="B56" s="205"/>
      <c r="C56" s="206"/>
      <c r="D56" s="1889"/>
      <c r="E56" s="1890"/>
      <c r="F56" s="1891"/>
      <c r="G56" s="207"/>
      <c r="H56" s="207"/>
      <c r="I56" s="208"/>
      <c r="J56" s="486">
        <f t="shared" si="1"/>
        <v>0</v>
      </c>
      <c r="K56" s="487">
        <f t="shared" si="2"/>
        <v>0</v>
      </c>
      <c r="L56" s="487" t="str">
        <f t="shared" si="13"/>
        <v/>
      </c>
      <c r="M56" s="487" t="str">
        <f xml:space="preserve">
IF(AL56&lt;&gt;"◎","",
IF(AND(表紙!X27="実績報告（１次）",DATE(IF(N56=5,2023,IF(N56=6,2024)),O56,P56)&lt;DATE(2023,5,8)),0,
IF(AND(OR(表紙!X27="実績報告（２次）",表紙!X27="交付申請兼実績報告"),DATE(IF(N56=5,2023,IF(N56=6,2024)),O56,P56)&lt;DATE(2023,10,1)),0,
MIN(K56,L56))))</f>
        <v/>
      </c>
      <c r="N56" s="725"/>
      <c r="O56" s="725"/>
      <c r="P56" s="725"/>
      <c r="Q56" s="488" t="str">
        <f xml:space="preserve">
IF(AL56&lt;&gt;"◎","",
IF(AND(表紙!X27="実績報告（１次）",DATE(IF(N56=5,2023,IF(N56=6,2024)),O56,P56)&lt;DATE(2023,5,8)),0,
IF(AND(OR(表紙!X27="実績報告（２次）",表紙!X27="交付申請兼実績報告"),DATE(IF(N56=5,2023,IF(N56=6,2024)),O56,P56)&lt;DATE(2023,10,1)),0,
G56*H56)))</f>
        <v/>
      </c>
      <c r="R56" s="724" t="str">
        <f xml:space="preserve">
IF(表紙!$X$2="事前協議","－",
IF(表紙!$X$2="交付申請（２次）","－",
IF(表紙!$X$2="変更申請","－",
IF(AND(OR(表紙!$X$2="実績報告（１次）",表紙!$X$2="実績報告（２次）",表紙!$X$2="交付申請兼実績報告"),AL56="◎"),COUNTIF($AL$30:AL56,"◎"),""))))</f>
        <v/>
      </c>
      <c r="S56" s="489" t="str">
        <f t="shared" si="14"/>
        <v/>
      </c>
      <c r="T56" s="765" t="str">
        <f t="shared" si="15"/>
        <v/>
      </c>
      <c r="U56" s="596" t="str">
        <f t="shared" si="10"/>
        <v/>
      </c>
      <c r="V56" s="787" t="str">
        <f t="shared" si="4"/>
        <v/>
      </c>
      <c r="W56" s="787" t="str">
        <f t="shared" si="5"/>
        <v/>
      </c>
      <c r="X56" s="787" t="str">
        <f t="shared" si="6"/>
        <v/>
      </c>
      <c r="Y56" s="491" t="str">
        <f t="shared" si="7"/>
        <v/>
      </c>
      <c r="AJ56" s="461" t="s">
        <v>466</v>
      </c>
      <c r="AK56" s="490">
        <v>44</v>
      </c>
      <c r="AL56" s="460" t="str">
        <f t="shared" si="16"/>
        <v>○</v>
      </c>
      <c r="AM56" s="468" t="str">
        <f t="shared" si="17"/>
        <v>申請しない場合は入力不要です。</v>
      </c>
      <c r="AO56" s="468">
        <f t="shared" si="0"/>
        <v>0</v>
      </c>
    </row>
    <row r="57" spans="1:41" ht="20.100000000000001" customHeight="1">
      <c r="A57" s="485">
        <v>45</v>
      </c>
      <c r="B57" s="205"/>
      <c r="C57" s="206"/>
      <c r="D57" s="1889"/>
      <c r="E57" s="1890"/>
      <c r="F57" s="1891"/>
      <c r="G57" s="207"/>
      <c r="H57" s="207"/>
      <c r="I57" s="208"/>
      <c r="J57" s="486">
        <f t="shared" si="1"/>
        <v>0</v>
      </c>
      <c r="K57" s="487">
        <f t="shared" si="2"/>
        <v>0</v>
      </c>
      <c r="L57" s="487" t="str">
        <f t="shared" si="13"/>
        <v/>
      </c>
      <c r="M57" s="487" t="str">
        <f xml:space="preserve">
IF(AL57&lt;&gt;"◎","",
IF(AND(表紙!X28="実績報告（１次）",DATE(IF(N57=5,2023,IF(N57=6,2024)),O57,P57)&lt;DATE(2023,5,8)),0,
IF(AND(OR(表紙!X28="実績報告（２次）",表紙!X28="交付申請兼実績報告"),DATE(IF(N57=5,2023,IF(N57=6,2024)),O57,P57)&lt;DATE(2023,10,1)),0,
MIN(K57,L57))))</f>
        <v/>
      </c>
      <c r="N57" s="725"/>
      <c r="O57" s="725"/>
      <c r="P57" s="725"/>
      <c r="Q57" s="488" t="str">
        <f xml:space="preserve">
IF(AL57&lt;&gt;"◎","",
IF(AND(表紙!X28="実績報告（１次）",DATE(IF(N57=5,2023,IF(N57=6,2024)),O57,P57)&lt;DATE(2023,5,8)),0,
IF(AND(OR(表紙!X28="実績報告（２次）",表紙!X28="交付申請兼実績報告"),DATE(IF(N57=5,2023,IF(N57=6,2024)),O57,P57)&lt;DATE(2023,10,1)),0,
G57*H57)))</f>
        <v/>
      </c>
      <c r="R57" s="724" t="str">
        <f xml:space="preserve">
IF(表紙!$X$2="事前協議","－",
IF(表紙!$X$2="交付申請（２次）","－",
IF(表紙!$X$2="変更申請","－",
IF(AND(OR(表紙!$X$2="実績報告（１次）",表紙!$X$2="実績報告（２次）",表紙!$X$2="交付申請兼実績報告"),AL57="◎"),COUNTIF($AL$30:AL57,"◎"),""))))</f>
        <v/>
      </c>
      <c r="S57" s="489" t="str">
        <f t="shared" si="14"/>
        <v/>
      </c>
      <c r="T57" s="765" t="str">
        <f t="shared" si="15"/>
        <v/>
      </c>
      <c r="U57" s="596" t="str">
        <f t="shared" si="10"/>
        <v/>
      </c>
      <c r="V57" s="787" t="str">
        <f t="shared" si="4"/>
        <v/>
      </c>
      <c r="W57" s="787" t="str">
        <f t="shared" si="5"/>
        <v/>
      </c>
      <c r="X57" s="787" t="str">
        <f t="shared" si="6"/>
        <v/>
      </c>
      <c r="Y57" s="491" t="str">
        <f t="shared" si="7"/>
        <v/>
      </c>
      <c r="AJ57" s="461" t="s">
        <v>466</v>
      </c>
      <c r="AK57" s="490">
        <v>45</v>
      </c>
      <c r="AL57" s="460" t="str">
        <f t="shared" si="16"/>
        <v>○</v>
      </c>
      <c r="AM57" s="468" t="str">
        <f t="shared" si="17"/>
        <v>申請しない場合は入力不要です。</v>
      </c>
      <c r="AO57" s="468">
        <f t="shared" si="0"/>
        <v>0</v>
      </c>
    </row>
    <row r="58" spans="1:41" ht="20.100000000000001" customHeight="1">
      <c r="A58" s="485">
        <v>46</v>
      </c>
      <c r="B58" s="205"/>
      <c r="C58" s="206"/>
      <c r="D58" s="1889"/>
      <c r="E58" s="1890"/>
      <c r="F58" s="1891"/>
      <c r="G58" s="207"/>
      <c r="H58" s="207"/>
      <c r="I58" s="208"/>
      <c r="J58" s="486">
        <f t="shared" si="1"/>
        <v>0</v>
      </c>
      <c r="K58" s="487">
        <f t="shared" si="2"/>
        <v>0</v>
      </c>
      <c r="L58" s="487" t="str">
        <f t="shared" si="13"/>
        <v/>
      </c>
      <c r="M58" s="487" t="str">
        <f xml:space="preserve">
IF(AL58&lt;&gt;"◎","",
IF(AND(表紙!X29="実績報告（１次）",DATE(IF(N58=5,2023,IF(N58=6,2024)),O58,P58)&lt;DATE(2023,5,8)),0,
IF(AND(OR(表紙!X29="実績報告（２次）",表紙!X29="交付申請兼実績報告"),DATE(IF(N58=5,2023,IF(N58=6,2024)),O58,P58)&lt;DATE(2023,10,1)),0,
MIN(K58,L58))))</f>
        <v/>
      </c>
      <c r="N58" s="725"/>
      <c r="O58" s="725"/>
      <c r="P58" s="725"/>
      <c r="Q58" s="488" t="str">
        <f xml:space="preserve">
IF(AL58&lt;&gt;"◎","",
IF(AND(表紙!X29="実績報告（１次）",DATE(IF(N58=5,2023,IF(N58=6,2024)),O58,P58)&lt;DATE(2023,5,8)),0,
IF(AND(OR(表紙!X29="実績報告（２次）",表紙!X29="交付申請兼実績報告"),DATE(IF(N58=5,2023,IF(N58=6,2024)),O58,P58)&lt;DATE(2023,10,1)),0,
G58*H58)))</f>
        <v/>
      </c>
      <c r="R58" s="724" t="str">
        <f xml:space="preserve">
IF(表紙!$X$2="事前協議","－",
IF(表紙!$X$2="交付申請（２次）","－",
IF(表紙!$X$2="変更申請","－",
IF(AND(OR(表紙!$X$2="実績報告（１次）",表紙!$X$2="実績報告（２次）",表紙!$X$2="交付申請兼実績報告"),AL58="◎"),COUNTIF($AL$30:AL58,"◎"),""))))</f>
        <v/>
      </c>
      <c r="S58" s="489" t="str">
        <f t="shared" si="14"/>
        <v/>
      </c>
      <c r="T58" s="765" t="str">
        <f t="shared" si="15"/>
        <v/>
      </c>
      <c r="U58" s="596" t="str">
        <f t="shared" si="10"/>
        <v/>
      </c>
      <c r="V58" s="787" t="str">
        <f t="shared" si="4"/>
        <v/>
      </c>
      <c r="W58" s="787" t="str">
        <f t="shared" si="5"/>
        <v/>
      </c>
      <c r="X58" s="787" t="str">
        <f t="shared" si="6"/>
        <v/>
      </c>
      <c r="Y58" s="491" t="str">
        <f t="shared" si="7"/>
        <v/>
      </c>
      <c r="AJ58" s="461" t="s">
        <v>466</v>
      </c>
      <c r="AK58" s="490">
        <v>46</v>
      </c>
      <c r="AL58" s="460" t="str">
        <f t="shared" si="16"/>
        <v>○</v>
      </c>
      <c r="AM58" s="468" t="str">
        <f t="shared" si="17"/>
        <v>申請しない場合は入力不要です。</v>
      </c>
      <c r="AO58" s="468">
        <f t="shared" si="0"/>
        <v>0</v>
      </c>
    </row>
    <row r="59" spans="1:41" ht="20.100000000000001" customHeight="1">
      <c r="A59" s="485">
        <v>47</v>
      </c>
      <c r="B59" s="205"/>
      <c r="C59" s="206"/>
      <c r="D59" s="1889"/>
      <c r="E59" s="1890"/>
      <c r="F59" s="1891"/>
      <c r="G59" s="207"/>
      <c r="H59" s="207"/>
      <c r="I59" s="208"/>
      <c r="J59" s="486">
        <f t="shared" si="1"/>
        <v>0</v>
      </c>
      <c r="K59" s="487">
        <f t="shared" si="2"/>
        <v>0</v>
      </c>
      <c r="L59" s="487" t="str">
        <f t="shared" si="13"/>
        <v/>
      </c>
      <c r="M59" s="487" t="str">
        <f xml:space="preserve">
IF(AL59&lt;&gt;"◎","",
IF(AND(表紙!X30="実績報告（１次）",DATE(IF(N59=5,2023,IF(N59=6,2024)),O59,P59)&lt;DATE(2023,5,8)),0,
IF(AND(OR(表紙!X30="実績報告（２次）",表紙!X30="交付申請兼実績報告"),DATE(IF(N59=5,2023,IF(N59=6,2024)),O59,P59)&lt;DATE(2023,10,1)),0,
MIN(K59,L59))))</f>
        <v/>
      </c>
      <c r="N59" s="725"/>
      <c r="O59" s="725"/>
      <c r="P59" s="725"/>
      <c r="Q59" s="488" t="str">
        <f xml:space="preserve">
IF(AL59&lt;&gt;"◎","",
IF(AND(表紙!X30="実績報告（１次）",DATE(IF(N59=5,2023,IF(N59=6,2024)),O59,P59)&lt;DATE(2023,5,8)),0,
IF(AND(OR(表紙!X30="実績報告（２次）",表紙!X30="交付申請兼実績報告"),DATE(IF(N59=5,2023,IF(N59=6,2024)),O59,P59)&lt;DATE(2023,10,1)),0,
G59*H59)))</f>
        <v/>
      </c>
      <c r="R59" s="724" t="str">
        <f xml:space="preserve">
IF(表紙!$X$2="事前協議","－",
IF(表紙!$X$2="交付申請（２次）","－",
IF(表紙!$X$2="変更申請","－",
IF(AND(OR(表紙!$X$2="実績報告（１次）",表紙!$X$2="実績報告（２次）",表紙!$X$2="交付申請兼実績報告"),AL59="◎"),COUNTIF($AL$30:AL59,"◎"),""))))</f>
        <v/>
      </c>
      <c r="S59" s="489" t="str">
        <f t="shared" si="14"/>
        <v/>
      </c>
      <c r="T59" s="765" t="str">
        <f t="shared" si="15"/>
        <v/>
      </c>
      <c r="U59" s="596" t="str">
        <f t="shared" si="10"/>
        <v/>
      </c>
      <c r="V59" s="787" t="str">
        <f t="shared" si="4"/>
        <v/>
      </c>
      <c r="W59" s="787" t="str">
        <f t="shared" si="5"/>
        <v/>
      </c>
      <c r="X59" s="787" t="str">
        <f t="shared" si="6"/>
        <v/>
      </c>
      <c r="Y59" s="491" t="str">
        <f t="shared" si="7"/>
        <v/>
      </c>
      <c r="AJ59" s="461" t="s">
        <v>466</v>
      </c>
      <c r="AK59" s="490">
        <v>47</v>
      </c>
      <c r="AL59" s="460" t="str">
        <f t="shared" si="16"/>
        <v>○</v>
      </c>
      <c r="AM59" s="468" t="str">
        <f t="shared" si="17"/>
        <v>申請しない場合は入力不要です。</v>
      </c>
      <c r="AO59" s="468">
        <f t="shared" si="0"/>
        <v>0</v>
      </c>
    </row>
    <row r="60" spans="1:41" ht="20.100000000000001" customHeight="1">
      <c r="A60" s="485">
        <v>48</v>
      </c>
      <c r="B60" s="205"/>
      <c r="C60" s="206"/>
      <c r="D60" s="1889"/>
      <c r="E60" s="1890"/>
      <c r="F60" s="1891"/>
      <c r="G60" s="207"/>
      <c r="H60" s="207"/>
      <c r="I60" s="208"/>
      <c r="J60" s="486">
        <f t="shared" si="1"/>
        <v>0</v>
      </c>
      <c r="K60" s="487">
        <f t="shared" si="2"/>
        <v>0</v>
      </c>
      <c r="L60" s="487" t="str">
        <f t="shared" si="13"/>
        <v/>
      </c>
      <c r="M60" s="487" t="str">
        <f xml:space="preserve">
IF(AL60&lt;&gt;"◎","",
IF(AND(表紙!X31="実績報告（１次）",DATE(IF(N60=5,2023,IF(N60=6,2024)),O60,P60)&lt;DATE(2023,5,8)),0,
IF(AND(OR(表紙!X31="実績報告（２次）",表紙!X31="交付申請兼実績報告"),DATE(IF(N60=5,2023,IF(N60=6,2024)),O60,P60)&lt;DATE(2023,10,1)),0,
MIN(K60,L60))))</f>
        <v/>
      </c>
      <c r="N60" s="725"/>
      <c r="O60" s="725"/>
      <c r="P60" s="725"/>
      <c r="Q60" s="488" t="str">
        <f xml:space="preserve">
IF(AL60&lt;&gt;"◎","",
IF(AND(表紙!X31="実績報告（１次）",DATE(IF(N60=5,2023,IF(N60=6,2024)),O60,P60)&lt;DATE(2023,5,8)),0,
IF(AND(OR(表紙!X31="実績報告（２次）",表紙!X31="交付申請兼実績報告"),DATE(IF(N60=5,2023,IF(N60=6,2024)),O60,P60)&lt;DATE(2023,10,1)),0,
G60*H60)))</f>
        <v/>
      </c>
      <c r="R60" s="724" t="str">
        <f xml:space="preserve">
IF(表紙!$X$2="事前協議","－",
IF(表紙!$X$2="交付申請（２次）","－",
IF(表紙!$X$2="変更申請","－",
IF(AND(OR(表紙!$X$2="実績報告（１次）",表紙!$X$2="実績報告（２次）",表紙!$X$2="交付申請兼実績報告"),AL60="◎"),COUNTIF($AL$30:AL60,"◎"),""))))</f>
        <v/>
      </c>
      <c r="S60" s="489" t="str">
        <f t="shared" si="14"/>
        <v/>
      </c>
      <c r="T60" s="765" t="str">
        <f t="shared" si="15"/>
        <v/>
      </c>
      <c r="U60" s="596" t="str">
        <f t="shared" si="10"/>
        <v/>
      </c>
      <c r="V60" s="787" t="str">
        <f t="shared" si="4"/>
        <v/>
      </c>
      <c r="W60" s="787" t="str">
        <f t="shared" si="5"/>
        <v/>
      </c>
      <c r="X60" s="787" t="str">
        <f t="shared" si="6"/>
        <v/>
      </c>
      <c r="Y60" s="491" t="str">
        <f t="shared" si="7"/>
        <v/>
      </c>
      <c r="AJ60" s="461" t="s">
        <v>466</v>
      </c>
      <c r="AK60" s="490">
        <v>48</v>
      </c>
      <c r="AL60" s="460" t="str">
        <f t="shared" si="16"/>
        <v>○</v>
      </c>
      <c r="AM60" s="468" t="str">
        <f t="shared" si="17"/>
        <v>申請しない場合は入力不要です。</v>
      </c>
      <c r="AO60" s="468">
        <f t="shared" si="0"/>
        <v>0</v>
      </c>
    </row>
    <row r="61" spans="1:41" ht="20.100000000000001" customHeight="1">
      <c r="A61" s="485">
        <v>49</v>
      </c>
      <c r="B61" s="205"/>
      <c r="C61" s="206"/>
      <c r="D61" s="1889"/>
      <c r="E61" s="1890"/>
      <c r="F61" s="1891"/>
      <c r="G61" s="207"/>
      <c r="H61" s="207"/>
      <c r="I61" s="208"/>
      <c r="J61" s="486">
        <f t="shared" si="1"/>
        <v>0</v>
      </c>
      <c r="K61" s="487">
        <f t="shared" si="2"/>
        <v>0</v>
      </c>
      <c r="L61" s="487" t="str">
        <f t="shared" si="13"/>
        <v/>
      </c>
      <c r="M61" s="487" t="str">
        <f xml:space="preserve">
IF(AL61&lt;&gt;"◎","",
IF(AND(表紙!X32="実績報告（１次）",DATE(IF(N61=5,2023,IF(N61=6,2024)),O61,P61)&lt;DATE(2023,5,8)),0,
IF(AND(OR(表紙!X32="実績報告（２次）",表紙!X32="交付申請兼実績報告"),DATE(IF(N61=5,2023,IF(N61=6,2024)),O61,P61)&lt;DATE(2023,10,1)),0,
MIN(K61,L61))))</f>
        <v/>
      </c>
      <c r="N61" s="725"/>
      <c r="O61" s="725"/>
      <c r="P61" s="725"/>
      <c r="Q61" s="488" t="str">
        <f xml:space="preserve">
IF(AL61&lt;&gt;"◎","",
IF(AND(表紙!X32="実績報告（１次）",DATE(IF(N61=5,2023,IF(N61=6,2024)),O61,P61)&lt;DATE(2023,5,8)),0,
IF(AND(OR(表紙!X32="実績報告（２次）",表紙!X32="交付申請兼実績報告"),DATE(IF(N61=5,2023,IF(N61=6,2024)),O61,P61)&lt;DATE(2023,10,1)),0,
G61*H61)))</f>
        <v/>
      </c>
      <c r="R61" s="724" t="str">
        <f xml:space="preserve">
IF(表紙!$X$2="事前協議","－",
IF(表紙!$X$2="交付申請（２次）","－",
IF(表紙!$X$2="変更申請","－",
IF(AND(OR(表紙!$X$2="実績報告（１次）",表紙!$X$2="実績報告（２次）",表紙!$X$2="交付申請兼実績報告"),AL61="◎"),COUNTIF($AL$30:AL61,"◎"),""))))</f>
        <v/>
      </c>
      <c r="S61" s="489" t="str">
        <f t="shared" si="14"/>
        <v/>
      </c>
      <c r="T61" s="765" t="str">
        <f t="shared" si="15"/>
        <v/>
      </c>
      <c r="U61" s="596" t="str">
        <f t="shared" si="10"/>
        <v/>
      </c>
      <c r="V61" s="787" t="str">
        <f t="shared" si="4"/>
        <v/>
      </c>
      <c r="W61" s="787" t="str">
        <f t="shared" si="5"/>
        <v/>
      </c>
      <c r="X61" s="787" t="str">
        <f t="shared" si="6"/>
        <v/>
      </c>
      <c r="Y61" s="491" t="str">
        <f t="shared" si="7"/>
        <v/>
      </c>
      <c r="AJ61" s="461" t="s">
        <v>466</v>
      </c>
      <c r="AK61" s="490">
        <v>49</v>
      </c>
      <c r="AL61" s="460" t="str">
        <f t="shared" si="16"/>
        <v>○</v>
      </c>
      <c r="AM61" s="468" t="str">
        <f t="shared" si="17"/>
        <v>申請しない場合は入力不要です。</v>
      </c>
      <c r="AO61" s="468">
        <f t="shared" si="0"/>
        <v>0</v>
      </c>
    </row>
    <row r="62" spans="1:41" ht="20.100000000000001" customHeight="1">
      <c r="A62" s="485">
        <v>50</v>
      </c>
      <c r="B62" s="205"/>
      <c r="C62" s="206"/>
      <c r="D62" s="1889"/>
      <c r="E62" s="1890"/>
      <c r="F62" s="1891"/>
      <c r="G62" s="207"/>
      <c r="H62" s="207"/>
      <c r="I62" s="208"/>
      <c r="J62" s="486">
        <f t="shared" si="1"/>
        <v>0</v>
      </c>
      <c r="K62" s="487">
        <f t="shared" si="2"/>
        <v>0</v>
      </c>
      <c r="L62" s="487" t="str">
        <f t="shared" si="13"/>
        <v/>
      </c>
      <c r="M62" s="487" t="str">
        <f xml:space="preserve">
IF(AL62&lt;&gt;"◎","",
IF(AND(表紙!X33="実績報告（１次）",DATE(IF(N62=5,2023,IF(N62=6,2024)),O62,P62)&lt;DATE(2023,5,8)),0,
IF(AND(OR(表紙!X33="実績報告（２次）",表紙!X33="交付申請兼実績報告"),DATE(IF(N62=5,2023,IF(N62=6,2024)),O62,P62)&lt;DATE(2023,10,1)),0,
MIN(K62,L62))))</f>
        <v/>
      </c>
      <c r="N62" s="725"/>
      <c r="O62" s="725"/>
      <c r="P62" s="725"/>
      <c r="Q62" s="488" t="str">
        <f xml:space="preserve">
IF(AL62&lt;&gt;"◎","",
IF(AND(表紙!X33="実績報告（１次）",DATE(IF(N62=5,2023,IF(N62=6,2024)),O62,P62)&lt;DATE(2023,5,8)),0,
IF(AND(OR(表紙!X33="実績報告（２次）",表紙!X33="交付申請兼実績報告"),DATE(IF(N62=5,2023,IF(N62=6,2024)),O62,P62)&lt;DATE(2023,10,1)),0,
G62*H62)))</f>
        <v/>
      </c>
      <c r="R62" s="724" t="str">
        <f xml:space="preserve">
IF(表紙!$X$2="事前協議","－",
IF(表紙!$X$2="交付申請（２次）","－",
IF(表紙!$X$2="変更申請","－",
IF(AND(OR(表紙!$X$2="実績報告（１次）",表紙!$X$2="実績報告（２次）",表紙!$X$2="交付申請兼実績報告"),AL62="◎"),COUNTIF($AL$30:AL62,"◎"),""))))</f>
        <v/>
      </c>
      <c r="S62" s="489" t="str">
        <f t="shared" si="14"/>
        <v/>
      </c>
      <c r="T62" s="765" t="str">
        <f t="shared" si="15"/>
        <v/>
      </c>
      <c r="U62" s="596" t="str">
        <f t="shared" si="10"/>
        <v/>
      </c>
      <c r="V62" s="787" t="str">
        <f t="shared" si="4"/>
        <v/>
      </c>
      <c r="W62" s="787" t="str">
        <f t="shared" si="5"/>
        <v/>
      </c>
      <c r="X62" s="787" t="str">
        <f t="shared" si="6"/>
        <v/>
      </c>
      <c r="Y62" s="491" t="str">
        <f t="shared" si="7"/>
        <v/>
      </c>
      <c r="AJ62" s="461" t="s">
        <v>466</v>
      </c>
      <c r="AK62" s="490">
        <v>50</v>
      </c>
      <c r="AL62" s="460" t="str">
        <f t="shared" si="16"/>
        <v>○</v>
      </c>
      <c r="AM62" s="468" t="str">
        <f t="shared" si="17"/>
        <v>申請しない場合は入力不要です。</v>
      </c>
      <c r="AO62" s="468">
        <f t="shared" si="0"/>
        <v>0</v>
      </c>
    </row>
    <row r="63" spans="1:41" ht="20.100000000000001" customHeight="1">
      <c r="A63" s="485">
        <v>51</v>
      </c>
      <c r="B63" s="205"/>
      <c r="C63" s="206"/>
      <c r="D63" s="1889"/>
      <c r="E63" s="1890"/>
      <c r="F63" s="1891"/>
      <c r="G63" s="207"/>
      <c r="H63" s="207"/>
      <c r="I63" s="208"/>
      <c r="J63" s="486">
        <f t="shared" si="1"/>
        <v>0</v>
      </c>
      <c r="K63" s="487">
        <f t="shared" si="2"/>
        <v>0</v>
      </c>
      <c r="L63" s="487" t="str">
        <f t="shared" si="13"/>
        <v/>
      </c>
      <c r="M63" s="487" t="str">
        <f xml:space="preserve">
IF(AL63&lt;&gt;"◎","",
IF(AND(表紙!X34="実績報告（１次）",DATE(IF(N63=5,2023,IF(N63=6,2024)),O63,P63)&lt;DATE(2023,5,8)),0,
IF(AND(OR(表紙!X34="実績報告（２次）",表紙!X34="交付申請兼実績報告"),DATE(IF(N63=5,2023,IF(N63=6,2024)),O63,P63)&lt;DATE(2023,10,1)),0,
MIN(K63,L63))))</f>
        <v/>
      </c>
      <c r="N63" s="725"/>
      <c r="O63" s="725"/>
      <c r="P63" s="725"/>
      <c r="Q63" s="488" t="str">
        <f xml:space="preserve">
IF(AL63&lt;&gt;"◎","",
IF(AND(表紙!X34="実績報告（１次）",DATE(IF(N63=5,2023,IF(N63=6,2024)),O63,P63)&lt;DATE(2023,5,8)),0,
IF(AND(OR(表紙!X34="実績報告（２次）",表紙!X34="交付申請兼実績報告"),DATE(IF(N63=5,2023,IF(N63=6,2024)),O63,P63)&lt;DATE(2023,10,1)),0,
G63*H63)))</f>
        <v/>
      </c>
      <c r="R63" s="724" t="str">
        <f xml:space="preserve">
IF(表紙!$X$2="事前協議","－",
IF(表紙!$X$2="交付申請（２次）","－",
IF(表紙!$X$2="変更申請","－",
IF(AND(OR(表紙!$X$2="実績報告（１次）",表紙!$X$2="実績報告（２次）",表紙!$X$2="交付申請兼実績報告"),AL63="◎"),COUNTIF($AL$30:AL63,"◎"),""))))</f>
        <v/>
      </c>
      <c r="S63" s="489" t="str">
        <f t="shared" si="14"/>
        <v/>
      </c>
      <c r="T63" s="765" t="str">
        <f t="shared" si="15"/>
        <v/>
      </c>
      <c r="U63" s="596" t="str">
        <f t="shared" si="10"/>
        <v/>
      </c>
      <c r="V63" s="787" t="str">
        <f t="shared" si="4"/>
        <v/>
      </c>
      <c r="W63" s="787" t="str">
        <f t="shared" si="5"/>
        <v/>
      </c>
      <c r="X63" s="787" t="str">
        <f t="shared" si="6"/>
        <v/>
      </c>
      <c r="Y63" s="491" t="str">
        <f t="shared" si="7"/>
        <v/>
      </c>
      <c r="AJ63" s="461" t="s">
        <v>466</v>
      </c>
      <c r="AK63" s="490">
        <v>51</v>
      </c>
      <c r="AL63" s="460" t="str">
        <f t="shared" si="16"/>
        <v>○</v>
      </c>
      <c r="AM63" s="468" t="str">
        <f t="shared" si="17"/>
        <v>申請しない場合は入力不要です。</v>
      </c>
      <c r="AO63" s="468">
        <f t="shared" si="0"/>
        <v>0</v>
      </c>
    </row>
    <row r="64" spans="1:41" ht="20.100000000000001" customHeight="1">
      <c r="A64" s="485">
        <v>52</v>
      </c>
      <c r="B64" s="205"/>
      <c r="C64" s="206"/>
      <c r="D64" s="1889"/>
      <c r="E64" s="1890"/>
      <c r="F64" s="1891"/>
      <c r="G64" s="207"/>
      <c r="H64" s="207"/>
      <c r="I64" s="208"/>
      <c r="J64" s="486">
        <f t="shared" si="1"/>
        <v>0</v>
      </c>
      <c r="K64" s="487">
        <f t="shared" si="2"/>
        <v>0</v>
      </c>
      <c r="L64" s="487" t="str">
        <f t="shared" si="13"/>
        <v/>
      </c>
      <c r="M64" s="487" t="str">
        <f xml:space="preserve">
IF(AL64&lt;&gt;"◎","",
IF(AND(表紙!X35="実績報告（１次）",DATE(IF(N64=5,2023,IF(N64=6,2024)),O64,P64)&lt;DATE(2023,5,8)),0,
IF(AND(OR(表紙!X35="実績報告（２次）",表紙!X35="交付申請兼実績報告"),DATE(IF(N64=5,2023,IF(N64=6,2024)),O64,P64)&lt;DATE(2023,10,1)),0,
MIN(K64,L64))))</f>
        <v/>
      </c>
      <c r="N64" s="725"/>
      <c r="O64" s="725"/>
      <c r="P64" s="725"/>
      <c r="Q64" s="488" t="str">
        <f xml:space="preserve">
IF(AL64&lt;&gt;"◎","",
IF(AND(表紙!X35="実績報告（１次）",DATE(IF(N64=5,2023,IF(N64=6,2024)),O64,P64)&lt;DATE(2023,5,8)),0,
IF(AND(OR(表紙!X35="実績報告（２次）",表紙!X35="交付申請兼実績報告"),DATE(IF(N64=5,2023,IF(N64=6,2024)),O64,P64)&lt;DATE(2023,10,1)),0,
G64*H64)))</f>
        <v/>
      </c>
      <c r="R64" s="724" t="str">
        <f xml:space="preserve">
IF(表紙!$X$2="事前協議","－",
IF(表紙!$X$2="交付申請（２次）","－",
IF(表紙!$X$2="変更申請","－",
IF(AND(OR(表紙!$X$2="実績報告（１次）",表紙!$X$2="実績報告（２次）",表紙!$X$2="交付申請兼実績報告"),AL64="◎"),COUNTIF($AL$30:AL64,"◎"),""))))</f>
        <v/>
      </c>
      <c r="S64" s="489" t="str">
        <f t="shared" si="14"/>
        <v/>
      </c>
      <c r="T64" s="765" t="str">
        <f t="shared" si="15"/>
        <v/>
      </c>
      <c r="U64" s="596" t="str">
        <f t="shared" si="10"/>
        <v/>
      </c>
      <c r="V64" s="787" t="str">
        <f t="shared" si="4"/>
        <v/>
      </c>
      <c r="W64" s="787" t="str">
        <f t="shared" si="5"/>
        <v/>
      </c>
      <c r="X64" s="787" t="str">
        <f t="shared" si="6"/>
        <v/>
      </c>
      <c r="Y64" s="491" t="str">
        <f t="shared" si="7"/>
        <v/>
      </c>
      <c r="AJ64" s="461" t="s">
        <v>466</v>
      </c>
      <c r="AK64" s="490">
        <v>52</v>
      </c>
      <c r="AL64" s="460" t="str">
        <f t="shared" si="16"/>
        <v>○</v>
      </c>
      <c r="AM64" s="468" t="str">
        <f t="shared" si="17"/>
        <v>申請しない場合は入力不要です。</v>
      </c>
      <c r="AO64" s="468">
        <f t="shared" si="0"/>
        <v>0</v>
      </c>
    </row>
    <row r="65" spans="1:41" ht="20.100000000000001" customHeight="1">
      <c r="A65" s="485">
        <v>53</v>
      </c>
      <c r="B65" s="205"/>
      <c r="C65" s="206"/>
      <c r="D65" s="1889"/>
      <c r="E65" s="1890"/>
      <c r="F65" s="1891"/>
      <c r="G65" s="207"/>
      <c r="H65" s="207"/>
      <c r="I65" s="208"/>
      <c r="J65" s="486">
        <f t="shared" si="1"/>
        <v>0</v>
      </c>
      <c r="K65" s="487">
        <f t="shared" si="2"/>
        <v>0</v>
      </c>
      <c r="L65" s="487" t="str">
        <f t="shared" si="13"/>
        <v/>
      </c>
      <c r="M65" s="487" t="str">
        <f xml:space="preserve">
IF(AL65&lt;&gt;"◎","",
IF(AND(表紙!X36="実績報告（１次）",DATE(IF(N65=5,2023,IF(N65=6,2024)),O65,P65)&lt;DATE(2023,5,8)),0,
IF(AND(OR(表紙!X36="実績報告（２次）",表紙!X36="交付申請兼実績報告"),DATE(IF(N65=5,2023,IF(N65=6,2024)),O65,P65)&lt;DATE(2023,10,1)),0,
MIN(K65,L65))))</f>
        <v/>
      </c>
      <c r="N65" s="725"/>
      <c r="O65" s="725"/>
      <c r="P65" s="725"/>
      <c r="Q65" s="488" t="str">
        <f xml:space="preserve">
IF(AL65&lt;&gt;"◎","",
IF(AND(表紙!X36="実績報告（１次）",DATE(IF(N65=5,2023,IF(N65=6,2024)),O65,P65)&lt;DATE(2023,5,8)),0,
IF(AND(OR(表紙!X36="実績報告（２次）",表紙!X36="交付申請兼実績報告"),DATE(IF(N65=5,2023,IF(N65=6,2024)),O65,P65)&lt;DATE(2023,10,1)),0,
G65*H65)))</f>
        <v/>
      </c>
      <c r="R65" s="724" t="str">
        <f xml:space="preserve">
IF(表紙!$X$2="事前協議","－",
IF(表紙!$X$2="交付申請（２次）","－",
IF(表紙!$X$2="変更申請","－",
IF(AND(OR(表紙!$X$2="実績報告（１次）",表紙!$X$2="実績報告（２次）",表紙!$X$2="交付申請兼実績報告"),AL65="◎"),COUNTIF($AL$30:AL65,"◎"),""))))</f>
        <v/>
      </c>
      <c r="S65" s="489" t="str">
        <f t="shared" si="14"/>
        <v/>
      </c>
      <c r="T65" s="765" t="str">
        <f t="shared" si="15"/>
        <v/>
      </c>
      <c r="U65" s="596" t="str">
        <f t="shared" si="10"/>
        <v/>
      </c>
      <c r="V65" s="787" t="str">
        <f t="shared" si="4"/>
        <v/>
      </c>
      <c r="W65" s="787" t="str">
        <f t="shared" si="5"/>
        <v/>
      </c>
      <c r="X65" s="787" t="str">
        <f t="shared" si="6"/>
        <v/>
      </c>
      <c r="Y65" s="491" t="str">
        <f t="shared" si="7"/>
        <v/>
      </c>
      <c r="AJ65" s="461" t="s">
        <v>466</v>
      </c>
      <c r="AK65" s="490">
        <v>53</v>
      </c>
      <c r="AL65" s="460" t="str">
        <f t="shared" si="16"/>
        <v>○</v>
      </c>
      <c r="AM65" s="468" t="str">
        <f t="shared" si="17"/>
        <v>申請しない場合は入力不要です。</v>
      </c>
      <c r="AO65" s="468">
        <f t="shared" si="0"/>
        <v>0</v>
      </c>
    </row>
    <row r="66" spans="1:41" ht="20.100000000000001" customHeight="1">
      <c r="A66" s="485">
        <v>54</v>
      </c>
      <c r="B66" s="205"/>
      <c r="C66" s="206"/>
      <c r="D66" s="1889"/>
      <c r="E66" s="1890"/>
      <c r="F66" s="1891"/>
      <c r="G66" s="207"/>
      <c r="H66" s="207"/>
      <c r="I66" s="208"/>
      <c r="J66" s="486">
        <f t="shared" si="1"/>
        <v>0</v>
      </c>
      <c r="K66" s="487">
        <f t="shared" si="2"/>
        <v>0</v>
      </c>
      <c r="L66" s="487" t="str">
        <f t="shared" si="13"/>
        <v/>
      </c>
      <c r="M66" s="487" t="str">
        <f xml:space="preserve">
IF(AL66&lt;&gt;"◎","",
IF(AND(表紙!X37="実績報告（１次）",DATE(IF(N66=5,2023,IF(N66=6,2024)),O66,P66)&lt;DATE(2023,5,8)),0,
IF(AND(OR(表紙!X37="実績報告（２次）",表紙!X37="交付申請兼実績報告"),DATE(IF(N66=5,2023,IF(N66=6,2024)),O66,P66)&lt;DATE(2023,10,1)),0,
MIN(K66,L66))))</f>
        <v/>
      </c>
      <c r="N66" s="725"/>
      <c r="O66" s="725"/>
      <c r="P66" s="725"/>
      <c r="Q66" s="488" t="str">
        <f xml:space="preserve">
IF(AL66&lt;&gt;"◎","",
IF(AND(表紙!X37="実績報告（１次）",DATE(IF(N66=5,2023,IF(N66=6,2024)),O66,P66)&lt;DATE(2023,5,8)),0,
IF(AND(OR(表紙!X37="実績報告（２次）",表紙!X37="交付申請兼実績報告"),DATE(IF(N66=5,2023,IF(N66=6,2024)),O66,P66)&lt;DATE(2023,10,1)),0,
G66*H66)))</f>
        <v/>
      </c>
      <c r="R66" s="724" t="str">
        <f xml:space="preserve">
IF(表紙!$X$2="事前協議","－",
IF(表紙!$X$2="交付申請（２次）","－",
IF(表紙!$X$2="変更申請","－",
IF(AND(OR(表紙!$X$2="実績報告（１次）",表紙!$X$2="実績報告（２次）",表紙!$X$2="交付申請兼実績報告"),AL66="◎"),COUNTIF($AL$30:AL66,"◎"),""))))</f>
        <v/>
      </c>
      <c r="S66" s="489" t="str">
        <f t="shared" si="14"/>
        <v/>
      </c>
      <c r="T66" s="765" t="str">
        <f t="shared" si="15"/>
        <v/>
      </c>
      <c r="U66" s="596" t="str">
        <f t="shared" si="10"/>
        <v/>
      </c>
      <c r="V66" s="787" t="str">
        <f t="shared" si="4"/>
        <v/>
      </c>
      <c r="W66" s="787" t="str">
        <f t="shared" si="5"/>
        <v/>
      </c>
      <c r="X66" s="787" t="str">
        <f t="shared" si="6"/>
        <v/>
      </c>
      <c r="Y66" s="491" t="str">
        <f t="shared" si="7"/>
        <v/>
      </c>
      <c r="AJ66" s="461" t="s">
        <v>466</v>
      </c>
      <c r="AK66" s="490">
        <v>54</v>
      </c>
      <c r="AL66" s="460" t="str">
        <f t="shared" si="16"/>
        <v>○</v>
      </c>
      <c r="AM66" s="468" t="str">
        <f t="shared" si="17"/>
        <v>申請しない場合は入力不要です。</v>
      </c>
      <c r="AO66" s="468">
        <f t="shared" si="0"/>
        <v>0</v>
      </c>
    </row>
    <row r="67" spans="1:41" ht="20.100000000000001" customHeight="1">
      <c r="A67" s="485">
        <v>55</v>
      </c>
      <c r="B67" s="205"/>
      <c r="C67" s="206"/>
      <c r="D67" s="1889"/>
      <c r="E67" s="1890"/>
      <c r="F67" s="1891"/>
      <c r="G67" s="207"/>
      <c r="H67" s="207"/>
      <c r="I67" s="208"/>
      <c r="J67" s="486">
        <f t="shared" si="1"/>
        <v>0</v>
      </c>
      <c r="K67" s="487">
        <f t="shared" si="2"/>
        <v>0</v>
      </c>
      <c r="L67" s="487" t="str">
        <f t="shared" si="13"/>
        <v/>
      </c>
      <c r="M67" s="487" t="str">
        <f xml:space="preserve">
IF(AL67&lt;&gt;"◎","",
IF(AND(表紙!X38="実績報告（１次）",DATE(IF(N67=5,2023,IF(N67=6,2024)),O67,P67)&lt;DATE(2023,5,8)),0,
IF(AND(OR(表紙!X38="実績報告（２次）",表紙!X38="交付申請兼実績報告"),DATE(IF(N67=5,2023,IF(N67=6,2024)),O67,P67)&lt;DATE(2023,10,1)),0,
MIN(K67,L67))))</f>
        <v/>
      </c>
      <c r="N67" s="725"/>
      <c r="O67" s="725"/>
      <c r="P67" s="725"/>
      <c r="Q67" s="488" t="str">
        <f xml:space="preserve">
IF(AL67&lt;&gt;"◎","",
IF(AND(表紙!X38="実績報告（１次）",DATE(IF(N67=5,2023,IF(N67=6,2024)),O67,P67)&lt;DATE(2023,5,8)),0,
IF(AND(OR(表紙!X38="実績報告（２次）",表紙!X38="交付申請兼実績報告"),DATE(IF(N67=5,2023,IF(N67=6,2024)),O67,P67)&lt;DATE(2023,10,1)),0,
G67*H67)))</f>
        <v/>
      </c>
      <c r="R67" s="724" t="str">
        <f xml:space="preserve">
IF(表紙!$X$2="事前協議","－",
IF(表紙!$X$2="交付申請（２次）","－",
IF(表紙!$X$2="変更申請","－",
IF(AND(OR(表紙!$X$2="実績報告（１次）",表紙!$X$2="実績報告（２次）",表紙!$X$2="交付申請兼実績報告"),AL67="◎"),COUNTIF($AL$30:AL67,"◎"),""))))</f>
        <v/>
      </c>
      <c r="S67" s="489" t="str">
        <f t="shared" si="14"/>
        <v/>
      </c>
      <c r="T67" s="765" t="str">
        <f t="shared" si="15"/>
        <v/>
      </c>
      <c r="U67" s="596" t="str">
        <f t="shared" si="10"/>
        <v/>
      </c>
      <c r="V67" s="787" t="str">
        <f t="shared" si="4"/>
        <v/>
      </c>
      <c r="W67" s="787" t="str">
        <f t="shared" si="5"/>
        <v/>
      </c>
      <c r="X67" s="787" t="str">
        <f t="shared" si="6"/>
        <v/>
      </c>
      <c r="Y67" s="491" t="str">
        <f t="shared" si="7"/>
        <v/>
      </c>
      <c r="AJ67" s="461" t="s">
        <v>466</v>
      </c>
      <c r="AK67" s="490">
        <v>55</v>
      </c>
      <c r="AL67" s="460" t="str">
        <f t="shared" si="16"/>
        <v>○</v>
      </c>
      <c r="AM67" s="468" t="str">
        <f t="shared" si="17"/>
        <v>申請しない場合は入力不要です。</v>
      </c>
      <c r="AO67" s="468">
        <f t="shared" si="0"/>
        <v>0</v>
      </c>
    </row>
    <row r="68" spans="1:41" ht="20.100000000000001" customHeight="1">
      <c r="A68" s="485">
        <v>56</v>
      </c>
      <c r="B68" s="205"/>
      <c r="C68" s="206"/>
      <c r="D68" s="1889"/>
      <c r="E68" s="1890"/>
      <c r="F68" s="1891"/>
      <c r="G68" s="207"/>
      <c r="H68" s="207"/>
      <c r="I68" s="208"/>
      <c r="J68" s="486">
        <f t="shared" si="1"/>
        <v>0</v>
      </c>
      <c r="K68" s="487">
        <f t="shared" si="2"/>
        <v>0</v>
      </c>
      <c r="L68" s="487" t="str">
        <f t="shared" si="13"/>
        <v/>
      </c>
      <c r="M68" s="487" t="str">
        <f xml:space="preserve">
IF(AL68&lt;&gt;"◎","",
IF(AND(表紙!X39="実績報告（１次）",DATE(IF(N68=5,2023,IF(N68=6,2024)),O68,P68)&lt;DATE(2023,5,8)),0,
IF(AND(OR(表紙!X39="実績報告（２次）",表紙!X39="交付申請兼実績報告"),DATE(IF(N68=5,2023,IF(N68=6,2024)),O68,P68)&lt;DATE(2023,10,1)),0,
MIN(K68,L68))))</f>
        <v/>
      </c>
      <c r="N68" s="725"/>
      <c r="O68" s="725"/>
      <c r="P68" s="725"/>
      <c r="Q68" s="488" t="str">
        <f xml:space="preserve">
IF(AL68&lt;&gt;"◎","",
IF(AND(表紙!X39="実績報告（１次）",DATE(IF(N68=5,2023,IF(N68=6,2024)),O68,P68)&lt;DATE(2023,5,8)),0,
IF(AND(OR(表紙!X39="実績報告（２次）",表紙!X39="交付申請兼実績報告"),DATE(IF(N68=5,2023,IF(N68=6,2024)),O68,P68)&lt;DATE(2023,10,1)),0,
G68*H68)))</f>
        <v/>
      </c>
      <c r="R68" s="724" t="str">
        <f xml:space="preserve">
IF(表紙!$X$2="事前協議","－",
IF(表紙!$X$2="交付申請（２次）","－",
IF(表紙!$X$2="変更申請","－",
IF(AND(OR(表紙!$X$2="実績報告（１次）",表紙!$X$2="実績報告（２次）",表紙!$X$2="交付申請兼実績報告"),AL68="◎"),COUNTIF($AL$30:AL68,"◎"),""))))</f>
        <v/>
      </c>
      <c r="S68" s="489" t="str">
        <f t="shared" si="14"/>
        <v/>
      </c>
      <c r="T68" s="765" t="str">
        <f t="shared" si="15"/>
        <v/>
      </c>
      <c r="U68" s="596" t="str">
        <f t="shared" si="10"/>
        <v/>
      </c>
      <c r="V68" s="787" t="str">
        <f t="shared" si="4"/>
        <v/>
      </c>
      <c r="W68" s="787" t="str">
        <f t="shared" si="5"/>
        <v/>
      </c>
      <c r="X68" s="787" t="str">
        <f t="shared" si="6"/>
        <v/>
      </c>
      <c r="Y68" s="491" t="str">
        <f t="shared" si="7"/>
        <v/>
      </c>
      <c r="AJ68" s="461" t="s">
        <v>466</v>
      </c>
      <c r="AK68" s="490">
        <v>56</v>
      </c>
      <c r="AL68" s="460" t="str">
        <f t="shared" si="16"/>
        <v>○</v>
      </c>
      <c r="AM68" s="468" t="str">
        <f t="shared" si="17"/>
        <v>申請しない場合は入力不要です。</v>
      </c>
      <c r="AO68" s="468">
        <f t="shared" si="0"/>
        <v>0</v>
      </c>
    </row>
    <row r="69" spans="1:41" ht="20.100000000000001" customHeight="1">
      <c r="A69" s="485">
        <v>57</v>
      </c>
      <c r="B69" s="205"/>
      <c r="C69" s="206"/>
      <c r="D69" s="1889"/>
      <c r="E69" s="1890"/>
      <c r="F69" s="1891"/>
      <c r="G69" s="207"/>
      <c r="H69" s="207"/>
      <c r="I69" s="208"/>
      <c r="J69" s="486">
        <f t="shared" si="1"/>
        <v>0</v>
      </c>
      <c r="K69" s="487">
        <f t="shared" si="2"/>
        <v>0</v>
      </c>
      <c r="L69" s="487" t="str">
        <f t="shared" si="13"/>
        <v/>
      </c>
      <c r="M69" s="487" t="str">
        <f xml:space="preserve">
IF(AL69&lt;&gt;"◎","",
IF(AND(表紙!X40="実績報告（１次）",DATE(IF(N69=5,2023,IF(N69=6,2024)),O69,P69)&lt;DATE(2023,5,8)),0,
IF(AND(OR(表紙!X40="実績報告（２次）",表紙!X40="交付申請兼実績報告"),DATE(IF(N69=5,2023,IF(N69=6,2024)),O69,P69)&lt;DATE(2023,10,1)),0,
MIN(K69,L69))))</f>
        <v/>
      </c>
      <c r="N69" s="725"/>
      <c r="O69" s="725"/>
      <c r="P69" s="725"/>
      <c r="Q69" s="488" t="str">
        <f xml:space="preserve">
IF(AL69&lt;&gt;"◎","",
IF(AND(表紙!X40="実績報告（１次）",DATE(IF(N69=5,2023,IF(N69=6,2024)),O69,P69)&lt;DATE(2023,5,8)),0,
IF(AND(OR(表紙!X40="実績報告（２次）",表紙!X40="交付申請兼実績報告"),DATE(IF(N69=5,2023,IF(N69=6,2024)),O69,P69)&lt;DATE(2023,10,1)),0,
G69*H69)))</f>
        <v/>
      </c>
      <c r="R69" s="724" t="str">
        <f xml:space="preserve">
IF(表紙!$X$2="事前協議","－",
IF(表紙!$X$2="交付申請（２次）","－",
IF(表紙!$X$2="変更申請","－",
IF(AND(OR(表紙!$X$2="実績報告（１次）",表紙!$X$2="実績報告（２次）",表紙!$X$2="交付申請兼実績報告"),AL69="◎"),COUNTIF($AL$30:AL69,"◎"),""))))</f>
        <v/>
      </c>
      <c r="S69" s="489" t="str">
        <f t="shared" si="14"/>
        <v/>
      </c>
      <c r="T69" s="765" t="str">
        <f t="shared" si="15"/>
        <v/>
      </c>
      <c r="U69" s="596" t="str">
        <f t="shared" si="10"/>
        <v/>
      </c>
      <c r="V69" s="787" t="str">
        <f t="shared" si="4"/>
        <v/>
      </c>
      <c r="W69" s="787" t="str">
        <f t="shared" si="5"/>
        <v/>
      </c>
      <c r="X69" s="787" t="str">
        <f t="shared" si="6"/>
        <v/>
      </c>
      <c r="Y69" s="491" t="str">
        <f t="shared" si="7"/>
        <v/>
      </c>
      <c r="AJ69" s="461" t="s">
        <v>466</v>
      </c>
      <c r="AK69" s="490">
        <v>57</v>
      </c>
      <c r="AL69" s="460" t="str">
        <f t="shared" si="16"/>
        <v>○</v>
      </c>
      <c r="AM69" s="468" t="str">
        <f t="shared" si="17"/>
        <v>申請しない場合は入力不要です。</v>
      </c>
      <c r="AO69" s="468">
        <f t="shared" si="0"/>
        <v>0</v>
      </c>
    </row>
    <row r="70" spans="1:41" ht="20.100000000000001" customHeight="1">
      <c r="A70" s="485">
        <v>58</v>
      </c>
      <c r="B70" s="205"/>
      <c r="C70" s="206"/>
      <c r="D70" s="1889"/>
      <c r="E70" s="1890"/>
      <c r="F70" s="1891"/>
      <c r="G70" s="207"/>
      <c r="H70" s="207"/>
      <c r="I70" s="208"/>
      <c r="J70" s="486">
        <f t="shared" si="1"/>
        <v>0</v>
      </c>
      <c r="K70" s="487">
        <f t="shared" si="2"/>
        <v>0</v>
      </c>
      <c r="L70" s="487" t="str">
        <f t="shared" si="13"/>
        <v/>
      </c>
      <c r="M70" s="487" t="str">
        <f xml:space="preserve">
IF(AL70&lt;&gt;"◎","",
IF(AND(表紙!X41="実績報告（１次）",DATE(IF(N70=5,2023,IF(N70=6,2024)),O70,P70)&lt;DATE(2023,5,8)),0,
IF(AND(OR(表紙!X41="実績報告（２次）",表紙!X41="交付申請兼実績報告"),DATE(IF(N70=5,2023,IF(N70=6,2024)),O70,P70)&lt;DATE(2023,10,1)),0,
MIN(K70,L70))))</f>
        <v/>
      </c>
      <c r="N70" s="725"/>
      <c r="O70" s="725"/>
      <c r="P70" s="725"/>
      <c r="Q70" s="488" t="str">
        <f xml:space="preserve">
IF(AL70&lt;&gt;"◎","",
IF(AND(表紙!X41="実績報告（１次）",DATE(IF(N70=5,2023,IF(N70=6,2024)),O70,P70)&lt;DATE(2023,5,8)),0,
IF(AND(OR(表紙!X41="実績報告（２次）",表紙!X41="交付申請兼実績報告"),DATE(IF(N70=5,2023,IF(N70=6,2024)),O70,P70)&lt;DATE(2023,10,1)),0,
G70*H70)))</f>
        <v/>
      </c>
      <c r="R70" s="724" t="str">
        <f xml:space="preserve">
IF(表紙!$X$2="事前協議","－",
IF(表紙!$X$2="交付申請（２次）","－",
IF(表紙!$X$2="変更申請","－",
IF(AND(OR(表紙!$X$2="実績報告（１次）",表紙!$X$2="実績報告（２次）",表紙!$X$2="交付申請兼実績報告"),AL70="◎"),COUNTIF($AL$30:AL70,"◎"),""))))</f>
        <v/>
      </c>
      <c r="S70" s="489" t="str">
        <f t="shared" si="14"/>
        <v/>
      </c>
      <c r="T70" s="765" t="str">
        <f t="shared" si="15"/>
        <v/>
      </c>
      <c r="U70" s="596" t="str">
        <f t="shared" si="10"/>
        <v/>
      </c>
      <c r="V70" s="787" t="str">
        <f t="shared" si="4"/>
        <v/>
      </c>
      <c r="W70" s="787" t="str">
        <f t="shared" si="5"/>
        <v/>
      </c>
      <c r="X70" s="787" t="str">
        <f t="shared" si="6"/>
        <v/>
      </c>
      <c r="Y70" s="491" t="str">
        <f t="shared" si="7"/>
        <v/>
      </c>
      <c r="AJ70" s="461" t="s">
        <v>466</v>
      </c>
      <c r="AK70" s="490">
        <v>58</v>
      </c>
      <c r="AL70" s="460" t="str">
        <f t="shared" si="16"/>
        <v>○</v>
      </c>
      <c r="AM70" s="468" t="str">
        <f t="shared" si="17"/>
        <v>申請しない場合は入力不要です。</v>
      </c>
      <c r="AO70" s="468">
        <f t="shared" si="0"/>
        <v>0</v>
      </c>
    </row>
    <row r="71" spans="1:41" ht="20.100000000000001" customHeight="1">
      <c r="A71" s="485">
        <v>59</v>
      </c>
      <c r="B71" s="205"/>
      <c r="C71" s="206"/>
      <c r="D71" s="1889"/>
      <c r="E71" s="1890"/>
      <c r="F71" s="1891"/>
      <c r="G71" s="207"/>
      <c r="H71" s="207"/>
      <c r="I71" s="208"/>
      <c r="J71" s="486">
        <f t="shared" si="1"/>
        <v>0</v>
      </c>
      <c r="K71" s="487">
        <f t="shared" si="2"/>
        <v>0</v>
      </c>
      <c r="L71" s="487" t="str">
        <f t="shared" si="13"/>
        <v/>
      </c>
      <c r="M71" s="487" t="str">
        <f xml:space="preserve">
IF(AL71&lt;&gt;"◎","",
IF(AND(表紙!X42="実績報告（１次）",DATE(IF(N71=5,2023,IF(N71=6,2024)),O71,P71)&lt;DATE(2023,5,8)),0,
IF(AND(OR(表紙!X42="実績報告（２次）",表紙!X42="交付申請兼実績報告"),DATE(IF(N71=5,2023,IF(N71=6,2024)),O71,P71)&lt;DATE(2023,10,1)),0,
MIN(K71,L71))))</f>
        <v/>
      </c>
      <c r="N71" s="725"/>
      <c r="O71" s="725"/>
      <c r="P71" s="725"/>
      <c r="Q71" s="488" t="str">
        <f xml:space="preserve">
IF(AL71&lt;&gt;"◎","",
IF(AND(表紙!X42="実績報告（１次）",DATE(IF(N71=5,2023,IF(N71=6,2024)),O71,P71)&lt;DATE(2023,5,8)),0,
IF(AND(OR(表紙!X42="実績報告（２次）",表紙!X42="交付申請兼実績報告"),DATE(IF(N71=5,2023,IF(N71=6,2024)),O71,P71)&lt;DATE(2023,10,1)),0,
G71*H71)))</f>
        <v/>
      </c>
      <c r="R71" s="724" t="str">
        <f xml:space="preserve">
IF(表紙!$X$2="事前協議","－",
IF(表紙!$X$2="交付申請（２次）","－",
IF(表紙!$X$2="変更申請","－",
IF(AND(OR(表紙!$X$2="実績報告（１次）",表紙!$X$2="実績報告（２次）",表紙!$X$2="交付申請兼実績報告"),AL71="◎"),COUNTIF($AL$30:AL71,"◎"),""))))</f>
        <v/>
      </c>
      <c r="S71" s="489" t="str">
        <f t="shared" si="14"/>
        <v/>
      </c>
      <c r="T71" s="765" t="str">
        <f t="shared" si="15"/>
        <v/>
      </c>
      <c r="U71" s="596" t="str">
        <f t="shared" si="10"/>
        <v/>
      </c>
      <c r="V71" s="787" t="str">
        <f t="shared" si="4"/>
        <v/>
      </c>
      <c r="W71" s="787" t="str">
        <f t="shared" si="5"/>
        <v/>
      </c>
      <c r="X71" s="787" t="str">
        <f t="shared" si="6"/>
        <v/>
      </c>
      <c r="Y71" s="491" t="str">
        <f t="shared" si="7"/>
        <v/>
      </c>
      <c r="AJ71" s="461" t="s">
        <v>466</v>
      </c>
      <c r="AK71" s="490">
        <v>59</v>
      </c>
      <c r="AL71" s="460" t="str">
        <f t="shared" si="16"/>
        <v>○</v>
      </c>
      <c r="AM71" s="468" t="str">
        <f t="shared" si="17"/>
        <v>申請しない場合は入力不要です。</v>
      </c>
      <c r="AO71" s="468">
        <f t="shared" si="0"/>
        <v>0</v>
      </c>
    </row>
    <row r="72" spans="1:41" ht="20.100000000000001" customHeight="1">
      <c r="A72" s="485">
        <v>60</v>
      </c>
      <c r="B72" s="205"/>
      <c r="C72" s="206"/>
      <c r="D72" s="1889"/>
      <c r="E72" s="1890"/>
      <c r="F72" s="1891"/>
      <c r="G72" s="207"/>
      <c r="H72" s="207"/>
      <c r="I72" s="208"/>
      <c r="J72" s="486">
        <f t="shared" si="1"/>
        <v>0</v>
      </c>
      <c r="K72" s="487">
        <f t="shared" si="2"/>
        <v>0</v>
      </c>
      <c r="L72" s="487" t="str">
        <f t="shared" si="13"/>
        <v/>
      </c>
      <c r="M72" s="487" t="str">
        <f xml:space="preserve">
IF(AL72&lt;&gt;"◎","",
IF(AND(表紙!X43="実績報告（１次）",DATE(IF(N72=5,2023,IF(N72=6,2024)),O72,P72)&lt;DATE(2023,5,8)),0,
IF(AND(OR(表紙!X43="実績報告（２次）",表紙!X43="交付申請兼実績報告"),DATE(IF(N72=5,2023,IF(N72=6,2024)),O72,P72)&lt;DATE(2023,10,1)),0,
MIN(K72,L72))))</f>
        <v/>
      </c>
      <c r="N72" s="725"/>
      <c r="O72" s="725"/>
      <c r="P72" s="725"/>
      <c r="Q72" s="488" t="str">
        <f xml:space="preserve">
IF(AL72&lt;&gt;"◎","",
IF(AND(表紙!X43="実績報告（１次）",DATE(IF(N72=5,2023,IF(N72=6,2024)),O72,P72)&lt;DATE(2023,5,8)),0,
IF(AND(OR(表紙!X43="実績報告（２次）",表紙!X43="交付申請兼実績報告"),DATE(IF(N72=5,2023,IF(N72=6,2024)),O72,P72)&lt;DATE(2023,10,1)),0,
G72*H72)))</f>
        <v/>
      </c>
      <c r="R72" s="724" t="str">
        <f xml:space="preserve">
IF(表紙!$X$2="事前協議","－",
IF(表紙!$X$2="交付申請（２次）","－",
IF(表紙!$X$2="変更申請","－",
IF(AND(OR(表紙!$X$2="実績報告（１次）",表紙!$X$2="実績報告（２次）",表紙!$X$2="交付申請兼実績報告"),AL72="◎"),COUNTIF($AL$30:AL72,"◎"),""))))</f>
        <v/>
      </c>
      <c r="S72" s="489" t="str">
        <f t="shared" si="14"/>
        <v/>
      </c>
      <c r="T72" s="765" t="str">
        <f t="shared" si="15"/>
        <v/>
      </c>
      <c r="U72" s="596" t="str">
        <f t="shared" si="10"/>
        <v/>
      </c>
      <c r="V72" s="787" t="str">
        <f t="shared" si="4"/>
        <v/>
      </c>
      <c r="W72" s="787" t="str">
        <f t="shared" si="5"/>
        <v/>
      </c>
      <c r="X72" s="787" t="str">
        <f t="shared" si="6"/>
        <v/>
      </c>
      <c r="Y72" s="491" t="str">
        <f t="shared" si="7"/>
        <v/>
      </c>
      <c r="AJ72" s="461" t="s">
        <v>466</v>
      </c>
      <c r="AK72" s="490">
        <v>60</v>
      </c>
      <c r="AL72" s="460" t="str">
        <f t="shared" si="16"/>
        <v>○</v>
      </c>
      <c r="AM72" s="468" t="str">
        <f t="shared" si="17"/>
        <v>申請しない場合は入力不要です。</v>
      </c>
      <c r="AO72" s="468">
        <f t="shared" si="0"/>
        <v>0</v>
      </c>
    </row>
    <row r="73" spans="1:41" ht="20.100000000000001" customHeight="1">
      <c r="A73" s="485">
        <v>61</v>
      </c>
      <c r="B73" s="205"/>
      <c r="C73" s="206"/>
      <c r="D73" s="1889"/>
      <c r="E73" s="1890"/>
      <c r="F73" s="1891"/>
      <c r="G73" s="207"/>
      <c r="H73" s="207"/>
      <c r="I73" s="208"/>
      <c r="J73" s="486">
        <f t="shared" si="1"/>
        <v>0</v>
      </c>
      <c r="K73" s="487">
        <f t="shared" si="2"/>
        <v>0</v>
      </c>
      <c r="L73" s="487" t="str">
        <f t="shared" si="13"/>
        <v/>
      </c>
      <c r="M73" s="487" t="str">
        <f xml:space="preserve">
IF(AL73&lt;&gt;"◎","",
IF(AND(表紙!X44="実績報告（１次）",DATE(IF(N73=5,2023,IF(N73=6,2024)),O73,P73)&lt;DATE(2023,5,8)),0,
IF(AND(OR(表紙!X44="実績報告（２次）",表紙!X44="交付申請兼実績報告"),DATE(IF(N73=5,2023,IF(N73=6,2024)),O73,P73)&lt;DATE(2023,10,1)),0,
MIN(K73,L73))))</f>
        <v/>
      </c>
      <c r="N73" s="725"/>
      <c r="O73" s="725"/>
      <c r="P73" s="725"/>
      <c r="Q73" s="488" t="str">
        <f xml:space="preserve">
IF(AL73&lt;&gt;"◎","",
IF(AND(表紙!X44="実績報告（１次）",DATE(IF(N73=5,2023,IF(N73=6,2024)),O73,P73)&lt;DATE(2023,5,8)),0,
IF(AND(OR(表紙!X44="実績報告（２次）",表紙!X44="交付申請兼実績報告"),DATE(IF(N73=5,2023,IF(N73=6,2024)),O73,P73)&lt;DATE(2023,10,1)),0,
G73*H73)))</f>
        <v/>
      </c>
      <c r="R73" s="724" t="str">
        <f xml:space="preserve">
IF(表紙!$X$2="事前協議","－",
IF(表紙!$X$2="交付申請（２次）","－",
IF(表紙!$X$2="変更申請","－",
IF(AND(OR(表紙!$X$2="実績報告（１次）",表紙!$X$2="実績報告（２次）",表紙!$X$2="交付申請兼実績報告"),AL73="◎"),COUNTIF($AL$30:AL73,"◎"),""))))</f>
        <v/>
      </c>
      <c r="S73" s="489" t="str">
        <f t="shared" si="14"/>
        <v/>
      </c>
      <c r="T73" s="765" t="str">
        <f t="shared" si="15"/>
        <v/>
      </c>
      <c r="U73" s="596" t="str">
        <f t="shared" si="10"/>
        <v/>
      </c>
      <c r="V73" s="787" t="str">
        <f t="shared" si="4"/>
        <v/>
      </c>
      <c r="W73" s="787" t="str">
        <f t="shared" si="5"/>
        <v/>
      </c>
      <c r="X73" s="787" t="str">
        <f t="shared" si="6"/>
        <v/>
      </c>
      <c r="Y73" s="491" t="str">
        <f t="shared" si="7"/>
        <v/>
      </c>
      <c r="AJ73" s="461" t="s">
        <v>466</v>
      </c>
      <c r="AK73" s="490">
        <v>61</v>
      </c>
      <c r="AL73" s="460" t="str">
        <f t="shared" si="16"/>
        <v>○</v>
      </c>
      <c r="AM73" s="468" t="str">
        <f t="shared" si="17"/>
        <v>申請しない場合は入力不要です。</v>
      </c>
      <c r="AO73" s="468">
        <f t="shared" si="0"/>
        <v>0</v>
      </c>
    </row>
    <row r="74" spans="1:41" ht="20.100000000000001" customHeight="1">
      <c r="A74" s="485">
        <v>62</v>
      </c>
      <c r="B74" s="205"/>
      <c r="C74" s="206"/>
      <c r="D74" s="1889"/>
      <c r="E74" s="1890"/>
      <c r="F74" s="1891"/>
      <c r="G74" s="207"/>
      <c r="H74" s="207"/>
      <c r="I74" s="208"/>
      <c r="J74" s="486">
        <f t="shared" si="1"/>
        <v>0</v>
      </c>
      <c r="K74" s="487">
        <f t="shared" si="2"/>
        <v>0</v>
      </c>
      <c r="L74" s="487" t="str">
        <f t="shared" si="13"/>
        <v/>
      </c>
      <c r="M74" s="487" t="str">
        <f xml:space="preserve">
IF(AL74&lt;&gt;"◎","",
IF(AND(表紙!X45="実績報告（１次）",DATE(IF(N74=5,2023,IF(N74=6,2024)),O74,P74)&lt;DATE(2023,5,8)),0,
IF(AND(OR(表紙!X45="実績報告（２次）",表紙!X45="交付申請兼実績報告"),DATE(IF(N74=5,2023,IF(N74=6,2024)),O74,P74)&lt;DATE(2023,10,1)),0,
MIN(K74,L74))))</f>
        <v/>
      </c>
      <c r="N74" s="725"/>
      <c r="O74" s="725"/>
      <c r="P74" s="725"/>
      <c r="Q74" s="488" t="str">
        <f xml:space="preserve">
IF(AL74&lt;&gt;"◎","",
IF(AND(表紙!X45="実績報告（１次）",DATE(IF(N74=5,2023,IF(N74=6,2024)),O74,P74)&lt;DATE(2023,5,8)),0,
IF(AND(OR(表紙!X45="実績報告（２次）",表紙!X45="交付申請兼実績報告"),DATE(IF(N74=5,2023,IF(N74=6,2024)),O74,P74)&lt;DATE(2023,10,1)),0,
G74*H74)))</f>
        <v/>
      </c>
      <c r="R74" s="724" t="str">
        <f xml:space="preserve">
IF(表紙!$X$2="事前協議","－",
IF(表紙!$X$2="交付申請（２次）","－",
IF(表紙!$X$2="変更申請","－",
IF(AND(OR(表紙!$X$2="実績報告（１次）",表紙!$X$2="実績報告（２次）",表紙!$X$2="交付申請兼実績報告"),AL74="◎"),COUNTIF($AL$30:AL74,"◎"),""))))</f>
        <v/>
      </c>
      <c r="S74" s="489" t="str">
        <f t="shared" si="14"/>
        <v/>
      </c>
      <c r="T74" s="765" t="str">
        <f t="shared" si="15"/>
        <v/>
      </c>
      <c r="U74" s="596" t="str">
        <f t="shared" si="10"/>
        <v/>
      </c>
      <c r="V74" s="787" t="str">
        <f t="shared" si="4"/>
        <v/>
      </c>
      <c r="W74" s="787" t="str">
        <f t="shared" si="5"/>
        <v/>
      </c>
      <c r="X74" s="787" t="str">
        <f t="shared" si="6"/>
        <v/>
      </c>
      <c r="Y74" s="491" t="str">
        <f t="shared" si="7"/>
        <v/>
      </c>
      <c r="AJ74" s="461" t="s">
        <v>466</v>
      </c>
      <c r="AK74" s="490">
        <v>62</v>
      </c>
      <c r="AL74" s="460" t="str">
        <f t="shared" si="16"/>
        <v>○</v>
      </c>
      <c r="AM74" s="468" t="str">
        <f t="shared" si="17"/>
        <v>申請しない場合は入力不要です。</v>
      </c>
      <c r="AO74" s="468">
        <f t="shared" si="0"/>
        <v>0</v>
      </c>
    </row>
    <row r="75" spans="1:41" ht="20.100000000000001" customHeight="1">
      <c r="A75" s="485">
        <v>63</v>
      </c>
      <c r="B75" s="205"/>
      <c r="C75" s="206"/>
      <c r="D75" s="1889"/>
      <c r="E75" s="1890"/>
      <c r="F75" s="1891"/>
      <c r="G75" s="207"/>
      <c r="H75" s="207"/>
      <c r="I75" s="208"/>
      <c r="J75" s="486">
        <f t="shared" si="1"/>
        <v>0</v>
      </c>
      <c r="K75" s="487">
        <f t="shared" si="2"/>
        <v>0</v>
      </c>
      <c r="L75" s="487" t="str">
        <f t="shared" si="13"/>
        <v/>
      </c>
      <c r="M75" s="487" t="str">
        <f xml:space="preserve">
IF(AL75&lt;&gt;"◎","",
IF(AND(表紙!X46="実績報告（１次）",DATE(IF(N75=5,2023,IF(N75=6,2024)),O75,P75)&lt;DATE(2023,5,8)),0,
IF(AND(OR(表紙!X46="実績報告（２次）",表紙!X46="交付申請兼実績報告"),DATE(IF(N75=5,2023,IF(N75=6,2024)),O75,P75)&lt;DATE(2023,10,1)),0,
MIN(K75,L75))))</f>
        <v/>
      </c>
      <c r="N75" s="725"/>
      <c r="O75" s="725"/>
      <c r="P75" s="725"/>
      <c r="Q75" s="488" t="str">
        <f xml:space="preserve">
IF(AL75&lt;&gt;"◎","",
IF(AND(表紙!X46="実績報告（１次）",DATE(IF(N75=5,2023,IF(N75=6,2024)),O75,P75)&lt;DATE(2023,5,8)),0,
IF(AND(OR(表紙!X46="実績報告（２次）",表紙!X46="交付申請兼実績報告"),DATE(IF(N75=5,2023,IF(N75=6,2024)),O75,P75)&lt;DATE(2023,10,1)),0,
G75*H75)))</f>
        <v/>
      </c>
      <c r="R75" s="724" t="str">
        <f xml:space="preserve">
IF(表紙!$X$2="事前協議","－",
IF(表紙!$X$2="交付申請（２次）","－",
IF(表紙!$X$2="変更申請","－",
IF(AND(OR(表紙!$X$2="実績報告（１次）",表紙!$X$2="実績報告（２次）",表紙!$X$2="交付申請兼実績報告"),AL75="◎"),COUNTIF($AL$30:AL75,"◎"),""))))</f>
        <v/>
      </c>
      <c r="S75" s="489" t="str">
        <f t="shared" si="14"/>
        <v/>
      </c>
      <c r="T75" s="765" t="str">
        <f t="shared" si="15"/>
        <v/>
      </c>
      <c r="U75" s="596" t="str">
        <f t="shared" si="10"/>
        <v/>
      </c>
      <c r="V75" s="787" t="str">
        <f t="shared" si="4"/>
        <v/>
      </c>
      <c r="W75" s="787" t="str">
        <f t="shared" si="5"/>
        <v/>
      </c>
      <c r="X75" s="787" t="str">
        <f t="shared" si="6"/>
        <v/>
      </c>
      <c r="Y75" s="491" t="str">
        <f t="shared" si="7"/>
        <v/>
      </c>
      <c r="AJ75" s="461" t="s">
        <v>466</v>
      </c>
      <c r="AK75" s="490">
        <v>63</v>
      </c>
      <c r="AL75" s="460" t="str">
        <f t="shared" si="16"/>
        <v>○</v>
      </c>
      <c r="AM75" s="468" t="str">
        <f t="shared" si="17"/>
        <v>申請しない場合は入力不要です。</v>
      </c>
      <c r="AO75" s="468">
        <f t="shared" si="0"/>
        <v>0</v>
      </c>
    </row>
    <row r="76" spans="1:41" ht="20.100000000000001" customHeight="1">
      <c r="A76" s="485">
        <v>64</v>
      </c>
      <c r="B76" s="205"/>
      <c r="C76" s="206"/>
      <c r="D76" s="1889"/>
      <c r="E76" s="1890"/>
      <c r="F76" s="1891"/>
      <c r="G76" s="207"/>
      <c r="H76" s="207"/>
      <c r="I76" s="208"/>
      <c r="J76" s="486">
        <f t="shared" si="1"/>
        <v>0</v>
      </c>
      <c r="K76" s="487">
        <f t="shared" si="2"/>
        <v>0</v>
      </c>
      <c r="L76" s="487" t="str">
        <f t="shared" si="13"/>
        <v/>
      </c>
      <c r="M76" s="487" t="str">
        <f xml:space="preserve">
IF(AL76&lt;&gt;"◎","",
IF(AND(表紙!X47="実績報告（１次）",DATE(IF(N76=5,2023,IF(N76=6,2024)),O76,P76)&lt;DATE(2023,5,8)),0,
IF(AND(OR(表紙!X47="実績報告（２次）",表紙!X47="交付申請兼実績報告"),DATE(IF(N76=5,2023,IF(N76=6,2024)),O76,P76)&lt;DATE(2023,10,1)),0,
MIN(K76,L76))))</f>
        <v/>
      </c>
      <c r="N76" s="725"/>
      <c r="O76" s="725"/>
      <c r="P76" s="725"/>
      <c r="Q76" s="488" t="str">
        <f xml:space="preserve">
IF(AL76&lt;&gt;"◎","",
IF(AND(表紙!X47="実績報告（１次）",DATE(IF(N76=5,2023,IF(N76=6,2024)),O76,P76)&lt;DATE(2023,5,8)),0,
IF(AND(OR(表紙!X47="実績報告（２次）",表紙!X47="交付申請兼実績報告"),DATE(IF(N76=5,2023,IF(N76=6,2024)),O76,P76)&lt;DATE(2023,10,1)),0,
G76*H76)))</f>
        <v/>
      </c>
      <c r="R76" s="724" t="str">
        <f xml:space="preserve">
IF(表紙!$X$2="事前協議","－",
IF(表紙!$X$2="交付申請（２次）","－",
IF(表紙!$X$2="変更申請","－",
IF(AND(OR(表紙!$X$2="実績報告（１次）",表紙!$X$2="実績報告（２次）",表紙!$X$2="交付申請兼実績報告"),AL76="◎"),COUNTIF($AL$30:AL76,"◎"),""))))</f>
        <v/>
      </c>
      <c r="S76" s="489" t="str">
        <f t="shared" si="14"/>
        <v/>
      </c>
      <c r="T76" s="765" t="str">
        <f t="shared" si="15"/>
        <v/>
      </c>
      <c r="U76" s="596" t="str">
        <f t="shared" si="10"/>
        <v/>
      </c>
      <c r="V76" s="787" t="str">
        <f t="shared" si="4"/>
        <v/>
      </c>
      <c r="W76" s="787" t="str">
        <f t="shared" si="5"/>
        <v/>
      </c>
      <c r="X76" s="787" t="str">
        <f t="shared" si="6"/>
        <v/>
      </c>
      <c r="Y76" s="491" t="str">
        <f t="shared" si="7"/>
        <v/>
      </c>
      <c r="AJ76" s="461" t="s">
        <v>466</v>
      </c>
      <c r="AK76" s="490">
        <v>64</v>
      </c>
      <c r="AL76" s="460" t="str">
        <f t="shared" si="16"/>
        <v>○</v>
      </c>
      <c r="AM76" s="468" t="str">
        <f t="shared" si="17"/>
        <v>申請しない場合は入力不要です。</v>
      </c>
      <c r="AO76" s="468">
        <f t="shared" si="0"/>
        <v>0</v>
      </c>
    </row>
    <row r="77" spans="1:41" ht="20.100000000000001" customHeight="1">
      <c r="A77" s="485">
        <v>65</v>
      </c>
      <c r="B77" s="205"/>
      <c r="C77" s="206"/>
      <c r="D77" s="1889"/>
      <c r="E77" s="1890"/>
      <c r="F77" s="1891"/>
      <c r="G77" s="207"/>
      <c r="H77" s="207"/>
      <c r="I77" s="208"/>
      <c r="J77" s="486">
        <f t="shared" si="1"/>
        <v>0</v>
      </c>
      <c r="K77" s="487">
        <f t="shared" si="2"/>
        <v>0</v>
      </c>
      <c r="L77" s="487" t="str">
        <f t="shared" si="13"/>
        <v/>
      </c>
      <c r="M77" s="487" t="str">
        <f xml:space="preserve">
IF(AL77&lt;&gt;"◎","",
IF(AND(表紙!X48="実績報告（１次）",DATE(IF(N77=5,2023,IF(N77=6,2024)),O77,P77)&lt;DATE(2023,5,8)),0,
IF(AND(OR(表紙!X48="実績報告（２次）",表紙!X48="交付申請兼実績報告"),DATE(IF(N77=5,2023,IF(N77=6,2024)),O77,P77)&lt;DATE(2023,10,1)),0,
MIN(K77,L77))))</f>
        <v/>
      </c>
      <c r="N77" s="725"/>
      <c r="O77" s="725"/>
      <c r="P77" s="725"/>
      <c r="Q77" s="488" t="str">
        <f xml:space="preserve">
IF(AL77&lt;&gt;"◎","",
IF(AND(表紙!X48="実績報告（１次）",DATE(IF(N77=5,2023,IF(N77=6,2024)),O77,P77)&lt;DATE(2023,5,8)),0,
IF(AND(OR(表紙!X48="実績報告（２次）",表紙!X48="交付申請兼実績報告"),DATE(IF(N77=5,2023,IF(N77=6,2024)),O77,P77)&lt;DATE(2023,10,1)),0,
G77*H77)))</f>
        <v/>
      </c>
      <c r="R77" s="724" t="str">
        <f xml:space="preserve">
IF(表紙!$X$2="事前協議","－",
IF(表紙!$X$2="交付申請（２次）","－",
IF(表紙!$X$2="変更申請","－",
IF(AND(OR(表紙!$X$2="実績報告（１次）",表紙!$X$2="実績報告（２次）",表紙!$X$2="交付申請兼実績報告"),AL77="◎"),COUNTIF($AL$30:AL77,"◎"),""))))</f>
        <v/>
      </c>
      <c r="S77" s="489" t="str">
        <f t="shared" si="14"/>
        <v/>
      </c>
      <c r="T77" s="765" t="str">
        <f t="shared" si="15"/>
        <v/>
      </c>
      <c r="U77" s="596" t="str">
        <f t="shared" si="10"/>
        <v/>
      </c>
      <c r="V77" s="787" t="str">
        <f t="shared" si="4"/>
        <v/>
      </c>
      <c r="W77" s="787" t="str">
        <f t="shared" si="5"/>
        <v/>
      </c>
      <c r="X77" s="787" t="str">
        <f t="shared" si="6"/>
        <v/>
      </c>
      <c r="Y77" s="491" t="str">
        <f t="shared" si="7"/>
        <v/>
      </c>
      <c r="AJ77" s="461" t="s">
        <v>466</v>
      </c>
      <c r="AK77" s="490">
        <v>65</v>
      </c>
      <c r="AL77" s="460" t="str">
        <f t="shared" si="16"/>
        <v>○</v>
      </c>
      <c r="AM77" s="468" t="str">
        <f t="shared" si="17"/>
        <v>申請しない場合は入力不要です。</v>
      </c>
      <c r="AO77" s="468">
        <f t="shared" ref="AO77:AO112" si="18">G77*H77</f>
        <v>0</v>
      </c>
    </row>
    <row r="78" spans="1:41" ht="20.100000000000001" customHeight="1">
      <c r="A78" s="485">
        <v>66</v>
      </c>
      <c r="B78" s="205"/>
      <c r="C78" s="206"/>
      <c r="D78" s="1889"/>
      <c r="E78" s="1890"/>
      <c r="F78" s="1891"/>
      <c r="G78" s="207"/>
      <c r="H78" s="207"/>
      <c r="I78" s="208"/>
      <c r="J78" s="486">
        <f t="shared" ref="J78:J112" si="19">ROUNDDOWN(I78*1.1,0)</f>
        <v>0</v>
      </c>
      <c r="K78" s="487">
        <f t="shared" ref="K78:K112" si="20">ROUNDDOWN(H78*J78,0)</f>
        <v>0</v>
      </c>
      <c r="L78" s="487" t="str">
        <f t="shared" ref="L78:L112" si="21">IFERROR(G78*H78*VLOOKUP(C78,$AY$123:$AZ$139,2,FALSE),"")</f>
        <v/>
      </c>
      <c r="M78" s="487" t="str">
        <f xml:space="preserve">
IF(AL78&lt;&gt;"◎","",
IF(AND(表紙!X49="実績報告（１次）",DATE(IF(N78=5,2023,IF(N78=6,2024)),O78,P78)&lt;DATE(2023,5,8)),0,
IF(AND(OR(表紙!X49="実績報告（２次）",表紙!X49="交付申請兼実績報告"),DATE(IF(N78=5,2023,IF(N78=6,2024)),O78,P78)&lt;DATE(2023,10,1)),0,
MIN(K78,L78))))</f>
        <v/>
      </c>
      <c r="N78" s="725"/>
      <c r="O78" s="725"/>
      <c r="P78" s="725"/>
      <c r="Q78" s="488" t="str">
        <f xml:space="preserve">
IF(AL78&lt;&gt;"◎","",
IF(AND(表紙!X49="実績報告（１次）",DATE(IF(N78=5,2023,IF(N78=6,2024)),O78,P78)&lt;DATE(2023,5,8)),0,
IF(AND(OR(表紙!X49="実績報告（２次）",表紙!X49="交付申請兼実績報告"),DATE(IF(N78=5,2023,IF(N78=6,2024)),O78,P78)&lt;DATE(2023,10,1)),0,
G78*H78)))</f>
        <v/>
      </c>
      <c r="R78" s="724" t="str">
        <f xml:space="preserve">
IF(表紙!$X$2="事前協議","－",
IF(表紙!$X$2="交付申請（２次）","－",
IF(表紙!$X$2="変更申請","－",
IF(AND(OR(表紙!$X$2="実績報告（１次）",表紙!$X$2="実績報告（２次）",表紙!$X$2="交付申請兼実績報告"),AL78="◎"),COUNTIF($AL$30:AL78,"◎"),""))))</f>
        <v/>
      </c>
      <c r="S78" s="489" t="str">
        <f t="shared" ref="S78:S112" si="22">IFERROR(
"@"&amp;TEXT(ROUNDUP(J78/G78,0),"#,###円")&amp;
IF(ROUNDUP(J78/G78,0)&lt;VLOOKUP(C78,$AY$123:$AZ$139,2,FALSE),"&lt;",
IF(ROUNDUP(J78/G78,0)=VLOOKUP(C78,$AY$123:$AZ$139,2,FALSE),"=",
IF(ROUNDUP(J78/G78,0)&gt;VLOOKUP(C78,$AY$123:$AZ$139,2,FALSE),"&gt;")))&amp;
"上限@"&amp;TEXT(VLOOKUP(C78,$AY$123:$AZ$139,2,FALSE),"#,###円"),"")</f>
        <v/>
      </c>
      <c r="T78" s="765" t="str">
        <f t="shared" si="15"/>
        <v/>
      </c>
      <c r="U78" s="596" t="str">
        <f t="shared" si="10"/>
        <v/>
      </c>
      <c r="V78" s="787" t="str">
        <f t="shared" ref="V78:V141" si="23">IF($U78=MAX($U$13:$U$212),N78,"")</f>
        <v/>
      </c>
      <c r="W78" s="787" t="str">
        <f t="shared" ref="W78:W141" si="24">IF($U78=MAX($U$13:$U$212),O78,"")</f>
        <v/>
      </c>
      <c r="X78" s="787" t="str">
        <f t="shared" ref="X78:X141" si="25">IF($U78=MAX($U$13:$U$212),P78,"")</f>
        <v/>
      </c>
      <c r="Y78" s="491" t="str">
        <f t="shared" ref="Y78:Y141" si="26">U78&amp;
IF(OR(C78="N95マスク",C78="ハイラックマスク"),"N95マスク・ハイラックマスク",
IF(OR(C78="ニトリルグローブ",C78="プラスチックグローブ等"),"グローブ",
IF(OR(C78="アイソレーションガウン",C78="プラスチックガウン",C78="エプロン"),"ガウン",C78)))</f>
        <v/>
      </c>
      <c r="AJ78" s="461" t="s">
        <v>466</v>
      </c>
      <c r="AK78" s="490">
        <v>66</v>
      </c>
      <c r="AL78" s="460" t="str">
        <f t="shared" si="16"/>
        <v>○</v>
      </c>
      <c r="AM78" s="468" t="str">
        <f t="shared" si="17"/>
        <v>申請しない場合は入力不要です。</v>
      </c>
      <c r="AO78" s="468">
        <f t="shared" si="18"/>
        <v>0</v>
      </c>
    </row>
    <row r="79" spans="1:41" ht="20.100000000000001" customHeight="1">
      <c r="A79" s="485">
        <v>67</v>
      </c>
      <c r="B79" s="205"/>
      <c r="C79" s="206"/>
      <c r="D79" s="1889"/>
      <c r="E79" s="1890"/>
      <c r="F79" s="1891"/>
      <c r="G79" s="207"/>
      <c r="H79" s="207"/>
      <c r="I79" s="208"/>
      <c r="J79" s="486">
        <f t="shared" si="19"/>
        <v>0</v>
      </c>
      <c r="K79" s="487">
        <f t="shared" si="20"/>
        <v>0</v>
      </c>
      <c r="L79" s="487" t="str">
        <f t="shared" si="21"/>
        <v/>
      </c>
      <c r="M79" s="487" t="str">
        <f xml:space="preserve">
IF(AL79&lt;&gt;"◎","",
IF(AND(表紙!X50="実績報告（１次）",DATE(IF(N79=5,2023,IF(N79=6,2024)),O79,P79)&lt;DATE(2023,5,8)),0,
IF(AND(OR(表紙!X50="実績報告（２次）",表紙!X50="交付申請兼実績報告"),DATE(IF(N79=5,2023,IF(N79=6,2024)),O79,P79)&lt;DATE(2023,10,1)),0,
MIN(K79,L79))))</f>
        <v/>
      </c>
      <c r="N79" s="725"/>
      <c r="O79" s="725"/>
      <c r="P79" s="725"/>
      <c r="Q79" s="488" t="str">
        <f xml:space="preserve">
IF(AL79&lt;&gt;"◎","",
IF(AND(表紙!X50="実績報告（１次）",DATE(IF(N79=5,2023,IF(N79=6,2024)),O79,P79)&lt;DATE(2023,5,8)),0,
IF(AND(OR(表紙!X50="実績報告（２次）",表紙!X50="交付申請兼実績報告"),DATE(IF(N79=5,2023,IF(N79=6,2024)),O79,P79)&lt;DATE(2023,10,1)),0,
G79*H79)))</f>
        <v/>
      </c>
      <c r="R79" s="724" t="str">
        <f xml:space="preserve">
IF(表紙!$X$2="事前協議","－",
IF(表紙!$X$2="交付申請（２次）","－",
IF(表紙!$X$2="変更申請","－",
IF(AND(OR(表紙!$X$2="実績報告（１次）",表紙!$X$2="実績報告（２次）",表紙!$X$2="交付申請兼実績報告"),AL79="◎"),COUNTIF($AL$30:AL79,"◎"),""))))</f>
        <v/>
      </c>
      <c r="S79" s="489" t="str">
        <f t="shared" si="22"/>
        <v/>
      </c>
      <c r="T79" s="765" t="str">
        <f t="shared" si="15"/>
        <v/>
      </c>
      <c r="U79" s="596" t="str">
        <f t="shared" ref="U79:U112" si="27">IF(AL79="◎",DATE(IF(N79=5,2023,IF(N79=6,2024)),O79,P79),"")</f>
        <v/>
      </c>
      <c r="V79" s="787" t="str">
        <f t="shared" si="23"/>
        <v/>
      </c>
      <c r="W79" s="787" t="str">
        <f t="shared" si="24"/>
        <v/>
      </c>
      <c r="X79" s="787" t="str">
        <f t="shared" si="25"/>
        <v/>
      </c>
      <c r="Y79" s="491" t="str">
        <f t="shared" si="26"/>
        <v/>
      </c>
      <c r="AJ79" s="461" t="s">
        <v>466</v>
      </c>
      <c r="AK79" s="490">
        <v>67</v>
      </c>
      <c r="AL79" s="460" t="str">
        <f t="shared" si="16"/>
        <v>○</v>
      </c>
      <c r="AM79" s="468" t="str">
        <f t="shared" si="17"/>
        <v>申請しない場合は入力不要です。</v>
      </c>
      <c r="AO79" s="468">
        <f t="shared" si="18"/>
        <v>0</v>
      </c>
    </row>
    <row r="80" spans="1:41" ht="20.100000000000001" customHeight="1">
      <c r="A80" s="485">
        <v>68</v>
      </c>
      <c r="B80" s="205"/>
      <c r="C80" s="206"/>
      <c r="D80" s="1889"/>
      <c r="E80" s="1890"/>
      <c r="F80" s="1891"/>
      <c r="G80" s="207"/>
      <c r="H80" s="207"/>
      <c r="I80" s="208"/>
      <c r="J80" s="486">
        <f t="shared" si="19"/>
        <v>0</v>
      </c>
      <c r="K80" s="487">
        <f t="shared" si="20"/>
        <v>0</v>
      </c>
      <c r="L80" s="487" t="str">
        <f t="shared" si="21"/>
        <v/>
      </c>
      <c r="M80" s="487" t="str">
        <f xml:space="preserve">
IF(AL80&lt;&gt;"◎","",
IF(AND(表紙!X51="実績報告（１次）",DATE(IF(N80=5,2023,IF(N80=6,2024)),O80,P80)&lt;DATE(2023,5,8)),0,
IF(AND(OR(表紙!X51="実績報告（２次）",表紙!X51="交付申請兼実績報告"),DATE(IF(N80=5,2023,IF(N80=6,2024)),O80,P80)&lt;DATE(2023,10,1)),0,
MIN(K80,L80))))</f>
        <v/>
      </c>
      <c r="N80" s="725"/>
      <c r="O80" s="725"/>
      <c r="P80" s="725"/>
      <c r="Q80" s="488" t="str">
        <f xml:space="preserve">
IF(AL80&lt;&gt;"◎","",
IF(AND(表紙!X51="実績報告（１次）",DATE(IF(N80=5,2023,IF(N80=6,2024)),O80,P80)&lt;DATE(2023,5,8)),0,
IF(AND(OR(表紙!X51="実績報告（２次）",表紙!X51="交付申請兼実績報告"),DATE(IF(N80=5,2023,IF(N80=6,2024)),O80,P80)&lt;DATE(2023,10,1)),0,
G80*H80)))</f>
        <v/>
      </c>
      <c r="R80" s="724" t="str">
        <f xml:space="preserve">
IF(表紙!$X$2="事前協議","－",
IF(表紙!$X$2="交付申請（２次）","－",
IF(表紙!$X$2="変更申請","－",
IF(AND(OR(表紙!$X$2="実績報告（１次）",表紙!$X$2="実績報告（２次）",表紙!$X$2="交付申請兼実績報告"),AL80="◎"),COUNTIF($AL$30:AL80,"◎"),""))))</f>
        <v/>
      </c>
      <c r="S80" s="489" t="str">
        <f t="shared" si="22"/>
        <v/>
      </c>
      <c r="T80" s="765" t="str">
        <f t="shared" si="15"/>
        <v/>
      </c>
      <c r="U80" s="596" t="str">
        <f t="shared" si="27"/>
        <v/>
      </c>
      <c r="V80" s="787" t="str">
        <f t="shared" si="23"/>
        <v/>
      </c>
      <c r="W80" s="787" t="str">
        <f t="shared" si="24"/>
        <v/>
      </c>
      <c r="X80" s="787" t="str">
        <f t="shared" si="25"/>
        <v/>
      </c>
      <c r="Y80" s="491" t="str">
        <f t="shared" si="26"/>
        <v/>
      </c>
      <c r="AJ80" s="461" t="s">
        <v>466</v>
      </c>
      <c r="AK80" s="490">
        <v>68</v>
      </c>
      <c r="AL80" s="460" t="str">
        <f t="shared" si="16"/>
        <v>○</v>
      </c>
      <c r="AM80" s="468" t="str">
        <f t="shared" si="17"/>
        <v>申請しない場合は入力不要です。</v>
      </c>
      <c r="AO80" s="468">
        <f t="shared" si="18"/>
        <v>0</v>
      </c>
    </row>
    <row r="81" spans="1:41" ht="20.100000000000001" customHeight="1">
      <c r="A81" s="485">
        <v>69</v>
      </c>
      <c r="B81" s="205"/>
      <c r="C81" s="206"/>
      <c r="D81" s="1889"/>
      <c r="E81" s="1890"/>
      <c r="F81" s="1891"/>
      <c r="G81" s="207"/>
      <c r="H81" s="207"/>
      <c r="I81" s="208"/>
      <c r="J81" s="486">
        <f t="shared" si="19"/>
        <v>0</v>
      </c>
      <c r="K81" s="487">
        <f t="shared" si="20"/>
        <v>0</v>
      </c>
      <c r="L81" s="487" t="str">
        <f t="shared" si="21"/>
        <v/>
      </c>
      <c r="M81" s="487" t="str">
        <f xml:space="preserve">
IF(AL81&lt;&gt;"◎","",
IF(AND(表紙!X52="実績報告（１次）",DATE(IF(N81=5,2023,IF(N81=6,2024)),O81,P81)&lt;DATE(2023,5,8)),0,
IF(AND(OR(表紙!X52="実績報告（２次）",表紙!X52="交付申請兼実績報告"),DATE(IF(N81=5,2023,IF(N81=6,2024)),O81,P81)&lt;DATE(2023,10,1)),0,
MIN(K81,L81))))</f>
        <v/>
      </c>
      <c r="N81" s="725"/>
      <c r="O81" s="725"/>
      <c r="P81" s="725"/>
      <c r="Q81" s="488" t="str">
        <f xml:space="preserve">
IF(AL81&lt;&gt;"◎","",
IF(AND(表紙!X52="実績報告（１次）",DATE(IF(N81=5,2023,IF(N81=6,2024)),O81,P81)&lt;DATE(2023,5,8)),0,
IF(AND(OR(表紙!X52="実績報告（２次）",表紙!X52="交付申請兼実績報告"),DATE(IF(N81=5,2023,IF(N81=6,2024)),O81,P81)&lt;DATE(2023,10,1)),0,
G81*H81)))</f>
        <v/>
      </c>
      <c r="R81" s="724" t="str">
        <f xml:space="preserve">
IF(表紙!$X$2="事前協議","－",
IF(表紙!$X$2="交付申請（２次）","－",
IF(表紙!$X$2="変更申請","－",
IF(AND(OR(表紙!$X$2="実績報告（１次）",表紙!$X$2="実績報告（２次）",表紙!$X$2="交付申請兼実績報告"),AL81="◎"),COUNTIF($AL$30:AL81,"◎"),""))))</f>
        <v/>
      </c>
      <c r="S81" s="489" t="str">
        <f t="shared" si="22"/>
        <v/>
      </c>
      <c r="T81" s="765" t="str">
        <f t="shared" si="15"/>
        <v/>
      </c>
      <c r="U81" s="596" t="str">
        <f t="shared" si="27"/>
        <v/>
      </c>
      <c r="V81" s="787" t="str">
        <f t="shared" si="23"/>
        <v/>
      </c>
      <c r="W81" s="787" t="str">
        <f t="shared" si="24"/>
        <v/>
      </c>
      <c r="X81" s="787" t="str">
        <f t="shared" si="25"/>
        <v/>
      </c>
      <c r="Y81" s="491" t="str">
        <f t="shared" si="26"/>
        <v/>
      </c>
      <c r="AJ81" s="461" t="s">
        <v>466</v>
      </c>
      <c r="AK81" s="490">
        <v>69</v>
      </c>
      <c r="AL81" s="460" t="str">
        <f t="shared" si="16"/>
        <v>○</v>
      </c>
      <c r="AM81" s="468" t="str">
        <f t="shared" si="17"/>
        <v>申請しない場合は入力不要です。</v>
      </c>
      <c r="AO81" s="468">
        <f t="shared" si="18"/>
        <v>0</v>
      </c>
    </row>
    <row r="82" spans="1:41" ht="20.100000000000001" customHeight="1">
      <c r="A82" s="485">
        <v>70</v>
      </c>
      <c r="B82" s="205"/>
      <c r="C82" s="206"/>
      <c r="D82" s="1889"/>
      <c r="E82" s="1890"/>
      <c r="F82" s="1891"/>
      <c r="G82" s="207"/>
      <c r="H82" s="207"/>
      <c r="I82" s="208"/>
      <c r="J82" s="486">
        <f t="shared" si="19"/>
        <v>0</v>
      </c>
      <c r="K82" s="487">
        <f t="shared" si="20"/>
        <v>0</v>
      </c>
      <c r="L82" s="487" t="str">
        <f t="shared" si="21"/>
        <v/>
      </c>
      <c r="M82" s="487" t="str">
        <f xml:space="preserve">
IF(AL82&lt;&gt;"◎","",
IF(AND(表紙!X53="実績報告（１次）",DATE(IF(N82=5,2023,IF(N82=6,2024)),O82,P82)&lt;DATE(2023,5,8)),0,
IF(AND(OR(表紙!X53="実績報告（２次）",表紙!X53="交付申請兼実績報告"),DATE(IF(N82=5,2023,IF(N82=6,2024)),O82,P82)&lt;DATE(2023,10,1)),0,
MIN(K82,L82))))</f>
        <v/>
      </c>
      <c r="N82" s="725"/>
      <c r="O82" s="725"/>
      <c r="P82" s="725"/>
      <c r="Q82" s="488" t="str">
        <f xml:space="preserve">
IF(AL82&lt;&gt;"◎","",
IF(AND(表紙!X53="実績報告（１次）",DATE(IF(N82=5,2023,IF(N82=6,2024)),O82,P82)&lt;DATE(2023,5,8)),0,
IF(AND(OR(表紙!X53="実績報告（２次）",表紙!X53="交付申請兼実績報告"),DATE(IF(N82=5,2023,IF(N82=6,2024)),O82,P82)&lt;DATE(2023,10,1)),0,
G82*H82)))</f>
        <v/>
      </c>
      <c r="R82" s="724" t="str">
        <f xml:space="preserve">
IF(表紙!$X$2="事前協議","－",
IF(表紙!$X$2="交付申請（２次）","－",
IF(表紙!$X$2="変更申請","－",
IF(AND(OR(表紙!$X$2="実績報告（１次）",表紙!$X$2="実績報告（２次）",表紙!$X$2="交付申請兼実績報告"),AL82="◎"),COUNTIF($AL$30:AL82,"◎"),""))))</f>
        <v/>
      </c>
      <c r="S82" s="489" t="str">
        <f t="shared" si="22"/>
        <v/>
      </c>
      <c r="T82" s="765" t="str">
        <f t="shared" si="15"/>
        <v/>
      </c>
      <c r="U82" s="596" t="str">
        <f t="shared" si="27"/>
        <v/>
      </c>
      <c r="V82" s="787" t="str">
        <f t="shared" si="23"/>
        <v/>
      </c>
      <c r="W82" s="787" t="str">
        <f t="shared" si="24"/>
        <v/>
      </c>
      <c r="X82" s="787" t="str">
        <f t="shared" si="25"/>
        <v/>
      </c>
      <c r="Y82" s="491" t="str">
        <f t="shared" si="26"/>
        <v/>
      </c>
      <c r="AJ82" s="461" t="s">
        <v>466</v>
      </c>
      <c r="AK82" s="490">
        <v>70</v>
      </c>
      <c r="AL82" s="460" t="str">
        <f t="shared" si="16"/>
        <v>○</v>
      </c>
      <c r="AM82" s="468" t="str">
        <f t="shared" si="17"/>
        <v>申請しない場合は入力不要です。</v>
      </c>
      <c r="AO82" s="468">
        <f t="shared" si="18"/>
        <v>0</v>
      </c>
    </row>
    <row r="83" spans="1:41" ht="20.100000000000001" customHeight="1">
      <c r="A83" s="485">
        <v>71</v>
      </c>
      <c r="B83" s="205"/>
      <c r="C83" s="206"/>
      <c r="D83" s="1889"/>
      <c r="E83" s="1890"/>
      <c r="F83" s="1891"/>
      <c r="G83" s="207"/>
      <c r="H83" s="207"/>
      <c r="I83" s="208"/>
      <c r="J83" s="486">
        <f t="shared" si="19"/>
        <v>0</v>
      </c>
      <c r="K83" s="487">
        <f t="shared" si="20"/>
        <v>0</v>
      </c>
      <c r="L83" s="487" t="str">
        <f t="shared" si="21"/>
        <v/>
      </c>
      <c r="M83" s="487" t="str">
        <f xml:space="preserve">
IF(AL83&lt;&gt;"◎","",
IF(AND(表紙!X54="実績報告（１次）",DATE(IF(N83=5,2023,IF(N83=6,2024)),O83,P83)&lt;DATE(2023,5,8)),0,
IF(AND(OR(表紙!X54="実績報告（２次）",表紙!X54="交付申請兼実績報告"),DATE(IF(N83=5,2023,IF(N83=6,2024)),O83,P83)&lt;DATE(2023,10,1)),0,
MIN(K83,L83))))</f>
        <v/>
      </c>
      <c r="N83" s="725"/>
      <c r="O83" s="725"/>
      <c r="P83" s="725"/>
      <c r="Q83" s="488" t="str">
        <f xml:space="preserve">
IF(AL83&lt;&gt;"◎","",
IF(AND(表紙!X54="実績報告（１次）",DATE(IF(N83=5,2023,IF(N83=6,2024)),O83,P83)&lt;DATE(2023,5,8)),0,
IF(AND(OR(表紙!X54="実績報告（２次）",表紙!X54="交付申請兼実績報告"),DATE(IF(N83=5,2023,IF(N83=6,2024)),O83,P83)&lt;DATE(2023,10,1)),0,
G83*H83)))</f>
        <v/>
      </c>
      <c r="R83" s="724" t="str">
        <f xml:space="preserve">
IF(表紙!$X$2="事前協議","－",
IF(表紙!$X$2="交付申請（２次）","－",
IF(表紙!$X$2="変更申請","－",
IF(AND(OR(表紙!$X$2="実績報告（１次）",表紙!$X$2="実績報告（２次）",表紙!$X$2="交付申請兼実績報告"),AL83="◎"),COUNTIF($AL$30:AL83,"◎"),""))))</f>
        <v/>
      </c>
      <c r="S83" s="489" t="str">
        <f t="shared" si="22"/>
        <v/>
      </c>
      <c r="T83" s="765" t="str">
        <f t="shared" si="15"/>
        <v/>
      </c>
      <c r="U83" s="596" t="str">
        <f t="shared" si="27"/>
        <v/>
      </c>
      <c r="V83" s="787" t="str">
        <f t="shared" si="23"/>
        <v/>
      </c>
      <c r="W83" s="787" t="str">
        <f t="shared" si="24"/>
        <v/>
      </c>
      <c r="X83" s="787" t="str">
        <f t="shared" si="25"/>
        <v/>
      </c>
      <c r="Y83" s="491" t="str">
        <f t="shared" si="26"/>
        <v/>
      </c>
      <c r="AJ83" s="461" t="s">
        <v>466</v>
      </c>
      <c r="AK83" s="490">
        <v>71</v>
      </c>
      <c r="AL83" s="460" t="str">
        <f t="shared" si="16"/>
        <v>○</v>
      </c>
      <c r="AM83" s="468" t="str">
        <f t="shared" si="17"/>
        <v>申請しない場合は入力不要です。</v>
      </c>
      <c r="AO83" s="468">
        <f t="shared" si="18"/>
        <v>0</v>
      </c>
    </row>
    <row r="84" spans="1:41" ht="20.100000000000001" customHeight="1">
      <c r="A84" s="485">
        <v>72</v>
      </c>
      <c r="B84" s="205"/>
      <c r="C84" s="206"/>
      <c r="D84" s="1889"/>
      <c r="E84" s="1890"/>
      <c r="F84" s="1891"/>
      <c r="G84" s="207"/>
      <c r="H84" s="207"/>
      <c r="I84" s="208"/>
      <c r="J84" s="486">
        <f t="shared" si="19"/>
        <v>0</v>
      </c>
      <c r="K84" s="487">
        <f t="shared" si="20"/>
        <v>0</v>
      </c>
      <c r="L84" s="487" t="str">
        <f t="shared" si="21"/>
        <v/>
      </c>
      <c r="M84" s="487" t="str">
        <f xml:space="preserve">
IF(AL84&lt;&gt;"◎","",
IF(AND(表紙!X55="実績報告（１次）",DATE(IF(N84=5,2023,IF(N84=6,2024)),O84,P84)&lt;DATE(2023,5,8)),0,
IF(AND(OR(表紙!X55="実績報告（２次）",表紙!X55="交付申請兼実績報告"),DATE(IF(N84=5,2023,IF(N84=6,2024)),O84,P84)&lt;DATE(2023,10,1)),0,
MIN(K84,L84))))</f>
        <v/>
      </c>
      <c r="N84" s="725"/>
      <c r="O84" s="725"/>
      <c r="P84" s="725"/>
      <c r="Q84" s="488" t="str">
        <f xml:space="preserve">
IF(AL84&lt;&gt;"◎","",
IF(AND(表紙!X55="実績報告（１次）",DATE(IF(N84=5,2023,IF(N84=6,2024)),O84,P84)&lt;DATE(2023,5,8)),0,
IF(AND(OR(表紙!X55="実績報告（２次）",表紙!X55="交付申請兼実績報告"),DATE(IF(N84=5,2023,IF(N84=6,2024)),O84,P84)&lt;DATE(2023,10,1)),0,
G84*H84)))</f>
        <v/>
      </c>
      <c r="R84" s="724" t="str">
        <f xml:space="preserve">
IF(表紙!$X$2="事前協議","－",
IF(表紙!$X$2="交付申請（２次）","－",
IF(表紙!$X$2="変更申請","－",
IF(AND(OR(表紙!$X$2="実績報告（１次）",表紙!$X$2="実績報告（２次）",表紙!$X$2="交付申請兼実績報告"),AL84="◎"),COUNTIF($AL$30:AL84,"◎"),""))))</f>
        <v/>
      </c>
      <c r="S84" s="489" t="str">
        <f t="shared" si="22"/>
        <v/>
      </c>
      <c r="T84" s="765" t="str">
        <f t="shared" si="15"/>
        <v/>
      </c>
      <c r="U84" s="596" t="str">
        <f t="shared" si="27"/>
        <v/>
      </c>
      <c r="V84" s="787" t="str">
        <f t="shared" si="23"/>
        <v/>
      </c>
      <c r="W84" s="787" t="str">
        <f t="shared" si="24"/>
        <v/>
      </c>
      <c r="X84" s="787" t="str">
        <f t="shared" si="25"/>
        <v/>
      </c>
      <c r="Y84" s="491" t="str">
        <f t="shared" si="26"/>
        <v/>
      </c>
      <c r="AJ84" s="461" t="s">
        <v>466</v>
      </c>
      <c r="AK84" s="490">
        <v>72</v>
      </c>
      <c r="AL84" s="460" t="str">
        <f t="shared" si="16"/>
        <v>○</v>
      </c>
      <c r="AM84" s="468" t="str">
        <f t="shared" si="17"/>
        <v>申請しない場合は入力不要です。</v>
      </c>
      <c r="AO84" s="468">
        <f t="shared" si="18"/>
        <v>0</v>
      </c>
    </row>
    <row r="85" spans="1:41" ht="20.100000000000001" customHeight="1">
      <c r="A85" s="485">
        <v>73</v>
      </c>
      <c r="B85" s="205"/>
      <c r="C85" s="206"/>
      <c r="D85" s="1889"/>
      <c r="E85" s="1890"/>
      <c r="F85" s="1891"/>
      <c r="G85" s="207"/>
      <c r="H85" s="207"/>
      <c r="I85" s="208"/>
      <c r="J85" s="486">
        <f t="shared" si="19"/>
        <v>0</v>
      </c>
      <c r="K85" s="487">
        <f t="shared" si="20"/>
        <v>0</v>
      </c>
      <c r="L85" s="487" t="str">
        <f t="shared" si="21"/>
        <v/>
      </c>
      <c r="M85" s="487" t="str">
        <f xml:space="preserve">
IF(AL85&lt;&gt;"◎","",
IF(AND(表紙!X56="実績報告（１次）",DATE(IF(N85=5,2023,IF(N85=6,2024)),O85,P85)&lt;DATE(2023,5,8)),0,
IF(AND(OR(表紙!X56="実績報告（２次）",表紙!X56="交付申請兼実績報告"),DATE(IF(N85=5,2023,IF(N85=6,2024)),O85,P85)&lt;DATE(2023,10,1)),0,
MIN(K85,L85))))</f>
        <v/>
      </c>
      <c r="N85" s="725"/>
      <c r="O85" s="725"/>
      <c r="P85" s="725"/>
      <c r="Q85" s="488" t="str">
        <f xml:space="preserve">
IF(AL85&lt;&gt;"◎","",
IF(AND(表紙!X56="実績報告（１次）",DATE(IF(N85=5,2023,IF(N85=6,2024)),O85,P85)&lt;DATE(2023,5,8)),0,
IF(AND(OR(表紙!X56="実績報告（２次）",表紙!X56="交付申請兼実績報告"),DATE(IF(N85=5,2023,IF(N85=6,2024)),O85,P85)&lt;DATE(2023,10,1)),0,
G85*H85)))</f>
        <v/>
      </c>
      <c r="R85" s="724" t="str">
        <f xml:space="preserve">
IF(表紙!$X$2="事前協議","－",
IF(表紙!$X$2="交付申請（２次）","－",
IF(表紙!$X$2="変更申請","－",
IF(AND(OR(表紙!$X$2="実績報告（１次）",表紙!$X$2="実績報告（２次）",表紙!$X$2="交付申請兼実績報告"),AL85="◎"),COUNTIF($AL$30:AL85,"◎"),""))))</f>
        <v/>
      </c>
      <c r="S85" s="489" t="str">
        <f t="shared" si="22"/>
        <v/>
      </c>
      <c r="T85" s="765" t="str">
        <f t="shared" si="15"/>
        <v/>
      </c>
      <c r="U85" s="596" t="str">
        <f t="shared" si="27"/>
        <v/>
      </c>
      <c r="V85" s="787" t="str">
        <f t="shared" si="23"/>
        <v/>
      </c>
      <c r="W85" s="787" t="str">
        <f t="shared" si="24"/>
        <v/>
      </c>
      <c r="X85" s="787" t="str">
        <f t="shared" si="25"/>
        <v/>
      </c>
      <c r="Y85" s="491" t="str">
        <f t="shared" si="26"/>
        <v/>
      </c>
      <c r="AJ85" s="461" t="s">
        <v>466</v>
      </c>
      <c r="AK85" s="490">
        <v>73</v>
      </c>
      <c r="AL85" s="460" t="str">
        <f t="shared" si="16"/>
        <v>○</v>
      </c>
      <c r="AM85" s="468" t="str">
        <f t="shared" si="17"/>
        <v>申請しない場合は入力不要です。</v>
      </c>
      <c r="AO85" s="468">
        <f t="shared" si="18"/>
        <v>0</v>
      </c>
    </row>
    <row r="86" spans="1:41" ht="20.100000000000001" customHeight="1">
      <c r="A86" s="485">
        <v>74</v>
      </c>
      <c r="B86" s="205"/>
      <c r="C86" s="206"/>
      <c r="D86" s="1889"/>
      <c r="E86" s="1890"/>
      <c r="F86" s="1891"/>
      <c r="G86" s="207"/>
      <c r="H86" s="207"/>
      <c r="I86" s="208"/>
      <c r="J86" s="486">
        <f t="shared" si="19"/>
        <v>0</v>
      </c>
      <c r="K86" s="487">
        <f t="shared" si="20"/>
        <v>0</v>
      </c>
      <c r="L86" s="487" t="str">
        <f t="shared" si="21"/>
        <v/>
      </c>
      <c r="M86" s="487" t="str">
        <f xml:space="preserve">
IF(AL86&lt;&gt;"◎","",
IF(AND(表紙!X57="実績報告（１次）",DATE(IF(N86=5,2023,IF(N86=6,2024)),O86,P86)&lt;DATE(2023,5,8)),0,
IF(AND(OR(表紙!X57="実績報告（２次）",表紙!X57="交付申請兼実績報告"),DATE(IF(N86=5,2023,IF(N86=6,2024)),O86,P86)&lt;DATE(2023,10,1)),0,
MIN(K86,L86))))</f>
        <v/>
      </c>
      <c r="N86" s="725"/>
      <c r="O86" s="725"/>
      <c r="P86" s="725"/>
      <c r="Q86" s="488" t="str">
        <f xml:space="preserve">
IF(AL86&lt;&gt;"◎","",
IF(AND(表紙!X57="実績報告（１次）",DATE(IF(N86=5,2023,IF(N86=6,2024)),O86,P86)&lt;DATE(2023,5,8)),0,
IF(AND(OR(表紙!X57="実績報告（２次）",表紙!X57="交付申請兼実績報告"),DATE(IF(N86=5,2023,IF(N86=6,2024)),O86,P86)&lt;DATE(2023,10,1)),0,
G86*H86)))</f>
        <v/>
      </c>
      <c r="R86" s="724" t="str">
        <f xml:space="preserve">
IF(表紙!$X$2="事前協議","－",
IF(表紙!$X$2="交付申請（２次）","－",
IF(表紙!$X$2="変更申請","－",
IF(AND(OR(表紙!$X$2="実績報告（１次）",表紙!$X$2="実績報告（２次）",表紙!$X$2="交付申請兼実績報告"),AL86="◎"),COUNTIF($AL$30:AL86,"◎"),""))))</f>
        <v/>
      </c>
      <c r="S86" s="489" t="str">
        <f t="shared" si="22"/>
        <v/>
      </c>
      <c r="T86" s="765" t="str">
        <f t="shared" si="15"/>
        <v/>
      </c>
      <c r="U86" s="596" t="str">
        <f t="shared" si="27"/>
        <v/>
      </c>
      <c r="V86" s="787" t="str">
        <f t="shared" si="23"/>
        <v/>
      </c>
      <c r="W86" s="787" t="str">
        <f t="shared" si="24"/>
        <v/>
      </c>
      <c r="X86" s="787" t="str">
        <f t="shared" si="25"/>
        <v/>
      </c>
      <c r="Y86" s="491" t="str">
        <f t="shared" si="26"/>
        <v/>
      </c>
      <c r="AJ86" s="461" t="s">
        <v>466</v>
      </c>
      <c r="AK86" s="490">
        <v>74</v>
      </c>
      <c r="AL86" s="460" t="str">
        <f t="shared" si="16"/>
        <v>○</v>
      </c>
      <c r="AM86" s="468" t="str">
        <f t="shared" si="17"/>
        <v>申請しない場合は入力不要です。</v>
      </c>
      <c r="AO86" s="468">
        <f t="shared" si="18"/>
        <v>0</v>
      </c>
    </row>
    <row r="87" spans="1:41" ht="20.100000000000001" customHeight="1">
      <c r="A87" s="485">
        <v>75</v>
      </c>
      <c r="B87" s="205"/>
      <c r="C87" s="206"/>
      <c r="D87" s="1889"/>
      <c r="E87" s="1890"/>
      <c r="F87" s="1891"/>
      <c r="G87" s="207"/>
      <c r="H87" s="207"/>
      <c r="I87" s="208"/>
      <c r="J87" s="486">
        <f t="shared" si="19"/>
        <v>0</v>
      </c>
      <c r="K87" s="487">
        <f t="shared" si="20"/>
        <v>0</v>
      </c>
      <c r="L87" s="487" t="str">
        <f t="shared" si="21"/>
        <v/>
      </c>
      <c r="M87" s="487" t="str">
        <f xml:space="preserve">
IF(AL87&lt;&gt;"◎","",
IF(AND(表紙!X58="実績報告（１次）",DATE(IF(N87=5,2023,IF(N87=6,2024)),O87,P87)&lt;DATE(2023,5,8)),0,
IF(AND(OR(表紙!X58="実績報告（２次）",表紙!X58="交付申請兼実績報告"),DATE(IF(N87=5,2023,IF(N87=6,2024)),O87,P87)&lt;DATE(2023,10,1)),0,
MIN(K87,L87))))</f>
        <v/>
      </c>
      <c r="N87" s="725"/>
      <c r="O87" s="725"/>
      <c r="P87" s="725"/>
      <c r="Q87" s="488" t="str">
        <f xml:space="preserve">
IF(AL87&lt;&gt;"◎","",
IF(AND(表紙!X58="実績報告（１次）",DATE(IF(N87=5,2023,IF(N87=6,2024)),O87,P87)&lt;DATE(2023,5,8)),0,
IF(AND(OR(表紙!X58="実績報告（２次）",表紙!X58="交付申請兼実績報告"),DATE(IF(N87=5,2023,IF(N87=6,2024)),O87,P87)&lt;DATE(2023,10,1)),0,
G87*H87)))</f>
        <v/>
      </c>
      <c r="R87" s="724" t="str">
        <f xml:space="preserve">
IF(表紙!$X$2="事前協議","－",
IF(表紙!$X$2="交付申請（２次）","－",
IF(表紙!$X$2="変更申請","－",
IF(AND(OR(表紙!$X$2="実績報告（１次）",表紙!$X$2="実績報告（２次）",表紙!$X$2="交付申請兼実績報告"),AL87="◎"),COUNTIF($AL$30:AL87,"◎"),""))))</f>
        <v/>
      </c>
      <c r="S87" s="489" t="str">
        <f t="shared" si="22"/>
        <v/>
      </c>
      <c r="T87" s="765" t="str">
        <f t="shared" si="15"/>
        <v/>
      </c>
      <c r="U87" s="596" t="str">
        <f t="shared" si="27"/>
        <v/>
      </c>
      <c r="V87" s="787" t="str">
        <f t="shared" si="23"/>
        <v/>
      </c>
      <c r="W87" s="787" t="str">
        <f t="shared" si="24"/>
        <v/>
      </c>
      <c r="X87" s="787" t="str">
        <f t="shared" si="25"/>
        <v/>
      </c>
      <c r="Y87" s="491" t="str">
        <f t="shared" si="26"/>
        <v/>
      </c>
      <c r="AJ87" s="461" t="s">
        <v>466</v>
      </c>
      <c r="AK87" s="490">
        <v>75</v>
      </c>
      <c r="AL87" s="460" t="str">
        <f t="shared" si="16"/>
        <v>○</v>
      </c>
      <c r="AM87" s="468" t="str">
        <f t="shared" si="17"/>
        <v>申請しない場合は入力不要です。</v>
      </c>
      <c r="AO87" s="468">
        <f t="shared" si="18"/>
        <v>0</v>
      </c>
    </row>
    <row r="88" spans="1:41" ht="20.100000000000001" customHeight="1">
      <c r="A88" s="485">
        <v>76</v>
      </c>
      <c r="B88" s="205"/>
      <c r="C88" s="206"/>
      <c r="D88" s="1889"/>
      <c r="E88" s="1890"/>
      <c r="F88" s="1891"/>
      <c r="G88" s="207"/>
      <c r="H88" s="207"/>
      <c r="I88" s="208"/>
      <c r="J88" s="486">
        <f t="shared" si="19"/>
        <v>0</v>
      </c>
      <c r="K88" s="487">
        <f t="shared" si="20"/>
        <v>0</v>
      </c>
      <c r="L88" s="487" t="str">
        <f t="shared" si="21"/>
        <v/>
      </c>
      <c r="M88" s="487" t="str">
        <f xml:space="preserve">
IF(AL88&lt;&gt;"◎","",
IF(AND(表紙!X59="実績報告（１次）",DATE(IF(N88=5,2023,IF(N88=6,2024)),O88,P88)&lt;DATE(2023,5,8)),0,
IF(AND(OR(表紙!X59="実績報告（２次）",表紙!X59="交付申請兼実績報告"),DATE(IF(N88=5,2023,IF(N88=6,2024)),O88,P88)&lt;DATE(2023,10,1)),0,
MIN(K88,L88))))</f>
        <v/>
      </c>
      <c r="N88" s="725"/>
      <c r="O88" s="725"/>
      <c r="P88" s="725"/>
      <c r="Q88" s="488" t="str">
        <f xml:space="preserve">
IF(AL88&lt;&gt;"◎","",
IF(AND(表紙!X59="実績報告（１次）",DATE(IF(N88=5,2023,IF(N88=6,2024)),O88,P88)&lt;DATE(2023,5,8)),0,
IF(AND(OR(表紙!X59="実績報告（２次）",表紙!X59="交付申請兼実績報告"),DATE(IF(N88=5,2023,IF(N88=6,2024)),O88,P88)&lt;DATE(2023,10,1)),0,
G88*H88)))</f>
        <v/>
      </c>
      <c r="R88" s="724" t="str">
        <f xml:space="preserve">
IF(表紙!$X$2="事前協議","－",
IF(表紙!$X$2="交付申請（２次）","－",
IF(表紙!$X$2="変更申請","－",
IF(AND(OR(表紙!$X$2="実績報告（１次）",表紙!$X$2="実績報告（２次）",表紙!$X$2="交付申請兼実績報告"),AL88="◎"),COUNTIF($AL$30:AL88,"◎"),""))))</f>
        <v/>
      </c>
      <c r="S88" s="489" t="str">
        <f t="shared" si="22"/>
        <v/>
      </c>
      <c r="T88" s="765" t="str">
        <f t="shared" si="15"/>
        <v/>
      </c>
      <c r="U88" s="596" t="str">
        <f t="shared" si="27"/>
        <v/>
      </c>
      <c r="V88" s="787" t="str">
        <f t="shared" si="23"/>
        <v/>
      </c>
      <c r="W88" s="787" t="str">
        <f t="shared" si="24"/>
        <v/>
      </c>
      <c r="X88" s="787" t="str">
        <f t="shared" si="25"/>
        <v/>
      </c>
      <c r="Y88" s="491" t="str">
        <f t="shared" si="26"/>
        <v/>
      </c>
      <c r="AJ88" s="461" t="s">
        <v>466</v>
      </c>
      <c r="AK88" s="490">
        <v>76</v>
      </c>
      <c r="AL88" s="460" t="str">
        <f t="shared" si="16"/>
        <v>○</v>
      </c>
      <c r="AM88" s="468" t="str">
        <f t="shared" si="17"/>
        <v>申請しない場合は入力不要です。</v>
      </c>
      <c r="AO88" s="468">
        <f t="shared" si="18"/>
        <v>0</v>
      </c>
    </row>
    <row r="89" spans="1:41" ht="20.100000000000001" customHeight="1">
      <c r="A89" s="485">
        <v>77</v>
      </c>
      <c r="B89" s="205"/>
      <c r="C89" s="206"/>
      <c r="D89" s="1889"/>
      <c r="E89" s="1890"/>
      <c r="F89" s="1891"/>
      <c r="G89" s="207"/>
      <c r="H89" s="207"/>
      <c r="I89" s="208"/>
      <c r="J89" s="486">
        <f t="shared" si="19"/>
        <v>0</v>
      </c>
      <c r="K89" s="487">
        <f t="shared" si="20"/>
        <v>0</v>
      </c>
      <c r="L89" s="487" t="str">
        <f t="shared" si="21"/>
        <v/>
      </c>
      <c r="M89" s="487" t="str">
        <f xml:space="preserve">
IF(AL89&lt;&gt;"◎","",
IF(AND(表紙!X60="実績報告（１次）",DATE(IF(N89=5,2023,IF(N89=6,2024)),O89,P89)&lt;DATE(2023,5,8)),0,
IF(AND(OR(表紙!X60="実績報告（２次）",表紙!X60="交付申請兼実績報告"),DATE(IF(N89=5,2023,IF(N89=6,2024)),O89,P89)&lt;DATE(2023,10,1)),0,
MIN(K89,L89))))</f>
        <v/>
      </c>
      <c r="N89" s="725"/>
      <c r="O89" s="725"/>
      <c r="P89" s="725"/>
      <c r="Q89" s="488" t="str">
        <f xml:space="preserve">
IF(AL89&lt;&gt;"◎","",
IF(AND(表紙!X60="実績報告（１次）",DATE(IF(N89=5,2023,IF(N89=6,2024)),O89,P89)&lt;DATE(2023,5,8)),0,
IF(AND(OR(表紙!X60="実績報告（２次）",表紙!X60="交付申請兼実績報告"),DATE(IF(N89=5,2023,IF(N89=6,2024)),O89,P89)&lt;DATE(2023,10,1)),0,
G89*H89)))</f>
        <v/>
      </c>
      <c r="R89" s="724" t="str">
        <f xml:space="preserve">
IF(表紙!$X$2="事前協議","－",
IF(表紙!$X$2="交付申請（２次）","－",
IF(表紙!$X$2="変更申請","－",
IF(AND(OR(表紙!$X$2="実績報告（１次）",表紙!$X$2="実績報告（２次）",表紙!$X$2="交付申請兼実績報告"),AL89="◎"),COUNTIF($AL$30:AL89,"◎"),""))))</f>
        <v/>
      </c>
      <c r="S89" s="489" t="str">
        <f t="shared" si="22"/>
        <v/>
      </c>
      <c r="T89" s="765" t="str">
        <f t="shared" si="15"/>
        <v/>
      </c>
      <c r="U89" s="596" t="str">
        <f t="shared" si="27"/>
        <v/>
      </c>
      <c r="V89" s="787" t="str">
        <f t="shared" si="23"/>
        <v/>
      </c>
      <c r="W89" s="787" t="str">
        <f t="shared" si="24"/>
        <v/>
      </c>
      <c r="X89" s="787" t="str">
        <f t="shared" si="25"/>
        <v/>
      </c>
      <c r="Y89" s="491" t="str">
        <f t="shared" si="26"/>
        <v/>
      </c>
      <c r="AJ89" s="461" t="s">
        <v>466</v>
      </c>
      <c r="AK89" s="490">
        <v>77</v>
      </c>
      <c r="AL89" s="460" t="str">
        <f t="shared" si="16"/>
        <v>○</v>
      </c>
      <c r="AM89" s="468" t="str">
        <f t="shared" si="17"/>
        <v>申請しない場合は入力不要です。</v>
      </c>
      <c r="AO89" s="468">
        <f t="shared" si="18"/>
        <v>0</v>
      </c>
    </row>
    <row r="90" spans="1:41" ht="20.100000000000001" customHeight="1">
      <c r="A90" s="485">
        <v>78</v>
      </c>
      <c r="B90" s="205"/>
      <c r="C90" s="206"/>
      <c r="D90" s="1889"/>
      <c r="E90" s="1890"/>
      <c r="F90" s="1891"/>
      <c r="G90" s="207"/>
      <c r="H90" s="207"/>
      <c r="I90" s="208"/>
      <c r="J90" s="486">
        <f t="shared" si="19"/>
        <v>0</v>
      </c>
      <c r="K90" s="487">
        <f t="shared" si="20"/>
        <v>0</v>
      </c>
      <c r="L90" s="487" t="str">
        <f t="shared" si="21"/>
        <v/>
      </c>
      <c r="M90" s="487" t="str">
        <f xml:space="preserve">
IF(AL90&lt;&gt;"◎","",
IF(AND(表紙!X61="実績報告（１次）",DATE(IF(N90=5,2023,IF(N90=6,2024)),O90,P90)&lt;DATE(2023,5,8)),0,
IF(AND(OR(表紙!X61="実績報告（２次）",表紙!X61="交付申請兼実績報告"),DATE(IF(N90=5,2023,IF(N90=6,2024)),O90,P90)&lt;DATE(2023,10,1)),0,
MIN(K90,L90))))</f>
        <v/>
      </c>
      <c r="N90" s="725"/>
      <c r="O90" s="725"/>
      <c r="P90" s="725"/>
      <c r="Q90" s="488" t="str">
        <f xml:space="preserve">
IF(AL90&lt;&gt;"◎","",
IF(AND(表紙!X61="実績報告（１次）",DATE(IF(N90=5,2023,IF(N90=6,2024)),O90,P90)&lt;DATE(2023,5,8)),0,
IF(AND(OR(表紙!X61="実績報告（２次）",表紙!X61="交付申請兼実績報告"),DATE(IF(N90=5,2023,IF(N90=6,2024)),O90,P90)&lt;DATE(2023,10,1)),0,
G90*H90)))</f>
        <v/>
      </c>
      <c r="R90" s="724" t="str">
        <f xml:space="preserve">
IF(表紙!$X$2="事前協議","－",
IF(表紙!$X$2="交付申請（２次）","－",
IF(表紙!$X$2="変更申請","－",
IF(AND(OR(表紙!$X$2="実績報告（１次）",表紙!$X$2="実績報告（２次）",表紙!$X$2="交付申請兼実績報告"),AL90="◎"),COUNTIF($AL$30:AL90,"◎"),""))))</f>
        <v/>
      </c>
      <c r="S90" s="489" t="str">
        <f t="shared" si="22"/>
        <v/>
      </c>
      <c r="T90" s="765" t="str">
        <f t="shared" si="15"/>
        <v/>
      </c>
      <c r="U90" s="596" t="str">
        <f t="shared" si="27"/>
        <v/>
      </c>
      <c r="V90" s="787" t="str">
        <f t="shared" si="23"/>
        <v/>
      </c>
      <c r="W90" s="787" t="str">
        <f t="shared" si="24"/>
        <v/>
      </c>
      <c r="X90" s="787" t="str">
        <f t="shared" si="25"/>
        <v/>
      </c>
      <c r="Y90" s="491" t="str">
        <f t="shared" si="26"/>
        <v/>
      </c>
      <c r="AJ90" s="461" t="s">
        <v>466</v>
      </c>
      <c r="AK90" s="490">
        <v>78</v>
      </c>
      <c r="AL90" s="460" t="str">
        <f t="shared" si="16"/>
        <v>○</v>
      </c>
      <c r="AM90" s="468" t="str">
        <f t="shared" si="17"/>
        <v>申請しない場合は入力不要です。</v>
      </c>
      <c r="AO90" s="468">
        <f t="shared" si="18"/>
        <v>0</v>
      </c>
    </row>
    <row r="91" spans="1:41" ht="20.100000000000001" customHeight="1">
      <c r="A91" s="485">
        <v>79</v>
      </c>
      <c r="B91" s="205"/>
      <c r="C91" s="206"/>
      <c r="D91" s="1889"/>
      <c r="E91" s="1890"/>
      <c r="F91" s="1891"/>
      <c r="G91" s="207"/>
      <c r="H91" s="207"/>
      <c r="I91" s="208"/>
      <c r="J91" s="486">
        <f t="shared" si="19"/>
        <v>0</v>
      </c>
      <c r="K91" s="487">
        <f t="shared" si="20"/>
        <v>0</v>
      </c>
      <c r="L91" s="487" t="str">
        <f t="shared" si="21"/>
        <v/>
      </c>
      <c r="M91" s="487" t="str">
        <f xml:space="preserve">
IF(AL91&lt;&gt;"◎","",
IF(AND(表紙!X62="実績報告（１次）",DATE(IF(N91=5,2023,IF(N91=6,2024)),O91,P91)&lt;DATE(2023,5,8)),0,
IF(AND(OR(表紙!X62="実績報告（２次）",表紙!X62="交付申請兼実績報告"),DATE(IF(N91=5,2023,IF(N91=6,2024)),O91,P91)&lt;DATE(2023,10,1)),0,
MIN(K91,L91))))</f>
        <v/>
      </c>
      <c r="N91" s="725"/>
      <c r="O91" s="725"/>
      <c r="P91" s="725"/>
      <c r="Q91" s="488" t="str">
        <f xml:space="preserve">
IF(AL91&lt;&gt;"◎","",
IF(AND(表紙!X62="実績報告（１次）",DATE(IF(N91=5,2023,IF(N91=6,2024)),O91,P91)&lt;DATE(2023,5,8)),0,
IF(AND(OR(表紙!X62="実績報告（２次）",表紙!X62="交付申請兼実績報告"),DATE(IF(N91=5,2023,IF(N91=6,2024)),O91,P91)&lt;DATE(2023,10,1)),0,
G91*H91)))</f>
        <v/>
      </c>
      <c r="R91" s="724" t="str">
        <f xml:space="preserve">
IF(表紙!$X$2="事前協議","－",
IF(表紙!$X$2="交付申請（２次）","－",
IF(表紙!$X$2="変更申請","－",
IF(AND(OR(表紙!$X$2="実績報告（１次）",表紙!$X$2="実績報告（２次）",表紙!$X$2="交付申請兼実績報告"),AL91="◎"),COUNTIF($AL$30:AL91,"◎"),""))))</f>
        <v/>
      </c>
      <c r="S91" s="489" t="str">
        <f t="shared" si="22"/>
        <v/>
      </c>
      <c r="T91" s="765" t="str">
        <f t="shared" si="15"/>
        <v/>
      </c>
      <c r="U91" s="596" t="str">
        <f t="shared" si="27"/>
        <v/>
      </c>
      <c r="V91" s="787" t="str">
        <f t="shared" si="23"/>
        <v/>
      </c>
      <c r="W91" s="787" t="str">
        <f t="shared" si="24"/>
        <v/>
      </c>
      <c r="X91" s="787" t="str">
        <f t="shared" si="25"/>
        <v/>
      </c>
      <c r="Y91" s="491" t="str">
        <f t="shared" si="26"/>
        <v/>
      </c>
      <c r="AJ91" s="461" t="s">
        <v>466</v>
      </c>
      <c r="AK91" s="490">
        <v>79</v>
      </c>
      <c r="AL91" s="460" t="str">
        <f t="shared" si="16"/>
        <v>○</v>
      </c>
      <c r="AM91" s="468" t="str">
        <f t="shared" si="17"/>
        <v>申請しない場合は入力不要です。</v>
      </c>
      <c r="AO91" s="468">
        <f t="shared" si="18"/>
        <v>0</v>
      </c>
    </row>
    <row r="92" spans="1:41" ht="20.100000000000001" customHeight="1">
      <c r="A92" s="485">
        <v>80</v>
      </c>
      <c r="B92" s="205"/>
      <c r="C92" s="206"/>
      <c r="D92" s="1889"/>
      <c r="E92" s="1890"/>
      <c r="F92" s="1891"/>
      <c r="G92" s="207"/>
      <c r="H92" s="207"/>
      <c r="I92" s="208"/>
      <c r="J92" s="486">
        <f t="shared" si="19"/>
        <v>0</v>
      </c>
      <c r="K92" s="487">
        <f t="shared" si="20"/>
        <v>0</v>
      </c>
      <c r="L92" s="487" t="str">
        <f t="shared" si="21"/>
        <v/>
      </c>
      <c r="M92" s="487" t="str">
        <f xml:space="preserve">
IF(AL92&lt;&gt;"◎","",
IF(AND(表紙!X63="実績報告（１次）",DATE(IF(N92=5,2023,IF(N92=6,2024)),O92,P92)&lt;DATE(2023,5,8)),0,
IF(AND(OR(表紙!X63="実績報告（２次）",表紙!X63="交付申請兼実績報告"),DATE(IF(N92=5,2023,IF(N92=6,2024)),O92,P92)&lt;DATE(2023,10,1)),0,
MIN(K92,L92))))</f>
        <v/>
      </c>
      <c r="N92" s="725"/>
      <c r="O92" s="725"/>
      <c r="P92" s="725"/>
      <c r="Q92" s="488" t="str">
        <f xml:space="preserve">
IF(AL92&lt;&gt;"◎","",
IF(AND(表紙!X63="実績報告（１次）",DATE(IF(N92=5,2023,IF(N92=6,2024)),O92,P92)&lt;DATE(2023,5,8)),0,
IF(AND(OR(表紙!X63="実績報告（２次）",表紙!X63="交付申請兼実績報告"),DATE(IF(N92=5,2023,IF(N92=6,2024)),O92,P92)&lt;DATE(2023,10,1)),0,
G92*H92)))</f>
        <v/>
      </c>
      <c r="R92" s="724" t="str">
        <f xml:space="preserve">
IF(表紙!$X$2="事前協議","－",
IF(表紙!$X$2="交付申請（２次）","－",
IF(表紙!$X$2="変更申請","－",
IF(AND(OR(表紙!$X$2="実績報告（１次）",表紙!$X$2="実績報告（２次）",表紙!$X$2="交付申請兼実績報告"),AL92="◎"),COUNTIF($AL$30:AL92,"◎"),""))))</f>
        <v/>
      </c>
      <c r="S92" s="489" t="str">
        <f t="shared" si="22"/>
        <v/>
      </c>
      <c r="T92" s="765" t="str">
        <f t="shared" si="15"/>
        <v/>
      </c>
      <c r="U92" s="596" t="str">
        <f t="shared" si="27"/>
        <v/>
      </c>
      <c r="V92" s="787" t="str">
        <f t="shared" si="23"/>
        <v/>
      </c>
      <c r="W92" s="787" t="str">
        <f t="shared" si="24"/>
        <v/>
      </c>
      <c r="X92" s="787" t="str">
        <f t="shared" si="25"/>
        <v/>
      </c>
      <c r="Y92" s="491" t="str">
        <f t="shared" si="26"/>
        <v/>
      </c>
      <c r="AJ92" s="461" t="s">
        <v>466</v>
      </c>
      <c r="AK92" s="490">
        <v>80</v>
      </c>
      <c r="AL92" s="460" t="str">
        <f t="shared" si="16"/>
        <v>○</v>
      </c>
      <c r="AM92" s="468" t="str">
        <f t="shared" si="17"/>
        <v>申請しない場合は入力不要です。</v>
      </c>
      <c r="AO92" s="468">
        <f t="shared" si="18"/>
        <v>0</v>
      </c>
    </row>
    <row r="93" spans="1:41" ht="20.100000000000001" customHeight="1">
      <c r="A93" s="485">
        <v>81</v>
      </c>
      <c r="B93" s="205"/>
      <c r="C93" s="206"/>
      <c r="D93" s="1889"/>
      <c r="E93" s="1890"/>
      <c r="F93" s="1891"/>
      <c r="G93" s="207"/>
      <c r="H93" s="207"/>
      <c r="I93" s="208"/>
      <c r="J93" s="486">
        <f t="shared" si="19"/>
        <v>0</v>
      </c>
      <c r="K93" s="487">
        <f t="shared" si="20"/>
        <v>0</v>
      </c>
      <c r="L93" s="487" t="str">
        <f t="shared" si="21"/>
        <v/>
      </c>
      <c r="M93" s="487" t="str">
        <f xml:space="preserve">
IF(AL93&lt;&gt;"◎","",
IF(AND(表紙!X64="実績報告（１次）",DATE(IF(N93=5,2023,IF(N93=6,2024)),O93,P93)&lt;DATE(2023,5,8)),0,
IF(AND(OR(表紙!X64="実績報告（２次）",表紙!X64="交付申請兼実績報告"),DATE(IF(N93=5,2023,IF(N93=6,2024)),O93,P93)&lt;DATE(2023,10,1)),0,
MIN(K93,L93))))</f>
        <v/>
      </c>
      <c r="N93" s="725"/>
      <c r="O93" s="725"/>
      <c r="P93" s="725"/>
      <c r="Q93" s="488" t="str">
        <f xml:space="preserve">
IF(AL93&lt;&gt;"◎","",
IF(AND(表紙!X64="実績報告（１次）",DATE(IF(N93=5,2023,IF(N93=6,2024)),O93,P93)&lt;DATE(2023,5,8)),0,
IF(AND(OR(表紙!X64="実績報告（２次）",表紙!X64="交付申請兼実績報告"),DATE(IF(N93=5,2023,IF(N93=6,2024)),O93,P93)&lt;DATE(2023,10,1)),0,
G93*H93)))</f>
        <v/>
      </c>
      <c r="R93" s="724" t="str">
        <f xml:space="preserve">
IF(表紙!$X$2="事前協議","－",
IF(表紙!$X$2="交付申請（２次）","－",
IF(表紙!$X$2="変更申請","－",
IF(AND(OR(表紙!$X$2="実績報告（１次）",表紙!$X$2="実績報告（２次）",表紙!$X$2="交付申請兼実績報告"),AL93="◎"),COUNTIF($AL$30:AL93,"◎"),""))))</f>
        <v/>
      </c>
      <c r="S93" s="489" t="str">
        <f t="shared" si="22"/>
        <v/>
      </c>
      <c r="T93" s="765" t="str">
        <f t="shared" si="15"/>
        <v/>
      </c>
      <c r="U93" s="596" t="str">
        <f t="shared" si="27"/>
        <v/>
      </c>
      <c r="V93" s="787" t="str">
        <f t="shared" si="23"/>
        <v/>
      </c>
      <c r="W93" s="787" t="str">
        <f t="shared" si="24"/>
        <v/>
      </c>
      <c r="X93" s="787" t="str">
        <f t="shared" si="25"/>
        <v/>
      </c>
      <c r="Y93" s="491" t="str">
        <f t="shared" si="26"/>
        <v/>
      </c>
      <c r="AJ93" s="461" t="s">
        <v>466</v>
      </c>
      <c r="AK93" s="490">
        <v>81</v>
      </c>
      <c r="AL93" s="460" t="str">
        <f t="shared" si="16"/>
        <v>○</v>
      </c>
      <c r="AM93" s="468" t="str">
        <f t="shared" si="17"/>
        <v>申請しない場合は入力不要です。</v>
      </c>
      <c r="AO93" s="468">
        <f t="shared" si="18"/>
        <v>0</v>
      </c>
    </row>
    <row r="94" spans="1:41" ht="20.100000000000001" customHeight="1">
      <c r="A94" s="485">
        <v>82</v>
      </c>
      <c r="B94" s="205"/>
      <c r="C94" s="206"/>
      <c r="D94" s="1889"/>
      <c r="E94" s="1890"/>
      <c r="F94" s="1891"/>
      <c r="G94" s="207"/>
      <c r="H94" s="207"/>
      <c r="I94" s="208"/>
      <c r="J94" s="486">
        <f t="shared" si="19"/>
        <v>0</v>
      </c>
      <c r="K94" s="487">
        <f t="shared" si="20"/>
        <v>0</v>
      </c>
      <c r="L94" s="487" t="str">
        <f t="shared" si="21"/>
        <v/>
      </c>
      <c r="M94" s="487" t="str">
        <f xml:space="preserve">
IF(AL94&lt;&gt;"◎","",
IF(AND(表紙!X65="実績報告（１次）",DATE(IF(N94=5,2023,IF(N94=6,2024)),O94,P94)&lt;DATE(2023,5,8)),0,
IF(AND(OR(表紙!X65="実績報告（２次）",表紙!X65="交付申請兼実績報告"),DATE(IF(N94=5,2023,IF(N94=6,2024)),O94,P94)&lt;DATE(2023,10,1)),0,
MIN(K94,L94))))</f>
        <v/>
      </c>
      <c r="N94" s="725"/>
      <c r="O94" s="725"/>
      <c r="P94" s="725"/>
      <c r="Q94" s="488" t="str">
        <f xml:space="preserve">
IF(AL94&lt;&gt;"◎","",
IF(AND(表紙!X65="実績報告（１次）",DATE(IF(N94=5,2023,IF(N94=6,2024)),O94,P94)&lt;DATE(2023,5,8)),0,
IF(AND(OR(表紙!X65="実績報告（２次）",表紙!X65="交付申請兼実績報告"),DATE(IF(N94=5,2023,IF(N94=6,2024)),O94,P94)&lt;DATE(2023,10,1)),0,
G94*H94)))</f>
        <v/>
      </c>
      <c r="R94" s="724" t="str">
        <f xml:space="preserve">
IF(表紙!$X$2="事前協議","－",
IF(表紙!$X$2="交付申請（２次）","－",
IF(表紙!$X$2="変更申請","－",
IF(AND(OR(表紙!$X$2="実績報告（１次）",表紙!$X$2="実績報告（２次）",表紙!$X$2="交付申請兼実績報告"),AL94="◎"),COUNTIF($AL$30:AL94,"◎"),""))))</f>
        <v/>
      </c>
      <c r="S94" s="489" t="str">
        <f t="shared" si="22"/>
        <v/>
      </c>
      <c r="T94" s="765" t="str">
        <f t="shared" si="15"/>
        <v/>
      </c>
      <c r="U94" s="596" t="str">
        <f t="shared" si="27"/>
        <v/>
      </c>
      <c r="V94" s="787" t="str">
        <f t="shared" si="23"/>
        <v/>
      </c>
      <c r="W94" s="787" t="str">
        <f t="shared" si="24"/>
        <v/>
      </c>
      <c r="X94" s="787" t="str">
        <f t="shared" si="25"/>
        <v/>
      </c>
      <c r="Y94" s="491" t="str">
        <f t="shared" si="26"/>
        <v/>
      </c>
      <c r="AJ94" s="461" t="s">
        <v>466</v>
      </c>
      <c r="AK94" s="490">
        <v>82</v>
      </c>
      <c r="AL94" s="460" t="str">
        <f t="shared" si="16"/>
        <v>○</v>
      </c>
      <c r="AM94" s="468" t="str">
        <f t="shared" si="17"/>
        <v>申請しない場合は入力不要です。</v>
      </c>
      <c r="AO94" s="468">
        <f t="shared" si="18"/>
        <v>0</v>
      </c>
    </row>
    <row r="95" spans="1:41" ht="20.100000000000001" customHeight="1">
      <c r="A95" s="485">
        <v>83</v>
      </c>
      <c r="B95" s="205"/>
      <c r="C95" s="206"/>
      <c r="D95" s="1889"/>
      <c r="E95" s="1890"/>
      <c r="F95" s="1891"/>
      <c r="G95" s="207"/>
      <c r="H95" s="207"/>
      <c r="I95" s="208"/>
      <c r="J95" s="486">
        <f t="shared" si="19"/>
        <v>0</v>
      </c>
      <c r="K95" s="487">
        <f t="shared" si="20"/>
        <v>0</v>
      </c>
      <c r="L95" s="487" t="str">
        <f t="shared" si="21"/>
        <v/>
      </c>
      <c r="M95" s="487" t="str">
        <f xml:space="preserve">
IF(AL95&lt;&gt;"◎","",
IF(AND(表紙!X66="実績報告（１次）",DATE(IF(N95=5,2023,IF(N95=6,2024)),O95,P95)&lt;DATE(2023,5,8)),0,
IF(AND(OR(表紙!X66="実績報告（２次）",表紙!X66="交付申請兼実績報告"),DATE(IF(N95=5,2023,IF(N95=6,2024)),O95,P95)&lt;DATE(2023,10,1)),0,
MIN(K95,L95))))</f>
        <v/>
      </c>
      <c r="N95" s="725"/>
      <c r="O95" s="725"/>
      <c r="P95" s="725"/>
      <c r="Q95" s="488" t="str">
        <f xml:space="preserve">
IF(AL95&lt;&gt;"◎","",
IF(AND(表紙!X66="実績報告（１次）",DATE(IF(N95=5,2023,IF(N95=6,2024)),O95,P95)&lt;DATE(2023,5,8)),0,
IF(AND(OR(表紙!X66="実績報告（２次）",表紙!X66="交付申請兼実績報告"),DATE(IF(N95=5,2023,IF(N95=6,2024)),O95,P95)&lt;DATE(2023,10,1)),0,
G95*H95)))</f>
        <v/>
      </c>
      <c r="R95" s="724" t="str">
        <f xml:space="preserve">
IF(表紙!$X$2="事前協議","－",
IF(表紙!$X$2="交付申請（２次）","－",
IF(表紙!$X$2="変更申請","－",
IF(AND(OR(表紙!$X$2="実績報告（１次）",表紙!$X$2="実績報告（２次）",表紙!$X$2="交付申請兼実績報告"),AL95="◎"),COUNTIF($AL$30:AL95,"◎"),""))))</f>
        <v/>
      </c>
      <c r="S95" s="489" t="str">
        <f t="shared" si="22"/>
        <v/>
      </c>
      <c r="T95" s="765" t="str">
        <f t="shared" ref="T95:T158" si="28">IF(H95="","",H95)</f>
        <v/>
      </c>
      <c r="U95" s="596" t="str">
        <f t="shared" si="27"/>
        <v/>
      </c>
      <c r="V95" s="787" t="str">
        <f t="shared" si="23"/>
        <v/>
      </c>
      <c r="W95" s="787" t="str">
        <f t="shared" si="24"/>
        <v/>
      </c>
      <c r="X95" s="787" t="str">
        <f t="shared" si="25"/>
        <v/>
      </c>
      <c r="Y95" s="491" t="str">
        <f t="shared" si="26"/>
        <v/>
      </c>
      <c r="AJ95" s="461" t="s">
        <v>466</v>
      </c>
      <c r="AK95" s="490">
        <v>83</v>
      </c>
      <c r="AL95" s="460" t="str">
        <f t="shared" ref="AL95:AL158" si="29" xml:space="preserve">
IF(COUNTA(B95:I95,N95:P95)=0,"○",
IF(AND(COUNTA(B95:I95,N95:P95)&gt;=1,COUNTA(B95:I95,N95:P95)&lt;9),"×",
IF(OR(COUNTA(B95:I95,N95:P95)=9,COUNTA(B95:I95,N95:P95)=11),"◎")))</f>
        <v>○</v>
      </c>
      <c r="AM95" s="468" t="str">
        <f t="shared" ref="AM95:AM158" si="30" xml:space="preserve">
IF(COUNTA(B95:I95,N95:P95)=0,"申請しない場合は入力不要です。",
IF(AND(COUNTA(B95:I95,N95:P95)&gt;=1,COUNTA(B95:I95,N95:P95)&lt;9),"【要修正】種類、品名、内容量、数量、税抜単価及び納品日の内、未入力の箇所があります。",
IF(OR(COUNTA(B95:I95,N95:P95)=9,COUNTA(B95:I95,N95:P95)=11),"適切に入力がされました。")))</f>
        <v>申請しない場合は入力不要です。</v>
      </c>
      <c r="AO95" s="468">
        <f t="shared" si="18"/>
        <v>0</v>
      </c>
    </row>
    <row r="96" spans="1:41" ht="20.100000000000001" customHeight="1">
      <c r="A96" s="485">
        <v>84</v>
      </c>
      <c r="B96" s="205"/>
      <c r="C96" s="206"/>
      <c r="D96" s="1889"/>
      <c r="E96" s="1890"/>
      <c r="F96" s="1891"/>
      <c r="G96" s="207"/>
      <c r="H96" s="207"/>
      <c r="I96" s="208"/>
      <c r="J96" s="486">
        <f t="shared" si="19"/>
        <v>0</v>
      </c>
      <c r="K96" s="487">
        <f t="shared" si="20"/>
        <v>0</v>
      </c>
      <c r="L96" s="487" t="str">
        <f t="shared" si="21"/>
        <v/>
      </c>
      <c r="M96" s="487" t="str">
        <f xml:space="preserve">
IF(AL96&lt;&gt;"◎","",
IF(AND(表紙!X67="実績報告（１次）",DATE(IF(N96=5,2023,IF(N96=6,2024)),O96,P96)&lt;DATE(2023,5,8)),0,
IF(AND(OR(表紙!X67="実績報告（２次）",表紙!X67="交付申請兼実績報告"),DATE(IF(N96=5,2023,IF(N96=6,2024)),O96,P96)&lt;DATE(2023,10,1)),0,
MIN(K96,L96))))</f>
        <v/>
      </c>
      <c r="N96" s="725"/>
      <c r="O96" s="725"/>
      <c r="P96" s="725"/>
      <c r="Q96" s="488" t="str">
        <f xml:space="preserve">
IF(AL96&lt;&gt;"◎","",
IF(AND(表紙!X67="実績報告（１次）",DATE(IF(N96=5,2023,IF(N96=6,2024)),O96,P96)&lt;DATE(2023,5,8)),0,
IF(AND(OR(表紙!X67="実績報告（２次）",表紙!X67="交付申請兼実績報告"),DATE(IF(N96=5,2023,IF(N96=6,2024)),O96,P96)&lt;DATE(2023,10,1)),0,
G96*H96)))</f>
        <v/>
      </c>
      <c r="R96" s="724" t="str">
        <f xml:space="preserve">
IF(表紙!$X$2="事前協議","－",
IF(表紙!$X$2="交付申請（２次）","－",
IF(表紙!$X$2="変更申請","－",
IF(AND(OR(表紙!$X$2="実績報告（１次）",表紙!$X$2="実績報告（２次）",表紙!$X$2="交付申請兼実績報告"),AL96="◎"),COUNTIF($AL$30:AL96,"◎"),""))))</f>
        <v/>
      </c>
      <c r="S96" s="489" t="str">
        <f t="shared" si="22"/>
        <v/>
      </c>
      <c r="T96" s="765" t="str">
        <f t="shared" si="28"/>
        <v/>
      </c>
      <c r="U96" s="596" t="str">
        <f t="shared" si="27"/>
        <v/>
      </c>
      <c r="V96" s="787" t="str">
        <f t="shared" si="23"/>
        <v/>
      </c>
      <c r="W96" s="787" t="str">
        <f t="shared" si="24"/>
        <v/>
      </c>
      <c r="X96" s="787" t="str">
        <f t="shared" si="25"/>
        <v/>
      </c>
      <c r="Y96" s="491" t="str">
        <f t="shared" si="26"/>
        <v/>
      </c>
      <c r="AJ96" s="461" t="s">
        <v>466</v>
      </c>
      <c r="AK96" s="490">
        <v>84</v>
      </c>
      <c r="AL96" s="460" t="str">
        <f t="shared" si="29"/>
        <v>○</v>
      </c>
      <c r="AM96" s="468" t="str">
        <f t="shared" si="30"/>
        <v>申請しない場合は入力不要です。</v>
      </c>
      <c r="AO96" s="468">
        <f t="shared" si="18"/>
        <v>0</v>
      </c>
    </row>
    <row r="97" spans="1:41" ht="20.100000000000001" customHeight="1">
      <c r="A97" s="485">
        <v>85</v>
      </c>
      <c r="B97" s="205"/>
      <c r="C97" s="206"/>
      <c r="D97" s="1889"/>
      <c r="E97" s="1890"/>
      <c r="F97" s="1891"/>
      <c r="G97" s="207"/>
      <c r="H97" s="207"/>
      <c r="I97" s="208"/>
      <c r="J97" s="486">
        <f t="shared" si="19"/>
        <v>0</v>
      </c>
      <c r="K97" s="487">
        <f t="shared" si="20"/>
        <v>0</v>
      </c>
      <c r="L97" s="487" t="str">
        <f t="shared" si="21"/>
        <v/>
      </c>
      <c r="M97" s="487" t="str">
        <f xml:space="preserve">
IF(AL97&lt;&gt;"◎","",
IF(AND(表紙!X68="実績報告（１次）",DATE(IF(N97=5,2023,IF(N97=6,2024)),O97,P97)&lt;DATE(2023,5,8)),0,
IF(AND(OR(表紙!X68="実績報告（２次）",表紙!X68="交付申請兼実績報告"),DATE(IF(N97=5,2023,IF(N97=6,2024)),O97,P97)&lt;DATE(2023,10,1)),0,
MIN(K97,L97))))</f>
        <v/>
      </c>
      <c r="N97" s="725"/>
      <c r="O97" s="725"/>
      <c r="P97" s="725"/>
      <c r="Q97" s="488" t="str">
        <f xml:space="preserve">
IF(AL97&lt;&gt;"◎","",
IF(AND(表紙!X68="実績報告（１次）",DATE(IF(N97=5,2023,IF(N97=6,2024)),O97,P97)&lt;DATE(2023,5,8)),0,
IF(AND(OR(表紙!X68="実績報告（２次）",表紙!X68="交付申請兼実績報告"),DATE(IF(N97=5,2023,IF(N97=6,2024)),O97,P97)&lt;DATE(2023,10,1)),0,
G97*H97)))</f>
        <v/>
      </c>
      <c r="R97" s="724" t="str">
        <f xml:space="preserve">
IF(表紙!$X$2="事前協議","－",
IF(表紙!$X$2="交付申請（２次）","－",
IF(表紙!$X$2="変更申請","－",
IF(AND(OR(表紙!$X$2="実績報告（１次）",表紙!$X$2="実績報告（２次）",表紙!$X$2="交付申請兼実績報告"),AL97="◎"),COUNTIF($AL$30:AL97,"◎"),""))))</f>
        <v/>
      </c>
      <c r="S97" s="489" t="str">
        <f t="shared" si="22"/>
        <v/>
      </c>
      <c r="T97" s="765" t="str">
        <f t="shared" si="28"/>
        <v/>
      </c>
      <c r="U97" s="596" t="str">
        <f t="shared" si="27"/>
        <v/>
      </c>
      <c r="V97" s="787" t="str">
        <f t="shared" si="23"/>
        <v/>
      </c>
      <c r="W97" s="787" t="str">
        <f t="shared" si="24"/>
        <v/>
      </c>
      <c r="X97" s="787" t="str">
        <f t="shared" si="25"/>
        <v/>
      </c>
      <c r="Y97" s="491" t="str">
        <f t="shared" si="26"/>
        <v/>
      </c>
      <c r="AJ97" s="461" t="s">
        <v>466</v>
      </c>
      <c r="AK97" s="490">
        <v>85</v>
      </c>
      <c r="AL97" s="460" t="str">
        <f t="shared" si="29"/>
        <v>○</v>
      </c>
      <c r="AM97" s="468" t="str">
        <f t="shared" si="30"/>
        <v>申請しない場合は入力不要です。</v>
      </c>
      <c r="AO97" s="468">
        <f t="shared" si="18"/>
        <v>0</v>
      </c>
    </row>
    <row r="98" spans="1:41" ht="20.100000000000001" customHeight="1">
      <c r="A98" s="485">
        <v>86</v>
      </c>
      <c r="B98" s="205"/>
      <c r="C98" s="206"/>
      <c r="D98" s="1889"/>
      <c r="E98" s="1890"/>
      <c r="F98" s="1891"/>
      <c r="G98" s="207"/>
      <c r="H98" s="207"/>
      <c r="I98" s="208"/>
      <c r="J98" s="486">
        <f t="shared" si="19"/>
        <v>0</v>
      </c>
      <c r="K98" s="487">
        <f t="shared" si="20"/>
        <v>0</v>
      </c>
      <c r="L98" s="487" t="str">
        <f t="shared" si="21"/>
        <v/>
      </c>
      <c r="M98" s="487" t="str">
        <f xml:space="preserve">
IF(AL98&lt;&gt;"◎","",
IF(AND(表紙!X69="実績報告（１次）",DATE(IF(N98=5,2023,IF(N98=6,2024)),O98,P98)&lt;DATE(2023,5,8)),0,
IF(AND(OR(表紙!X69="実績報告（２次）",表紙!X69="交付申請兼実績報告"),DATE(IF(N98=5,2023,IF(N98=6,2024)),O98,P98)&lt;DATE(2023,10,1)),0,
MIN(K98,L98))))</f>
        <v/>
      </c>
      <c r="N98" s="725"/>
      <c r="O98" s="725"/>
      <c r="P98" s="725"/>
      <c r="Q98" s="488" t="str">
        <f xml:space="preserve">
IF(AL98&lt;&gt;"◎","",
IF(AND(表紙!X69="実績報告（１次）",DATE(IF(N98=5,2023,IF(N98=6,2024)),O98,P98)&lt;DATE(2023,5,8)),0,
IF(AND(OR(表紙!X69="実績報告（２次）",表紙!X69="交付申請兼実績報告"),DATE(IF(N98=5,2023,IF(N98=6,2024)),O98,P98)&lt;DATE(2023,10,1)),0,
G98*H98)))</f>
        <v/>
      </c>
      <c r="R98" s="724" t="str">
        <f xml:space="preserve">
IF(表紙!$X$2="事前協議","－",
IF(表紙!$X$2="交付申請（２次）","－",
IF(表紙!$X$2="変更申請","－",
IF(AND(OR(表紙!$X$2="実績報告（１次）",表紙!$X$2="実績報告（２次）",表紙!$X$2="交付申請兼実績報告"),AL98="◎"),COUNTIF($AL$30:AL98,"◎"),""))))</f>
        <v/>
      </c>
      <c r="S98" s="489" t="str">
        <f t="shared" si="22"/>
        <v/>
      </c>
      <c r="T98" s="765" t="str">
        <f t="shared" si="28"/>
        <v/>
      </c>
      <c r="U98" s="596" t="str">
        <f t="shared" si="27"/>
        <v/>
      </c>
      <c r="V98" s="787" t="str">
        <f t="shared" si="23"/>
        <v/>
      </c>
      <c r="W98" s="787" t="str">
        <f t="shared" si="24"/>
        <v/>
      </c>
      <c r="X98" s="787" t="str">
        <f t="shared" si="25"/>
        <v/>
      </c>
      <c r="Y98" s="491" t="str">
        <f t="shared" si="26"/>
        <v/>
      </c>
      <c r="AJ98" s="461" t="s">
        <v>466</v>
      </c>
      <c r="AK98" s="490">
        <v>86</v>
      </c>
      <c r="AL98" s="460" t="str">
        <f t="shared" si="29"/>
        <v>○</v>
      </c>
      <c r="AM98" s="468" t="str">
        <f t="shared" si="30"/>
        <v>申請しない場合は入力不要です。</v>
      </c>
      <c r="AO98" s="468">
        <f t="shared" si="18"/>
        <v>0</v>
      </c>
    </row>
    <row r="99" spans="1:41" ht="20.100000000000001" customHeight="1">
      <c r="A99" s="485">
        <v>87</v>
      </c>
      <c r="B99" s="205"/>
      <c r="C99" s="206"/>
      <c r="D99" s="1889"/>
      <c r="E99" s="1890"/>
      <c r="F99" s="1891"/>
      <c r="G99" s="207"/>
      <c r="H99" s="207"/>
      <c r="I99" s="208"/>
      <c r="J99" s="486">
        <f t="shared" si="19"/>
        <v>0</v>
      </c>
      <c r="K99" s="487">
        <f t="shared" si="20"/>
        <v>0</v>
      </c>
      <c r="L99" s="487" t="str">
        <f t="shared" si="21"/>
        <v/>
      </c>
      <c r="M99" s="487" t="str">
        <f xml:space="preserve">
IF(AL99&lt;&gt;"◎","",
IF(AND(表紙!X70="実績報告（１次）",DATE(IF(N99=5,2023,IF(N99=6,2024)),O99,P99)&lt;DATE(2023,5,8)),0,
IF(AND(OR(表紙!X70="実績報告（２次）",表紙!X70="交付申請兼実績報告"),DATE(IF(N99=5,2023,IF(N99=6,2024)),O99,P99)&lt;DATE(2023,10,1)),0,
MIN(K99,L99))))</f>
        <v/>
      </c>
      <c r="N99" s="725"/>
      <c r="O99" s="725"/>
      <c r="P99" s="725"/>
      <c r="Q99" s="488" t="str">
        <f xml:space="preserve">
IF(AL99&lt;&gt;"◎","",
IF(AND(表紙!X70="実績報告（１次）",DATE(IF(N99=5,2023,IF(N99=6,2024)),O99,P99)&lt;DATE(2023,5,8)),0,
IF(AND(OR(表紙!X70="実績報告（２次）",表紙!X70="交付申請兼実績報告"),DATE(IF(N99=5,2023,IF(N99=6,2024)),O99,P99)&lt;DATE(2023,10,1)),0,
G99*H99)))</f>
        <v/>
      </c>
      <c r="R99" s="724" t="str">
        <f xml:space="preserve">
IF(表紙!$X$2="事前協議","－",
IF(表紙!$X$2="交付申請（２次）","－",
IF(表紙!$X$2="変更申請","－",
IF(AND(OR(表紙!$X$2="実績報告（１次）",表紙!$X$2="実績報告（２次）",表紙!$X$2="交付申請兼実績報告"),AL99="◎"),COUNTIF($AL$30:AL99,"◎"),""))))</f>
        <v/>
      </c>
      <c r="S99" s="489" t="str">
        <f t="shared" si="22"/>
        <v/>
      </c>
      <c r="T99" s="765" t="str">
        <f t="shared" si="28"/>
        <v/>
      </c>
      <c r="U99" s="596" t="str">
        <f t="shared" si="27"/>
        <v/>
      </c>
      <c r="V99" s="787" t="str">
        <f t="shared" si="23"/>
        <v/>
      </c>
      <c r="W99" s="787" t="str">
        <f t="shared" si="24"/>
        <v/>
      </c>
      <c r="X99" s="787" t="str">
        <f t="shared" si="25"/>
        <v/>
      </c>
      <c r="Y99" s="491" t="str">
        <f t="shared" si="26"/>
        <v/>
      </c>
      <c r="AJ99" s="461" t="s">
        <v>466</v>
      </c>
      <c r="AK99" s="490">
        <v>87</v>
      </c>
      <c r="AL99" s="460" t="str">
        <f t="shared" si="29"/>
        <v>○</v>
      </c>
      <c r="AM99" s="468" t="str">
        <f t="shared" si="30"/>
        <v>申請しない場合は入力不要です。</v>
      </c>
      <c r="AO99" s="468">
        <f t="shared" si="18"/>
        <v>0</v>
      </c>
    </row>
    <row r="100" spans="1:41" ht="20.100000000000001" customHeight="1">
      <c r="A100" s="485">
        <v>88</v>
      </c>
      <c r="B100" s="205"/>
      <c r="C100" s="206"/>
      <c r="D100" s="1889"/>
      <c r="E100" s="1890"/>
      <c r="F100" s="1891"/>
      <c r="G100" s="207"/>
      <c r="H100" s="207"/>
      <c r="I100" s="208"/>
      <c r="J100" s="486">
        <f t="shared" si="19"/>
        <v>0</v>
      </c>
      <c r="K100" s="487">
        <f t="shared" si="20"/>
        <v>0</v>
      </c>
      <c r="L100" s="487" t="str">
        <f t="shared" si="21"/>
        <v/>
      </c>
      <c r="M100" s="487" t="str">
        <f xml:space="preserve">
IF(AL100&lt;&gt;"◎","",
IF(AND(表紙!X71="実績報告（１次）",DATE(IF(N100=5,2023,IF(N100=6,2024)),O100,P100)&lt;DATE(2023,5,8)),0,
IF(AND(OR(表紙!X71="実績報告（２次）",表紙!X71="交付申請兼実績報告"),DATE(IF(N100=5,2023,IF(N100=6,2024)),O100,P100)&lt;DATE(2023,10,1)),0,
MIN(K100,L100))))</f>
        <v/>
      </c>
      <c r="N100" s="725"/>
      <c r="O100" s="725"/>
      <c r="P100" s="725"/>
      <c r="Q100" s="488" t="str">
        <f xml:space="preserve">
IF(AL100&lt;&gt;"◎","",
IF(AND(表紙!X71="実績報告（１次）",DATE(IF(N100=5,2023,IF(N100=6,2024)),O100,P100)&lt;DATE(2023,5,8)),0,
IF(AND(OR(表紙!X71="実績報告（２次）",表紙!X71="交付申請兼実績報告"),DATE(IF(N100=5,2023,IF(N100=6,2024)),O100,P100)&lt;DATE(2023,10,1)),0,
G100*H100)))</f>
        <v/>
      </c>
      <c r="R100" s="724" t="str">
        <f xml:space="preserve">
IF(表紙!$X$2="事前協議","－",
IF(表紙!$X$2="交付申請（２次）","－",
IF(表紙!$X$2="変更申請","－",
IF(AND(OR(表紙!$X$2="実績報告（１次）",表紙!$X$2="実績報告（２次）",表紙!$X$2="交付申請兼実績報告"),AL100="◎"),COUNTIF($AL$30:AL100,"◎"),""))))</f>
        <v/>
      </c>
      <c r="S100" s="489" t="str">
        <f t="shared" si="22"/>
        <v/>
      </c>
      <c r="T100" s="765" t="str">
        <f t="shared" si="28"/>
        <v/>
      </c>
      <c r="U100" s="596" t="str">
        <f t="shared" si="27"/>
        <v/>
      </c>
      <c r="V100" s="787" t="str">
        <f t="shared" si="23"/>
        <v/>
      </c>
      <c r="W100" s="787" t="str">
        <f t="shared" si="24"/>
        <v/>
      </c>
      <c r="X100" s="787" t="str">
        <f t="shared" si="25"/>
        <v/>
      </c>
      <c r="Y100" s="491" t="str">
        <f t="shared" si="26"/>
        <v/>
      </c>
      <c r="AJ100" s="461" t="s">
        <v>466</v>
      </c>
      <c r="AK100" s="490">
        <v>88</v>
      </c>
      <c r="AL100" s="460" t="str">
        <f t="shared" si="29"/>
        <v>○</v>
      </c>
      <c r="AM100" s="468" t="str">
        <f t="shared" si="30"/>
        <v>申請しない場合は入力不要です。</v>
      </c>
      <c r="AO100" s="468">
        <f t="shared" si="18"/>
        <v>0</v>
      </c>
    </row>
    <row r="101" spans="1:41" ht="20.100000000000001" customHeight="1">
      <c r="A101" s="485">
        <v>89</v>
      </c>
      <c r="B101" s="205"/>
      <c r="C101" s="206"/>
      <c r="D101" s="1889"/>
      <c r="E101" s="1890"/>
      <c r="F101" s="1891"/>
      <c r="G101" s="207"/>
      <c r="H101" s="207"/>
      <c r="I101" s="208"/>
      <c r="J101" s="486">
        <f t="shared" si="19"/>
        <v>0</v>
      </c>
      <c r="K101" s="487">
        <f t="shared" si="20"/>
        <v>0</v>
      </c>
      <c r="L101" s="487" t="str">
        <f t="shared" si="21"/>
        <v/>
      </c>
      <c r="M101" s="487" t="str">
        <f xml:space="preserve">
IF(AL101&lt;&gt;"◎","",
IF(AND(表紙!X72="実績報告（１次）",DATE(IF(N101=5,2023,IF(N101=6,2024)),O101,P101)&lt;DATE(2023,5,8)),0,
IF(AND(OR(表紙!X72="実績報告（２次）",表紙!X72="交付申請兼実績報告"),DATE(IF(N101=5,2023,IF(N101=6,2024)),O101,P101)&lt;DATE(2023,10,1)),0,
MIN(K101,L101))))</f>
        <v/>
      </c>
      <c r="N101" s="725"/>
      <c r="O101" s="725"/>
      <c r="P101" s="725"/>
      <c r="Q101" s="488" t="str">
        <f xml:space="preserve">
IF(AL101&lt;&gt;"◎","",
IF(AND(表紙!X72="実績報告（１次）",DATE(IF(N101=5,2023,IF(N101=6,2024)),O101,P101)&lt;DATE(2023,5,8)),0,
IF(AND(OR(表紙!X72="実績報告（２次）",表紙!X72="交付申請兼実績報告"),DATE(IF(N101=5,2023,IF(N101=6,2024)),O101,P101)&lt;DATE(2023,10,1)),0,
G101*H101)))</f>
        <v/>
      </c>
      <c r="R101" s="724" t="str">
        <f xml:space="preserve">
IF(表紙!$X$2="事前協議","－",
IF(表紙!$X$2="交付申請（２次）","－",
IF(表紙!$X$2="変更申請","－",
IF(AND(OR(表紙!$X$2="実績報告（１次）",表紙!$X$2="実績報告（２次）",表紙!$X$2="交付申請兼実績報告"),AL101="◎"),COUNTIF($AL$30:AL101,"◎"),""))))</f>
        <v/>
      </c>
      <c r="S101" s="489" t="str">
        <f t="shared" si="22"/>
        <v/>
      </c>
      <c r="T101" s="765" t="str">
        <f t="shared" si="28"/>
        <v/>
      </c>
      <c r="U101" s="596" t="str">
        <f t="shared" si="27"/>
        <v/>
      </c>
      <c r="V101" s="787" t="str">
        <f t="shared" si="23"/>
        <v/>
      </c>
      <c r="W101" s="787" t="str">
        <f t="shared" si="24"/>
        <v/>
      </c>
      <c r="X101" s="787" t="str">
        <f t="shared" si="25"/>
        <v/>
      </c>
      <c r="Y101" s="491" t="str">
        <f t="shared" si="26"/>
        <v/>
      </c>
      <c r="AJ101" s="461" t="s">
        <v>466</v>
      </c>
      <c r="AK101" s="490">
        <v>89</v>
      </c>
      <c r="AL101" s="460" t="str">
        <f t="shared" si="29"/>
        <v>○</v>
      </c>
      <c r="AM101" s="468" t="str">
        <f t="shared" si="30"/>
        <v>申請しない場合は入力不要です。</v>
      </c>
      <c r="AO101" s="468">
        <f t="shared" si="18"/>
        <v>0</v>
      </c>
    </row>
    <row r="102" spans="1:41" ht="20.100000000000001" customHeight="1">
      <c r="A102" s="485">
        <v>90</v>
      </c>
      <c r="B102" s="205"/>
      <c r="C102" s="206"/>
      <c r="D102" s="1889"/>
      <c r="E102" s="1890"/>
      <c r="F102" s="1891"/>
      <c r="G102" s="207"/>
      <c r="H102" s="207"/>
      <c r="I102" s="208"/>
      <c r="J102" s="486">
        <f t="shared" si="19"/>
        <v>0</v>
      </c>
      <c r="K102" s="487">
        <f t="shared" si="20"/>
        <v>0</v>
      </c>
      <c r="L102" s="487" t="str">
        <f t="shared" si="21"/>
        <v/>
      </c>
      <c r="M102" s="487" t="str">
        <f xml:space="preserve">
IF(AL102&lt;&gt;"◎","",
IF(AND(表紙!X73="実績報告（１次）",DATE(IF(N102=5,2023,IF(N102=6,2024)),O102,P102)&lt;DATE(2023,5,8)),0,
IF(AND(OR(表紙!X73="実績報告（２次）",表紙!X73="交付申請兼実績報告"),DATE(IF(N102=5,2023,IF(N102=6,2024)),O102,P102)&lt;DATE(2023,10,1)),0,
MIN(K102,L102))))</f>
        <v/>
      </c>
      <c r="N102" s="725"/>
      <c r="O102" s="725"/>
      <c r="P102" s="725"/>
      <c r="Q102" s="488" t="str">
        <f xml:space="preserve">
IF(AL102&lt;&gt;"◎","",
IF(AND(表紙!X73="実績報告（１次）",DATE(IF(N102=5,2023,IF(N102=6,2024)),O102,P102)&lt;DATE(2023,5,8)),0,
IF(AND(OR(表紙!X73="実績報告（２次）",表紙!X73="交付申請兼実績報告"),DATE(IF(N102=5,2023,IF(N102=6,2024)),O102,P102)&lt;DATE(2023,10,1)),0,
G102*H102)))</f>
        <v/>
      </c>
      <c r="R102" s="724" t="str">
        <f xml:space="preserve">
IF(表紙!$X$2="事前協議","－",
IF(表紙!$X$2="交付申請（２次）","－",
IF(表紙!$X$2="変更申請","－",
IF(AND(OR(表紙!$X$2="実績報告（１次）",表紙!$X$2="実績報告（２次）",表紙!$X$2="交付申請兼実績報告"),AL102="◎"),COUNTIF($AL$30:AL102,"◎"),""))))</f>
        <v/>
      </c>
      <c r="S102" s="489" t="str">
        <f t="shared" si="22"/>
        <v/>
      </c>
      <c r="T102" s="765" t="str">
        <f t="shared" si="28"/>
        <v/>
      </c>
      <c r="U102" s="596" t="str">
        <f t="shared" si="27"/>
        <v/>
      </c>
      <c r="V102" s="787" t="str">
        <f t="shared" si="23"/>
        <v/>
      </c>
      <c r="W102" s="787" t="str">
        <f t="shared" si="24"/>
        <v/>
      </c>
      <c r="X102" s="787" t="str">
        <f t="shared" si="25"/>
        <v/>
      </c>
      <c r="Y102" s="491" t="str">
        <f t="shared" si="26"/>
        <v/>
      </c>
      <c r="AJ102" s="461" t="s">
        <v>466</v>
      </c>
      <c r="AK102" s="490">
        <v>90</v>
      </c>
      <c r="AL102" s="460" t="str">
        <f t="shared" si="29"/>
        <v>○</v>
      </c>
      <c r="AM102" s="468" t="str">
        <f t="shared" si="30"/>
        <v>申請しない場合は入力不要です。</v>
      </c>
      <c r="AO102" s="468">
        <f t="shared" si="18"/>
        <v>0</v>
      </c>
    </row>
    <row r="103" spans="1:41" ht="20.100000000000001" customHeight="1">
      <c r="A103" s="485">
        <v>91</v>
      </c>
      <c r="B103" s="205"/>
      <c r="C103" s="206"/>
      <c r="D103" s="1889"/>
      <c r="E103" s="1890"/>
      <c r="F103" s="1891"/>
      <c r="G103" s="207"/>
      <c r="H103" s="207"/>
      <c r="I103" s="208"/>
      <c r="J103" s="486">
        <f t="shared" si="19"/>
        <v>0</v>
      </c>
      <c r="K103" s="487">
        <f t="shared" si="20"/>
        <v>0</v>
      </c>
      <c r="L103" s="487" t="str">
        <f t="shared" si="21"/>
        <v/>
      </c>
      <c r="M103" s="487" t="str">
        <f xml:space="preserve">
IF(AL103&lt;&gt;"◎","",
IF(AND(表紙!X74="実績報告（１次）",DATE(IF(N103=5,2023,IF(N103=6,2024)),O103,P103)&lt;DATE(2023,5,8)),0,
IF(AND(OR(表紙!X74="実績報告（２次）",表紙!X74="交付申請兼実績報告"),DATE(IF(N103=5,2023,IF(N103=6,2024)),O103,P103)&lt;DATE(2023,10,1)),0,
MIN(K103,L103))))</f>
        <v/>
      </c>
      <c r="N103" s="725"/>
      <c r="O103" s="725"/>
      <c r="P103" s="725"/>
      <c r="Q103" s="488" t="str">
        <f xml:space="preserve">
IF(AL103&lt;&gt;"◎","",
IF(AND(表紙!X74="実績報告（１次）",DATE(IF(N103=5,2023,IF(N103=6,2024)),O103,P103)&lt;DATE(2023,5,8)),0,
IF(AND(OR(表紙!X74="実績報告（２次）",表紙!X74="交付申請兼実績報告"),DATE(IF(N103=5,2023,IF(N103=6,2024)),O103,P103)&lt;DATE(2023,10,1)),0,
G103*H103)))</f>
        <v/>
      </c>
      <c r="R103" s="724" t="str">
        <f xml:space="preserve">
IF(表紙!$X$2="事前協議","－",
IF(表紙!$X$2="交付申請（２次）","－",
IF(表紙!$X$2="変更申請","－",
IF(AND(OR(表紙!$X$2="実績報告（１次）",表紙!$X$2="実績報告（２次）",表紙!$X$2="交付申請兼実績報告"),AL103="◎"),COUNTIF($AL$30:AL103,"◎"),""))))</f>
        <v/>
      </c>
      <c r="S103" s="489" t="str">
        <f t="shared" si="22"/>
        <v/>
      </c>
      <c r="T103" s="765" t="str">
        <f t="shared" si="28"/>
        <v/>
      </c>
      <c r="U103" s="596" t="str">
        <f t="shared" si="27"/>
        <v/>
      </c>
      <c r="V103" s="787" t="str">
        <f t="shared" si="23"/>
        <v/>
      </c>
      <c r="W103" s="787" t="str">
        <f t="shared" si="24"/>
        <v/>
      </c>
      <c r="X103" s="787" t="str">
        <f t="shared" si="25"/>
        <v/>
      </c>
      <c r="Y103" s="491" t="str">
        <f t="shared" si="26"/>
        <v/>
      </c>
      <c r="AJ103" s="461" t="s">
        <v>466</v>
      </c>
      <c r="AK103" s="490">
        <v>91</v>
      </c>
      <c r="AL103" s="460" t="str">
        <f t="shared" si="29"/>
        <v>○</v>
      </c>
      <c r="AM103" s="468" t="str">
        <f t="shared" si="30"/>
        <v>申請しない場合は入力不要です。</v>
      </c>
      <c r="AO103" s="468">
        <f t="shared" si="18"/>
        <v>0</v>
      </c>
    </row>
    <row r="104" spans="1:41" ht="20.100000000000001" customHeight="1">
      <c r="A104" s="485">
        <v>92</v>
      </c>
      <c r="B104" s="205"/>
      <c r="C104" s="206"/>
      <c r="D104" s="1889"/>
      <c r="E104" s="1890"/>
      <c r="F104" s="1891"/>
      <c r="G104" s="207"/>
      <c r="H104" s="207"/>
      <c r="I104" s="208"/>
      <c r="J104" s="486">
        <f t="shared" si="19"/>
        <v>0</v>
      </c>
      <c r="K104" s="487">
        <f t="shared" si="20"/>
        <v>0</v>
      </c>
      <c r="L104" s="487" t="str">
        <f t="shared" si="21"/>
        <v/>
      </c>
      <c r="M104" s="487" t="str">
        <f xml:space="preserve">
IF(AL104&lt;&gt;"◎","",
IF(AND(表紙!X75="実績報告（１次）",DATE(IF(N104=5,2023,IF(N104=6,2024)),O104,P104)&lt;DATE(2023,5,8)),0,
IF(AND(OR(表紙!X75="実績報告（２次）",表紙!X75="交付申請兼実績報告"),DATE(IF(N104=5,2023,IF(N104=6,2024)),O104,P104)&lt;DATE(2023,10,1)),0,
MIN(K104,L104))))</f>
        <v/>
      </c>
      <c r="N104" s="725"/>
      <c r="O104" s="725"/>
      <c r="P104" s="725"/>
      <c r="Q104" s="488" t="str">
        <f xml:space="preserve">
IF(AL104&lt;&gt;"◎","",
IF(AND(表紙!X75="実績報告（１次）",DATE(IF(N104=5,2023,IF(N104=6,2024)),O104,P104)&lt;DATE(2023,5,8)),0,
IF(AND(OR(表紙!X75="実績報告（２次）",表紙!X75="交付申請兼実績報告"),DATE(IF(N104=5,2023,IF(N104=6,2024)),O104,P104)&lt;DATE(2023,10,1)),0,
G104*H104)))</f>
        <v/>
      </c>
      <c r="R104" s="724" t="str">
        <f xml:space="preserve">
IF(表紙!$X$2="事前協議","－",
IF(表紙!$X$2="交付申請（２次）","－",
IF(表紙!$X$2="変更申請","－",
IF(AND(OR(表紙!$X$2="実績報告（１次）",表紙!$X$2="実績報告（２次）",表紙!$X$2="交付申請兼実績報告"),AL104="◎"),COUNTIF($AL$30:AL104,"◎"),""))))</f>
        <v/>
      </c>
      <c r="S104" s="489" t="str">
        <f t="shared" si="22"/>
        <v/>
      </c>
      <c r="T104" s="765" t="str">
        <f t="shared" si="28"/>
        <v/>
      </c>
      <c r="U104" s="596" t="str">
        <f t="shared" si="27"/>
        <v/>
      </c>
      <c r="V104" s="787" t="str">
        <f t="shared" si="23"/>
        <v/>
      </c>
      <c r="W104" s="787" t="str">
        <f t="shared" si="24"/>
        <v/>
      </c>
      <c r="X104" s="787" t="str">
        <f t="shared" si="25"/>
        <v/>
      </c>
      <c r="Y104" s="491" t="str">
        <f t="shared" si="26"/>
        <v/>
      </c>
      <c r="AJ104" s="461" t="s">
        <v>466</v>
      </c>
      <c r="AK104" s="490">
        <v>92</v>
      </c>
      <c r="AL104" s="460" t="str">
        <f t="shared" si="29"/>
        <v>○</v>
      </c>
      <c r="AM104" s="468" t="str">
        <f t="shared" si="30"/>
        <v>申請しない場合は入力不要です。</v>
      </c>
      <c r="AO104" s="468">
        <f t="shared" si="18"/>
        <v>0</v>
      </c>
    </row>
    <row r="105" spans="1:41" ht="20.100000000000001" customHeight="1">
      <c r="A105" s="485">
        <v>93</v>
      </c>
      <c r="B105" s="205"/>
      <c r="C105" s="206"/>
      <c r="D105" s="1889"/>
      <c r="E105" s="1890"/>
      <c r="F105" s="1891"/>
      <c r="G105" s="207"/>
      <c r="H105" s="207"/>
      <c r="I105" s="208"/>
      <c r="J105" s="486">
        <f t="shared" si="19"/>
        <v>0</v>
      </c>
      <c r="K105" s="487">
        <f t="shared" si="20"/>
        <v>0</v>
      </c>
      <c r="L105" s="487" t="str">
        <f t="shared" si="21"/>
        <v/>
      </c>
      <c r="M105" s="487" t="str">
        <f xml:space="preserve">
IF(AL105&lt;&gt;"◎","",
IF(AND(表紙!X76="実績報告（１次）",DATE(IF(N105=5,2023,IF(N105=6,2024)),O105,P105)&lt;DATE(2023,5,8)),0,
IF(AND(OR(表紙!X76="実績報告（２次）",表紙!X76="交付申請兼実績報告"),DATE(IF(N105=5,2023,IF(N105=6,2024)),O105,P105)&lt;DATE(2023,10,1)),0,
MIN(K105,L105))))</f>
        <v/>
      </c>
      <c r="N105" s="725"/>
      <c r="O105" s="725"/>
      <c r="P105" s="725"/>
      <c r="Q105" s="488" t="str">
        <f xml:space="preserve">
IF(AL105&lt;&gt;"◎","",
IF(AND(表紙!X76="実績報告（１次）",DATE(IF(N105=5,2023,IF(N105=6,2024)),O105,P105)&lt;DATE(2023,5,8)),0,
IF(AND(OR(表紙!X76="実績報告（２次）",表紙!X76="交付申請兼実績報告"),DATE(IF(N105=5,2023,IF(N105=6,2024)),O105,P105)&lt;DATE(2023,10,1)),0,
G105*H105)))</f>
        <v/>
      </c>
      <c r="R105" s="724" t="str">
        <f xml:space="preserve">
IF(表紙!$X$2="事前協議","－",
IF(表紙!$X$2="交付申請（２次）","－",
IF(表紙!$X$2="変更申請","－",
IF(AND(OR(表紙!$X$2="実績報告（１次）",表紙!$X$2="実績報告（２次）",表紙!$X$2="交付申請兼実績報告"),AL105="◎"),COUNTIF($AL$30:AL105,"◎"),""))))</f>
        <v/>
      </c>
      <c r="S105" s="489" t="str">
        <f t="shared" si="22"/>
        <v/>
      </c>
      <c r="T105" s="765" t="str">
        <f t="shared" si="28"/>
        <v/>
      </c>
      <c r="U105" s="596" t="str">
        <f t="shared" si="27"/>
        <v/>
      </c>
      <c r="V105" s="787" t="str">
        <f t="shared" si="23"/>
        <v/>
      </c>
      <c r="W105" s="787" t="str">
        <f t="shared" si="24"/>
        <v/>
      </c>
      <c r="X105" s="787" t="str">
        <f t="shared" si="25"/>
        <v/>
      </c>
      <c r="Y105" s="491" t="str">
        <f t="shared" si="26"/>
        <v/>
      </c>
      <c r="AJ105" s="461" t="s">
        <v>466</v>
      </c>
      <c r="AK105" s="490">
        <v>93</v>
      </c>
      <c r="AL105" s="460" t="str">
        <f t="shared" si="29"/>
        <v>○</v>
      </c>
      <c r="AM105" s="468" t="str">
        <f t="shared" si="30"/>
        <v>申請しない場合は入力不要です。</v>
      </c>
      <c r="AO105" s="468">
        <f t="shared" si="18"/>
        <v>0</v>
      </c>
    </row>
    <row r="106" spans="1:41" ht="20.100000000000001" customHeight="1">
      <c r="A106" s="485">
        <v>94</v>
      </c>
      <c r="B106" s="205"/>
      <c r="C106" s="206"/>
      <c r="D106" s="1889"/>
      <c r="E106" s="1890"/>
      <c r="F106" s="1891"/>
      <c r="G106" s="207"/>
      <c r="H106" s="207"/>
      <c r="I106" s="208"/>
      <c r="J106" s="486">
        <f t="shared" si="19"/>
        <v>0</v>
      </c>
      <c r="K106" s="487">
        <f t="shared" si="20"/>
        <v>0</v>
      </c>
      <c r="L106" s="487" t="str">
        <f t="shared" si="21"/>
        <v/>
      </c>
      <c r="M106" s="487" t="str">
        <f xml:space="preserve">
IF(AL106&lt;&gt;"◎","",
IF(AND(表紙!X77="実績報告（１次）",DATE(IF(N106=5,2023,IF(N106=6,2024)),O106,P106)&lt;DATE(2023,5,8)),0,
IF(AND(OR(表紙!X77="実績報告（２次）",表紙!X77="交付申請兼実績報告"),DATE(IF(N106=5,2023,IF(N106=6,2024)),O106,P106)&lt;DATE(2023,10,1)),0,
MIN(K106,L106))))</f>
        <v/>
      </c>
      <c r="N106" s="725"/>
      <c r="O106" s="725"/>
      <c r="P106" s="725"/>
      <c r="Q106" s="488" t="str">
        <f xml:space="preserve">
IF(AL106&lt;&gt;"◎","",
IF(AND(表紙!X77="実績報告（１次）",DATE(IF(N106=5,2023,IF(N106=6,2024)),O106,P106)&lt;DATE(2023,5,8)),0,
IF(AND(OR(表紙!X77="実績報告（２次）",表紙!X77="交付申請兼実績報告"),DATE(IF(N106=5,2023,IF(N106=6,2024)),O106,P106)&lt;DATE(2023,10,1)),0,
G106*H106)))</f>
        <v/>
      </c>
      <c r="R106" s="724" t="str">
        <f xml:space="preserve">
IF(表紙!$X$2="事前協議","－",
IF(表紙!$X$2="交付申請（２次）","－",
IF(表紙!$X$2="変更申請","－",
IF(AND(OR(表紙!$X$2="実績報告（１次）",表紙!$X$2="実績報告（２次）",表紙!$X$2="交付申請兼実績報告"),AL106="◎"),COUNTIF($AL$30:AL106,"◎"),""))))</f>
        <v/>
      </c>
      <c r="S106" s="489" t="str">
        <f t="shared" si="22"/>
        <v/>
      </c>
      <c r="T106" s="765" t="str">
        <f t="shared" si="28"/>
        <v/>
      </c>
      <c r="U106" s="596" t="str">
        <f t="shared" si="27"/>
        <v/>
      </c>
      <c r="V106" s="787" t="str">
        <f t="shared" si="23"/>
        <v/>
      </c>
      <c r="W106" s="787" t="str">
        <f t="shared" si="24"/>
        <v/>
      </c>
      <c r="X106" s="787" t="str">
        <f t="shared" si="25"/>
        <v/>
      </c>
      <c r="Y106" s="491" t="str">
        <f t="shared" si="26"/>
        <v/>
      </c>
      <c r="AJ106" s="461" t="s">
        <v>466</v>
      </c>
      <c r="AK106" s="490">
        <v>94</v>
      </c>
      <c r="AL106" s="460" t="str">
        <f t="shared" si="29"/>
        <v>○</v>
      </c>
      <c r="AM106" s="468" t="str">
        <f t="shared" si="30"/>
        <v>申請しない場合は入力不要です。</v>
      </c>
      <c r="AO106" s="468">
        <f t="shared" si="18"/>
        <v>0</v>
      </c>
    </row>
    <row r="107" spans="1:41" ht="20.100000000000001" customHeight="1">
      <c r="A107" s="485">
        <v>95</v>
      </c>
      <c r="B107" s="205"/>
      <c r="C107" s="206"/>
      <c r="D107" s="1889"/>
      <c r="E107" s="1890"/>
      <c r="F107" s="1891"/>
      <c r="G107" s="207"/>
      <c r="H107" s="207"/>
      <c r="I107" s="208"/>
      <c r="J107" s="486">
        <f t="shared" si="19"/>
        <v>0</v>
      </c>
      <c r="K107" s="487">
        <f t="shared" si="20"/>
        <v>0</v>
      </c>
      <c r="L107" s="487" t="str">
        <f t="shared" si="21"/>
        <v/>
      </c>
      <c r="M107" s="487" t="str">
        <f xml:space="preserve">
IF(AL107&lt;&gt;"◎","",
IF(AND(表紙!X78="実績報告（１次）",DATE(IF(N107=5,2023,IF(N107=6,2024)),O107,P107)&lt;DATE(2023,5,8)),0,
IF(AND(OR(表紙!X78="実績報告（２次）",表紙!X78="交付申請兼実績報告"),DATE(IF(N107=5,2023,IF(N107=6,2024)),O107,P107)&lt;DATE(2023,10,1)),0,
MIN(K107,L107))))</f>
        <v/>
      </c>
      <c r="N107" s="725"/>
      <c r="O107" s="725"/>
      <c r="P107" s="725"/>
      <c r="Q107" s="488" t="str">
        <f xml:space="preserve">
IF(AL107&lt;&gt;"◎","",
IF(AND(表紙!X78="実績報告（１次）",DATE(IF(N107=5,2023,IF(N107=6,2024)),O107,P107)&lt;DATE(2023,5,8)),0,
IF(AND(OR(表紙!X78="実績報告（２次）",表紙!X78="交付申請兼実績報告"),DATE(IF(N107=5,2023,IF(N107=6,2024)),O107,P107)&lt;DATE(2023,10,1)),0,
G107*H107)))</f>
        <v/>
      </c>
      <c r="R107" s="724" t="str">
        <f xml:space="preserve">
IF(表紙!$X$2="事前協議","－",
IF(表紙!$X$2="交付申請（２次）","－",
IF(表紙!$X$2="変更申請","－",
IF(AND(OR(表紙!$X$2="実績報告（１次）",表紙!$X$2="実績報告（２次）",表紙!$X$2="交付申請兼実績報告"),AL107="◎"),COUNTIF($AL$30:AL107,"◎"),""))))</f>
        <v/>
      </c>
      <c r="S107" s="489" t="str">
        <f t="shared" si="22"/>
        <v/>
      </c>
      <c r="T107" s="765" t="str">
        <f t="shared" si="28"/>
        <v/>
      </c>
      <c r="U107" s="596" t="str">
        <f t="shared" si="27"/>
        <v/>
      </c>
      <c r="V107" s="787" t="str">
        <f t="shared" si="23"/>
        <v/>
      </c>
      <c r="W107" s="787" t="str">
        <f t="shared" si="24"/>
        <v/>
      </c>
      <c r="X107" s="787" t="str">
        <f t="shared" si="25"/>
        <v/>
      </c>
      <c r="Y107" s="491" t="str">
        <f t="shared" si="26"/>
        <v/>
      </c>
      <c r="AJ107" s="461" t="s">
        <v>466</v>
      </c>
      <c r="AK107" s="490">
        <v>95</v>
      </c>
      <c r="AL107" s="460" t="str">
        <f t="shared" si="29"/>
        <v>○</v>
      </c>
      <c r="AM107" s="468" t="str">
        <f t="shared" si="30"/>
        <v>申請しない場合は入力不要です。</v>
      </c>
      <c r="AO107" s="468">
        <f t="shared" si="18"/>
        <v>0</v>
      </c>
    </row>
    <row r="108" spans="1:41" ht="20.100000000000001" customHeight="1">
      <c r="A108" s="485">
        <v>96</v>
      </c>
      <c r="B108" s="205"/>
      <c r="C108" s="206"/>
      <c r="D108" s="1889"/>
      <c r="E108" s="1890"/>
      <c r="F108" s="1891"/>
      <c r="G108" s="207"/>
      <c r="H108" s="207"/>
      <c r="I108" s="208"/>
      <c r="J108" s="486">
        <f t="shared" si="19"/>
        <v>0</v>
      </c>
      <c r="K108" s="487">
        <f t="shared" si="20"/>
        <v>0</v>
      </c>
      <c r="L108" s="487" t="str">
        <f t="shared" si="21"/>
        <v/>
      </c>
      <c r="M108" s="487" t="str">
        <f xml:space="preserve">
IF(AL108&lt;&gt;"◎","",
IF(AND(表紙!X79="実績報告（１次）",DATE(IF(N108=5,2023,IF(N108=6,2024)),O108,P108)&lt;DATE(2023,5,8)),0,
IF(AND(OR(表紙!X79="実績報告（２次）",表紙!X79="交付申請兼実績報告"),DATE(IF(N108=5,2023,IF(N108=6,2024)),O108,P108)&lt;DATE(2023,10,1)),0,
MIN(K108,L108))))</f>
        <v/>
      </c>
      <c r="N108" s="725"/>
      <c r="O108" s="725"/>
      <c r="P108" s="725"/>
      <c r="Q108" s="488" t="str">
        <f xml:space="preserve">
IF(AL108&lt;&gt;"◎","",
IF(AND(表紙!X79="実績報告（１次）",DATE(IF(N108=5,2023,IF(N108=6,2024)),O108,P108)&lt;DATE(2023,5,8)),0,
IF(AND(OR(表紙!X79="実績報告（２次）",表紙!X79="交付申請兼実績報告"),DATE(IF(N108=5,2023,IF(N108=6,2024)),O108,P108)&lt;DATE(2023,10,1)),0,
G108*H108)))</f>
        <v/>
      </c>
      <c r="R108" s="724" t="str">
        <f xml:space="preserve">
IF(表紙!$X$2="事前協議","－",
IF(表紙!$X$2="交付申請（２次）","－",
IF(表紙!$X$2="変更申請","－",
IF(AND(OR(表紙!$X$2="実績報告（１次）",表紙!$X$2="実績報告（２次）",表紙!$X$2="交付申請兼実績報告"),AL108="◎"),COUNTIF($AL$30:AL108,"◎"),""))))</f>
        <v/>
      </c>
      <c r="S108" s="489" t="str">
        <f t="shared" si="22"/>
        <v/>
      </c>
      <c r="T108" s="765" t="str">
        <f t="shared" si="28"/>
        <v/>
      </c>
      <c r="U108" s="596" t="str">
        <f t="shared" si="27"/>
        <v/>
      </c>
      <c r="V108" s="787" t="str">
        <f t="shared" si="23"/>
        <v/>
      </c>
      <c r="W108" s="787" t="str">
        <f t="shared" si="24"/>
        <v/>
      </c>
      <c r="X108" s="787" t="str">
        <f t="shared" si="25"/>
        <v/>
      </c>
      <c r="Y108" s="491" t="str">
        <f t="shared" si="26"/>
        <v/>
      </c>
      <c r="AJ108" s="461" t="s">
        <v>466</v>
      </c>
      <c r="AK108" s="490">
        <v>96</v>
      </c>
      <c r="AL108" s="460" t="str">
        <f t="shared" si="29"/>
        <v>○</v>
      </c>
      <c r="AM108" s="468" t="str">
        <f t="shared" si="30"/>
        <v>申請しない場合は入力不要です。</v>
      </c>
      <c r="AO108" s="468">
        <f t="shared" si="18"/>
        <v>0</v>
      </c>
    </row>
    <row r="109" spans="1:41" ht="20.100000000000001" customHeight="1">
      <c r="A109" s="485">
        <v>97</v>
      </c>
      <c r="B109" s="205"/>
      <c r="C109" s="206"/>
      <c r="D109" s="1889"/>
      <c r="E109" s="1890"/>
      <c r="F109" s="1891"/>
      <c r="G109" s="207"/>
      <c r="H109" s="207"/>
      <c r="I109" s="208"/>
      <c r="J109" s="486">
        <f t="shared" si="19"/>
        <v>0</v>
      </c>
      <c r="K109" s="487">
        <f t="shared" si="20"/>
        <v>0</v>
      </c>
      <c r="L109" s="487" t="str">
        <f t="shared" si="21"/>
        <v/>
      </c>
      <c r="M109" s="487" t="str">
        <f xml:space="preserve">
IF(AL109&lt;&gt;"◎","",
IF(AND(表紙!X80="実績報告（１次）",DATE(IF(N109=5,2023,IF(N109=6,2024)),O109,P109)&lt;DATE(2023,5,8)),0,
IF(AND(OR(表紙!X80="実績報告（２次）",表紙!X80="交付申請兼実績報告"),DATE(IF(N109=5,2023,IF(N109=6,2024)),O109,P109)&lt;DATE(2023,10,1)),0,
MIN(K109,L109))))</f>
        <v/>
      </c>
      <c r="N109" s="725"/>
      <c r="O109" s="725"/>
      <c r="P109" s="725"/>
      <c r="Q109" s="488" t="str">
        <f xml:space="preserve">
IF(AL109&lt;&gt;"◎","",
IF(AND(表紙!X80="実績報告（１次）",DATE(IF(N109=5,2023,IF(N109=6,2024)),O109,P109)&lt;DATE(2023,5,8)),0,
IF(AND(OR(表紙!X80="実績報告（２次）",表紙!X80="交付申請兼実績報告"),DATE(IF(N109=5,2023,IF(N109=6,2024)),O109,P109)&lt;DATE(2023,10,1)),0,
G109*H109)))</f>
        <v/>
      </c>
      <c r="R109" s="724" t="str">
        <f xml:space="preserve">
IF(表紙!$X$2="事前協議","－",
IF(表紙!$X$2="交付申請（２次）","－",
IF(表紙!$X$2="変更申請","－",
IF(AND(OR(表紙!$X$2="実績報告（１次）",表紙!$X$2="実績報告（２次）",表紙!$X$2="交付申請兼実績報告"),AL109="◎"),COUNTIF($AL$30:AL109,"◎"),""))))</f>
        <v/>
      </c>
      <c r="S109" s="489" t="str">
        <f t="shared" si="22"/>
        <v/>
      </c>
      <c r="T109" s="765" t="str">
        <f t="shared" si="28"/>
        <v/>
      </c>
      <c r="U109" s="596" t="str">
        <f t="shared" si="27"/>
        <v/>
      </c>
      <c r="V109" s="787" t="str">
        <f t="shared" si="23"/>
        <v/>
      </c>
      <c r="W109" s="787" t="str">
        <f t="shared" si="24"/>
        <v/>
      </c>
      <c r="X109" s="787" t="str">
        <f t="shared" si="25"/>
        <v/>
      </c>
      <c r="Y109" s="491" t="str">
        <f t="shared" si="26"/>
        <v/>
      </c>
      <c r="AJ109" s="461" t="s">
        <v>466</v>
      </c>
      <c r="AK109" s="490">
        <v>97</v>
      </c>
      <c r="AL109" s="460" t="str">
        <f t="shared" si="29"/>
        <v>○</v>
      </c>
      <c r="AM109" s="468" t="str">
        <f t="shared" si="30"/>
        <v>申請しない場合は入力不要です。</v>
      </c>
      <c r="AO109" s="468">
        <f t="shared" si="18"/>
        <v>0</v>
      </c>
    </row>
    <row r="110" spans="1:41" ht="20.100000000000001" customHeight="1">
      <c r="A110" s="485">
        <v>98</v>
      </c>
      <c r="B110" s="205"/>
      <c r="C110" s="206"/>
      <c r="D110" s="1889"/>
      <c r="E110" s="1890"/>
      <c r="F110" s="1891"/>
      <c r="G110" s="207"/>
      <c r="H110" s="207"/>
      <c r="I110" s="208"/>
      <c r="J110" s="486">
        <f t="shared" si="19"/>
        <v>0</v>
      </c>
      <c r="K110" s="487">
        <f t="shared" si="20"/>
        <v>0</v>
      </c>
      <c r="L110" s="487" t="str">
        <f t="shared" si="21"/>
        <v/>
      </c>
      <c r="M110" s="487" t="str">
        <f xml:space="preserve">
IF(AL110&lt;&gt;"◎","",
IF(AND(表紙!X81="実績報告（１次）",DATE(IF(N110=5,2023,IF(N110=6,2024)),O110,P110)&lt;DATE(2023,5,8)),0,
IF(AND(OR(表紙!X81="実績報告（２次）",表紙!X81="交付申請兼実績報告"),DATE(IF(N110=5,2023,IF(N110=6,2024)),O110,P110)&lt;DATE(2023,10,1)),0,
MIN(K110,L110))))</f>
        <v/>
      </c>
      <c r="N110" s="725"/>
      <c r="O110" s="725"/>
      <c r="P110" s="725"/>
      <c r="Q110" s="488" t="str">
        <f xml:space="preserve">
IF(AL110&lt;&gt;"◎","",
IF(AND(表紙!X81="実績報告（１次）",DATE(IF(N110=5,2023,IF(N110=6,2024)),O110,P110)&lt;DATE(2023,5,8)),0,
IF(AND(OR(表紙!X81="実績報告（２次）",表紙!X81="交付申請兼実績報告"),DATE(IF(N110=5,2023,IF(N110=6,2024)),O110,P110)&lt;DATE(2023,10,1)),0,
G110*H110)))</f>
        <v/>
      </c>
      <c r="R110" s="724" t="str">
        <f xml:space="preserve">
IF(表紙!$X$2="事前協議","－",
IF(表紙!$X$2="交付申請（２次）","－",
IF(表紙!$X$2="変更申請","－",
IF(AND(OR(表紙!$X$2="実績報告（１次）",表紙!$X$2="実績報告（２次）",表紙!$X$2="交付申請兼実績報告"),AL110="◎"),COUNTIF($AL$30:AL110,"◎"),""))))</f>
        <v/>
      </c>
      <c r="S110" s="489" t="str">
        <f t="shared" si="22"/>
        <v/>
      </c>
      <c r="T110" s="765" t="str">
        <f t="shared" si="28"/>
        <v/>
      </c>
      <c r="U110" s="596" t="str">
        <f t="shared" si="27"/>
        <v/>
      </c>
      <c r="V110" s="787" t="str">
        <f t="shared" si="23"/>
        <v/>
      </c>
      <c r="W110" s="787" t="str">
        <f t="shared" si="24"/>
        <v/>
      </c>
      <c r="X110" s="787" t="str">
        <f t="shared" si="25"/>
        <v/>
      </c>
      <c r="Y110" s="491" t="str">
        <f t="shared" si="26"/>
        <v/>
      </c>
      <c r="AJ110" s="461" t="s">
        <v>466</v>
      </c>
      <c r="AK110" s="490">
        <v>98</v>
      </c>
      <c r="AL110" s="460" t="str">
        <f t="shared" si="29"/>
        <v>○</v>
      </c>
      <c r="AM110" s="468" t="str">
        <f t="shared" si="30"/>
        <v>申請しない場合は入力不要です。</v>
      </c>
      <c r="AO110" s="468">
        <f t="shared" si="18"/>
        <v>0</v>
      </c>
    </row>
    <row r="111" spans="1:41" ht="20.100000000000001" customHeight="1">
      <c r="A111" s="485">
        <v>99</v>
      </c>
      <c r="B111" s="205"/>
      <c r="C111" s="206"/>
      <c r="D111" s="1889"/>
      <c r="E111" s="1890"/>
      <c r="F111" s="1891"/>
      <c r="G111" s="207"/>
      <c r="H111" s="207"/>
      <c r="I111" s="208"/>
      <c r="J111" s="486">
        <f t="shared" si="19"/>
        <v>0</v>
      </c>
      <c r="K111" s="487">
        <f t="shared" si="20"/>
        <v>0</v>
      </c>
      <c r="L111" s="487" t="str">
        <f t="shared" si="21"/>
        <v/>
      </c>
      <c r="M111" s="487" t="str">
        <f xml:space="preserve">
IF(AL111&lt;&gt;"◎","",
IF(AND(表紙!X82="実績報告（１次）",DATE(IF(N111=5,2023,IF(N111=6,2024)),O111,P111)&lt;DATE(2023,5,8)),0,
IF(AND(OR(表紙!X82="実績報告（２次）",表紙!X82="交付申請兼実績報告"),DATE(IF(N111=5,2023,IF(N111=6,2024)),O111,P111)&lt;DATE(2023,10,1)),0,
MIN(K111,L111))))</f>
        <v/>
      </c>
      <c r="N111" s="725"/>
      <c r="O111" s="725"/>
      <c r="P111" s="725"/>
      <c r="Q111" s="488" t="str">
        <f xml:space="preserve">
IF(AL111&lt;&gt;"◎","",
IF(AND(表紙!X82="実績報告（１次）",DATE(IF(N111=5,2023,IF(N111=6,2024)),O111,P111)&lt;DATE(2023,5,8)),0,
IF(AND(OR(表紙!X82="実績報告（２次）",表紙!X82="交付申請兼実績報告"),DATE(IF(N111=5,2023,IF(N111=6,2024)),O111,P111)&lt;DATE(2023,10,1)),0,
G111*H111)))</f>
        <v/>
      </c>
      <c r="R111" s="724" t="str">
        <f xml:space="preserve">
IF(表紙!$X$2="事前協議","－",
IF(表紙!$X$2="交付申請（２次）","－",
IF(表紙!$X$2="変更申請","－",
IF(AND(OR(表紙!$X$2="実績報告（１次）",表紙!$X$2="実績報告（２次）",表紙!$X$2="交付申請兼実績報告"),AL111="◎"),COUNTIF($AL$30:AL111,"◎"),""))))</f>
        <v/>
      </c>
      <c r="S111" s="489" t="str">
        <f t="shared" si="22"/>
        <v/>
      </c>
      <c r="T111" s="765" t="str">
        <f t="shared" si="28"/>
        <v/>
      </c>
      <c r="U111" s="596" t="str">
        <f t="shared" si="27"/>
        <v/>
      </c>
      <c r="V111" s="787" t="str">
        <f t="shared" si="23"/>
        <v/>
      </c>
      <c r="W111" s="787" t="str">
        <f t="shared" si="24"/>
        <v/>
      </c>
      <c r="X111" s="787" t="str">
        <f t="shared" si="25"/>
        <v/>
      </c>
      <c r="Y111" s="491" t="str">
        <f t="shared" si="26"/>
        <v/>
      </c>
      <c r="AJ111" s="461" t="s">
        <v>466</v>
      </c>
      <c r="AK111" s="490">
        <v>99</v>
      </c>
      <c r="AL111" s="460" t="str">
        <f t="shared" si="29"/>
        <v>○</v>
      </c>
      <c r="AM111" s="468" t="str">
        <f t="shared" si="30"/>
        <v>申請しない場合は入力不要です。</v>
      </c>
      <c r="AO111" s="468">
        <f t="shared" si="18"/>
        <v>0</v>
      </c>
    </row>
    <row r="112" spans="1:41" ht="20.100000000000001" customHeight="1">
      <c r="A112" s="485">
        <v>100</v>
      </c>
      <c r="B112" s="205"/>
      <c r="C112" s="206"/>
      <c r="D112" s="1889"/>
      <c r="E112" s="1890"/>
      <c r="F112" s="1891"/>
      <c r="G112" s="207"/>
      <c r="H112" s="207"/>
      <c r="I112" s="208"/>
      <c r="J112" s="486">
        <f t="shared" si="19"/>
        <v>0</v>
      </c>
      <c r="K112" s="487">
        <f t="shared" si="20"/>
        <v>0</v>
      </c>
      <c r="L112" s="487" t="str">
        <f t="shared" si="21"/>
        <v/>
      </c>
      <c r="M112" s="487" t="str">
        <f xml:space="preserve">
IF(AL112&lt;&gt;"◎","",
IF(AND(表紙!X83="実績報告（１次）",DATE(IF(N112=5,2023,IF(N112=6,2024)),O112,P112)&lt;DATE(2023,5,8)),0,
IF(AND(OR(表紙!X83="実績報告（２次）",表紙!X83="交付申請兼実績報告"),DATE(IF(N112=5,2023,IF(N112=6,2024)),O112,P112)&lt;DATE(2023,10,1)),0,
MIN(K112,L112))))</f>
        <v/>
      </c>
      <c r="N112" s="725"/>
      <c r="O112" s="725"/>
      <c r="P112" s="725"/>
      <c r="Q112" s="488" t="str">
        <f xml:space="preserve">
IF(AL112&lt;&gt;"◎","",
IF(AND(表紙!X83="実績報告（１次）",DATE(IF(N112=5,2023,IF(N112=6,2024)),O112,P112)&lt;DATE(2023,5,8)),0,
IF(AND(OR(表紙!X83="実績報告（２次）",表紙!X83="交付申請兼実績報告"),DATE(IF(N112=5,2023,IF(N112=6,2024)),O112,P112)&lt;DATE(2023,10,1)),0,
G112*H112)))</f>
        <v/>
      </c>
      <c r="R112" s="724" t="str">
        <f xml:space="preserve">
IF(表紙!$X$2="事前協議","－",
IF(表紙!$X$2="交付申請（２次）","－",
IF(表紙!$X$2="変更申請","－",
IF(AND(OR(表紙!$X$2="実績報告（１次）",表紙!$X$2="実績報告（２次）",表紙!$X$2="交付申請兼実績報告"),AL112="◎"),COUNTIF($AL$30:AL112,"◎"),""))))</f>
        <v/>
      </c>
      <c r="S112" s="489" t="str">
        <f t="shared" si="22"/>
        <v/>
      </c>
      <c r="T112" s="765" t="str">
        <f t="shared" si="28"/>
        <v/>
      </c>
      <c r="U112" s="596" t="str">
        <f t="shared" si="27"/>
        <v/>
      </c>
      <c r="V112" s="787" t="str">
        <f t="shared" si="23"/>
        <v/>
      </c>
      <c r="W112" s="787" t="str">
        <f t="shared" si="24"/>
        <v/>
      </c>
      <c r="X112" s="787" t="str">
        <f t="shared" si="25"/>
        <v/>
      </c>
      <c r="Y112" s="491" t="str">
        <f t="shared" si="26"/>
        <v/>
      </c>
      <c r="AJ112" s="461" t="s">
        <v>466</v>
      </c>
      <c r="AK112" s="490">
        <v>100</v>
      </c>
      <c r="AL112" s="460" t="str">
        <f t="shared" si="29"/>
        <v>○</v>
      </c>
      <c r="AM112" s="468" t="str">
        <f t="shared" si="30"/>
        <v>申請しない場合は入力不要です。</v>
      </c>
      <c r="AO112" s="468">
        <f t="shared" si="18"/>
        <v>0</v>
      </c>
    </row>
    <row r="113" spans="1:57" ht="20.100000000000001" customHeight="1">
      <c r="A113" s="485">
        <v>101</v>
      </c>
      <c r="B113" s="205"/>
      <c r="C113" s="206"/>
      <c r="D113" s="1889"/>
      <c r="E113" s="1890"/>
      <c r="F113" s="1891"/>
      <c r="G113" s="207"/>
      <c r="H113" s="207"/>
      <c r="I113" s="208"/>
      <c r="J113" s="486">
        <f t="shared" ref="J113:J144" si="31">ROUNDDOWN(I113*1.1,0)</f>
        <v>0</v>
      </c>
      <c r="K113" s="487">
        <f t="shared" ref="K113:K144" si="32">ROUNDDOWN(H113*J113,0)</f>
        <v>0</v>
      </c>
      <c r="L113" s="487" t="str">
        <f t="shared" ref="L113:L144" si="33">IFERROR(G113*H113*VLOOKUP(C113,$AY$123:$AZ$139,2,FALSE),"")</f>
        <v/>
      </c>
      <c r="M113" s="487" t="str">
        <f xml:space="preserve">
IF(AL113&lt;&gt;"◎","",
IF(AND(表紙!X84="実績報告（１次）",DATE(IF(N113=5,2023,IF(N113=6,2024)),O113,P113)&lt;DATE(2023,5,8)),0,
IF(AND(OR(表紙!X84="実績報告（２次）",表紙!X84="交付申請兼実績報告"),DATE(IF(N113=5,2023,IF(N113=6,2024)),O113,P113)&lt;DATE(2023,10,1)),0,
MIN(K113,L113))))</f>
        <v/>
      </c>
      <c r="N113" s="725"/>
      <c r="O113" s="725"/>
      <c r="P113" s="725"/>
      <c r="Q113" s="488" t="str">
        <f xml:space="preserve">
IF(AL113&lt;&gt;"◎","",
IF(AND(表紙!X84="実績報告（１次）",DATE(IF(N113=5,2023,IF(N113=6,2024)),O113,P113)&lt;DATE(2023,5,8)),0,
IF(AND(OR(表紙!X84="実績報告（２次）",表紙!X84="交付申請兼実績報告"),DATE(IF(N113=5,2023,IF(N113=6,2024)),O113,P113)&lt;DATE(2023,10,1)),0,
G113*H113)))</f>
        <v/>
      </c>
      <c r="R113" s="724" t="str">
        <f xml:space="preserve">
IF(表紙!$X$2="事前協議","－",
IF(表紙!$X$2="交付申請（２次）","－",
IF(表紙!$X$2="変更申請","－",
IF(AND(OR(表紙!$X$2="実績報告（１次）",表紙!$X$2="実績報告（２次）",表紙!$X$2="交付申請兼実績報告"),AL113="◎"),COUNTIF($AL$30:AL113,"◎"),""))))</f>
        <v/>
      </c>
      <c r="S113" s="489" t="str">
        <f t="shared" ref="S113:S144" si="34">IFERROR(
"@"&amp;TEXT(ROUNDUP(J113/G113,0),"#,###円")&amp;
IF(ROUNDUP(J113/G113,0)&lt;VLOOKUP(C113,$AY$123:$AZ$139,2,FALSE),"&lt;",
IF(ROUNDUP(J113/G113,0)=VLOOKUP(C113,$AY$123:$AZ$139,2,FALSE),"=",
IF(ROUNDUP(J113/G113,0)&gt;VLOOKUP(C113,$AY$123:$AZ$139,2,FALSE),"&gt;")))&amp;
"上限@"&amp;TEXT(VLOOKUP(C113,$AY$123:$AZ$139,2,FALSE),"#,###円"),"")</f>
        <v/>
      </c>
      <c r="T113" s="765" t="str">
        <f t="shared" si="28"/>
        <v/>
      </c>
      <c r="U113" s="596" t="str">
        <f t="shared" ref="U113:U144" si="35">IF(AL113="◎",DATE(IF(N113=5,2023,IF(N113=6,2024)),O113,P113),"")</f>
        <v/>
      </c>
      <c r="V113" s="787" t="str">
        <f t="shared" si="23"/>
        <v/>
      </c>
      <c r="W113" s="787" t="str">
        <f t="shared" si="24"/>
        <v/>
      </c>
      <c r="X113" s="787" t="str">
        <f t="shared" si="25"/>
        <v/>
      </c>
      <c r="Y113" s="491" t="str">
        <f t="shared" si="26"/>
        <v/>
      </c>
      <c r="AJ113" s="461" t="s">
        <v>466</v>
      </c>
      <c r="AK113" s="490">
        <v>101</v>
      </c>
      <c r="AL113" s="460" t="str">
        <f t="shared" si="29"/>
        <v>○</v>
      </c>
      <c r="AM113" s="468" t="str">
        <f t="shared" si="30"/>
        <v>申請しない場合は入力不要です。</v>
      </c>
      <c r="AO113" s="468">
        <f t="shared" ref="AO113:AO144" si="36">G113*H113</f>
        <v>0</v>
      </c>
    </row>
    <row r="114" spans="1:57" ht="20.100000000000001" customHeight="1">
      <c r="A114" s="485">
        <v>102</v>
      </c>
      <c r="B114" s="205"/>
      <c r="C114" s="206"/>
      <c r="D114" s="1889"/>
      <c r="E114" s="1890"/>
      <c r="F114" s="1891"/>
      <c r="G114" s="207"/>
      <c r="H114" s="207"/>
      <c r="I114" s="208"/>
      <c r="J114" s="486">
        <f t="shared" si="31"/>
        <v>0</v>
      </c>
      <c r="K114" s="487">
        <f t="shared" si="32"/>
        <v>0</v>
      </c>
      <c r="L114" s="487" t="str">
        <f t="shared" si="33"/>
        <v/>
      </c>
      <c r="M114" s="487" t="str">
        <f xml:space="preserve">
IF(AL114&lt;&gt;"◎","",
IF(AND(表紙!X85="実績報告（１次）",DATE(IF(N114=5,2023,IF(N114=6,2024)),O114,P114)&lt;DATE(2023,5,8)),0,
IF(AND(OR(表紙!X85="実績報告（２次）",表紙!X85="交付申請兼実績報告"),DATE(IF(N114=5,2023,IF(N114=6,2024)),O114,P114)&lt;DATE(2023,10,1)),0,
MIN(K114,L114))))</f>
        <v/>
      </c>
      <c r="N114" s="725"/>
      <c r="O114" s="725"/>
      <c r="P114" s="725"/>
      <c r="Q114" s="488" t="str">
        <f xml:space="preserve">
IF(AL114&lt;&gt;"◎","",
IF(AND(表紙!X85="実績報告（１次）",DATE(IF(N114=5,2023,IF(N114=6,2024)),O114,P114)&lt;DATE(2023,5,8)),0,
IF(AND(OR(表紙!X85="実績報告（２次）",表紙!X85="交付申請兼実績報告"),DATE(IF(N114=5,2023,IF(N114=6,2024)),O114,P114)&lt;DATE(2023,10,1)),0,
G114*H114)))</f>
        <v/>
      </c>
      <c r="R114" s="724" t="str">
        <f xml:space="preserve">
IF(表紙!$X$2="事前協議","－",
IF(表紙!$X$2="交付申請（２次）","－",
IF(表紙!$X$2="変更申請","－",
IF(AND(OR(表紙!$X$2="実績報告（１次）",表紙!$X$2="実績報告（２次）",表紙!$X$2="交付申請兼実績報告"),AL114="◎"),COUNTIF($AL$30:AL114,"◎"),""))))</f>
        <v/>
      </c>
      <c r="S114" s="489" t="str">
        <f t="shared" si="34"/>
        <v/>
      </c>
      <c r="T114" s="765" t="str">
        <f t="shared" si="28"/>
        <v/>
      </c>
      <c r="U114" s="596" t="str">
        <f t="shared" si="35"/>
        <v/>
      </c>
      <c r="V114" s="787" t="str">
        <f t="shared" si="23"/>
        <v/>
      </c>
      <c r="W114" s="787" t="str">
        <f t="shared" si="24"/>
        <v/>
      </c>
      <c r="X114" s="787" t="str">
        <f t="shared" si="25"/>
        <v/>
      </c>
      <c r="Y114" s="491" t="str">
        <f t="shared" si="26"/>
        <v/>
      </c>
      <c r="AJ114" s="461" t="s">
        <v>466</v>
      </c>
      <c r="AK114" s="490">
        <v>102</v>
      </c>
      <c r="AL114" s="460" t="str">
        <f t="shared" si="29"/>
        <v>○</v>
      </c>
      <c r="AM114" s="468" t="str">
        <f t="shared" si="30"/>
        <v>申請しない場合は入力不要です。</v>
      </c>
      <c r="AO114" s="468">
        <f t="shared" si="36"/>
        <v>0</v>
      </c>
    </row>
    <row r="115" spans="1:57" ht="20.100000000000001" customHeight="1">
      <c r="A115" s="485">
        <v>103</v>
      </c>
      <c r="B115" s="205"/>
      <c r="C115" s="206"/>
      <c r="D115" s="1889"/>
      <c r="E115" s="1890"/>
      <c r="F115" s="1891"/>
      <c r="G115" s="207"/>
      <c r="H115" s="207"/>
      <c r="I115" s="208"/>
      <c r="J115" s="486">
        <f t="shared" si="31"/>
        <v>0</v>
      </c>
      <c r="K115" s="487">
        <f t="shared" si="32"/>
        <v>0</v>
      </c>
      <c r="L115" s="487" t="str">
        <f t="shared" si="33"/>
        <v/>
      </c>
      <c r="M115" s="487" t="str">
        <f xml:space="preserve">
IF(AL115&lt;&gt;"◎","",
IF(AND(表紙!X86="実績報告（１次）",DATE(IF(N115=5,2023,IF(N115=6,2024)),O115,P115)&lt;DATE(2023,5,8)),0,
IF(AND(OR(表紙!X86="実績報告（２次）",表紙!X86="交付申請兼実績報告"),DATE(IF(N115=5,2023,IF(N115=6,2024)),O115,P115)&lt;DATE(2023,10,1)),0,
MIN(K115,L115))))</f>
        <v/>
      </c>
      <c r="N115" s="725"/>
      <c r="O115" s="725"/>
      <c r="P115" s="725"/>
      <c r="Q115" s="488" t="str">
        <f xml:space="preserve">
IF(AL115&lt;&gt;"◎","",
IF(AND(表紙!X86="実績報告（１次）",DATE(IF(N115=5,2023,IF(N115=6,2024)),O115,P115)&lt;DATE(2023,5,8)),0,
IF(AND(OR(表紙!X86="実績報告（２次）",表紙!X86="交付申請兼実績報告"),DATE(IF(N115=5,2023,IF(N115=6,2024)),O115,P115)&lt;DATE(2023,10,1)),0,
G115*H115)))</f>
        <v/>
      </c>
      <c r="R115" s="724" t="str">
        <f xml:space="preserve">
IF(表紙!$X$2="事前協議","－",
IF(表紙!$X$2="交付申請（２次）","－",
IF(表紙!$X$2="変更申請","－",
IF(AND(OR(表紙!$X$2="実績報告（１次）",表紙!$X$2="実績報告（２次）",表紙!$X$2="交付申請兼実績報告"),AL115="◎"),COUNTIF($AL$30:AL115,"◎"),""))))</f>
        <v/>
      </c>
      <c r="S115" s="489" t="str">
        <f t="shared" si="34"/>
        <v/>
      </c>
      <c r="T115" s="765" t="str">
        <f t="shared" si="28"/>
        <v/>
      </c>
      <c r="U115" s="596" t="str">
        <f t="shared" si="35"/>
        <v/>
      </c>
      <c r="V115" s="787" t="str">
        <f t="shared" si="23"/>
        <v/>
      </c>
      <c r="W115" s="787" t="str">
        <f t="shared" si="24"/>
        <v/>
      </c>
      <c r="X115" s="787" t="str">
        <f t="shared" si="25"/>
        <v/>
      </c>
      <c r="Y115" s="491" t="str">
        <f t="shared" si="26"/>
        <v/>
      </c>
      <c r="AJ115" s="461" t="s">
        <v>466</v>
      </c>
      <c r="AK115" s="490">
        <v>103</v>
      </c>
      <c r="AL115" s="460" t="str">
        <f t="shared" si="29"/>
        <v>○</v>
      </c>
      <c r="AM115" s="468" t="str">
        <f t="shared" si="30"/>
        <v>申請しない場合は入力不要です。</v>
      </c>
      <c r="AO115" s="468">
        <f t="shared" si="36"/>
        <v>0</v>
      </c>
    </row>
    <row r="116" spans="1:57" ht="20.100000000000001" customHeight="1">
      <c r="A116" s="485">
        <v>104</v>
      </c>
      <c r="B116" s="205"/>
      <c r="C116" s="206"/>
      <c r="D116" s="1889"/>
      <c r="E116" s="1890"/>
      <c r="F116" s="1891"/>
      <c r="G116" s="207"/>
      <c r="H116" s="207"/>
      <c r="I116" s="208"/>
      <c r="J116" s="486">
        <f t="shared" si="31"/>
        <v>0</v>
      </c>
      <c r="K116" s="487">
        <f t="shared" si="32"/>
        <v>0</v>
      </c>
      <c r="L116" s="487" t="str">
        <f t="shared" si="33"/>
        <v/>
      </c>
      <c r="M116" s="487" t="str">
        <f xml:space="preserve">
IF(AL116&lt;&gt;"◎","",
IF(AND(表紙!X87="実績報告（１次）",DATE(IF(N116=5,2023,IF(N116=6,2024)),O116,P116)&lt;DATE(2023,5,8)),0,
IF(AND(OR(表紙!X87="実績報告（２次）",表紙!X87="交付申請兼実績報告"),DATE(IF(N116=5,2023,IF(N116=6,2024)),O116,P116)&lt;DATE(2023,10,1)),0,
MIN(K116,L116))))</f>
        <v/>
      </c>
      <c r="N116" s="725"/>
      <c r="O116" s="725"/>
      <c r="P116" s="725"/>
      <c r="Q116" s="488" t="str">
        <f xml:space="preserve">
IF(AL116&lt;&gt;"◎","",
IF(AND(表紙!X87="実績報告（１次）",DATE(IF(N116=5,2023,IF(N116=6,2024)),O116,P116)&lt;DATE(2023,5,8)),0,
IF(AND(OR(表紙!X87="実績報告（２次）",表紙!X87="交付申請兼実績報告"),DATE(IF(N116=5,2023,IF(N116=6,2024)),O116,P116)&lt;DATE(2023,10,1)),0,
G116*H116)))</f>
        <v/>
      </c>
      <c r="R116" s="724" t="str">
        <f xml:space="preserve">
IF(表紙!$X$2="事前協議","－",
IF(表紙!$X$2="交付申請（２次）","－",
IF(表紙!$X$2="変更申請","－",
IF(AND(OR(表紙!$X$2="実績報告（１次）",表紙!$X$2="実績報告（２次）",表紙!$X$2="交付申請兼実績報告"),AL116="◎"),COUNTIF($AL$30:AL116,"◎"),""))))</f>
        <v/>
      </c>
      <c r="S116" s="489" t="str">
        <f t="shared" si="34"/>
        <v/>
      </c>
      <c r="T116" s="765" t="str">
        <f t="shared" si="28"/>
        <v/>
      </c>
      <c r="U116" s="596" t="str">
        <f t="shared" si="35"/>
        <v/>
      </c>
      <c r="V116" s="787" t="str">
        <f t="shared" si="23"/>
        <v/>
      </c>
      <c r="W116" s="787" t="str">
        <f t="shared" si="24"/>
        <v/>
      </c>
      <c r="X116" s="787" t="str">
        <f t="shared" si="25"/>
        <v/>
      </c>
      <c r="Y116" s="491" t="str">
        <f t="shared" si="26"/>
        <v/>
      </c>
      <c r="AJ116" s="461" t="s">
        <v>466</v>
      </c>
      <c r="AK116" s="490">
        <v>104</v>
      </c>
      <c r="AL116" s="460" t="str">
        <f t="shared" si="29"/>
        <v>○</v>
      </c>
      <c r="AM116" s="468" t="str">
        <f t="shared" si="30"/>
        <v>申請しない場合は入力不要です。</v>
      </c>
      <c r="AO116" s="468">
        <f t="shared" si="36"/>
        <v>0</v>
      </c>
    </row>
    <row r="117" spans="1:57" ht="20.100000000000001" customHeight="1">
      <c r="A117" s="485">
        <v>105</v>
      </c>
      <c r="B117" s="205"/>
      <c r="C117" s="206"/>
      <c r="D117" s="1889"/>
      <c r="E117" s="1890"/>
      <c r="F117" s="1891"/>
      <c r="G117" s="207"/>
      <c r="H117" s="207"/>
      <c r="I117" s="208"/>
      <c r="J117" s="486">
        <f t="shared" si="31"/>
        <v>0</v>
      </c>
      <c r="K117" s="487">
        <f t="shared" si="32"/>
        <v>0</v>
      </c>
      <c r="L117" s="487" t="str">
        <f t="shared" si="33"/>
        <v/>
      </c>
      <c r="M117" s="487" t="str">
        <f xml:space="preserve">
IF(AL117&lt;&gt;"◎","",
IF(AND(表紙!X88="実績報告（１次）",DATE(IF(N117=5,2023,IF(N117=6,2024)),O117,P117)&lt;DATE(2023,5,8)),0,
IF(AND(OR(表紙!X88="実績報告（２次）",表紙!X88="交付申請兼実績報告"),DATE(IF(N117=5,2023,IF(N117=6,2024)),O117,P117)&lt;DATE(2023,10,1)),0,
MIN(K117,L117))))</f>
        <v/>
      </c>
      <c r="N117" s="725"/>
      <c r="O117" s="725"/>
      <c r="P117" s="725"/>
      <c r="Q117" s="488" t="str">
        <f xml:space="preserve">
IF(AL117&lt;&gt;"◎","",
IF(AND(表紙!X88="実績報告（１次）",DATE(IF(N117=5,2023,IF(N117=6,2024)),O117,P117)&lt;DATE(2023,5,8)),0,
IF(AND(OR(表紙!X88="実績報告（２次）",表紙!X88="交付申請兼実績報告"),DATE(IF(N117=5,2023,IF(N117=6,2024)),O117,P117)&lt;DATE(2023,10,1)),0,
G117*H117)))</f>
        <v/>
      </c>
      <c r="R117" s="724" t="str">
        <f xml:space="preserve">
IF(表紙!$X$2="事前協議","－",
IF(表紙!$X$2="交付申請（２次）","－",
IF(表紙!$X$2="変更申請","－",
IF(AND(OR(表紙!$X$2="実績報告（１次）",表紙!$X$2="実績報告（２次）",表紙!$X$2="交付申請兼実績報告"),AL117="◎"),COUNTIF($AL$30:AL117,"◎"),""))))</f>
        <v/>
      </c>
      <c r="S117" s="489" t="str">
        <f t="shared" si="34"/>
        <v/>
      </c>
      <c r="T117" s="765" t="str">
        <f t="shared" si="28"/>
        <v/>
      </c>
      <c r="U117" s="596" t="str">
        <f t="shared" si="35"/>
        <v/>
      </c>
      <c r="V117" s="787" t="str">
        <f t="shared" si="23"/>
        <v/>
      </c>
      <c r="W117" s="787" t="str">
        <f t="shared" si="24"/>
        <v/>
      </c>
      <c r="X117" s="787" t="str">
        <f t="shared" si="25"/>
        <v/>
      </c>
      <c r="Y117" s="491" t="str">
        <f t="shared" si="26"/>
        <v/>
      </c>
      <c r="AJ117" s="461" t="s">
        <v>466</v>
      </c>
      <c r="AK117" s="490">
        <v>105</v>
      </c>
      <c r="AL117" s="460" t="str">
        <f t="shared" si="29"/>
        <v>○</v>
      </c>
      <c r="AM117" s="468" t="str">
        <f t="shared" si="30"/>
        <v>申請しない場合は入力不要です。</v>
      </c>
      <c r="AO117" s="468">
        <f t="shared" si="36"/>
        <v>0</v>
      </c>
      <c r="AS117" s="460" t="s">
        <v>467</v>
      </c>
      <c r="AT117" s="460" t="s">
        <v>98</v>
      </c>
      <c r="AU117" s="460" t="s">
        <v>97</v>
      </c>
      <c r="AV117" s="460" t="s">
        <v>61</v>
      </c>
      <c r="AW117" s="1892" t="s">
        <v>468</v>
      </c>
      <c r="AX117" s="1893"/>
      <c r="AY117" s="1893"/>
      <c r="AZ117" s="1893"/>
      <c r="BA117" s="1893"/>
      <c r="BB117" s="1893"/>
      <c r="BC117" s="1893"/>
    </row>
    <row r="118" spans="1:57" ht="20.100000000000001" customHeight="1">
      <c r="A118" s="485">
        <v>106</v>
      </c>
      <c r="B118" s="205"/>
      <c r="C118" s="206"/>
      <c r="D118" s="1889"/>
      <c r="E118" s="1890"/>
      <c r="F118" s="1891"/>
      <c r="G118" s="207"/>
      <c r="H118" s="207"/>
      <c r="I118" s="208"/>
      <c r="J118" s="486">
        <f t="shared" si="31"/>
        <v>0</v>
      </c>
      <c r="K118" s="487">
        <f t="shared" si="32"/>
        <v>0</v>
      </c>
      <c r="L118" s="487" t="str">
        <f t="shared" si="33"/>
        <v/>
      </c>
      <c r="M118" s="487" t="str">
        <f xml:space="preserve">
IF(AL118&lt;&gt;"◎","",
IF(AND(表紙!X89="実績報告（１次）",DATE(IF(N118=5,2023,IF(N118=6,2024)),O118,P118)&lt;DATE(2023,5,8)),0,
IF(AND(OR(表紙!X89="実績報告（２次）",表紙!X89="交付申請兼実績報告"),DATE(IF(N118=5,2023,IF(N118=6,2024)),O118,P118)&lt;DATE(2023,10,1)),0,
MIN(K118,L118))))</f>
        <v/>
      </c>
      <c r="N118" s="725"/>
      <c r="O118" s="725"/>
      <c r="P118" s="725"/>
      <c r="Q118" s="488" t="str">
        <f xml:space="preserve">
IF(AL118&lt;&gt;"◎","",
IF(AND(表紙!X89="実績報告（１次）",DATE(IF(N118=5,2023,IF(N118=6,2024)),O118,P118)&lt;DATE(2023,5,8)),0,
IF(AND(OR(表紙!X89="実績報告（２次）",表紙!X89="交付申請兼実績報告"),DATE(IF(N118=5,2023,IF(N118=6,2024)),O118,P118)&lt;DATE(2023,10,1)),0,
G118*H118)))</f>
        <v/>
      </c>
      <c r="R118" s="724" t="str">
        <f xml:space="preserve">
IF(表紙!$X$2="事前協議","－",
IF(表紙!$X$2="交付申請（２次）","－",
IF(表紙!$X$2="変更申請","－",
IF(AND(OR(表紙!$X$2="実績報告（１次）",表紙!$X$2="実績報告（２次）",表紙!$X$2="交付申請兼実績報告"),AL118="◎"),COUNTIF($AL$30:AL118,"◎"),""))))</f>
        <v/>
      </c>
      <c r="S118" s="489" t="str">
        <f t="shared" si="34"/>
        <v/>
      </c>
      <c r="T118" s="765" t="str">
        <f t="shared" si="28"/>
        <v/>
      </c>
      <c r="U118" s="596" t="str">
        <f t="shared" si="35"/>
        <v/>
      </c>
      <c r="V118" s="787" t="str">
        <f t="shared" si="23"/>
        <v/>
      </c>
      <c r="W118" s="787" t="str">
        <f t="shared" si="24"/>
        <v/>
      </c>
      <c r="X118" s="787" t="str">
        <f t="shared" si="25"/>
        <v/>
      </c>
      <c r="Y118" s="491" t="str">
        <f t="shared" si="26"/>
        <v/>
      </c>
      <c r="AJ118" s="461" t="s">
        <v>466</v>
      </c>
      <c r="AK118" s="490">
        <v>106</v>
      </c>
      <c r="AL118" s="460" t="str">
        <f t="shared" si="29"/>
        <v>○</v>
      </c>
      <c r="AM118" s="468" t="str">
        <f t="shared" si="30"/>
        <v>申請しない場合は入力不要です。</v>
      </c>
      <c r="AO118" s="468">
        <f t="shared" si="36"/>
        <v>0</v>
      </c>
      <c r="AS118" s="491" t="s">
        <v>1214</v>
      </c>
      <c r="AT118" s="816" t="str">
        <f xml:space="preserve">
IF(基礎情報!AZ99="○","◎",
IF(基礎情報!AZ99="×","×"))</f>
        <v>×</v>
      </c>
      <c r="AU118" s="1866" t="str">
        <f xml:space="preserve">
IF(AND(AT118="×",AT119="×"),"×",
IF(AND(AT118="×",AT119="○"),"○",
IF(AND(AT118="×",AT119="◎"),"×",
IF(AND(AT118="○",AT119="×"),"×",
IF(AND(AT118="○",AT119="○"),"○",
IF(AND(AT118="○",AT119="◎"),"×",
IF(AND(AT118="◎",AT119="×"),"×",
IF(AND(AT118="◎",AT119="○"),"○",
IF(AND(AT118="◎",AT119="◎"),"◎",
)))))))))</f>
        <v>×</v>
      </c>
      <c r="AV118" s="1894" t="str">
        <f xml:space="preserve">
IF(AND(AT118="×",AT119="×"),"【要修正】「基礎情報」シート及び「防護具情報」いずれも入力が不十分です。",
IF(AND(AT118="×",AT119="○"),"申請しない場合は入力不要です。",
IF(AND(AT118="×",AT119="◎"),"【要修正】「基礎情報」シートが入力不十分です。",
IF(AND(AT118="○",AT119="×"),"【要修正】「基礎情報」シートが未入力、「防護具情報」に入力不十分な箇所があります。",
IF(AND(AT118="○",AT119="○"),"申請しない場合は入力不要です。",
IF(AND(AT118="○",AT119="◎"),"【要修正】「基礎情報」シートが未入力です。",
IF(AND(AT118="◎",AT119="×"),"【要修正】「防護具情報」に入力不十分な箇所があります。",
IF(AND(AT118="◎",AT119="○"),"申請しない場合は入力不要です。",
IF(AND(AT118="◎",AT119="◎"),"いずれの項目も適切に入力されました。",
)))))))))</f>
        <v>【要修正】「基礎情報」シート及び「防護具情報」いずれも入力が不十分です。</v>
      </c>
      <c r="AW118" s="1892"/>
      <c r="AX118" s="1893"/>
      <c r="AY118" s="1893"/>
      <c r="AZ118" s="1893"/>
      <c r="BA118" s="1893"/>
      <c r="BB118" s="1893"/>
      <c r="BC118" s="1893"/>
    </row>
    <row r="119" spans="1:57" ht="20.100000000000001" customHeight="1">
      <c r="A119" s="485">
        <v>107</v>
      </c>
      <c r="B119" s="205"/>
      <c r="C119" s="206"/>
      <c r="D119" s="1889"/>
      <c r="E119" s="1890"/>
      <c r="F119" s="1891"/>
      <c r="G119" s="207"/>
      <c r="H119" s="207"/>
      <c r="I119" s="208"/>
      <c r="J119" s="486">
        <f t="shared" si="31"/>
        <v>0</v>
      </c>
      <c r="K119" s="487">
        <f t="shared" si="32"/>
        <v>0</v>
      </c>
      <c r="L119" s="487" t="str">
        <f t="shared" si="33"/>
        <v/>
      </c>
      <c r="M119" s="487" t="str">
        <f xml:space="preserve">
IF(AL119&lt;&gt;"◎","",
IF(AND(表紙!X90="実績報告（１次）",DATE(IF(N119=5,2023,IF(N119=6,2024)),O119,P119)&lt;DATE(2023,5,8)),0,
IF(AND(OR(表紙!X90="実績報告（２次）",表紙!X90="交付申請兼実績報告"),DATE(IF(N119=5,2023,IF(N119=6,2024)),O119,P119)&lt;DATE(2023,10,1)),0,
MIN(K119,L119))))</f>
        <v/>
      </c>
      <c r="N119" s="725"/>
      <c r="O119" s="725"/>
      <c r="P119" s="725"/>
      <c r="Q119" s="488" t="str">
        <f xml:space="preserve">
IF(AL119&lt;&gt;"◎","",
IF(AND(表紙!X90="実績報告（１次）",DATE(IF(N119=5,2023,IF(N119=6,2024)),O119,P119)&lt;DATE(2023,5,8)),0,
IF(AND(OR(表紙!X90="実績報告（２次）",表紙!X90="交付申請兼実績報告"),DATE(IF(N119=5,2023,IF(N119=6,2024)),O119,P119)&lt;DATE(2023,10,1)),0,
G119*H119)))</f>
        <v/>
      </c>
      <c r="R119" s="724" t="str">
        <f xml:space="preserve">
IF(表紙!$X$2="事前協議","－",
IF(表紙!$X$2="交付申請（２次）","－",
IF(表紙!$X$2="変更申請","－",
IF(AND(OR(表紙!$X$2="実績報告（１次）",表紙!$X$2="実績報告（２次）",表紙!$X$2="交付申請兼実績報告"),AL119="◎"),COUNTIF($AL$30:AL119,"◎"),""))))</f>
        <v/>
      </c>
      <c r="S119" s="489" t="str">
        <f t="shared" si="34"/>
        <v/>
      </c>
      <c r="T119" s="765" t="str">
        <f t="shared" si="28"/>
        <v/>
      </c>
      <c r="U119" s="596" t="str">
        <f t="shared" si="35"/>
        <v/>
      </c>
      <c r="V119" s="787" t="str">
        <f t="shared" si="23"/>
        <v/>
      </c>
      <c r="W119" s="787" t="str">
        <f t="shared" si="24"/>
        <v/>
      </c>
      <c r="X119" s="787" t="str">
        <f t="shared" si="25"/>
        <v/>
      </c>
      <c r="Y119" s="491" t="str">
        <f t="shared" si="26"/>
        <v/>
      </c>
      <c r="AJ119" s="461" t="s">
        <v>466</v>
      </c>
      <c r="AK119" s="490">
        <v>107</v>
      </c>
      <c r="AL119" s="460" t="str">
        <f t="shared" si="29"/>
        <v>○</v>
      </c>
      <c r="AM119" s="468" t="str">
        <f t="shared" si="30"/>
        <v>申請しない場合は入力不要です。</v>
      </c>
      <c r="AO119" s="468">
        <f t="shared" si="36"/>
        <v>0</v>
      </c>
      <c r="AS119" s="468" t="s">
        <v>469</v>
      </c>
      <c r="AT119" s="816" t="str">
        <f>IF(COUNTIF(AL13:AL112,"×")&gt;=1,"×",IF(COUNTIF(AL13:AL112,"○")=100,"○","◎"))</f>
        <v>×</v>
      </c>
      <c r="AU119" s="1867"/>
      <c r="AV119" s="1895"/>
      <c r="AW119" s="1892"/>
      <c r="AX119" s="1893"/>
      <c r="AY119" s="1893"/>
      <c r="AZ119" s="1893"/>
      <c r="BA119" s="1893"/>
      <c r="BB119" s="1893"/>
      <c r="BC119" s="1893"/>
    </row>
    <row r="120" spans="1:57" ht="20.100000000000001" customHeight="1">
      <c r="A120" s="485">
        <v>108</v>
      </c>
      <c r="B120" s="205"/>
      <c r="C120" s="206"/>
      <c r="D120" s="1889"/>
      <c r="E120" s="1890"/>
      <c r="F120" s="1891"/>
      <c r="G120" s="207"/>
      <c r="H120" s="207"/>
      <c r="I120" s="208"/>
      <c r="J120" s="486">
        <f t="shared" si="31"/>
        <v>0</v>
      </c>
      <c r="K120" s="487">
        <f t="shared" si="32"/>
        <v>0</v>
      </c>
      <c r="L120" s="487" t="str">
        <f t="shared" si="33"/>
        <v/>
      </c>
      <c r="M120" s="487" t="str">
        <f xml:space="preserve">
IF(AL120&lt;&gt;"◎","",
IF(AND(表紙!X91="実績報告（１次）",DATE(IF(N120=5,2023,IF(N120=6,2024)),O120,P120)&lt;DATE(2023,5,8)),0,
IF(AND(OR(表紙!X91="実績報告（２次）",表紙!X91="交付申請兼実績報告"),DATE(IF(N120=5,2023,IF(N120=6,2024)),O120,P120)&lt;DATE(2023,10,1)),0,
MIN(K120,L120))))</f>
        <v/>
      </c>
      <c r="N120" s="725"/>
      <c r="O120" s="725"/>
      <c r="P120" s="725"/>
      <c r="Q120" s="488" t="str">
        <f xml:space="preserve">
IF(AL120&lt;&gt;"◎","",
IF(AND(表紙!X91="実績報告（１次）",DATE(IF(N120=5,2023,IF(N120=6,2024)),O120,P120)&lt;DATE(2023,5,8)),0,
IF(AND(OR(表紙!X91="実績報告（２次）",表紙!X91="交付申請兼実績報告"),DATE(IF(N120=5,2023,IF(N120=6,2024)),O120,P120)&lt;DATE(2023,10,1)),0,
G120*H120)))</f>
        <v/>
      </c>
      <c r="R120" s="724" t="str">
        <f xml:space="preserve">
IF(表紙!$X$2="事前協議","－",
IF(表紙!$X$2="交付申請（２次）","－",
IF(表紙!$X$2="変更申請","－",
IF(AND(OR(表紙!$X$2="実績報告（１次）",表紙!$X$2="実績報告（２次）",表紙!$X$2="交付申請兼実績報告"),AL120="◎"),COUNTIF($AL$30:AL120,"◎"),""))))</f>
        <v/>
      </c>
      <c r="S120" s="489" t="str">
        <f t="shared" si="34"/>
        <v/>
      </c>
      <c r="T120" s="765" t="str">
        <f t="shared" si="28"/>
        <v/>
      </c>
      <c r="U120" s="596" t="str">
        <f t="shared" si="35"/>
        <v/>
      </c>
      <c r="V120" s="787" t="str">
        <f t="shared" si="23"/>
        <v/>
      </c>
      <c r="W120" s="787" t="str">
        <f t="shared" si="24"/>
        <v/>
      </c>
      <c r="X120" s="787" t="str">
        <f t="shared" si="25"/>
        <v/>
      </c>
      <c r="Y120" s="491" t="str">
        <f t="shared" si="26"/>
        <v/>
      </c>
      <c r="AJ120" s="461" t="s">
        <v>466</v>
      </c>
      <c r="AK120" s="490">
        <v>108</v>
      </c>
      <c r="AL120" s="460" t="str">
        <f t="shared" si="29"/>
        <v>○</v>
      </c>
      <c r="AM120" s="468" t="str">
        <f t="shared" si="30"/>
        <v>申請しない場合は入力不要です。</v>
      </c>
      <c r="AO120" s="468">
        <f t="shared" si="36"/>
        <v>0</v>
      </c>
      <c r="AS120" s="458" t="s">
        <v>470</v>
      </c>
      <c r="AT120" s="454"/>
      <c r="AU120" s="454"/>
    </row>
    <row r="121" spans="1:57" ht="20.100000000000001" customHeight="1">
      <c r="A121" s="485">
        <v>109</v>
      </c>
      <c r="B121" s="205"/>
      <c r="C121" s="206"/>
      <c r="D121" s="1889"/>
      <c r="E121" s="1890"/>
      <c r="F121" s="1891"/>
      <c r="G121" s="207"/>
      <c r="H121" s="207"/>
      <c r="I121" s="208"/>
      <c r="J121" s="486">
        <f t="shared" si="31"/>
        <v>0</v>
      </c>
      <c r="K121" s="487">
        <f t="shared" si="32"/>
        <v>0</v>
      </c>
      <c r="L121" s="487" t="str">
        <f t="shared" si="33"/>
        <v/>
      </c>
      <c r="M121" s="487" t="str">
        <f xml:space="preserve">
IF(AL121&lt;&gt;"◎","",
IF(AND(表紙!X92="実績報告（１次）",DATE(IF(N121=5,2023,IF(N121=6,2024)),O121,P121)&lt;DATE(2023,5,8)),0,
IF(AND(OR(表紙!X92="実績報告（２次）",表紙!X92="交付申請兼実績報告"),DATE(IF(N121=5,2023,IF(N121=6,2024)),O121,P121)&lt;DATE(2023,10,1)),0,
MIN(K121,L121))))</f>
        <v/>
      </c>
      <c r="N121" s="725"/>
      <c r="O121" s="725"/>
      <c r="P121" s="725"/>
      <c r="Q121" s="488" t="str">
        <f xml:space="preserve">
IF(AL121&lt;&gt;"◎","",
IF(AND(表紙!X92="実績報告（１次）",DATE(IF(N121=5,2023,IF(N121=6,2024)),O121,P121)&lt;DATE(2023,5,8)),0,
IF(AND(OR(表紙!X92="実績報告（２次）",表紙!X92="交付申請兼実績報告"),DATE(IF(N121=5,2023,IF(N121=6,2024)),O121,P121)&lt;DATE(2023,10,1)),0,
G121*H121)))</f>
        <v/>
      </c>
      <c r="R121" s="724" t="str">
        <f xml:space="preserve">
IF(表紙!$X$2="事前協議","－",
IF(表紙!$X$2="交付申請（２次）","－",
IF(表紙!$X$2="変更申請","－",
IF(AND(OR(表紙!$X$2="実績報告（１次）",表紙!$X$2="実績報告（２次）",表紙!$X$2="交付申請兼実績報告"),AL121="◎"),COUNTIF($AL$30:AL121,"◎"),""))))</f>
        <v/>
      </c>
      <c r="S121" s="489" t="str">
        <f t="shared" si="34"/>
        <v/>
      </c>
      <c r="T121" s="765" t="str">
        <f t="shared" si="28"/>
        <v/>
      </c>
      <c r="U121" s="596" t="str">
        <f t="shared" si="35"/>
        <v/>
      </c>
      <c r="V121" s="787" t="str">
        <f t="shared" si="23"/>
        <v/>
      </c>
      <c r="W121" s="787" t="str">
        <f t="shared" si="24"/>
        <v/>
      </c>
      <c r="X121" s="787" t="str">
        <f t="shared" si="25"/>
        <v/>
      </c>
      <c r="Y121" s="491" t="str">
        <f t="shared" si="26"/>
        <v/>
      </c>
      <c r="AJ121" s="461" t="s">
        <v>466</v>
      </c>
      <c r="AK121" s="490">
        <v>109</v>
      </c>
      <c r="AL121" s="460" t="str">
        <f t="shared" si="29"/>
        <v>○</v>
      </c>
      <c r="AM121" s="468" t="str">
        <f t="shared" si="30"/>
        <v>申請しない場合は入力不要です。</v>
      </c>
      <c r="AO121" s="468">
        <f t="shared" si="36"/>
        <v>0</v>
      </c>
    </row>
    <row r="122" spans="1:57" ht="20.100000000000001" customHeight="1">
      <c r="A122" s="485">
        <v>110</v>
      </c>
      <c r="B122" s="205"/>
      <c r="C122" s="206"/>
      <c r="D122" s="1889"/>
      <c r="E122" s="1890"/>
      <c r="F122" s="1891"/>
      <c r="G122" s="207"/>
      <c r="H122" s="207"/>
      <c r="I122" s="208"/>
      <c r="J122" s="486">
        <f t="shared" si="31"/>
        <v>0</v>
      </c>
      <c r="K122" s="487">
        <f t="shared" si="32"/>
        <v>0</v>
      </c>
      <c r="L122" s="487" t="str">
        <f t="shared" si="33"/>
        <v/>
      </c>
      <c r="M122" s="487" t="str">
        <f xml:space="preserve">
IF(AL122&lt;&gt;"◎","",
IF(AND(表紙!X93="実績報告（１次）",DATE(IF(N122=5,2023,IF(N122=6,2024)),O122,P122)&lt;DATE(2023,5,8)),0,
IF(AND(OR(表紙!X93="実績報告（２次）",表紙!X93="交付申請兼実績報告"),DATE(IF(N122=5,2023,IF(N122=6,2024)),O122,P122)&lt;DATE(2023,10,1)),0,
MIN(K122,L122))))</f>
        <v/>
      </c>
      <c r="N122" s="725"/>
      <c r="O122" s="725"/>
      <c r="P122" s="725"/>
      <c r="Q122" s="488" t="str">
        <f xml:space="preserve">
IF(AL122&lt;&gt;"◎","",
IF(AND(表紙!X93="実績報告（１次）",DATE(IF(N122=5,2023,IF(N122=6,2024)),O122,P122)&lt;DATE(2023,5,8)),0,
IF(AND(OR(表紙!X93="実績報告（２次）",表紙!X93="交付申請兼実績報告"),DATE(IF(N122=5,2023,IF(N122=6,2024)),O122,P122)&lt;DATE(2023,10,1)),0,
G122*H122)))</f>
        <v/>
      </c>
      <c r="R122" s="724" t="str">
        <f xml:space="preserve">
IF(表紙!$X$2="事前協議","－",
IF(表紙!$X$2="交付申請（２次）","－",
IF(表紙!$X$2="変更申請","－",
IF(AND(OR(表紙!$X$2="実績報告（１次）",表紙!$X$2="実績報告（２次）",表紙!$X$2="交付申請兼実績報告"),AL122="◎"),COUNTIF($AL$30:AL122,"◎"),""))))</f>
        <v/>
      </c>
      <c r="S122" s="489" t="str">
        <f t="shared" si="34"/>
        <v/>
      </c>
      <c r="T122" s="765" t="str">
        <f t="shared" si="28"/>
        <v/>
      </c>
      <c r="U122" s="596" t="str">
        <f t="shared" si="35"/>
        <v/>
      </c>
      <c r="V122" s="787" t="str">
        <f t="shared" si="23"/>
        <v/>
      </c>
      <c r="W122" s="787" t="str">
        <f t="shared" si="24"/>
        <v/>
      </c>
      <c r="X122" s="787" t="str">
        <f t="shared" si="25"/>
        <v/>
      </c>
      <c r="Y122" s="491" t="str">
        <f t="shared" si="26"/>
        <v/>
      </c>
      <c r="AJ122" s="461" t="s">
        <v>466</v>
      </c>
      <c r="AK122" s="490">
        <v>110</v>
      </c>
      <c r="AL122" s="460" t="str">
        <f t="shared" si="29"/>
        <v>○</v>
      </c>
      <c r="AM122" s="468" t="str">
        <f t="shared" si="30"/>
        <v>申請しない場合は入力不要です。</v>
      </c>
      <c r="AO122" s="468">
        <f t="shared" si="36"/>
        <v>0</v>
      </c>
      <c r="AX122" s="489" t="s">
        <v>1215</v>
      </c>
      <c r="AY122" s="460" t="s">
        <v>1216</v>
      </c>
      <c r="AZ122" s="492" t="s">
        <v>1217</v>
      </c>
      <c r="BA122" s="1931" t="s">
        <v>1218</v>
      </c>
      <c r="BB122" s="1056"/>
      <c r="BC122" s="460" t="s">
        <v>1219</v>
      </c>
      <c r="BD122" s="460" t="s">
        <v>1220</v>
      </c>
      <c r="BE122" s="460" t="s">
        <v>1221</v>
      </c>
    </row>
    <row r="123" spans="1:57" ht="20.100000000000001" customHeight="1">
      <c r="A123" s="485">
        <v>111</v>
      </c>
      <c r="B123" s="205"/>
      <c r="C123" s="206"/>
      <c r="D123" s="1889"/>
      <c r="E123" s="1890"/>
      <c r="F123" s="1891"/>
      <c r="G123" s="207"/>
      <c r="H123" s="207"/>
      <c r="I123" s="208"/>
      <c r="J123" s="486">
        <f t="shared" si="31"/>
        <v>0</v>
      </c>
      <c r="K123" s="487">
        <f t="shared" si="32"/>
        <v>0</v>
      </c>
      <c r="L123" s="487" t="str">
        <f t="shared" si="33"/>
        <v/>
      </c>
      <c r="M123" s="487" t="str">
        <f xml:space="preserve">
IF(AL123&lt;&gt;"◎","",
IF(AND(表紙!X94="実績報告（１次）",DATE(IF(N123=5,2023,IF(N123=6,2024)),O123,P123)&lt;DATE(2023,5,8)),0,
IF(AND(OR(表紙!X94="実績報告（２次）",表紙!X94="交付申請兼実績報告"),DATE(IF(N123=5,2023,IF(N123=6,2024)),O123,P123)&lt;DATE(2023,10,1)),0,
MIN(K123,L123))))</f>
        <v/>
      </c>
      <c r="N123" s="725"/>
      <c r="O123" s="725"/>
      <c r="P123" s="725"/>
      <c r="Q123" s="488" t="str">
        <f xml:space="preserve">
IF(AL123&lt;&gt;"◎","",
IF(AND(表紙!X94="実績報告（１次）",DATE(IF(N123=5,2023,IF(N123=6,2024)),O123,P123)&lt;DATE(2023,5,8)),0,
IF(AND(OR(表紙!X94="実績報告（２次）",表紙!X94="交付申請兼実績報告"),DATE(IF(N123=5,2023,IF(N123=6,2024)),O123,P123)&lt;DATE(2023,10,1)),0,
G123*H123)))</f>
        <v/>
      </c>
      <c r="R123" s="724" t="str">
        <f xml:space="preserve">
IF(表紙!$X$2="事前協議","－",
IF(表紙!$X$2="交付申請（２次）","－",
IF(表紙!$X$2="変更申請","－",
IF(AND(OR(表紙!$X$2="実績報告（１次）",表紙!$X$2="実績報告（２次）",表紙!$X$2="交付申請兼実績報告"),AL123="◎"),COUNTIF($AL$30:AL123,"◎"),""))))</f>
        <v/>
      </c>
      <c r="S123" s="489" t="str">
        <f t="shared" si="34"/>
        <v/>
      </c>
      <c r="T123" s="765" t="str">
        <f t="shared" si="28"/>
        <v/>
      </c>
      <c r="U123" s="596" t="str">
        <f t="shared" si="35"/>
        <v/>
      </c>
      <c r="V123" s="787" t="str">
        <f t="shared" si="23"/>
        <v/>
      </c>
      <c r="W123" s="787" t="str">
        <f t="shared" si="24"/>
        <v/>
      </c>
      <c r="X123" s="787" t="str">
        <f t="shared" si="25"/>
        <v/>
      </c>
      <c r="Y123" s="491" t="str">
        <f t="shared" si="26"/>
        <v/>
      </c>
      <c r="AJ123" s="461" t="s">
        <v>466</v>
      </c>
      <c r="AK123" s="490">
        <v>111</v>
      </c>
      <c r="AL123" s="460" t="str">
        <f t="shared" si="29"/>
        <v>○</v>
      </c>
      <c r="AM123" s="468" t="str">
        <f t="shared" si="30"/>
        <v>申請しない場合は入力不要です。</v>
      </c>
      <c r="AO123" s="468">
        <f t="shared" si="36"/>
        <v>0</v>
      </c>
      <c r="AX123" s="1866" t="s">
        <v>472</v>
      </c>
      <c r="AY123" s="491" t="s">
        <v>1212</v>
      </c>
      <c r="AZ123" s="493">
        <v>14</v>
      </c>
      <c r="BA123" s="494">
        <f t="shared" ref="BA123:BA139" si="37">SUMIF($C$30:$C$212,AY123,$Q$30:$Q$212)</f>
        <v>0</v>
      </c>
      <c r="BB123" s="495">
        <f>BA123</f>
        <v>0</v>
      </c>
      <c r="BC123" s="634">
        <f>増減推移!E3</f>
        <v>0</v>
      </c>
      <c r="BD123" s="635">
        <f>BC123-BB123</f>
        <v>0</v>
      </c>
      <c r="BE123" s="634">
        <f>基礎情報!V116</f>
        <v>0</v>
      </c>
    </row>
    <row r="124" spans="1:57" ht="20.100000000000001" customHeight="1">
      <c r="A124" s="485">
        <v>112</v>
      </c>
      <c r="B124" s="205"/>
      <c r="C124" s="206"/>
      <c r="D124" s="1889"/>
      <c r="E124" s="1890"/>
      <c r="F124" s="1891"/>
      <c r="G124" s="207"/>
      <c r="H124" s="207"/>
      <c r="I124" s="208"/>
      <c r="J124" s="486">
        <f t="shared" si="31"/>
        <v>0</v>
      </c>
      <c r="K124" s="487">
        <f t="shared" si="32"/>
        <v>0</v>
      </c>
      <c r="L124" s="487" t="str">
        <f t="shared" si="33"/>
        <v/>
      </c>
      <c r="M124" s="487" t="str">
        <f xml:space="preserve">
IF(AL124&lt;&gt;"◎","",
IF(AND(表紙!X95="実績報告（１次）",DATE(IF(N124=5,2023,IF(N124=6,2024)),O124,P124)&lt;DATE(2023,5,8)),0,
IF(AND(OR(表紙!X95="実績報告（２次）",表紙!X95="交付申請兼実績報告"),DATE(IF(N124=5,2023,IF(N124=6,2024)),O124,P124)&lt;DATE(2023,10,1)),0,
MIN(K124,L124))))</f>
        <v/>
      </c>
      <c r="N124" s="725"/>
      <c r="O124" s="725"/>
      <c r="P124" s="725"/>
      <c r="Q124" s="488" t="str">
        <f xml:space="preserve">
IF(AL124&lt;&gt;"◎","",
IF(AND(表紙!X95="実績報告（１次）",DATE(IF(N124=5,2023,IF(N124=6,2024)),O124,P124)&lt;DATE(2023,5,8)),0,
IF(AND(OR(表紙!X95="実績報告（２次）",表紙!X95="交付申請兼実績報告"),DATE(IF(N124=5,2023,IF(N124=6,2024)),O124,P124)&lt;DATE(2023,10,1)),0,
G124*H124)))</f>
        <v/>
      </c>
      <c r="R124" s="724" t="str">
        <f xml:space="preserve">
IF(表紙!$X$2="事前協議","－",
IF(表紙!$X$2="交付申請（２次）","－",
IF(表紙!$X$2="変更申請","－",
IF(AND(OR(表紙!$X$2="実績報告（１次）",表紙!$X$2="実績報告（２次）",表紙!$X$2="交付申請兼実績報告"),AL124="◎"),COUNTIF($AL$30:AL124,"◎"),""))))</f>
        <v/>
      </c>
      <c r="S124" s="489" t="str">
        <f t="shared" si="34"/>
        <v/>
      </c>
      <c r="T124" s="765" t="str">
        <f t="shared" si="28"/>
        <v/>
      </c>
      <c r="U124" s="596" t="str">
        <f t="shared" si="35"/>
        <v/>
      </c>
      <c r="V124" s="787" t="str">
        <f t="shared" si="23"/>
        <v/>
      </c>
      <c r="W124" s="787" t="str">
        <f t="shared" si="24"/>
        <v/>
      </c>
      <c r="X124" s="787" t="str">
        <f t="shared" si="25"/>
        <v/>
      </c>
      <c r="Y124" s="491" t="str">
        <f t="shared" si="26"/>
        <v/>
      </c>
      <c r="AJ124" s="461" t="s">
        <v>466</v>
      </c>
      <c r="AK124" s="490">
        <v>112</v>
      </c>
      <c r="AL124" s="460" t="str">
        <f t="shared" si="29"/>
        <v>○</v>
      </c>
      <c r="AM124" s="468" t="str">
        <f t="shared" si="30"/>
        <v>申請しない場合は入力不要です。</v>
      </c>
      <c r="AO124" s="468">
        <f t="shared" si="36"/>
        <v>0</v>
      </c>
      <c r="AX124" s="1878"/>
      <c r="AY124" s="491" t="s">
        <v>1222</v>
      </c>
      <c r="AZ124" s="493">
        <v>82</v>
      </c>
      <c r="BA124" s="494">
        <f t="shared" si="37"/>
        <v>0</v>
      </c>
      <c r="BB124" s="495">
        <f>BA124</f>
        <v>0</v>
      </c>
      <c r="BC124" s="634">
        <f>増減推移!E4</f>
        <v>0</v>
      </c>
      <c r="BD124" s="635">
        <f>BC124-BB124</f>
        <v>0</v>
      </c>
      <c r="BE124" s="634">
        <f>基礎情報!V119</f>
        <v>0</v>
      </c>
    </row>
    <row r="125" spans="1:57" ht="20.100000000000001" customHeight="1">
      <c r="A125" s="485">
        <v>113</v>
      </c>
      <c r="B125" s="205"/>
      <c r="C125" s="206"/>
      <c r="D125" s="1889"/>
      <c r="E125" s="1890"/>
      <c r="F125" s="1891"/>
      <c r="G125" s="207"/>
      <c r="H125" s="207"/>
      <c r="I125" s="208"/>
      <c r="J125" s="486">
        <f t="shared" si="31"/>
        <v>0</v>
      </c>
      <c r="K125" s="487">
        <f t="shared" si="32"/>
        <v>0</v>
      </c>
      <c r="L125" s="487" t="str">
        <f t="shared" si="33"/>
        <v/>
      </c>
      <c r="M125" s="487" t="str">
        <f xml:space="preserve">
IF(AL125&lt;&gt;"◎","",
IF(AND(表紙!X96="実績報告（１次）",DATE(IF(N125=5,2023,IF(N125=6,2024)),O125,P125)&lt;DATE(2023,5,8)),0,
IF(AND(OR(表紙!X96="実績報告（２次）",表紙!X96="交付申請兼実績報告"),DATE(IF(N125=5,2023,IF(N125=6,2024)),O125,P125)&lt;DATE(2023,10,1)),0,
MIN(K125,L125))))</f>
        <v/>
      </c>
      <c r="N125" s="725"/>
      <c r="O125" s="725"/>
      <c r="P125" s="725"/>
      <c r="Q125" s="488" t="str">
        <f xml:space="preserve">
IF(AL125&lt;&gt;"◎","",
IF(AND(表紙!X96="実績報告（１次）",DATE(IF(N125=5,2023,IF(N125=6,2024)),O125,P125)&lt;DATE(2023,5,8)),0,
IF(AND(OR(表紙!X96="実績報告（２次）",表紙!X96="交付申請兼実績報告"),DATE(IF(N125=5,2023,IF(N125=6,2024)),O125,P125)&lt;DATE(2023,10,1)),0,
G125*H125)))</f>
        <v/>
      </c>
      <c r="R125" s="724" t="str">
        <f xml:space="preserve">
IF(表紙!$X$2="事前協議","－",
IF(表紙!$X$2="交付申請（２次）","－",
IF(表紙!$X$2="変更申請","－",
IF(AND(OR(表紙!$X$2="実績報告（１次）",表紙!$X$2="実績報告（２次）",表紙!$X$2="交付申請兼実績報告"),AL125="◎"),COUNTIF($AL$30:AL125,"◎"),""))))</f>
        <v/>
      </c>
      <c r="S125" s="489" t="str">
        <f t="shared" si="34"/>
        <v/>
      </c>
      <c r="T125" s="765" t="str">
        <f t="shared" si="28"/>
        <v/>
      </c>
      <c r="U125" s="596" t="str">
        <f t="shared" si="35"/>
        <v/>
      </c>
      <c r="V125" s="787" t="str">
        <f t="shared" si="23"/>
        <v/>
      </c>
      <c r="W125" s="787" t="str">
        <f t="shared" si="24"/>
        <v/>
      </c>
      <c r="X125" s="787" t="str">
        <f t="shared" si="25"/>
        <v/>
      </c>
      <c r="Y125" s="491" t="str">
        <f t="shared" si="26"/>
        <v/>
      </c>
      <c r="AJ125" s="461" t="s">
        <v>466</v>
      </c>
      <c r="AK125" s="490">
        <v>113</v>
      </c>
      <c r="AL125" s="460" t="str">
        <f t="shared" si="29"/>
        <v>○</v>
      </c>
      <c r="AM125" s="468" t="str">
        <f t="shared" si="30"/>
        <v>申請しない場合は入力不要です。</v>
      </c>
      <c r="AO125" s="468">
        <f t="shared" si="36"/>
        <v>0</v>
      </c>
      <c r="AX125" s="1878"/>
      <c r="AY125" s="491" t="s">
        <v>1223</v>
      </c>
      <c r="AZ125" s="497">
        <v>155</v>
      </c>
      <c r="BA125" s="498">
        <f t="shared" si="37"/>
        <v>0</v>
      </c>
      <c r="BB125" s="1868">
        <f>SUM(BA125:BA126)</f>
        <v>0</v>
      </c>
      <c r="BC125" s="1870">
        <f>増減推移!E5</f>
        <v>0</v>
      </c>
      <c r="BD125" s="1872">
        <f>BC125-BB125</f>
        <v>0</v>
      </c>
      <c r="BE125" s="1870">
        <f>基礎情報!V122</f>
        <v>0</v>
      </c>
    </row>
    <row r="126" spans="1:57" ht="20.100000000000001" customHeight="1">
      <c r="A126" s="485">
        <v>114</v>
      </c>
      <c r="B126" s="205"/>
      <c r="C126" s="206"/>
      <c r="D126" s="1889"/>
      <c r="E126" s="1890"/>
      <c r="F126" s="1891"/>
      <c r="G126" s="207"/>
      <c r="H126" s="207"/>
      <c r="I126" s="208"/>
      <c r="J126" s="486">
        <f t="shared" si="31"/>
        <v>0</v>
      </c>
      <c r="K126" s="487">
        <f t="shared" si="32"/>
        <v>0</v>
      </c>
      <c r="L126" s="487" t="str">
        <f t="shared" si="33"/>
        <v/>
      </c>
      <c r="M126" s="487" t="str">
        <f xml:space="preserve">
IF(AL126&lt;&gt;"◎","",
IF(AND(表紙!X97="実績報告（１次）",DATE(IF(N126=5,2023,IF(N126=6,2024)),O126,P126)&lt;DATE(2023,5,8)),0,
IF(AND(OR(表紙!X97="実績報告（２次）",表紙!X97="交付申請兼実績報告"),DATE(IF(N126=5,2023,IF(N126=6,2024)),O126,P126)&lt;DATE(2023,10,1)),0,
MIN(K126,L126))))</f>
        <v/>
      </c>
      <c r="N126" s="725"/>
      <c r="O126" s="725"/>
      <c r="P126" s="725"/>
      <c r="Q126" s="488" t="str">
        <f xml:space="preserve">
IF(AL126&lt;&gt;"◎","",
IF(AND(表紙!X97="実績報告（１次）",DATE(IF(N126=5,2023,IF(N126=6,2024)),O126,P126)&lt;DATE(2023,5,8)),0,
IF(AND(OR(表紙!X97="実績報告（２次）",表紙!X97="交付申請兼実績報告"),DATE(IF(N126=5,2023,IF(N126=6,2024)),O126,P126)&lt;DATE(2023,10,1)),0,
G126*H126)))</f>
        <v/>
      </c>
      <c r="R126" s="724" t="str">
        <f xml:space="preserve">
IF(表紙!$X$2="事前協議","－",
IF(表紙!$X$2="交付申請（２次）","－",
IF(表紙!$X$2="変更申請","－",
IF(AND(OR(表紙!$X$2="実績報告（１次）",表紙!$X$2="実績報告（２次）",表紙!$X$2="交付申請兼実績報告"),AL126="◎"),COUNTIF($AL$30:AL126,"◎"),""))))</f>
        <v/>
      </c>
      <c r="S126" s="489" t="str">
        <f t="shared" si="34"/>
        <v/>
      </c>
      <c r="T126" s="765" t="str">
        <f t="shared" si="28"/>
        <v/>
      </c>
      <c r="U126" s="596" t="str">
        <f t="shared" si="35"/>
        <v/>
      </c>
      <c r="V126" s="787" t="str">
        <f t="shared" si="23"/>
        <v/>
      </c>
      <c r="W126" s="787" t="str">
        <f t="shared" si="24"/>
        <v/>
      </c>
      <c r="X126" s="787" t="str">
        <f t="shared" si="25"/>
        <v/>
      </c>
      <c r="Y126" s="491" t="str">
        <f t="shared" si="26"/>
        <v/>
      </c>
      <c r="AJ126" s="461" t="s">
        <v>466</v>
      </c>
      <c r="AK126" s="490">
        <v>114</v>
      </c>
      <c r="AL126" s="460" t="str">
        <f t="shared" si="29"/>
        <v>○</v>
      </c>
      <c r="AM126" s="468" t="str">
        <f t="shared" si="30"/>
        <v>申請しない場合は入力不要です。</v>
      </c>
      <c r="AO126" s="468">
        <f t="shared" si="36"/>
        <v>0</v>
      </c>
      <c r="AX126" s="1867"/>
      <c r="AY126" s="491" t="s">
        <v>1224</v>
      </c>
      <c r="AZ126" s="497">
        <v>192</v>
      </c>
      <c r="BA126" s="498">
        <f t="shared" si="37"/>
        <v>0</v>
      </c>
      <c r="BB126" s="1869"/>
      <c r="BC126" s="1874"/>
      <c r="BD126" s="1873"/>
      <c r="BE126" s="1874">
        <f xml:space="preserve">
IF(表紙!$X$2="交付申請兼実績報告",IFERROR(BB126/(《基礎情報》!$AU$52*《基礎情報》!$P$76),0),
IF(OR(表紙!$X$2="事前協議",表紙!$X$2="交付申請",表紙!$X$2="変更申請",表紙!$X$2="実績報告",表紙!$X$2="交付申請（２次以降）"),IFERROR(BB126/(基礎情報!$AK$71*基礎情報!$P$96),0)))</f>
        <v>0</v>
      </c>
    </row>
    <row r="127" spans="1:57" ht="20.100000000000001" customHeight="1">
      <c r="A127" s="485">
        <v>115</v>
      </c>
      <c r="B127" s="205"/>
      <c r="C127" s="206"/>
      <c r="D127" s="1889"/>
      <c r="E127" s="1890"/>
      <c r="F127" s="1891"/>
      <c r="G127" s="207"/>
      <c r="H127" s="207"/>
      <c r="I127" s="208"/>
      <c r="J127" s="486">
        <f t="shared" si="31"/>
        <v>0</v>
      </c>
      <c r="K127" s="487">
        <f t="shared" si="32"/>
        <v>0</v>
      </c>
      <c r="L127" s="487" t="str">
        <f t="shared" si="33"/>
        <v/>
      </c>
      <c r="M127" s="487" t="str">
        <f xml:space="preserve">
IF(AL127&lt;&gt;"◎","",
IF(AND(表紙!X98="実績報告（１次）",DATE(IF(N127=5,2023,IF(N127=6,2024)),O127,P127)&lt;DATE(2023,5,8)),0,
IF(AND(OR(表紙!X98="実績報告（２次）",表紙!X98="交付申請兼実績報告"),DATE(IF(N127=5,2023,IF(N127=6,2024)),O127,P127)&lt;DATE(2023,10,1)),0,
MIN(K127,L127))))</f>
        <v/>
      </c>
      <c r="N127" s="725"/>
      <c r="O127" s="725"/>
      <c r="P127" s="725"/>
      <c r="Q127" s="488" t="str">
        <f xml:space="preserve">
IF(AL127&lt;&gt;"◎","",
IF(AND(表紙!X98="実績報告（１次）",DATE(IF(N127=5,2023,IF(N127=6,2024)),O127,P127)&lt;DATE(2023,5,8)),0,
IF(AND(OR(表紙!X98="実績報告（２次）",表紙!X98="交付申請兼実績報告"),DATE(IF(N127=5,2023,IF(N127=6,2024)),O127,P127)&lt;DATE(2023,10,1)),0,
G127*H127)))</f>
        <v/>
      </c>
      <c r="R127" s="724" t="str">
        <f xml:space="preserve">
IF(表紙!$X$2="事前協議","－",
IF(表紙!$X$2="交付申請（２次）","－",
IF(表紙!$X$2="変更申請","－",
IF(AND(OR(表紙!$X$2="実績報告（１次）",表紙!$X$2="実績報告（２次）",表紙!$X$2="交付申請兼実績報告"),AL127="◎"),COUNTIF($AL$30:AL127,"◎"),""))))</f>
        <v/>
      </c>
      <c r="S127" s="489" t="str">
        <f t="shared" si="34"/>
        <v/>
      </c>
      <c r="T127" s="765" t="str">
        <f t="shared" si="28"/>
        <v/>
      </c>
      <c r="U127" s="596" t="str">
        <f t="shared" si="35"/>
        <v/>
      </c>
      <c r="V127" s="787" t="str">
        <f t="shared" si="23"/>
        <v/>
      </c>
      <c r="W127" s="787" t="str">
        <f t="shared" si="24"/>
        <v/>
      </c>
      <c r="X127" s="787" t="str">
        <f t="shared" si="25"/>
        <v/>
      </c>
      <c r="Y127" s="491" t="str">
        <f t="shared" si="26"/>
        <v/>
      </c>
      <c r="AJ127" s="461" t="s">
        <v>466</v>
      </c>
      <c r="AK127" s="490">
        <v>115</v>
      </c>
      <c r="AL127" s="460" t="str">
        <f t="shared" si="29"/>
        <v>○</v>
      </c>
      <c r="AM127" s="468" t="str">
        <f t="shared" si="30"/>
        <v>申請しない場合は入力不要です。</v>
      </c>
      <c r="AO127" s="468">
        <f t="shared" si="36"/>
        <v>0</v>
      </c>
      <c r="AX127" s="1866" t="s">
        <v>473</v>
      </c>
      <c r="AY127" s="491" t="s">
        <v>1299</v>
      </c>
      <c r="AZ127" s="493">
        <v>2107</v>
      </c>
      <c r="BA127" s="499">
        <f t="shared" si="37"/>
        <v>0</v>
      </c>
      <c r="BB127" s="500">
        <f>BA127</f>
        <v>0</v>
      </c>
      <c r="BC127" s="636">
        <f>増減推移!E6</f>
        <v>0</v>
      </c>
      <c r="BD127" s="637">
        <f>BC127-BB127</f>
        <v>0</v>
      </c>
      <c r="BE127" s="634">
        <f>基礎情報!V131</f>
        <v>0</v>
      </c>
    </row>
    <row r="128" spans="1:57" ht="20.100000000000001" customHeight="1">
      <c r="A128" s="485">
        <v>116</v>
      </c>
      <c r="B128" s="205"/>
      <c r="C128" s="206"/>
      <c r="D128" s="1889"/>
      <c r="E128" s="1890"/>
      <c r="F128" s="1891"/>
      <c r="G128" s="207"/>
      <c r="H128" s="207"/>
      <c r="I128" s="208"/>
      <c r="J128" s="486">
        <f t="shared" si="31"/>
        <v>0</v>
      </c>
      <c r="K128" s="487">
        <f t="shared" si="32"/>
        <v>0</v>
      </c>
      <c r="L128" s="487" t="str">
        <f t="shared" si="33"/>
        <v/>
      </c>
      <c r="M128" s="487" t="str">
        <f xml:space="preserve">
IF(AL128&lt;&gt;"◎","",
IF(AND(表紙!X99="実績報告（１次）",DATE(IF(N128=5,2023,IF(N128=6,2024)),O128,P128)&lt;DATE(2023,5,8)),0,
IF(AND(OR(表紙!X99="実績報告（２次）",表紙!X99="交付申請兼実績報告"),DATE(IF(N128=5,2023,IF(N128=6,2024)),O128,P128)&lt;DATE(2023,10,1)),0,
MIN(K128,L128))))</f>
        <v/>
      </c>
      <c r="N128" s="725"/>
      <c r="O128" s="725"/>
      <c r="P128" s="725"/>
      <c r="Q128" s="488" t="str">
        <f xml:space="preserve">
IF(AL128&lt;&gt;"◎","",
IF(AND(表紙!X99="実績報告（１次）",DATE(IF(N128=5,2023,IF(N128=6,2024)),O128,P128)&lt;DATE(2023,5,8)),0,
IF(AND(OR(表紙!X99="実績報告（２次）",表紙!X99="交付申請兼実績報告"),DATE(IF(N128=5,2023,IF(N128=6,2024)),O128,P128)&lt;DATE(2023,10,1)),0,
G128*H128)))</f>
        <v/>
      </c>
      <c r="R128" s="724" t="str">
        <f xml:space="preserve">
IF(表紙!$X$2="事前協議","－",
IF(表紙!$X$2="交付申請（２次）","－",
IF(表紙!$X$2="変更申請","－",
IF(AND(OR(表紙!$X$2="実績報告（１次）",表紙!$X$2="実績報告（２次）",表紙!$X$2="交付申請兼実績報告"),AL128="◎"),COUNTIF($AL$30:AL128,"◎"),""))))</f>
        <v/>
      </c>
      <c r="S128" s="489" t="str">
        <f t="shared" si="34"/>
        <v/>
      </c>
      <c r="T128" s="765" t="str">
        <f t="shared" si="28"/>
        <v/>
      </c>
      <c r="U128" s="596" t="str">
        <f t="shared" si="35"/>
        <v/>
      </c>
      <c r="V128" s="787" t="str">
        <f t="shared" si="23"/>
        <v/>
      </c>
      <c r="W128" s="787" t="str">
        <f t="shared" si="24"/>
        <v/>
      </c>
      <c r="X128" s="787" t="str">
        <f t="shared" si="25"/>
        <v/>
      </c>
      <c r="Y128" s="491" t="str">
        <f t="shared" si="26"/>
        <v/>
      </c>
      <c r="AJ128" s="461" t="s">
        <v>466</v>
      </c>
      <c r="AK128" s="490">
        <v>116</v>
      </c>
      <c r="AL128" s="460" t="str">
        <f t="shared" si="29"/>
        <v>○</v>
      </c>
      <c r="AM128" s="468" t="str">
        <f t="shared" si="30"/>
        <v>申請しない場合は入力不要です。</v>
      </c>
      <c r="AO128" s="468">
        <f t="shared" si="36"/>
        <v>0</v>
      </c>
      <c r="AX128" s="1878"/>
      <c r="AY128" s="491" t="s">
        <v>1225</v>
      </c>
      <c r="AZ128" s="493">
        <v>955</v>
      </c>
      <c r="BA128" s="499">
        <f t="shared" si="37"/>
        <v>0</v>
      </c>
      <c r="BB128" s="500">
        <f>BA128</f>
        <v>0</v>
      </c>
      <c r="BC128" s="636">
        <f>増減推移!E7</f>
        <v>0</v>
      </c>
      <c r="BD128" s="637">
        <f>BC128-BB128</f>
        <v>0</v>
      </c>
      <c r="BE128" s="634">
        <f>基礎情報!V134</f>
        <v>0</v>
      </c>
    </row>
    <row r="129" spans="1:57" ht="20.100000000000001" customHeight="1">
      <c r="A129" s="485">
        <v>117</v>
      </c>
      <c r="B129" s="205"/>
      <c r="C129" s="206"/>
      <c r="D129" s="1889"/>
      <c r="E129" s="1890"/>
      <c r="F129" s="1891"/>
      <c r="G129" s="207"/>
      <c r="H129" s="207"/>
      <c r="I129" s="208"/>
      <c r="J129" s="486">
        <f t="shared" si="31"/>
        <v>0</v>
      </c>
      <c r="K129" s="487">
        <f t="shared" si="32"/>
        <v>0</v>
      </c>
      <c r="L129" s="487" t="str">
        <f t="shared" si="33"/>
        <v/>
      </c>
      <c r="M129" s="487" t="str">
        <f xml:space="preserve">
IF(AL129&lt;&gt;"◎","",
IF(AND(表紙!X100="実績報告（１次）",DATE(IF(N129=5,2023,IF(N129=6,2024)),O129,P129)&lt;DATE(2023,5,8)),0,
IF(AND(OR(表紙!X100="実績報告（２次）",表紙!X100="交付申請兼実績報告"),DATE(IF(N129=5,2023,IF(N129=6,2024)),O129,P129)&lt;DATE(2023,10,1)),0,
MIN(K129,L129))))</f>
        <v/>
      </c>
      <c r="N129" s="725"/>
      <c r="O129" s="725"/>
      <c r="P129" s="725"/>
      <c r="Q129" s="488" t="str">
        <f xml:space="preserve">
IF(AL129&lt;&gt;"◎","",
IF(AND(表紙!X100="実績報告（１次）",DATE(IF(N129=5,2023,IF(N129=6,2024)),O129,P129)&lt;DATE(2023,5,8)),0,
IF(AND(OR(表紙!X100="実績報告（２次）",表紙!X100="交付申請兼実績報告"),DATE(IF(N129=5,2023,IF(N129=6,2024)),O129,P129)&lt;DATE(2023,10,1)),0,
G129*H129)))</f>
        <v/>
      </c>
      <c r="R129" s="724" t="str">
        <f xml:space="preserve">
IF(表紙!$X$2="事前協議","－",
IF(表紙!$X$2="交付申請（２次）","－",
IF(表紙!$X$2="変更申請","－",
IF(AND(OR(表紙!$X$2="実績報告（１次）",表紙!$X$2="実績報告（２次）",表紙!$X$2="交付申請兼実績報告"),AL129="◎"),COUNTIF($AL$30:AL129,"◎"),""))))</f>
        <v/>
      </c>
      <c r="S129" s="489" t="str">
        <f t="shared" si="34"/>
        <v/>
      </c>
      <c r="T129" s="765" t="str">
        <f t="shared" si="28"/>
        <v/>
      </c>
      <c r="U129" s="596" t="str">
        <f t="shared" si="35"/>
        <v/>
      </c>
      <c r="V129" s="787" t="str">
        <f t="shared" si="23"/>
        <v/>
      </c>
      <c r="W129" s="787" t="str">
        <f t="shared" si="24"/>
        <v/>
      </c>
      <c r="X129" s="787" t="str">
        <f t="shared" si="25"/>
        <v/>
      </c>
      <c r="Y129" s="491" t="str">
        <f t="shared" si="26"/>
        <v/>
      </c>
      <c r="AJ129" s="461" t="s">
        <v>466</v>
      </c>
      <c r="AK129" s="490">
        <v>117</v>
      </c>
      <c r="AL129" s="460" t="str">
        <f t="shared" si="29"/>
        <v>○</v>
      </c>
      <c r="AM129" s="468" t="str">
        <f t="shared" si="30"/>
        <v>申請しない場合は入力不要です。</v>
      </c>
      <c r="AO129" s="468">
        <f t="shared" si="36"/>
        <v>0</v>
      </c>
      <c r="AX129" s="1867"/>
      <c r="AY129" s="491" t="s">
        <v>1226</v>
      </c>
      <c r="AZ129" s="493">
        <v>86</v>
      </c>
      <c r="BA129" s="499">
        <f t="shared" si="37"/>
        <v>0</v>
      </c>
      <c r="BB129" s="500">
        <f>BA129</f>
        <v>0</v>
      </c>
      <c r="BC129" s="634">
        <f>増減推移!E8</f>
        <v>0</v>
      </c>
      <c r="BD129" s="637">
        <f>BC129-BB129</f>
        <v>0</v>
      </c>
      <c r="BE129" s="634">
        <f>基礎情報!V137</f>
        <v>0</v>
      </c>
    </row>
    <row r="130" spans="1:57" ht="20.100000000000001" customHeight="1">
      <c r="A130" s="485">
        <v>118</v>
      </c>
      <c r="B130" s="205"/>
      <c r="C130" s="206"/>
      <c r="D130" s="1889"/>
      <c r="E130" s="1890"/>
      <c r="F130" s="1891"/>
      <c r="G130" s="207"/>
      <c r="H130" s="207"/>
      <c r="I130" s="208"/>
      <c r="J130" s="486">
        <f t="shared" si="31"/>
        <v>0</v>
      </c>
      <c r="K130" s="487">
        <f t="shared" si="32"/>
        <v>0</v>
      </c>
      <c r="L130" s="487" t="str">
        <f t="shared" si="33"/>
        <v/>
      </c>
      <c r="M130" s="487" t="str">
        <f xml:space="preserve">
IF(AL130&lt;&gt;"◎","",
IF(AND(表紙!X101="実績報告（１次）",DATE(IF(N130=5,2023,IF(N130=6,2024)),O130,P130)&lt;DATE(2023,5,8)),0,
IF(AND(OR(表紙!X101="実績報告（２次）",表紙!X101="交付申請兼実績報告"),DATE(IF(N130=5,2023,IF(N130=6,2024)),O130,P130)&lt;DATE(2023,10,1)),0,
MIN(K130,L130))))</f>
        <v/>
      </c>
      <c r="N130" s="725"/>
      <c r="O130" s="725"/>
      <c r="P130" s="725"/>
      <c r="Q130" s="488" t="str">
        <f xml:space="preserve">
IF(AL130&lt;&gt;"◎","",
IF(AND(表紙!X101="実績報告（１次）",DATE(IF(N130=5,2023,IF(N130=6,2024)),O130,P130)&lt;DATE(2023,5,8)),0,
IF(AND(OR(表紙!X101="実績報告（２次）",表紙!X101="交付申請兼実績報告"),DATE(IF(N130=5,2023,IF(N130=6,2024)),O130,P130)&lt;DATE(2023,10,1)),0,
G130*H130)))</f>
        <v/>
      </c>
      <c r="R130" s="724" t="str">
        <f xml:space="preserve">
IF(表紙!$X$2="事前協議","－",
IF(表紙!$X$2="交付申請（２次）","－",
IF(表紙!$X$2="変更申請","－",
IF(AND(OR(表紙!$X$2="実績報告（１次）",表紙!$X$2="実績報告（２次）",表紙!$X$2="交付申請兼実績報告"),AL130="◎"),COUNTIF($AL$30:AL130,"◎"),""))))</f>
        <v/>
      </c>
      <c r="S130" s="489" t="str">
        <f t="shared" si="34"/>
        <v/>
      </c>
      <c r="T130" s="765" t="str">
        <f t="shared" si="28"/>
        <v/>
      </c>
      <c r="U130" s="596" t="str">
        <f t="shared" si="35"/>
        <v/>
      </c>
      <c r="V130" s="787" t="str">
        <f t="shared" si="23"/>
        <v/>
      </c>
      <c r="W130" s="787" t="str">
        <f t="shared" si="24"/>
        <v/>
      </c>
      <c r="X130" s="787" t="str">
        <f t="shared" si="25"/>
        <v/>
      </c>
      <c r="Y130" s="491" t="str">
        <f t="shared" si="26"/>
        <v/>
      </c>
      <c r="AJ130" s="461" t="s">
        <v>466</v>
      </c>
      <c r="AK130" s="490">
        <v>118</v>
      </c>
      <c r="AL130" s="460" t="str">
        <f t="shared" si="29"/>
        <v>○</v>
      </c>
      <c r="AM130" s="468" t="str">
        <f t="shared" si="30"/>
        <v>申請しない場合は入力不要です。</v>
      </c>
      <c r="AO130" s="468">
        <f t="shared" si="36"/>
        <v>0</v>
      </c>
      <c r="AX130" s="1866" t="s">
        <v>474</v>
      </c>
      <c r="AY130" s="491" t="s">
        <v>1227</v>
      </c>
      <c r="AZ130" s="493">
        <v>141</v>
      </c>
      <c r="BA130" s="501">
        <f t="shared" si="37"/>
        <v>0</v>
      </c>
      <c r="BB130" s="1879">
        <f>SUM(BA130:BA132)</f>
        <v>0</v>
      </c>
      <c r="BC130" s="1882">
        <f>増減推移!E9</f>
        <v>0</v>
      </c>
      <c r="BD130" s="1885">
        <f>BC130-BB130</f>
        <v>0</v>
      </c>
      <c r="BE130" s="1870">
        <f>基礎情報!V125</f>
        <v>0</v>
      </c>
    </row>
    <row r="131" spans="1:57" ht="20.100000000000001" customHeight="1">
      <c r="A131" s="485">
        <v>119</v>
      </c>
      <c r="B131" s="205"/>
      <c r="C131" s="206"/>
      <c r="D131" s="1889"/>
      <c r="E131" s="1890"/>
      <c r="F131" s="1891"/>
      <c r="G131" s="207"/>
      <c r="H131" s="207"/>
      <c r="I131" s="208"/>
      <c r="J131" s="486">
        <f t="shared" si="31"/>
        <v>0</v>
      </c>
      <c r="K131" s="487">
        <f t="shared" si="32"/>
        <v>0</v>
      </c>
      <c r="L131" s="487" t="str">
        <f t="shared" si="33"/>
        <v/>
      </c>
      <c r="M131" s="487" t="str">
        <f xml:space="preserve">
IF(AL131&lt;&gt;"◎","",
IF(AND(表紙!X102="実績報告（１次）",DATE(IF(N131=5,2023,IF(N131=6,2024)),O131,P131)&lt;DATE(2023,5,8)),0,
IF(AND(OR(表紙!X102="実績報告（２次）",表紙!X102="交付申請兼実績報告"),DATE(IF(N131=5,2023,IF(N131=6,2024)),O131,P131)&lt;DATE(2023,10,1)),0,
MIN(K131,L131))))</f>
        <v/>
      </c>
      <c r="N131" s="725"/>
      <c r="O131" s="725"/>
      <c r="P131" s="725"/>
      <c r="Q131" s="488" t="str">
        <f xml:space="preserve">
IF(AL131&lt;&gt;"◎","",
IF(AND(表紙!X102="実績報告（１次）",DATE(IF(N131=5,2023,IF(N131=6,2024)),O131,P131)&lt;DATE(2023,5,8)),0,
IF(AND(OR(表紙!X102="実績報告（２次）",表紙!X102="交付申請兼実績報告"),DATE(IF(N131=5,2023,IF(N131=6,2024)),O131,P131)&lt;DATE(2023,10,1)),0,
G131*H131)))</f>
        <v/>
      </c>
      <c r="R131" s="724" t="str">
        <f xml:space="preserve">
IF(表紙!$X$2="事前協議","－",
IF(表紙!$X$2="交付申請（２次）","－",
IF(表紙!$X$2="変更申請","－",
IF(AND(OR(表紙!$X$2="実績報告（１次）",表紙!$X$2="実績報告（２次）",表紙!$X$2="交付申請兼実績報告"),AL131="◎"),COUNTIF($AL$30:AL131,"◎"),""))))</f>
        <v/>
      </c>
      <c r="S131" s="489" t="str">
        <f t="shared" si="34"/>
        <v/>
      </c>
      <c r="T131" s="765" t="str">
        <f t="shared" si="28"/>
        <v/>
      </c>
      <c r="U131" s="596" t="str">
        <f t="shared" si="35"/>
        <v/>
      </c>
      <c r="V131" s="787" t="str">
        <f t="shared" si="23"/>
        <v/>
      </c>
      <c r="W131" s="787" t="str">
        <f t="shared" si="24"/>
        <v/>
      </c>
      <c r="X131" s="787" t="str">
        <f t="shared" si="25"/>
        <v/>
      </c>
      <c r="Y131" s="491" t="str">
        <f t="shared" si="26"/>
        <v/>
      </c>
      <c r="AJ131" s="461" t="s">
        <v>466</v>
      </c>
      <c r="AK131" s="490">
        <v>119</v>
      </c>
      <c r="AL131" s="460" t="str">
        <f t="shared" si="29"/>
        <v>○</v>
      </c>
      <c r="AM131" s="468" t="str">
        <f t="shared" si="30"/>
        <v>申請しない場合は入力不要です。</v>
      </c>
      <c r="AO131" s="468">
        <f t="shared" si="36"/>
        <v>0</v>
      </c>
      <c r="AX131" s="1878"/>
      <c r="AY131" s="491" t="s">
        <v>1228</v>
      </c>
      <c r="AZ131" s="493">
        <v>55</v>
      </c>
      <c r="BA131" s="501">
        <f t="shared" si="37"/>
        <v>0</v>
      </c>
      <c r="BB131" s="1880"/>
      <c r="BC131" s="1883"/>
      <c r="BD131" s="1886"/>
      <c r="BE131" s="1888">
        <f xml:space="preserve">
IF(表紙!$X$2="交付申請兼実績報告",IFERROR(BB131/(《基礎情報》!$AU$52*《基礎情報》!$P$76),0),
IF(OR(表紙!$X$2="事前協議",表紙!$X$2="交付申請",表紙!$X$2="変更申請",表紙!$X$2="実績報告",表紙!$X$2="交付申請（２次以降）"),IFERROR(BB131/(基礎情報!$AK$71*基礎情報!$P$96),0)))</f>
        <v>0</v>
      </c>
    </row>
    <row r="132" spans="1:57" ht="20.100000000000001" customHeight="1">
      <c r="A132" s="485">
        <v>120</v>
      </c>
      <c r="B132" s="205"/>
      <c r="C132" s="206"/>
      <c r="D132" s="1889"/>
      <c r="E132" s="1890"/>
      <c r="F132" s="1891"/>
      <c r="G132" s="207"/>
      <c r="H132" s="207"/>
      <c r="I132" s="208"/>
      <c r="J132" s="486">
        <f t="shared" si="31"/>
        <v>0</v>
      </c>
      <c r="K132" s="487">
        <f t="shared" si="32"/>
        <v>0</v>
      </c>
      <c r="L132" s="487" t="str">
        <f t="shared" si="33"/>
        <v/>
      </c>
      <c r="M132" s="487" t="str">
        <f xml:space="preserve">
IF(AL132&lt;&gt;"◎","",
IF(AND(表紙!X103="実績報告（１次）",DATE(IF(N132=5,2023,IF(N132=6,2024)),O132,P132)&lt;DATE(2023,5,8)),0,
IF(AND(OR(表紙!X103="実績報告（２次）",表紙!X103="交付申請兼実績報告"),DATE(IF(N132=5,2023,IF(N132=6,2024)),O132,P132)&lt;DATE(2023,10,1)),0,
MIN(K132,L132))))</f>
        <v/>
      </c>
      <c r="N132" s="725"/>
      <c r="O132" s="725"/>
      <c r="P132" s="725"/>
      <c r="Q132" s="488" t="str">
        <f xml:space="preserve">
IF(AL132&lt;&gt;"◎","",
IF(AND(表紙!X103="実績報告（１次）",DATE(IF(N132=5,2023,IF(N132=6,2024)),O132,P132)&lt;DATE(2023,5,8)),0,
IF(AND(OR(表紙!X103="実績報告（２次）",表紙!X103="交付申請兼実績報告"),DATE(IF(N132=5,2023,IF(N132=6,2024)),O132,P132)&lt;DATE(2023,10,1)),0,
G132*H132)))</f>
        <v/>
      </c>
      <c r="R132" s="724" t="str">
        <f xml:space="preserve">
IF(表紙!$X$2="事前協議","－",
IF(表紙!$X$2="交付申請（２次）","－",
IF(表紙!$X$2="変更申請","－",
IF(AND(OR(表紙!$X$2="実績報告（１次）",表紙!$X$2="実績報告（２次）",表紙!$X$2="交付申請兼実績報告"),AL132="◎"),COUNTIF($AL$30:AL132,"◎"),""))))</f>
        <v/>
      </c>
      <c r="S132" s="489" t="str">
        <f t="shared" si="34"/>
        <v/>
      </c>
      <c r="T132" s="765" t="str">
        <f t="shared" si="28"/>
        <v/>
      </c>
      <c r="U132" s="596" t="str">
        <f t="shared" si="35"/>
        <v/>
      </c>
      <c r="V132" s="787" t="str">
        <f t="shared" si="23"/>
        <v/>
      </c>
      <c r="W132" s="787" t="str">
        <f t="shared" si="24"/>
        <v/>
      </c>
      <c r="X132" s="787" t="str">
        <f t="shared" si="25"/>
        <v/>
      </c>
      <c r="Y132" s="491" t="str">
        <f t="shared" si="26"/>
        <v/>
      </c>
      <c r="AJ132" s="461" t="s">
        <v>466</v>
      </c>
      <c r="AK132" s="490">
        <v>120</v>
      </c>
      <c r="AL132" s="460" t="str">
        <f t="shared" si="29"/>
        <v>○</v>
      </c>
      <c r="AM132" s="468" t="str">
        <f t="shared" si="30"/>
        <v>申請しない場合は入力不要です。</v>
      </c>
      <c r="AO132" s="468">
        <f t="shared" si="36"/>
        <v>0</v>
      </c>
      <c r="AX132" s="1867"/>
      <c r="AY132" s="491" t="s">
        <v>1229</v>
      </c>
      <c r="AZ132" s="493">
        <v>56</v>
      </c>
      <c r="BA132" s="501">
        <f t="shared" si="37"/>
        <v>0</v>
      </c>
      <c r="BB132" s="1881"/>
      <c r="BC132" s="1884"/>
      <c r="BD132" s="1887"/>
      <c r="BE132" s="1874">
        <f xml:space="preserve">
IF(表紙!$X$2="交付申請兼実績報告",IFERROR(BB132/(《基礎情報》!$AU$52*《基礎情報》!$P$76),0),
IF(OR(表紙!$X$2="事前協議",表紙!$X$2="交付申請",表紙!$X$2="変更申請",表紙!$X$2="実績報告",表紙!$X$2="交付申請（２次以降）"),IFERROR(BB132/(基礎情報!$AK$71*基礎情報!$P$96),0)))</f>
        <v>0</v>
      </c>
    </row>
    <row r="133" spans="1:57" ht="20.100000000000001" customHeight="1">
      <c r="A133" s="485">
        <v>121</v>
      </c>
      <c r="B133" s="205"/>
      <c r="C133" s="206"/>
      <c r="D133" s="1889"/>
      <c r="E133" s="1890"/>
      <c r="F133" s="1891"/>
      <c r="G133" s="207"/>
      <c r="H133" s="207"/>
      <c r="I133" s="208"/>
      <c r="J133" s="486">
        <f t="shared" si="31"/>
        <v>0</v>
      </c>
      <c r="K133" s="487">
        <f t="shared" si="32"/>
        <v>0</v>
      </c>
      <c r="L133" s="487" t="str">
        <f t="shared" si="33"/>
        <v/>
      </c>
      <c r="M133" s="487" t="str">
        <f xml:space="preserve">
IF(AL133&lt;&gt;"◎","",
IF(AND(表紙!X104="実績報告（１次）",DATE(IF(N133=5,2023,IF(N133=6,2024)),O133,P133)&lt;DATE(2023,5,8)),0,
IF(AND(OR(表紙!X104="実績報告（２次）",表紙!X104="交付申請兼実績報告"),DATE(IF(N133=5,2023,IF(N133=6,2024)),O133,P133)&lt;DATE(2023,10,1)),0,
MIN(K133,L133))))</f>
        <v/>
      </c>
      <c r="N133" s="725"/>
      <c r="O133" s="725"/>
      <c r="P133" s="725"/>
      <c r="Q133" s="488" t="str">
        <f xml:space="preserve">
IF(AL133&lt;&gt;"◎","",
IF(AND(表紙!X104="実績報告（１次）",DATE(IF(N133=5,2023,IF(N133=6,2024)),O133,P133)&lt;DATE(2023,5,8)),0,
IF(AND(OR(表紙!X104="実績報告（２次）",表紙!X104="交付申請兼実績報告"),DATE(IF(N133=5,2023,IF(N133=6,2024)),O133,P133)&lt;DATE(2023,10,1)),0,
G133*H133)))</f>
        <v/>
      </c>
      <c r="R133" s="724" t="str">
        <f xml:space="preserve">
IF(表紙!$X$2="事前協議","－",
IF(表紙!$X$2="交付申請（２次）","－",
IF(表紙!$X$2="変更申請","－",
IF(AND(OR(表紙!$X$2="実績報告（１次）",表紙!$X$2="実績報告（２次）",表紙!$X$2="交付申請兼実績報告"),AL133="◎"),COUNTIF($AL$30:AL133,"◎"),""))))</f>
        <v/>
      </c>
      <c r="S133" s="489" t="str">
        <f t="shared" si="34"/>
        <v/>
      </c>
      <c r="T133" s="765" t="str">
        <f t="shared" si="28"/>
        <v/>
      </c>
      <c r="U133" s="596" t="str">
        <f t="shared" si="35"/>
        <v/>
      </c>
      <c r="V133" s="787" t="str">
        <f t="shared" si="23"/>
        <v/>
      </c>
      <c r="W133" s="787" t="str">
        <f t="shared" si="24"/>
        <v/>
      </c>
      <c r="X133" s="787" t="str">
        <f t="shared" si="25"/>
        <v/>
      </c>
      <c r="Y133" s="491" t="str">
        <f t="shared" si="26"/>
        <v/>
      </c>
      <c r="AJ133" s="461" t="s">
        <v>466</v>
      </c>
      <c r="AK133" s="490">
        <v>121</v>
      </c>
      <c r="AL133" s="460" t="str">
        <f t="shared" si="29"/>
        <v>○</v>
      </c>
      <c r="AM133" s="468" t="str">
        <f t="shared" si="30"/>
        <v>申請しない場合は入力不要です。</v>
      </c>
      <c r="AO133" s="468">
        <f t="shared" si="36"/>
        <v>0</v>
      </c>
      <c r="AX133" s="1866" t="s">
        <v>475</v>
      </c>
      <c r="AY133" s="496" t="s">
        <v>1230</v>
      </c>
      <c r="AZ133" s="493">
        <v>9</v>
      </c>
      <c r="BA133" s="494">
        <f t="shared" si="37"/>
        <v>0</v>
      </c>
      <c r="BB133" s="1868">
        <f>SUM(BA133:BA134)</f>
        <v>0</v>
      </c>
      <c r="BC133" s="1870">
        <f>増減推移!E10</f>
        <v>0</v>
      </c>
      <c r="BD133" s="1872">
        <f>BC133-BB133</f>
        <v>0</v>
      </c>
      <c r="BE133" s="1870">
        <f>基礎情報!V128</f>
        <v>0</v>
      </c>
    </row>
    <row r="134" spans="1:57" ht="20.100000000000001" customHeight="1">
      <c r="A134" s="485">
        <v>122</v>
      </c>
      <c r="B134" s="205"/>
      <c r="C134" s="206"/>
      <c r="D134" s="1889"/>
      <c r="E134" s="1890"/>
      <c r="F134" s="1891"/>
      <c r="G134" s="207"/>
      <c r="H134" s="207"/>
      <c r="I134" s="208"/>
      <c r="J134" s="486">
        <f t="shared" si="31"/>
        <v>0</v>
      </c>
      <c r="K134" s="487">
        <f t="shared" si="32"/>
        <v>0</v>
      </c>
      <c r="L134" s="487" t="str">
        <f t="shared" si="33"/>
        <v/>
      </c>
      <c r="M134" s="487" t="str">
        <f xml:space="preserve">
IF(AL134&lt;&gt;"◎","",
IF(AND(表紙!X105="実績報告（１次）",DATE(IF(N134=5,2023,IF(N134=6,2024)),O134,P134)&lt;DATE(2023,5,8)),0,
IF(AND(OR(表紙!X105="実績報告（２次）",表紙!X105="交付申請兼実績報告"),DATE(IF(N134=5,2023,IF(N134=6,2024)),O134,P134)&lt;DATE(2023,10,1)),0,
MIN(K134,L134))))</f>
        <v/>
      </c>
      <c r="N134" s="725"/>
      <c r="O134" s="725"/>
      <c r="P134" s="725"/>
      <c r="Q134" s="488" t="str">
        <f xml:space="preserve">
IF(AL134&lt;&gt;"◎","",
IF(AND(表紙!X105="実績報告（１次）",DATE(IF(N134=5,2023,IF(N134=6,2024)),O134,P134)&lt;DATE(2023,5,8)),0,
IF(AND(OR(表紙!X105="実績報告（２次）",表紙!X105="交付申請兼実績報告"),DATE(IF(N134=5,2023,IF(N134=6,2024)),O134,P134)&lt;DATE(2023,10,1)),0,
G134*H134)))</f>
        <v/>
      </c>
      <c r="R134" s="724" t="str">
        <f xml:space="preserve">
IF(表紙!$X$2="事前協議","－",
IF(表紙!$X$2="交付申請（２次）","－",
IF(表紙!$X$2="変更申請","－",
IF(AND(OR(表紙!$X$2="実績報告（１次）",表紙!$X$2="実績報告（２次）",表紙!$X$2="交付申請兼実績報告"),AL134="◎"),COUNTIF($AL$30:AL134,"◎"),""))))</f>
        <v/>
      </c>
      <c r="S134" s="489" t="str">
        <f t="shared" si="34"/>
        <v/>
      </c>
      <c r="T134" s="765" t="str">
        <f t="shared" si="28"/>
        <v/>
      </c>
      <c r="U134" s="596" t="str">
        <f t="shared" si="35"/>
        <v/>
      </c>
      <c r="V134" s="787" t="str">
        <f t="shared" si="23"/>
        <v/>
      </c>
      <c r="W134" s="787" t="str">
        <f t="shared" si="24"/>
        <v/>
      </c>
      <c r="X134" s="787" t="str">
        <f t="shared" si="25"/>
        <v/>
      </c>
      <c r="Y134" s="491" t="str">
        <f t="shared" si="26"/>
        <v/>
      </c>
      <c r="AJ134" s="461" t="s">
        <v>466</v>
      </c>
      <c r="AK134" s="490">
        <v>122</v>
      </c>
      <c r="AL134" s="460" t="str">
        <f t="shared" si="29"/>
        <v>○</v>
      </c>
      <c r="AM134" s="468" t="str">
        <f t="shared" si="30"/>
        <v>申請しない場合は入力不要です。</v>
      </c>
      <c r="AO134" s="468">
        <f t="shared" si="36"/>
        <v>0</v>
      </c>
      <c r="AX134" s="1867"/>
      <c r="AY134" s="496" t="s">
        <v>1231</v>
      </c>
      <c r="AZ134" s="493">
        <v>4</v>
      </c>
      <c r="BA134" s="494">
        <f t="shared" si="37"/>
        <v>0</v>
      </c>
      <c r="BB134" s="1869"/>
      <c r="BC134" s="1871"/>
      <c r="BD134" s="1873"/>
      <c r="BE134" s="1874">
        <f xml:space="preserve">
IF(表紙!$X$2="交付申請兼実績報告",IFERROR(BB134/(《基礎情報》!$AU$52*《基礎情報》!$P$76),0),
IF(OR(表紙!$X$2="事前協議",表紙!$X$2="交付申請",表紙!$X$2="変更申請",表紙!$X$2="実績報告",表紙!$X$2="交付申請（２次以降）"),IFERROR(BB134/(基礎情報!$AK$71*基礎情報!$P$96),0)))</f>
        <v>0</v>
      </c>
    </row>
    <row r="135" spans="1:57" ht="20.100000000000001" customHeight="1">
      <c r="A135" s="485">
        <v>123</v>
      </c>
      <c r="B135" s="205"/>
      <c r="C135" s="206"/>
      <c r="D135" s="1889"/>
      <c r="E135" s="1890"/>
      <c r="F135" s="1891"/>
      <c r="G135" s="207"/>
      <c r="H135" s="207"/>
      <c r="I135" s="208"/>
      <c r="J135" s="486">
        <f t="shared" si="31"/>
        <v>0</v>
      </c>
      <c r="K135" s="487">
        <f t="shared" si="32"/>
        <v>0</v>
      </c>
      <c r="L135" s="487" t="str">
        <f t="shared" si="33"/>
        <v/>
      </c>
      <c r="M135" s="487" t="str">
        <f xml:space="preserve">
IF(AL135&lt;&gt;"◎","",
IF(AND(表紙!X106="実績報告（１次）",DATE(IF(N135=5,2023,IF(N135=6,2024)),O135,P135)&lt;DATE(2023,5,8)),0,
IF(AND(OR(表紙!X106="実績報告（２次）",表紙!X106="交付申請兼実績報告"),DATE(IF(N135=5,2023,IF(N135=6,2024)),O135,P135)&lt;DATE(2023,10,1)),0,
MIN(K135,L135))))</f>
        <v/>
      </c>
      <c r="N135" s="725"/>
      <c r="O135" s="725"/>
      <c r="P135" s="725"/>
      <c r="Q135" s="488" t="str">
        <f xml:space="preserve">
IF(AL135&lt;&gt;"◎","",
IF(AND(表紙!X106="実績報告（１次）",DATE(IF(N135=5,2023,IF(N135=6,2024)),O135,P135)&lt;DATE(2023,5,8)),0,
IF(AND(OR(表紙!X106="実績報告（２次）",表紙!X106="交付申請兼実績報告"),DATE(IF(N135=5,2023,IF(N135=6,2024)),O135,P135)&lt;DATE(2023,10,1)),0,
G135*H135)))</f>
        <v/>
      </c>
      <c r="R135" s="724" t="str">
        <f xml:space="preserve">
IF(表紙!$X$2="事前協議","－",
IF(表紙!$X$2="交付申請（２次）","－",
IF(表紙!$X$2="変更申請","－",
IF(AND(OR(表紙!$X$2="実績報告（１次）",表紙!$X$2="実績報告（２次）",表紙!$X$2="交付申請兼実績報告"),AL135="◎"),COUNTIF($AL$30:AL135,"◎"),""))))</f>
        <v/>
      </c>
      <c r="S135" s="489" t="str">
        <f t="shared" si="34"/>
        <v/>
      </c>
      <c r="T135" s="765" t="str">
        <f t="shared" si="28"/>
        <v/>
      </c>
      <c r="U135" s="596" t="str">
        <f t="shared" si="35"/>
        <v/>
      </c>
      <c r="V135" s="787" t="str">
        <f t="shared" si="23"/>
        <v/>
      </c>
      <c r="W135" s="787" t="str">
        <f t="shared" si="24"/>
        <v/>
      </c>
      <c r="X135" s="787" t="str">
        <f t="shared" si="25"/>
        <v/>
      </c>
      <c r="Y135" s="491" t="str">
        <f t="shared" si="26"/>
        <v/>
      </c>
      <c r="AJ135" s="461" t="s">
        <v>466</v>
      </c>
      <c r="AK135" s="490">
        <v>123</v>
      </c>
      <c r="AL135" s="460" t="str">
        <f t="shared" si="29"/>
        <v>○</v>
      </c>
      <c r="AM135" s="468" t="str">
        <f t="shared" si="30"/>
        <v>申請しない場合は入力不要です。</v>
      </c>
      <c r="AO135" s="468">
        <f t="shared" si="36"/>
        <v>0</v>
      </c>
      <c r="AX135" s="460" t="s">
        <v>476</v>
      </c>
      <c r="AY135" s="496" t="s">
        <v>476</v>
      </c>
      <c r="AZ135" s="493">
        <v>11</v>
      </c>
      <c r="BA135" s="494">
        <f t="shared" si="37"/>
        <v>0</v>
      </c>
      <c r="BB135" s="495">
        <f>BA135</f>
        <v>0</v>
      </c>
      <c r="BC135" s="634">
        <f>増減推移!E11</f>
        <v>0</v>
      </c>
      <c r="BD135" s="635">
        <f>BC135-BB135</f>
        <v>0</v>
      </c>
      <c r="BE135" s="634">
        <f>基礎情報!V140</f>
        <v>0</v>
      </c>
    </row>
    <row r="136" spans="1:57" ht="20.100000000000001" customHeight="1">
      <c r="A136" s="485">
        <v>124</v>
      </c>
      <c r="B136" s="205"/>
      <c r="C136" s="206"/>
      <c r="D136" s="1889"/>
      <c r="E136" s="1890"/>
      <c r="F136" s="1891"/>
      <c r="G136" s="207"/>
      <c r="H136" s="207"/>
      <c r="I136" s="208"/>
      <c r="J136" s="486">
        <f t="shared" si="31"/>
        <v>0</v>
      </c>
      <c r="K136" s="487">
        <f t="shared" si="32"/>
        <v>0</v>
      </c>
      <c r="L136" s="487" t="str">
        <f t="shared" si="33"/>
        <v/>
      </c>
      <c r="M136" s="487" t="str">
        <f xml:space="preserve">
IF(AL136&lt;&gt;"◎","",
IF(AND(表紙!X107="実績報告（１次）",DATE(IF(N136=5,2023,IF(N136=6,2024)),O136,P136)&lt;DATE(2023,5,8)),0,
IF(AND(OR(表紙!X107="実績報告（２次）",表紙!X107="交付申請兼実績報告"),DATE(IF(N136=5,2023,IF(N136=6,2024)),O136,P136)&lt;DATE(2023,10,1)),0,
MIN(K136,L136))))</f>
        <v/>
      </c>
      <c r="N136" s="725"/>
      <c r="O136" s="725"/>
      <c r="P136" s="725"/>
      <c r="Q136" s="488" t="str">
        <f xml:space="preserve">
IF(AL136&lt;&gt;"◎","",
IF(AND(表紙!X107="実績報告（１次）",DATE(IF(N136=5,2023,IF(N136=6,2024)),O136,P136)&lt;DATE(2023,5,8)),0,
IF(AND(OR(表紙!X107="実績報告（２次）",表紙!X107="交付申請兼実績報告"),DATE(IF(N136=5,2023,IF(N136=6,2024)),O136,P136)&lt;DATE(2023,10,1)),0,
G136*H136)))</f>
        <v/>
      </c>
      <c r="R136" s="724" t="str">
        <f xml:space="preserve">
IF(表紙!$X$2="事前協議","－",
IF(表紙!$X$2="交付申請（２次）","－",
IF(表紙!$X$2="変更申請","－",
IF(AND(OR(表紙!$X$2="実績報告（１次）",表紙!$X$2="実績報告（２次）",表紙!$X$2="交付申請兼実績報告"),AL136="◎"),COUNTIF($AL$30:AL136,"◎"),""))))</f>
        <v/>
      </c>
      <c r="S136" s="489" t="str">
        <f t="shared" si="34"/>
        <v/>
      </c>
      <c r="T136" s="765" t="str">
        <f t="shared" si="28"/>
        <v/>
      </c>
      <c r="U136" s="596" t="str">
        <f t="shared" si="35"/>
        <v/>
      </c>
      <c r="V136" s="787" t="str">
        <f t="shared" si="23"/>
        <v/>
      </c>
      <c r="W136" s="787" t="str">
        <f t="shared" si="24"/>
        <v/>
      </c>
      <c r="X136" s="787" t="str">
        <f t="shared" si="25"/>
        <v/>
      </c>
      <c r="Y136" s="491" t="str">
        <f t="shared" si="26"/>
        <v/>
      </c>
      <c r="AJ136" s="461" t="s">
        <v>466</v>
      </c>
      <c r="AK136" s="490">
        <v>124</v>
      </c>
      <c r="AL136" s="460" t="str">
        <f t="shared" si="29"/>
        <v>○</v>
      </c>
      <c r="AM136" s="468" t="str">
        <f t="shared" si="30"/>
        <v>申請しない場合は入力不要です。</v>
      </c>
      <c r="AO136" s="468">
        <f t="shared" si="36"/>
        <v>0</v>
      </c>
      <c r="AX136" s="1875" t="s">
        <v>1373</v>
      </c>
      <c r="AY136" s="496" t="s">
        <v>1232</v>
      </c>
      <c r="AZ136" s="493">
        <v>133</v>
      </c>
      <c r="BA136" s="494">
        <f t="shared" si="37"/>
        <v>0</v>
      </c>
      <c r="BB136" s="495">
        <f>BA136</f>
        <v>0</v>
      </c>
      <c r="BC136" s="634">
        <f>増減推移!E12</f>
        <v>0</v>
      </c>
      <c r="BD136" s="635">
        <f>BC136-BB136</f>
        <v>0</v>
      </c>
      <c r="BE136" s="634">
        <f>基礎情報!V143</f>
        <v>0</v>
      </c>
    </row>
    <row r="137" spans="1:57" ht="20.100000000000001" customHeight="1">
      <c r="A137" s="485">
        <v>125</v>
      </c>
      <c r="B137" s="205"/>
      <c r="C137" s="206"/>
      <c r="D137" s="1889"/>
      <c r="E137" s="1890"/>
      <c r="F137" s="1891"/>
      <c r="G137" s="207"/>
      <c r="H137" s="207"/>
      <c r="I137" s="208"/>
      <c r="J137" s="486">
        <f t="shared" si="31"/>
        <v>0</v>
      </c>
      <c r="K137" s="487">
        <f t="shared" si="32"/>
        <v>0</v>
      </c>
      <c r="L137" s="487" t="str">
        <f t="shared" si="33"/>
        <v/>
      </c>
      <c r="M137" s="487" t="str">
        <f xml:space="preserve">
IF(AL137&lt;&gt;"◎","",
IF(AND(表紙!X108="実績報告（１次）",DATE(IF(N137=5,2023,IF(N137=6,2024)),O137,P137)&lt;DATE(2023,5,8)),0,
IF(AND(OR(表紙!X108="実績報告（２次）",表紙!X108="交付申請兼実績報告"),DATE(IF(N137=5,2023,IF(N137=6,2024)),O137,P137)&lt;DATE(2023,10,1)),0,
MIN(K137,L137))))</f>
        <v/>
      </c>
      <c r="N137" s="725"/>
      <c r="O137" s="725"/>
      <c r="P137" s="725"/>
      <c r="Q137" s="488" t="str">
        <f xml:space="preserve">
IF(AL137&lt;&gt;"◎","",
IF(AND(表紙!X108="実績報告（１次）",DATE(IF(N137=5,2023,IF(N137=6,2024)),O137,P137)&lt;DATE(2023,5,8)),0,
IF(AND(OR(表紙!X108="実績報告（２次）",表紙!X108="交付申請兼実績報告"),DATE(IF(N137=5,2023,IF(N137=6,2024)),O137,P137)&lt;DATE(2023,10,1)),0,
G137*H137)))</f>
        <v/>
      </c>
      <c r="R137" s="724" t="str">
        <f xml:space="preserve">
IF(表紙!$X$2="事前協議","－",
IF(表紙!$X$2="交付申請（２次）","－",
IF(表紙!$X$2="変更申請","－",
IF(AND(OR(表紙!$X$2="実績報告（１次）",表紙!$X$2="実績報告（２次）",表紙!$X$2="交付申請兼実績報告"),AL137="◎"),COUNTIF($AL$30:AL137,"◎"),""))))</f>
        <v/>
      </c>
      <c r="S137" s="489" t="str">
        <f t="shared" si="34"/>
        <v/>
      </c>
      <c r="T137" s="765" t="str">
        <f t="shared" si="28"/>
        <v/>
      </c>
      <c r="U137" s="596" t="str">
        <f t="shared" si="35"/>
        <v/>
      </c>
      <c r="V137" s="787" t="str">
        <f t="shared" si="23"/>
        <v/>
      </c>
      <c r="W137" s="787" t="str">
        <f t="shared" si="24"/>
        <v/>
      </c>
      <c r="X137" s="787" t="str">
        <f t="shared" si="25"/>
        <v/>
      </c>
      <c r="Y137" s="491" t="str">
        <f t="shared" si="26"/>
        <v/>
      </c>
      <c r="AJ137" s="461" t="s">
        <v>466</v>
      </c>
      <c r="AK137" s="490">
        <v>125</v>
      </c>
      <c r="AL137" s="460" t="str">
        <f t="shared" si="29"/>
        <v>○</v>
      </c>
      <c r="AM137" s="468" t="str">
        <f t="shared" si="30"/>
        <v>申請しない場合は入力不要です。</v>
      </c>
      <c r="AO137" s="468">
        <f t="shared" si="36"/>
        <v>0</v>
      </c>
      <c r="AX137" s="1876"/>
      <c r="AY137" s="496" t="s">
        <v>1233</v>
      </c>
      <c r="AZ137" s="493">
        <v>249</v>
      </c>
      <c r="BA137" s="494">
        <f t="shared" si="37"/>
        <v>0</v>
      </c>
      <c r="BB137" s="495">
        <f>BA137</f>
        <v>0</v>
      </c>
      <c r="BC137" s="634">
        <f>増減推移!E13</f>
        <v>0</v>
      </c>
      <c r="BD137" s="635">
        <f>BC137-BB137</f>
        <v>0</v>
      </c>
      <c r="BE137" s="634">
        <f>基礎情報!V146</f>
        <v>0</v>
      </c>
    </row>
    <row r="138" spans="1:57" ht="20.100000000000001" customHeight="1">
      <c r="A138" s="485">
        <v>126</v>
      </c>
      <c r="B138" s="205"/>
      <c r="C138" s="206"/>
      <c r="D138" s="1889"/>
      <c r="E138" s="1890"/>
      <c r="F138" s="1891"/>
      <c r="G138" s="207"/>
      <c r="H138" s="207"/>
      <c r="I138" s="208"/>
      <c r="J138" s="486">
        <f t="shared" si="31"/>
        <v>0</v>
      </c>
      <c r="K138" s="487">
        <f t="shared" si="32"/>
        <v>0</v>
      </c>
      <c r="L138" s="487" t="str">
        <f t="shared" si="33"/>
        <v/>
      </c>
      <c r="M138" s="487" t="str">
        <f xml:space="preserve">
IF(AL138&lt;&gt;"◎","",
IF(AND(表紙!X109="実績報告（１次）",DATE(IF(N138=5,2023,IF(N138=6,2024)),O138,P138)&lt;DATE(2023,5,8)),0,
IF(AND(OR(表紙!X109="実績報告（２次）",表紙!X109="交付申請兼実績報告"),DATE(IF(N138=5,2023,IF(N138=6,2024)),O138,P138)&lt;DATE(2023,10,1)),0,
MIN(K138,L138))))</f>
        <v/>
      </c>
      <c r="N138" s="725"/>
      <c r="O138" s="725"/>
      <c r="P138" s="725"/>
      <c r="Q138" s="488" t="str">
        <f xml:space="preserve">
IF(AL138&lt;&gt;"◎","",
IF(AND(表紙!X109="実績報告（１次）",DATE(IF(N138=5,2023,IF(N138=6,2024)),O138,P138)&lt;DATE(2023,5,8)),0,
IF(AND(OR(表紙!X109="実績報告（２次）",表紙!X109="交付申請兼実績報告"),DATE(IF(N138=5,2023,IF(N138=6,2024)),O138,P138)&lt;DATE(2023,10,1)),0,
G138*H138)))</f>
        <v/>
      </c>
      <c r="R138" s="724" t="str">
        <f xml:space="preserve">
IF(表紙!$X$2="事前協議","－",
IF(表紙!$X$2="交付申請（２次）","－",
IF(表紙!$X$2="変更申請","－",
IF(AND(OR(表紙!$X$2="実績報告（１次）",表紙!$X$2="実績報告（２次）",表紙!$X$2="交付申請兼実績報告"),AL138="◎"),COUNTIF($AL$30:AL138,"◎"),""))))</f>
        <v/>
      </c>
      <c r="S138" s="489" t="str">
        <f t="shared" si="34"/>
        <v/>
      </c>
      <c r="T138" s="765" t="str">
        <f t="shared" si="28"/>
        <v/>
      </c>
      <c r="U138" s="596" t="str">
        <f t="shared" si="35"/>
        <v/>
      </c>
      <c r="V138" s="787" t="str">
        <f t="shared" si="23"/>
        <v/>
      </c>
      <c r="W138" s="787" t="str">
        <f t="shared" si="24"/>
        <v/>
      </c>
      <c r="X138" s="787" t="str">
        <f t="shared" si="25"/>
        <v/>
      </c>
      <c r="Y138" s="491" t="str">
        <f t="shared" si="26"/>
        <v/>
      </c>
      <c r="AJ138" s="461" t="s">
        <v>466</v>
      </c>
      <c r="AK138" s="490">
        <v>126</v>
      </c>
      <c r="AL138" s="460" t="str">
        <f t="shared" si="29"/>
        <v>○</v>
      </c>
      <c r="AM138" s="468" t="str">
        <f t="shared" si="30"/>
        <v>申請しない場合は入力不要です。</v>
      </c>
      <c r="AO138" s="468">
        <f t="shared" si="36"/>
        <v>0</v>
      </c>
      <c r="AX138" s="1876"/>
      <c r="AY138" s="496" t="s">
        <v>1070</v>
      </c>
      <c r="AZ138" s="493">
        <v>104</v>
      </c>
      <c r="BA138" s="494">
        <f t="shared" si="37"/>
        <v>0</v>
      </c>
      <c r="BB138" s="495">
        <f>BA138</f>
        <v>0</v>
      </c>
      <c r="BC138" s="634">
        <f>増減推移!E14</f>
        <v>0</v>
      </c>
      <c r="BD138" s="635">
        <f>BC138-BB138</f>
        <v>0</v>
      </c>
      <c r="BE138" s="634">
        <f>基礎情報!V149</f>
        <v>0</v>
      </c>
    </row>
    <row r="139" spans="1:57" ht="20.100000000000001" customHeight="1">
      <c r="A139" s="485">
        <v>127</v>
      </c>
      <c r="B139" s="205"/>
      <c r="C139" s="206"/>
      <c r="D139" s="1889"/>
      <c r="E139" s="1890"/>
      <c r="F139" s="1891"/>
      <c r="G139" s="207"/>
      <c r="H139" s="207"/>
      <c r="I139" s="208"/>
      <c r="J139" s="486">
        <f t="shared" si="31"/>
        <v>0</v>
      </c>
      <c r="K139" s="487">
        <f t="shared" si="32"/>
        <v>0</v>
      </c>
      <c r="L139" s="487" t="str">
        <f t="shared" si="33"/>
        <v/>
      </c>
      <c r="M139" s="487" t="str">
        <f xml:space="preserve">
IF(AL139&lt;&gt;"◎","",
IF(AND(表紙!X110="実績報告（１次）",DATE(IF(N139=5,2023,IF(N139=6,2024)),O139,P139)&lt;DATE(2023,5,8)),0,
IF(AND(OR(表紙!X110="実績報告（２次）",表紙!X110="交付申請兼実績報告"),DATE(IF(N139=5,2023,IF(N139=6,2024)),O139,P139)&lt;DATE(2023,10,1)),0,
MIN(K139,L139))))</f>
        <v/>
      </c>
      <c r="N139" s="725"/>
      <c r="O139" s="725"/>
      <c r="P139" s="725"/>
      <c r="Q139" s="488" t="str">
        <f xml:space="preserve">
IF(AL139&lt;&gt;"◎","",
IF(AND(表紙!X110="実績報告（１次）",DATE(IF(N139=5,2023,IF(N139=6,2024)),O139,P139)&lt;DATE(2023,5,8)),0,
IF(AND(OR(表紙!X110="実績報告（２次）",表紙!X110="交付申請兼実績報告"),DATE(IF(N139=5,2023,IF(N139=6,2024)),O139,P139)&lt;DATE(2023,10,1)),0,
G139*H139)))</f>
        <v/>
      </c>
      <c r="R139" s="724" t="str">
        <f xml:space="preserve">
IF(表紙!$X$2="事前協議","－",
IF(表紙!$X$2="交付申請（２次）","－",
IF(表紙!$X$2="変更申請","－",
IF(AND(OR(表紙!$X$2="実績報告（１次）",表紙!$X$2="実績報告（２次）",表紙!$X$2="交付申請兼実績報告"),AL139="◎"),COUNTIF($AL$30:AL139,"◎"),""))))</f>
        <v/>
      </c>
      <c r="S139" s="489" t="str">
        <f t="shared" si="34"/>
        <v/>
      </c>
      <c r="T139" s="765" t="str">
        <f t="shared" si="28"/>
        <v/>
      </c>
      <c r="U139" s="596" t="str">
        <f t="shared" si="35"/>
        <v/>
      </c>
      <c r="V139" s="787" t="str">
        <f t="shared" si="23"/>
        <v/>
      </c>
      <c r="W139" s="787" t="str">
        <f t="shared" si="24"/>
        <v/>
      </c>
      <c r="X139" s="787" t="str">
        <f t="shared" si="25"/>
        <v/>
      </c>
      <c r="Y139" s="491" t="str">
        <f t="shared" si="26"/>
        <v/>
      </c>
      <c r="AJ139" s="461" t="s">
        <v>466</v>
      </c>
      <c r="AK139" s="490">
        <v>127</v>
      </c>
      <c r="AL139" s="460" t="str">
        <f t="shared" si="29"/>
        <v>○</v>
      </c>
      <c r="AM139" s="468" t="str">
        <f t="shared" si="30"/>
        <v>申請しない場合は入力不要です。</v>
      </c>
      <c r="AO139" s="468">
        <f t="shared" si="36"/>
        <v>0</v>
      </c>
      <c r="AX139" s="1877"/>
      <c r="AY139" s="496" t="s">
        <v>1300</v>
      </c>
      <c r="AZ139" s="493">
        <v>1614</v>
      </c>
      <c r="BA139" s="494">
        <f t="shared" si="37"/>
        <v>0</v>
      </c>
      <c r="BB139" s="495">
        <f>BA139</f>
        <v>0</v>
      </c>
      <c r="BC139" s="634">
        <f>増減推移!E15</f>
        <v>0</v>
      </c>
      <c r="BD139" s="635">
        <f>BC139-BB139</f>
        <v>0</v>
      </c>
      <c r="BE139" s="634">
        <f>基礎情報!V152</f>
        <v>0</v>
      </c>
    </row>
    <row r="140" spans="1:57" ht="20.100000000000001" customHeight="1">
      <c r="A140" s="485">
        <v>128</v>
      </c>
      <c r="B140" s="205"/>
      <c r="C140" s="206"/>
      <c r="D140" s="1889"/>
      <c r="E140" s="1890"/>
      <c r="F140" s="1891"/>
      <c r="G140" s="207"/>
      <c r="H140" s="207"/>
      <c r="I140" s="208"/>
      <c r="J140" s="486">
        <f t="shared" si="31"/>
        <v>0</v>
      </c>
      <c r="K140" s="487">
        <f t="shared" si="32"/>
        <v>0</v>
      </c>
      <c r="L140" s="487" t="str">
        <f t="shared" si="33"/>
        <v/>
      </c>
      <c r="M140" s="487" t="str">
        <f xml:space="preserve">
IF(AL140&lt;&gt;"◎","",
IF(AND(表紙!X111="実績報告（１次）",DATE(IF(N140=5,2023,IF(N140=6,2024)),O140,P140)&lt;DATE(2023,5,8)),0,
IF(AND(OR(表紙!X111="実績報告（２次）",表紙!X111="交付申請兼実績報告"),DATE(IF(N140=5,2023,IF(N140=6,2024)),O140,P140)&lt;DATE(2023,10,1)),0,
MIN(K140,L140))))</f>
        <v/>
      </c>
      <c r="N140" s="725"/>
      <c r="O140" s="725"/>
      <c r="P140" s="725"/>
      <c r="Q140" s="488" t="str">
        <f xml:space="preserve">
IF(AL140&lt;&gt;"◎","",
IF(AND(表紙!X111="実績報告（１次）",DATE(IF(N140=5,2023,IF(N140=6,2024)),O140,P140)&lt;DATE(2023,5,8)),0,
IF(AND(OR(表紙!X111="実績報告（２次）",表紙!X111="交付申請兼実績報告"),DATE(IF(N140=5,2023,IF(N140=6,2024)),O140,P140)&lt;DATE(2023,10,1)),0,
G140*H140)))</f>
        <v/>
      </c>
      <c r="R140" s="724" t="str">
        <f xml:space="preserve">
IF(表紙!$X$2="事前協議","－",
IF(表紙!$X$2="交付申請（２次）","－",
IF(表紙!$X$2="変更申請","－",
IF(AND(OR(表紙!$X$2="実績報告（１次）",表紙!$X$2="実績報告（２次）",表紙!$X$2="交付申請兼実績報告"),AL140="◎"),COUNTIF($AL$30:AL140,"◎"),""))))</f>
        <v/>
      </c>
      <c r="S140" s="489" t="str">
        <f t="shared" si="34"/>
        <v/>
      </c>
      <c r="T140" s="765" t="str">
        <f t="shared" si="28"/>
        <v/>
      </c>
      <c r="U140" s="596" t="str">
        <f t="shared" si="35"/>
        <v/>
      </c>
      <c r="V140" s="787" t="str">
        <f t="shared" si="23"/>
        <v/>
      </c>
      <c r="W140" s="787" t="str">
        <f t="shared" si="24"/>
        <v/>
      </c>
      <c r="X140" s="787" t="str">
        <f t="shared" si="25"/>
        <v/>
      </c>
      <c r="Y140" s="491" t="str">
        <f t="shared" si="26"/>
        <v/>
      </c>
      <c r="AJ140" s="461" t="s">
        <v>466</v>
      </c>
      <c r="AK140" s="490">
        <v>128</v>
      </c>
      <c r="AL140" s="460" t="str">
        <f t="shared" si="29"/>
        <v>○</v>
      </c>
      <c r="AM140" s="468" t="str">
        <f t="shared" si="30"/>
        <v>申請しない場合は入力不要です。</v>
      </c>
      <c r="AO140" s="468">
        <f t="shared" si="36"/>
        <v>0</v>
      </c>
    </row>
    <row r="141" spans="1:57" ht="20.100000000000001" customHeight="1">
      <c r="A141" s="485">
        <v>129</v>
      </c>
      <c r="B141" s="205"/>
      <c r="C141" s="206"/>
      <c r="D141" s="1889"/>
      <c r="E141" s="1890"/>
      <c r="F141" s="1891"/>
      <c r="G141" s="207"/>
      <c r="H141" s="207"/>
      <c r="I141" s="208"/>
      <c r="J141" s="486">
        <f t="shared" si="31"/>
        <v>0</v>
      </c>
      <c r="K141" s="487">
        <f t="shared" si="32"/>
        <v>0</v>
      </c>
      <c r="L141" s="487" t="str">
        <f t="shared" si="33"/>
        <v/>
      </c>
      <c r="M141" s="487" t="str">
        <f xml:space="preserve">
IF(AL141&lt;&gt;"◎","",
IF(AND(表紙!X112="実績報告（１次）",DATE(IF(N141=5,2023,IF(N141=6,2024)),O141,P141)&lt;DATE(2023,5,8)),0,
IF(AND(OR(表紙!X112="実績報告（２次）",表紙!X112="交付申請兼実績報告"),DATE(IF(N141=5,2023,IF(N141=6,2024)),O141,P141)&lt;DATE(2023,10,1)),0,
MIN(K141,L141))))</f>
        <v/>
      </c>
      <c r="N141" s="725"/>
      <c r="O141" s="725"/>
      <c r="P141" s="725"/>
      <c r="Q141" s="488" t="str">
        <f xml:space="preserve">
IF(AL141&lt;&gt;"◎","",
IF(AND(表紙!X112="実績報告（１次）",DATE(IF(N141=5,2023,IF(N141=6,2024)),O141,P141)&lt;DATE(2023,5,8)),0,
IF(AND(OR(表紙!X112="実績報告（２次）",表紙!X112="交付申請兼実績報告"),DATE(IF(N141=5,2023,IF(N141=6,2024)),O141,P141)&lt;DATE(2023,10,1)),0,
G141*H141)))</f>
        <v/>
      </c>
      <c r="R141" s="724" t="str">
        <f xml:space="preserve">
IF(表紙!$X$2="事前協議","－",
IF(表紙!$X$2="交付申請（２次）","－",
IF(表紙!$X$2="変更申請","－",
IF(AND(OR(表紙!$X$2="実績報告（１次）",表紙!$X$2="実績報告（２次）",表紙!$X$2="交付申請兼実績報告"),AL141="◎"),COUNTIF($AL$30:AL141,"◎"),""))))</f>
        <v/>
      </c>
      <c r="S141" s="489" t="str">
        <f t="shared" si="34"/>
        <v/>
      </c>
      <c r="T141" s="765" t="str">
        <f t="shared" si="28"/>
        <v/>
      </c>
      <c r="U141" s="596" t="str">
        <f t="shared" si="35"/>
        <v/>
      </c>
      <c r="V141" s="787" t="str">
        <f t="shared" si="23"/>
        <v/>
      </c>
      <c r="W141" s="787" t="str">
        <f t="shared" si="24"/>
        <v/>
      </c>
      <c r="X141" s="787" t="str">
        <f t="shared" si="25"/>
        <v/>
      </c>
      <c r="Y141" s="491" t="str">
        <f t="shared" si="26"/>
        <v/>
      </c>
      <c r="AJ141" s="461" t="s">
        <v>466</v>
      </c>
      <c r="AK141" s="490">
        <v>129</v>
      </c>
      <c r="AL141" s="460" t="str">
        <f t="shared" si="29"/>
        <v>○</v>
      </c>
      <c r="AM141" s="468" t="str">
        <f t="shared" si="30"/>
        <v>申請しない場合は入力不要です。</v>
      </c>
      <c r="AO141" s="468">
        <f t="shared" si="36"/>
        <v>0</v>
      </c>
      <c r="AX141" s="454" t="s">
        <v>1183</v>
      </c>
    </row>
    <row r="142" spans="1:57" ht="20.100000000000001" customHeight="1">
      <c r="A142" s="485">
        <v>130</v>
      </c>
      <c r="B142" s="205"/>
      <c r="C142" s="206"/>
      <c r="D142" s="1889"/>
      <c r="E142" s="1890"/>
      <c r="F142" s="1891"/>
      <c r="G142" s="207"/>
      <c r="H142" s="207"/>
      <c r="I142" s="208"/>
      <c r="J142" s="486">
        <f t="shared" si="31"/>
        <v>0</v>
      </c>
      <c r="K142" s="487">
        <f t="shared" si="32"/>
        <v>0</v>
      </c>
      <c r="L142" s="487" t="str">
        <f t="shared" si="33"/>
        <v/>
      </c>
      <c r="M142" s="487" t="str">
        <f xml:space="preserve">
IF(AL142&lt;&gt;"◎","",
IF(AND(表紙!X113="実績報告（１次）",DATE(IF(N142=5,2023,IF(N142=6,2024)),O142,P142)&lt;DATE(2023,5,8)),0,
IF(AND(OR(表紙!X113="実績報告（２次）",表紙!X113="交付申請兼実績報告"),DATE(IF(N142=5,2023,IF(N142=6,2024)),O142,P142)&lt;DATE(2023,10,1)),0,
MIN(K142,L142))))</f>
        <v/>
      </c>
      <c r="N142" s="725"/>
      <c r="O142" s="725"/>
      <c r="P142" s="725"/>
      <c r="Q142" s="488" t="str">
        <f xml:space="preserve">
IF(AL142&lt;&gt;"◎","",
IF(AND(表紙!X113="実績報告（１次）",DATE(IF(N142=5,2023,IF(N142=6,2024)),O142,P142)&lt;DATE(2023,5,8)),0,
IF(AND(OR(表紙!X113="実績報告（２次）",表紙!X113="交付申請兼実績報告"),DATE(IF(N142=5,2023,IF(N142=6,2024)),O142,P142)&lt;DATE(2023,10,1)),0,
G142*H142)))</f>
        <v/>
      </c>
      <c r="R142" s="724" t="str">
        <f xml:space="preserve">
IF(表紙!$X$2="事前協議","－",
IF(表紙!$X$2="交付申請（２次）","－",
IF(表紙!$X$2="変更申請","－",
IF(AND(OR(表紙!$X$2="実績報告（１次）",表紙!$X$2="実績報告（２次）",表紙!$X$2="交付申請兼実績報告"),AL142="◎"),COUNTIF($AL$30:AL142,"◎"),""))))</f>
        <v/>
      </c>
      <c r="S142" s="489" t="str">
        <f t="shared" si="34"/>
        <v/>
      </c>
      <c r="T142" s="765" t="str">
        <f t="shared" si="28"/>
        <v/>
      </c>
      <c r="U142" s="596" t="str">
        <f t="shared" si="35"/>
        <v/>
      </c>
      <c r="V142" s="787" t="str">
        <f t="shared" ref="V142:V205" si="38">IF($U142=MAX($U$13:$U$212),N142,"")</f>
        <v/>
      </c>
      <c r="W142" s="787" t="str">
        <f t="shared" ref="W142:W205" si="39">IF($U142=MAX($U$13:$U$212),O142,"")</f>
        <v/>
      </c>
      <c r="X142" s="787" t="str">
        <f t="shared" ref="X142:X205" si="40">IF($U142=MAX($U$13:$U$212),P142,"")</f>
        <v/>
      </c>
      <c r="Y142" s="491" t="str">
        <f t="shared" ref="Y142:Y205" si="41">U142&amp;
IF(OR(C142="N95マスク",C142="ハイラックマスク"),"N95マスク・ハイラックマスク",
IF(OR(C142="ニトリルグローブ",C142="プラスチックグローブ等"),"グローブ",
IF(OR(C142="アイソレーションガウン",C142="プラスチックガウン",C142="エプロン"),"ガウン",C142)))</f>
        <v/>
      </c>
      <c r="AJ142" s="461" t="s">
        <v>466</v>
      </c>
      <c r="AK142" s="490">
        <v>130</v>
      </c>
      <c r="AL142" s="460" t="str">
        <f t="shared" si="29"/>
        <v>○</v>
      </c>
      <c r="AM142" s="468" t="str">
        <f t="shared" si="30"/>
        <v>申請しない場合は入力不要です。</v>
      </c>
      <c r="AO142" s="468">
        <f t="shared" si="36"/>
        <v>0</v>
      </c>
      <c r="AX142" s="454" t="s">
        <v>1213</v>
      </c>
    </row>
    <row r="143" spans="1:57" ht="20.100000000000001" customHeight="1">
      <c r="A143" s="485">
        <v>131</v>
      </c>
      <c r="B143" s="205"/>
      <c r="C143" s="206"/>
      <c r="D143" s="1889"/>
      <c r="E143" s="1890"/>
      <c r="F143" s="1891"/>
      <c r="G143" s="207"/>
      <c r="H143" s="207"/>
      <c r="I143" s="208"/>
      <c r="J143" s="486">
        <f t="shared" si="31"/>
        <v>0</v>
      </c>
      <c r="K143" s="487">
        <f t="shared" si="32"/>
        <v>0</v>
      </c>
      <c r="L143" s="487" t="str">
        <f t="shared" si="33"/>
        <v/>
      </c>
      <c r="M143" s="487" t="str">
        <f xml:space="preserve">
IF(AL143&lt;&gt;"◎","",
IF(AND(表紙!X114="実績報告（１次）",DATE(IF(N143=5,2023,IF(N143=6,2024)),O143,P143)&lt;DATE(2023,5,8)),0,
IF(AND(OR(表紙!X114="実績報告（２次）",表紙!X114="交付申請兼実績報告"),DATE(IF(N143=5,2023,IF(N143=6,2024)),O143,P143)&lt;DATE(2023,10,1)),0,
MIN(K143,L143))))</f>
        <v/>
      </c>
      <c r="N143" s="725"/>
      <c r="O143" s="725"/>
      <c r="P143" s="725"/>
      <c r="Q143" s="488" t="str">
        <f xml:space="preserve">
IF(AL143&lt;&gt;"◎","",
IF(AND(表紙!X114="実績報告（１次）",DATE(IF(N143=5,2023,IF(N143=6,2024)),O143,P143)&lt;DATE(2023,5,8)),0,
IF(AND(OR(表紙!X114="実績報告（２次）",表紙!X114="交付申請兼実績報告"),DATE(IF(N143=5,2023,IF(N143=6,2024)),O143,P143)&lt;DATE(2023,10,1)),0,
G143*H143)))</f>
        <v/>
      </c>
      <c r="R143" s="724" t="str">
        <f xml:space="preserve">
IF(表紙!$X$2="事前協議","－",
IF(表紙!$X$2="交付申請（２次）","－",
IF(表紙!$X$2="変更申請","－",
IF(AND(OR(表紙!$X$2="実績報告（１次）",表紙!$X$2="実績報告（２次）",表紙!$X$2="交付申請兼実績報告"),AL143="◎"),COUNTIF($AL$30:AL143,"◎"),""))))</f>
        <v/>
      </c>
      <c r="S143" s="489" t="str">
        <f t="shared" si="34"/>
        <v/>
      </c>
      <c r="T143" s="765" t="str">
        <f t="shared" si="28"/>
        <v/>
      </c>
      <c r="U143" s="596" t="str">
        <f t="shared" si="35"/>
        <v/>
      </c>
      <c r="V143" s="787" t="str">
        <f t="shared" si="38"/>
        <v/>
      </c>
      <c r="W143" s="787" t="str">
        <f t="shared" si="39"/>
        <v/>
      </c>
      <c r="X143" s="787" t="str">
        <f t="shared" si="40"/>
        <v/>
      </c>
      <c r="Y143" s="491" t="str">
        <f t="shared" si="41"/>
        <v/>
      </c>
      <c r="AJ143" s="461" t="s">
        <v>466</v>
      </c>
      <c r="AK143" s="490">
        <v>131</v>
      </c>
      <c r="AL143" s="460" t="str">
        <f t="shared" si="29"/>
        <v>○</v>
      </c>
      <c r="AM143" s="468" t="str">
        <f t="shared" si="30"/>
        <v>申請しない場合は入力不要です。</v>
      </c>
      <c r="AO143" s="468">
        <f t="shared" si="36"/>
        <v>0</v>
      </c>
      <c r="AX143" s="454" t="s">
        <v>1296</v>
      </c>
    </row>
    <row r="144" spans="1:57" ht="20.100000000000001" customHeight="1">
      <c r="A144" s="485">
        <v>132</v>
      </c>
      <c r="B144" s="205"/>
      <c r="C144" s="206"/>
      <c r="D144" s="1889"/>
      <c r="E144" s="1890"/>
      <c r="F144" s="1891"/>
      <c r="G144" s="207"/>
      <c r="H144" s="207"/>
      <c r="I144" s="208"/>
      <c r="J144" s="486">
        <f t="shared" si="31"/>
        <v>0</v>
      </c>
      <c r="K144" s="487">
        <f t="shared" si="32"/>
        <v>0</v>
      </c>
      <c r="L144" s="487" t="str">
        <f t="shared" si="33"/>
        <v/>
      </c>
      <c r="M144" s="487" t="str">
        <f xml:space="preserve">
IF(AL144&lt;&gt;"◎","",
IF(AND(表紙!X115="実績報告（１次）",DATE(IF(N144=5,2023,IF(N144=6,2024)),O144,P144)&lt;DATE(2023,5,8)),0,
IF(AND(OR(表紙!X115="実績報告（２次）",表紙!X115="交付申請兼実績報告"),DATE(IF(N144=5,2023,IF(N144=6,2024)),O144,P144)&lt;DATE(2023,10,1)),0,
MIN(K144,L144))))</f>
        <v/>
      </c>
      <c r="N144" s="725"/>
      <c r="O144" s="725"/>
      <c r="P144" s="725"/>
      <c r="Q144" s="488" t="str">
        <f xml:space="preserve">
IF(AL144&lt;&gt;"◎","",
IF(AND(表紙!X115="実績報告（１次）",DATE(IF(N144=5,2023,IF(N144=6,2024)),O144,P144)&lt;DATE(2023,5,8)),0,
IF(AND(OR(表紙!X115="実績報告（２次）",表紙!X115="交付申請兼実績報告"),DATE(IF(N144=5,2023,IF(N144=6,2024)),O144,P144)&lt;DATE(2023,10,1)),0,
G144*H144)))</f>
        <v/>
      </c>
      <c r="R144" s="724" t="str">
        <f xml:space="preserve">
IF(表紙!$X$2="事前協議","－",
IF(表紙!$X$2="交付申請（２次）","－",
IF(表紙!$X$2="変更申請","－",
IF(AND(OR(表紙!$X$2="実績報告（１次）",表紙!$X$2="実績報告（２次）",表紙!$X$2="交付申請兼実績報告"),AL144="◎"),COUNTIF($AL$30:AL144,"◎"),""))))</f>
        <v/>
      </c>
      <c r="S144" s="489" t="str">
        <f t="shared" si="34"/>
        <v/>
      </c>
      <c r="T144" s="765" t="str">
        <f t="shared" si="28"/>
        <v/>
      </c>
      <c r="U144" s="596" t="str">
        <f t="shared" si="35"/>
        <v/>
      </c>
      <c r="V144" s="787" t="str">
        <f t="shared" si="38"/>
        <v/>
      </c>
      <c r="W144" s="787" t="str">
        <f t="shared" si="39"/>
        <v/>
      </c>
      <c r="X144" s="787" t="str">
        <f t="shared" si="40"/>
        <v/>
      </c>
      <c r="Y144" s="491" t="str">
        <f t="shared" si="41"/>
        <v/>
      </c>
      <c r="AJ144" s="461" t="s">
        <v>466</v>
      </c>
      <c r="AK144" s="490">
        <v>132</v>
      </c>
      <c r="AL144" s="460" t="str">
        <f t="shared" si="29"/>
        <v>○</v>
      </c>
      <c r="AM144" s="468" t="str">
        <f t="shared" si="30"/>
        <v>申請しない場合は入力不要です。</v>
      </c>
      <c r="AO144" s="468">
        <f t="shared" si="36"/>
        <v>0</v>
      </c>
      <c r="AX144" s="454" t="s">
        <v>1297</v>
      </c>
    </row>
    <row r="145" spans="1:50" ht="20.100000000000001" customHeight="1">
      <c r="A145" s="485">
        <v>133</v>
      </c>
      <c r="B145" s="205"/>
      <c r="C145" s="206"/>
      <c r="D145" s="1889"/>
      <c r="E145" s="1890"/>
      <c r="F145" s="1891"/>
      <c r="G145" s="207"/>
      <c r="H145" s="207"/>
      <c r="I145" s="208"/>
      <c r="J145" s="486">
        <f t="shared" ref="J145:J206" si="42">ROUNDDOWN(I145*1.1,0)</f>
        <v>0</v>
      </c>
      <c r="K145" s="487">
        <f t="shared" ref="K145:K206" si="43">ROUNDDOWN(H145*J145,0)</f>
        <v>0</v>
      </c>
      <c r="L145" s="487" t="str">
        <f t="shared" ref="L145:L206" si="44">IFERROR(G145*H145*VLOOKUP(C145,$AY$123:$AZ$139,2,FALSE),"")</f>
        <v/>
      </c>
      <c r="M145" s="487" t="str">
        <f xml:space="preserve">
IF(AL145&lt;&gt;"◎","",
IF(AND(表紙!X116="実績報告（１次）",DATE(IF(N145=5,2023,IF(N145=6,2024)),O145,P145)&lt;DATE(2023,5,8)),0,
IF(AND(OR(表紙!X116="実績報告（２次）",表紙!X116="交付申請兼実績報告"),DATE(IF(N145=5,2023,IF(N145=6,2024)),O145,P145)&lt;DATE(2023,10,1)),0,
MIN(K145,L145))))</f>
        <v/>
      </c>
      <c r="N145" s="725"/>
      <c r="O145" s="725"/>
      <c r="P145" s="725"/>
      <c r="Q145" s="488" t="str">
        <f xml:space="preserve">
IF(AL145&lt;&gt;"◎","",
IF(AND(表紙!X116="実績報告（１次）",DATE(IF(N145=5,2023,IF(N145=6,2024)),O145,P145)&lt;DATE(2023,5,8)),0,
IF(AND(OR(表紙!X116="実績報告（２次）",表紙!X116="交付申請兼実績報告"),DATE(IF(N145=5,2023,IF(N145=6,2024)),O145,P145)&lt;DATE(2023,10,1)),0,
G145*H145)))</f>
        <v/>
      </c>
      <c r="R145" s="724" t="str">
        <f xml:space="preserve">
IF(表紙!$X$2="事前協議","－",
IF(表紙!$X$2="交付申請（２次）","－",
IF(表紙!$X$2="変更申請","－",
IF(AND(OR(表紙!$X$2="実績報告（１次）",表紙!$X$2="実績報告（２次）",表紙!$X$2="交付申請兼実績報告"),AL145="◎"),COUNTIF($AL$30:AL145,"◎"),""))))</f>
        <v/>
      </c>
      <c r="S145" s="489" t="str">
        <f t="shared" ref="S145:S206" si="45">IFERROR(
"@"&amp;TEXT(ROUNDUP(J145/G145,0),"#,###円")&amp;
IF(ROUNDUP(J145/G145,0)&lt;VLOOKUP(C145,$AY$123:$AZ$139,2,FALSE),"&lt;",
IF(ROUNDUP(J145/G145,0)=VLOOKUP(C145,$AY$123:$AZ$139,2,FALSE),"=",
IF(ROUNDUP(J145/G145,0)&gt;VLOOKUP(C145,$AY$123:$AZ$139,2,FALSE),"&gt;")))&amp;
"上限@"&amp;TEXT(VLOOKUP(C145,$AY$123:$AZ$139,2,FALSE),"#,###円"),"")</f>
        <v/>
      </c>
      <c r="T145" s="765" t="str">
        <f t="shared" si="28"/>
        <v/>
      </c>
      <c r="U145" s="596" t="str">
        <f t="shared" ref="U145:U206" si="46">IF(AL145="◎",DATE(IF(N145=5,2023,IF(N145=6,2024)),O145,P145),"")</f>
        <v/>
      </c>
      <c r="V145" s="787" t="str">
        <f t="shared" si="38"/>
        <v/>
      </c>
      <c r="W145" s="787" t="str">
        <f t="shared" si="39"/>
        <v/>
      </c>
      <c r="X145" s="787" t="str">
        <f t="shared" si="40"/>
        <v/>
      </c>
      <c r="Y145" s="491" t="str">
        <f t="shared" si="41"/>
        <v/>
      </c>
      <c r="AJ145" s="461" t="s">
        <v>466</v>
      </c>
      <c r="AK145" s="490">
        <v>133</v>
      </c>
      <c r="AL145" s="460" t="str">
        <f t="shared" si="29"/>
        <v>○</v>
      </c>
      <c r="AM145" s="468" t="str">
        <f t="shared" si="30"/>
        <v>申請しない場合は入力不要です。</v>
      </c>
      <c r="AO145" s="468">
        <f t="shared" ref="AO145:AO206" si="47">G145*H145</f>
        <v>0</v>
      </c>
      <c r="AX145" s="454" t="s">
        <v>1298</v>
      </c>
    </row>
    <row r="146" spans="1:50" ht="20.100000000000001" customHeight="1">
      <c r="A146" s="485">
        <v>134</v>
      </c>
      <c r="B146" s="205"/>
      <c r="C146" s="206"/>
      <c r="D146" s="1889"/>
      <c r="E146" s="1890"/>
      <c r="F146" s="1891"/>
      <c r="G146" s="207"/>
      <c r="H146" s="207"/>
      <c r="I146" s="208"/>
      <c r="J146" s="486">
        <f t="shared" si="42"/>
        <v>0</v>
      </c>
      <c r="K146" s="487">
        <f t="shared" si="43"/>
        <v>0</v>
      </c>
      <c r="L146" s="487" t="str">
        <f t="shared" si="44"/>
        <v/>
      </c>
      <c r="M146" s="487" t="str">
        <f xml:space="preserve">
IF(AL146&lt;&gt;"◎","",
IF(AND(表紙!X117="実績報告（１次）",DATE(IF(N146=5,2023,IF(N146=6,2024)),O146,P146)&lt;DATE(2023,5,8)),0,
IF(AND(OR(表紙!X117="実績報告（２次）",表紙!X117="交付申請兼実績報告"),DATE(IF(N146=5,2023,IF(N146=6,2024)),O146,P146)&lt;DATE(2023,10,1)),0,
MIN(K146,L146))))</f>
        <v/>
      </c>
      <c r="N146" s="725"/>
      <c r="O146" s="725"/>
      <c r="P146" s="725"/>
      <c r="Q146" s="488" t="str">
        <f xml:space="preserve">
IF(AL146&lt;&gt;"◎","",
IF(AND(表紙!X117="実績報告（１次）",DATE(IF(N146=5,2023,IF(N146=6,2024)),O146,P146)&lt;DATE(2023,5,8)),0,
IF(AND(OR(表紙!X117="実績報告（２次）",表紙!X117="交付申請兼実績報告"),DATE(IF(N146=5,2023,IF(N146=6,2024)),O146,P146)&lt;DATE(2023,10,1)),0,
G146*H146)))</f>
        <v/>
      </c>
      <c r="R146" s="724" t="str">
        <f xml:space="preserve">
IF(表紙!$X$2="事前協議","－",
IF(表紙!$X$2="交付申請（２次）","－",
IF(表紙!$X$2="変更申請","－",
IF(AND(OR(表紙!$X$2="実績報告（１次）",表紙!$X$2="実績報告（２次）",表紙!$X$2="交付申請兼実績報告"),AL146="◎"),COUNTIF($AL$30:AL146,"◎"),""))))</f>
        <v/>
      </c>
      <c r="S146" s="489" t="str">
        <f t="shared" si="45"/>
        <v/>
      </c>
      <c r="T146" s="765" t="str">
        <f t="shared" si="28"/>
        <v/>
      </c>
      <c r="U146" s="596" t="str">
        <f t="shared" si="46"/>
        <v/>
      </c>
      <c r="V146" s="787" t="str">
        <f t="shared" si="38"/>
        <v/>
      </c>
      <c r="W146" s="787" t="str">
        <f t="shared" si="39"/>
        <v/>
      </c>
      <c r="X146" s="787" t="str">
        <f t="shared" si="40"/>
        <v/>
      </c>
      <c r="Y146" s="491" t="str">
        <f t="shared" si="41"/>
        <v/>
      </c>
      <c r="AJ146" s="461" t="s">
        <v>466</v>
      </c>
      <c r="AK146" s="490">
        <v>134</v>
      </c>
      <c r="AL146" s="460" t="str">
        <f t="shared" si="29"/>
        <v>○</v>
      </c>
      <c r="AM146" s="468" t="str">
        <f t="shared" si="30"/>
        <v>申請しない場合は入力不要です。</v>
      </c>
      <c r="AO146" s="468">
        <f t="shared" si="47"/>
        <v>0</v>
      </c>
      <c r="AX146" s="454" t="s">
        <v>1374</v>
      </c>
    </row>
    <row r="147" spans="1:50" ht="20.100000000000001" customHeight="1">
      <c r="A147" s="485">
        <v>135</v>
      </c>
      <c r="B147" s="205"/>
      <c r="C147" s="206"/>
      <c r="D147" s="1889"/>
      <c r="E147" s="1890"/>
      <c r="F147" s="1891"/>
      <c r="G147" s="207"/>
      <c r="H147" s="207"/>
      <c r="I147" s="208"/>
      <c r="J147" s="486">
        <f t="shared" si="42"/>
        <v>0</v>
      </c>
      <c r="K147" s="487">
        <f t="shared" si="43"/>
        <v>0</v>
      </c>
      <c r="L147" s="487" t="str">
        <f t="shared" si="44"/>
        <v/>
      </c>
      <c r="M147" s="487" t="str">
        <f xml:space="preserve">
IF(AL147&lt;&gt;"◎","",
IF(AND(表紙!X118="実績報告（１次）",DATE(IF(N147=5,2023,IF(N147=6,2024)),O147,P147)&lt;DATE(2023,5,8)),0,
IF(AND(OR(表紙!X118="実績報告（２次）",表紙!X118="交付申請兼実績報告"),DATE(IF(N147=5,2023,IF(N147=6,2024)),O147,P147)&lt;DATE(2023,10,1)),0,
MIN(K147,L147))))</f>
        <v/>
      </c>
      <c r="N147" s="725"/>
      <c r="O147" s="725"/>
      <c r="P147" s="725"/>
      <c r="Q147" s="488" t="str">
        <f xml:space="preserve">
IF(AL147&lt;&gt;"◎","",
IF(AND(表紙!X118="実績報告（１次）",DATE(IF(N147=5,2023,IF(N147=6,2024)),O147,P147)&lt;DATE(2023,5,8)),0,
IF(AND(OR(表紙!X118="実績報告（２次）",表紙!X118="交付申請兼実績報告"),DATE(IF(N147=5,2023,IF(N147=6,2024)),O147,P147)&lt;DATE(2023,10,1)),0,
G147*H147)))</f>
        <v/>
      </c>
      <c r="R147" s="724" t="str">
        <f xml:space="preserve">
IF(表紙!$X$2="事前協議","－",
IF(表紙!$X$2="交付申請（２次）","－",
IF(表紙!$X$2="変更申請","－",
IF(AND(OR(表紙!$X$2="実績報告（１次）",表紙!$X$2="実績報告（２次）",表紙!$X$2="交付申請兼実績報告"),AL147="◎"),COUNTIF($AL$30:AL147,"◎"),""))))</f>
        <v/>
      </c>
      <c r="S147" s="489" t="str">
        <f t="shared" si="45"/>
        <v/>
      </c>
      <c r="T147" s="765" t="str">
        <f t="shared" si="28"/>
        <v/>
      </c>
      <c r="U147" s="596" t="str">
        <f t="shared" si="46"/>
        <v/>
      </c>
      <c r="V147" s="787" t="str">
        <f t="shared" si="38"/>
        <v/>
      </c>
      <c r="W147" s="787" t="str">
        <f t="shared" si="39"/>
        <v/>
      </c>
      <c r="X147" s="787" t="str">
        <f t="shared" si="40"/>
        <v/>
      </c>
      <c r="Y147" s="491" t="str">
        <f t="shared" si="41"/>
        <v/>
      </c>
      <c r="AJ147" s="461" t="s">
        <v>466</v>
      </c>
      <c r="AK147" s="490">
        <v>135</v>
      </c>
      <c r="AL147" s="460" t="str">
        <f t="shared" si="29"/>
        <v>○</v>
      </c>
      <c r="AM147" s="468" t="str">
        <f t="shared" si="30"/>
        <v>申請しない場合は入力不要です。</v>
      </c>
      <c r="AO147" s="468">
        <f t="shared" si="47"/>
        <v>0</v>
      </c>
    </row>
    <row r="148" spans="1:50" ht="20.100000000000001" customHeight="1">
      <c r="A148" s="485">
        <v>136</v>
      </c>
      <c r="B148" s="205"/>
      <c r="C148" s="206"/>
      <c r="D148" s="1889"/>
      <c r="E148" s="1890"/>
      <c r="F148" s="1891"/>
      <c r="G148" s="207"/>
      <c r="H148" s="207"/>
      <c r="I148" s="208"/>
      <c r="J148" s="486">
        <f t="shared" si="42"/>
        <v>0</v>
      </c>
      <c r="K148" s="487">
        <f t="shared" si="43"/>
        <v>0</v>
      </c>
      <c r="L148" s="487" t="str">
        <f t="shared" si="44"/>
        <v/>
      </c>
      <c r="M148" s="487" t="str">
        <f xml:space="preserve">
IF(AL148&lt;&gt;"◎","",
IF(AND(表紙!X119="実績報告（１次）",DATE(IF(N148=5,2023,IF(N148=6,2024)),O148,P148)&lt;DATE(2023,5,8)),0,
IF(AND(OR(表紙!X119="実績報告（２次）",表紙!X119="交付申請兼実績報告"),DATE(IF(N148=5,2023,IF(N148=6,2024)),O148,P148)&lt;DATE(2023,10,1)),0,
MIN(K148,L148))))</f>
        <v/>
      </c>
      <c r="N148" s="725"/>
      <c r="O148" s="725"/>
      <c r="P148" s="725"/>
      <c r="Q148" s="488" t="str">
        <f xml:space="preserve">
IF(AL148&lt;&gt;"◎","",
IF(AND(表紙!X119="実績報告（１次）",DATE(IF(N148=5,2023,IF(N148=6,2024)),O148,P148)&lt;DATE(2023,5,8)),0,
IF(AND(OR(表紙!X119="実績報告（２次）",表紙!X119="交付申請兼実績報告"),DATE(IF(N148=5,2023,IF(N148=6,2024)),O148,P148)&lt;DATE(2023,10,1)),0,
G148*H148)))</f>
        <v/>
      </c>
      <c r="R148" s="724" t="str">
        <f xml:space="preserve">
IF(表紙!$X$2="事前協議","－",
IF(表紙!$X$2="交付申請（２次）","－",
IF(表紙!$X$2="変更申請","－",
IF(AND(OR(表紙!$X$2="実績報告（１次）",表紙!$X$2="実績報告（２次）",表紙!$X$2="交付申請兼実績報告"),AL148="◎"),COUNTIF($AL$30:AL148,"◎"),""))))</f>
        <v/>
      </c>
      <c r="S148" s="489" t="str">
        <f t="shared" si="45"/>
        <v/>
      </c>
      <c r="T148" s="765" t="str">
        <f t="shared" si="28"/>
        <v/>
      </c>
      <c r="U148" s="596" t="str">
        <f t="shared" si="46"/>
        <v/>
      </c>
      <c r="V148" s="787" t="str">
        <f t="shared" si="38"/>
        <v/>
      </c>
      <c r="W148" s="787" t="str">
        <f t="shared" si="39"/>
        <v/>
      </c>
      <c r="X148" s="787" t="str">
        <f t="shared" si="40"/>
        <v/>
      </c>
      <c r="Y148" s="491" t="str">
        <f t="shared" si="41"/>
        <v/>
      </c>
      <c r="AJ148" s="461" t="s">
        <v>466</v>
      </c>
      <c r="AK148" s="490">
        <v>136</v>
      </c>
      <c r="AL148" s="460" t="str">
        <f t="shared" si="29"/>
        <v>○</v>
      </c>
      <c r="AM148" s="468" t="str">
        <f t="shared" si="30"/>
        <v>申請しない場合は入力不要です。</v>
      </c>
      <c r="AO148" s="468">
        <f t="shared" si="47"/>
        <v>0</v>
      </c>
    </row>
    <row r="149" spans="1:50" ht="20.100000000000001" customHeight="1">
      <c r="A149" s="485">
        <v>137</v>
      </c>
      <c r="B149" s="205"/>
      <c r="C149" s="206"/>
      <c r="D149" s="1889"/>
      <c r="E149" s="1890"/>
      <c r="F149" s="1891"/>
      <c r="G149" s="207"/>
      <c r="H149" s="207"/>
      <c r="I149" s="208"/>
      <c r="J149" s="486">
        <f t="shared" si="42"/>
        <v>0</v>
      </c>
      <c r="K149" s="487">
        <f t="shared" si="43"/>
        <v>0</v>
      </c>
      <c r="L149" s="487" t="str">
        <f t="shared" si="44"/>
        <v/>
      </c>
      <c r="M149" s="487" t="str">
        <f xml:space="preserve">
IF(AL149&lt;&gt;"◎","",
IF(AND(表紙!X120="実績報告（１次）",DATE(IF(N149=5,2023,IF(N149=6,2024)),O149,P149)&lt;DATE(2023,5,8)),0,
IF(AND(OR(表紙!X120="実績報告（２次）",表紙!X120="交付申請兼実績報告"),DATE(IF(N149=5,2023,IF(N149=6,2024)),O149,P149)&lt;DATE(2023,10,1)),0,
MIN(K149,L149))))</f>
        <v/>
      </c>
      <c r="N149" s="725"/>
      <c r="O149" s="725"/>
      <c r="P149" s="725"/>
      <c r="Q149" s="488" t="str">
        <f xml:space="preserve">
IF(AL149&lt;&gt;"◎","",
IF(AND(表紙!X120="実績報告（１次）",DATE(IF(N149=5,2023,IF(N149=6,2024)),O149,P149)&lt;DATE(2023,5,8)),0,
IF(AND(OR(表紙!X120="実績報告（２次）",表紙!X120="交付申請兼実績報告"),DATE(IF(N149=5,2023,IF(N149=6,2024)),O149,P149)&lt;DATE(2023,10,1)),0,
G149*H149)))</f>
        <v/>
      </c>
      <c r="R149" s="724" t="str">
        <f xml:space="preserve">
IF(表紙!$X$2="事前協議","－",
IF(表紙!$X$2="交付申請（２次）","－",
IF(表紙!$X$2="変更申請","－",
IF(AND(OR(表紙!$X$2="実績報告（１次）",表紙!$X$2="実績報告（２次）",表紙!$X$2="交付申請兼実績報告"),AL149="◎"),COUNTIF($AL$30:AL149,"◎"),""))))</f>
        <v/>
      </c>
      <c r="S149" s="489" t="str">
        <f t="shared" si="45"/>
        <v/>
      </c>
      <c r="T149" s="765" t="str">
        <f t="shared" si="28"/>
        <v/>
      </c>
      <c r="U149" s="596" t="str">
        <f t="shared" si="46"/>
        <v/>
      </c>
      <c r="V149" s="787" t="str">
        <f t="shared" si="38"/>
        <v/>
      </c>
      <c r="W149" s="787" t="str">
        <f t="shared" si="39"/>
        <v/>
      </c>
      <c r="X149" s="787" t="str">
        <f t="shared" si="40"/>
        <v/>
      </c>
      <c r="Y149" s="491" t="str">
        <f t="shared" si="41"/>
        <v/>
      </c>
      <c r="AJ149" s="461" t="s">
        <v>466</v>
      </c>
      <c r="AK149" s="490">
        <v>137</v>
      </c>
      <c r="AL149" s="460" t="str">
        <f t="shared" si="29"/>
        <v>○</v>
      </c>
      <c r="AM149" s="468" t="str">
        <f t="shared" si="30"/>
        <v>申請しない場合は入力不要です。</v>
      </c>
      <c r="AO149" s="468">
        <f t="shared" si="47"/>
        <v>0</v>
      </c>
    </row>
    <row r="150" spans="1:50" ht="20.100000000000001" customHeight="1">
      <c r="A150" s="485">
        <v>138</v>
      </c>
      <c r="B150" s="205"/>
      <c r="C150" s="206"/>
      <c r="D150" s="1889"/>
      <c r="E150" s="1890"/>
      <c r="F150" s="1891"/>
      <c r="G150" s="207"/>
      <c r="H150" s="207"/>
      <c r="I150" s="208"/>
      <c r="J150" s="486">
        <f t="shared" si="42"/>
        <v>0</v>
      </c>
      <c r="K150" s="487">
        <f t="shared" si="43"/>
        <v>0</v>
      </c>
      <c r="L150" s="487" t="str">
        <f t="shared" si="44"/>
        <v/>
      </c>
      <c r="M150" s="487" t="str">
        <f xml:space="preserve">
IF(AL150&lt;&gt;"◎","",
IF(AND(表紙!X121="実績報告（１次）",DATE(IF(N150=5,2023,IF(N150=6,2024)),O150,P150)&lt;DATE(2023,5,8)),0,
IF(AND(OR(表紙!X121="実績報告（２次）",表紙!X121="交付申請兼実績報告"),DATE(IF(N150=5,2023,IF(N150=6,2024)),O150,P150)&lt;DATE(2023,10,1)),0,
MIN(K150,L150))))</f>
        <v/>
      </c>
      <c r="N150" s="725"/>
      <c r="O150" s="725"/>
      <c r="P150" s="725"/>
      <c r="Q150" s="488" t="str">
        <f xml:space="preserve">
IF(AL150&lt;&gt;"◎","",
IF(AND(表紙!X121="実績報告（１次）",DATE(IF(N150=5,2023,IF(N150=6,2024)),O150,P150)&lt;DATE(2023,5,8)),0,
IF(AND(OR(表紙!X121="実績報告（２次）",表紙!X121="交付申請兼実績報告"),DATE(IF(N150=5,2023,IF(N150=6,2024)),O150,P150)&lt;DATE(2023,10,1)),0,
G150*H150)))</f>
        <v/>
      </c>
      <c r="R150" s="724" t="str">
        <f xml:space="preserve">
IF(表紙!$X$2="事前協議","－",
IF(表紙!$X$2="交付申請（２次）","－",
IF(表紙!$X$2="変更申請","－",
IF(AND(OR(表紙!$X$2="実績報告（１次）",表紙!$X$2="実績報告（２次）",表紙!$X$2="交付申請兼実績報告"),AL150="◎"),COUNTIF($AL$30:AL150,"◎"),""))))</f>
        <v/>
      </c>
      <c r="S150" s="489" t="str">
        <f t="shared" si="45"/>
        <v/>
      </c>
      <c r="T150" s="765" t="str">
        <f t="shared" si="28"/>
        <v/>
      </c>
      <c r="U150" s="596" t="str">
        <f t="shared" si="46"/>
        <v/>
      </c>
      <c r="V150" s="787" t="str">
        <f t="shared" si="38"/>
        <v/>
      </c>
      <c r="W150" s="787" t="str">
        <f t="shared" si="39"/>
        <v/>
      </c>
      <c r="X150" s="787" t="str">
        <f t="shared" si="40"/>
        <v/>
      </c>
      <c r="Y150" s="491" t="str">
        <f t="shared" si="41"/>
        <v/>
      </c>
      <c r="AJ150" s="461" t="s">
        <v>466</v>
      </c>
      <c r="AK150" s="490">
        <v>138</v>
      </c>
      <c r="AL150" s="460" t="str">
        <f t="shared" si="29"/>
        <v>○</v>
      </c>
      <c r="AM150" s="468" t="str">
        <f t="shared" si="30"/>
        <v>申請しない場合は入力不要です。</v>
      </c>
      <c r="AO150" s="468">
        <f t="shared" si="47"/>
        <v>0</v>
      </c>
    </row>
    <row r="151" spans="1:50" ht="20.100000000000001" customHeight="1">
      <c r="A151" s="485">
        <v>139</v>
      </c>
      <c r="B151" s="205"/>
      <c r="C151" s="206"/>
      <c r="D151" s="1889"/>
      <c r="E151" s="1890"/>
      <c r="F151" s="1891"/>
      <c r="G151" s="207"/>
      <c r="H151" s="207"/>
      <c r="I151" s="208"/>
      <c r="J151" s="486">
        <f t="shared" si="42"/>
        <v>0</v>
      </c>
      <c r="K151" s="487">
        <f t="shared" si="43"/>
        <v>0</v>
      </c>
      <c r="L151" s="487" t="str">
        <f t="shared" si="44"/>
        <v/>
      </c>
      <c r="M151" s="487" t="str">
        <f xml:space="preserve">
IF(AL151&lt;&gt;"◎","",
IF(AND(表紙!X122="実績報告（１次）",DATE(IF(N151=5,2023,IF(N151=6,2024)),O151,P151)&lt;DATE(2023,5,8)),0,
IF(AND(OR(表紙!X122="実績報告（２次）",表紙!X122="交付申請兼実績報告"),DATE(IF(N151=5,2023,IF(N151=6,2024)),O151,P151)&lt;DATE(2023,10,1)),0,
MIN(K151,L151))))</f>
        <v/>
      </c>
      <c r="N151" s="725"/>
      <c r="O151" s="725"/>
      <c r="P151" s="725"/>
      <c r="Q151" s="488" t="str">
        <f xml:space="preserve">
IF(AL151&lt;&gt;"◎","",
IF(AND(表紙!X122="実績報告（１次）",DATE(IF(N151=5,2023,IF(N151=6,2024)),O151,P151)&lt;DATE(2023,5,8)),0,
IF(AND(OR(表紙!X122="実績報告（２次）",表紙!X122="交付申請兼実績報告"),DATE(IF(N151=5,2023,IF(N151=6,2024)),O151,P151)&lt;DATE(2023,10,1)),0,
G151*H151)))</f>
        <v/>
      </c>
      <c r="R151" s="724" t="str">
        <f xml:space="preserve">
IF(表紙!$X$2="事前協議","－",
IF(表紙!$X$2="交付申請（２次）","－",
IF(表紙!$X$2="変更申請","－",
IF(AND(OR(表紙!$X$2="実績報告（１次）",表紙!$X$2="実績報告（２次）",表紙!$X$2="交付申請兼実績報告"),AL151="◎"),COUNTIF($AL$30:AL151,"◎"),""))))</f>
        <v/>
      </c>
      <c r="S151" s="489" t="str">
        <f t="shared" si="45"/>
        <v/>
      </c>
      <c r="T151" s="765" t="str">
        <f t="shared" si="28"/>
        <v/>
      </c>
      <c r="U151" s="596" t="str">
        <f t="shared" si="46"/>
        <v/>
      </c>
      <c r="V151" s="787" t="str">
        <f t="shared" si="38"/>
        <v/>
      </c>
      <c r="W151" s="787" t="str">
        <f t="shared" si="39"/>
        <v/>
      </c>
      <c r="X151" s="787" t="str">
        <f t="shared" si="40"/>
        <v/>
      </c>
      <c r="Y151" s="491" t="str">
        <f t="shared" si="41"/>
        <v/>
      </c>
      <c r="AJ151" s="461" t="s">
        <v>466</v>
      </c>
      <c r="AK151" s="490">
        <v>139</v>
      </c>
      <c r="AL151" s="460" t="str">
        <f t="shared" si="29"/>
        <v>○</v>
      </c>
      <c r="AM151" s="468" t="str">
        <f t="shared" si="30"/>
        <v>申請しない場合は入力不要です。</v>
      </c>
      <c r="AO151" s="468">
        <f t="shared" si="47"/>
        <v>0</v>
      </c>
    </row>
    <row r="152" spans="1:50" ht="20.100000000000001" customHeight="1">
      <c r="A152" s="485">
        <v>140</v>
      </c>
      <c r="B152" s="205"/>
      <c r="C152" s="206"/>
      <c r="D152" s="1889"/>
      <c r="E152" s="1890"/>
      <c r="F152" s="1891"/>
      <c r="G152" s="207"/>
      <c r="H152" s="207"/>
      <c r="I152" s="208"/>
      <c r="J152" s="486">
        <f t="shared" si="42"/>
        <v>0</v>
      </c>
      <c r="K152" s="487">
        <f t="shared" si="43"/>
        <v>0</v>
      </c>
      <c r="L152" s="487" t="str">
        <f t="shared" si="44"/>
        <v/>
      </c>
      <c r="M152" s="487" t="str">
        <f xml:space="preserve">
IF(AL152&lt;&gt;"◎","",
IF(AND(表紙!X123="実績報告（１次）",DATE(IF(N152=5,2023,IF(N152=6,2024)),O152,P152)&lt;DATE(2023,5,8)),0,
IF(AND(OR(表紙!X123="実績報告（２次）",表紙!X123="交付申請兼実績報告"),DATE(IF(N152=5,2023,IF(N152=6,2024)),O152,P152)&lt;DATE(2023,10,1)),0,
MIN(K152,L152))))</f>
        <v/>
      </c>
      <c r="N152" s="725"/>
      <c r="O152" s="725"/>
      <c r="P152" s="725"/>
      <c r="Q152" s="488" t="str">
        <f xml:space="preserve">
IF(AL152&lt;&gt;"◎","",
IF(AND(表紙!X123="実績報告（１次）",DATE(IF(N152=5,2023,IF(N152=6,2024)),O152,P152)&lt;DATE(2023,5,8)),0,
IF(AND(OR(表紙!X123="実績報告（２次）",表紙!X123="交付申請兼実績報告"),DATE(IF(N152=5,2023,IF(N152=6,2024)),O152,P152)&lt;DATE(2023,10,1)),0,
G152*H152)))</f>
        <v/>
      </c>
      <c r="R152" s="724" t="str">
        <f xml:space="preserve">
IF(表紙!$X$2="事前協議","－",
IF(表紙!$X$2="交付申請（２次）","－",
IF(表紙!$X$2="変更申請","－",
IF(AND(OR(表紙!$X$2="実績報告（１次）",表紙!$X$2="実績報告（２次）",表紙!$X$2="交付申請兼実績報告"),AL152="◎"),COUNTIF($AL$30:AL152,"◎"),""))))</f>
        <v/>
      </c>
      <c r="S152" s="489" t="str">
        <f t="shared" si="45"/>
        <v/>
      </c>
      <c r="T152" s="765" t="str">
        <f t="shared" si="28"/>
        <v/>
      </c>
      <c r="U152" s="596" t="str">
        <f t="shared" si="46"/>
        <v/>
      </c>
      <c r="V152" s="787" t="str">
        <f t="shared" si="38"/>
        <v/>
      </c>
      <c r="W152" s="787" t="str">
        <f t="shared" si="39"/>
        <v/>
      </c>
      <c r="X152" s="787" t="str">
        <f t="shared" si="40"/>
        <v/>
      </c>
      <c r="Y152" s="491" t="str">
        <f t="shared" si="41"/>
        <v/>
      </c>
      <c r="AJ152" s="461" t="s">
        <v>466</v>
      </c>
      <c r="AK152" s="490">
        <v>140</v>
      </c>
      <c r="AL152" s="460" t="str">
        <f t="shared" si="29"/>
        <v>○</v>
      </c>
      <c r="AM152" s="468" t="str">
        <f t="shared" si="30"/>
        <v>申請しない場合は入力不要です。</v>
      </c>
      <c r="AO152" s="468">
        <f t="shared" si="47"/>
        <v>0</v>
      </c>
    </row>
    <row r="153" spans="1:50" ht="20.100000000000001" customHeight="1">
      <c r="A153" s="485">
        <v>141</v>
      </c>
      <c r="B153" s="205"/>
      <c r="C153" s="206"/>
      <c r="D153" s="1889"/>
      <c r="E153" s="1890"/>
      <c r="F153" s="1891"/>
      <c r="G153" s="207"/>
      <c r="H153" s="207"/>
      <c r="I153" s="208"/>
      <c r="J153" s="486">
        <f t="shared" si="42"/>
        <v>0</v>
      </c>
      <c r="K153" s="487">
        <f t="shared" si="43"/>
        <v>0</v>
      </c>
      <c r="L153" s="487" t="str">
        <f t="shared" si="44"/>
        <v/>
      </c>
      <c r="M153" s="487" t="str">
        <f xml:space="preserve">
IF(AL153&lt;&gt;"◎","",
IF(AND(表紙!X124="実績報告（１次）",DATE(IF(N153=5,2023,IF(N153=6,2024)),O153,P153)&lt;DATE(2023,5,8)),0,
IF(AND(OR(表紙!X124="実績報告（２次）",表紙!X124="交付申請兼実績報告"),DATE(IF(N153=5,2023,IF(N153=6,2024)),O153,P153)&lt;DATE(2023,10,1)),0,
MIN(K153,L153))))</f>
        <v/>
      </c>
      <c r="N153" s="725"/>
      <c r="O153" s="725"/>
      <c r="P153" s="725"/>
      <c r="Q153" s="488" t="str">
        <f xml:space="preserve">
IF(AL153&lt;&gt;"◎","",
IF(AND(表紙!X124="実績報告（１次）",DATE(IF(N153=5,2023,IF(N153=6,2024)),O153,P153)&lt;DATE(2023,5,8)),0,
IF(AND(OR(表紙!X124="実績報告（２次）",表紙!X124="交付申請兼実績報告"),DATE(IF(N153=5,2023,IF(N153=6,2024)),O153,P153)&lt;DATE(2023,10,1)),0,
G153*H153)))</f>
        <v/>
      </c>
      <c r="R153" s="724" t="str">
        <f xml:space="preserve">
IF(表紙!$X$2="事前協議","－",
IF(表紙!$X$2="交付申請（２次）","－",
IF(表紙!$X$2="変更申請","－",
IF(AND(OR(表紙!$X$2="実績報告（１次）",表紙!$X$2="実績報告（２次）",表紙!$X$2="交付申請兼実績報告"),AL153="◎"),COUNTIF($AL$30:AL153,"◎"),""))))</f>
        <v/>
      </c>
      <c r="S153" s="489" t="str">
        <f t="shared" si="45"/>
        <v/>
      </c>
      <c r="T153" s="765" t="str">
        <f t="shared" si="28"/>
        <v/>
      </c>
      <c r="U153" s="596" t="str">
        <f t="shared" si="46"/>
        <v/>
      </c>
      <c r="V153" s="787" t="str">
        <f t="shared" si="38"/>
        <v/>
      </c>
      <c r="W153" s="787" t="str">
        <f t="shared" si="39"/>
        <v/>
      </c>
      <c r="X153" s="787" t="str">
        <f t="shared" si="40"/>
        <v/>
      </c>
      <c r="Y153" s="491" t="str">
        <f t="shared" si="41"/>
        <v/>
      </c>
      <c r="AJ153" s="461" t="s">
        <v>466</v>
      </c>
      <c r="AK153" s="490">
        <v>141</v>
      </c>
      <c r="AL153" s="460" t="str">
        <f t="shared" si="29"/>
        <v>○</v>
      </c>
      <c r="AM153" s="468" t="str">
        <f t="shared" si="30"/>
        <v>申請しない場合は入力不要です。</v>
      </c>
      <c r="AO153" s="468">
        <f t="shared" si="47"/>
        <v>0</v>
      </c>
    </row>
    <row r="154" spans="1:50" ht="20.100000000000001" customHeight="1">
      <c r="A154" s="485">
        <v>142</v>
      </c>
      <c r="B154" s="205"/>
      <c r="C154" s="206"/>
      <c r="D154" s="1889"/>
      <c r="E154" s="1890"/>
      <c r="F154" s="1891"/>
      <c r="G154" s="207"/>
      <c r="H154" s="207"/>
      <c r="I154" s="208"/>
      <c r="J154" s="486">
        <f t="shared" si="42"/>
        <v>0</v>
      </c>
      <c r="K154" s="487">
        <f t="shared" si="43"/>
        <v>0</v>
      </c>
      <c r="L154" s="487" t="str">
        <f t="shared" si="44"/>
        <v/>
      </c>
      <c r="M154" s="487" t="str">
        <f xml:space="preserve">
IF(AL154&lt;&gt;"◎","",
IF(AND(表紙!X125="実績報告（１次）",DATE(IF(N154=5,2023,IF(N154=6,2024)),O154,P154)&lt;DATE(2023,5,8)),0,
IF(AND(OR(表紙!X125="実績報告（２次）",表紙!X125="交付申請兼実績報告"),DATE(IF(N154=5,2023,IF(N154=6,2024)),O154,P154)&lt;DATE(2023,10,1)),0,
MIN(K154,L154))))</f>
        <v/>
      </c>
      <c r="N154" s="725"/>
      <c r="O154" s="725"/>
      <c r="P154" s="725"/>
      <c r="Q154" s="488" t="str">
        <f xml:space="preserve">
IF(AL154&lt;&gt;"◎","",
IF(AND(表紙!X125="実績報告（１次）",DATE(IF(N154=5,2023,IF(N154=6,2024)),O154,P154)&lt;DATE(2023,5,8)),0,
IF(AND(OR(表紙!X125="実績報告（２次）",表紙!X125="交付申請兼実績報告"),DATE(IF(N154=5,2023,IF(N154=6,2024)),O154,P154)&lt;DATE(2023,10,1)),0,
G154*H154)))</f>
        <v/>
      </c>
      <c r="R154" s="724" t="str">
        <f xml:space="preserve">
IF(表紙!$X$2="事前協議","－",
IF(表紙!$X$2="交付申請（２次）","－",
IF(表紙!$X$2="変更申請","－",
IF(AND(OR(表紙!$X$2="実績報告（１次）",表紙!$X$2="実績報告（２次）",表紙!$X$2="交付申請兼実績報告"),AL154="◎"),COUNTIF($AL$30:AL154,"◎"),""))))</f>
        <v/>
      </c>
      <c r="S154" s="489" t="str">
        <f t="shared" si="45"/>
        <v/>
      </c>
      <c r="T154" s="765" t="str">
        <f t="shared" si="28"/>
        <v/>
      </c>
      <c r="U154" s="596" t="str">
        <f t="shared" si="46"/>
        <v/>
      </c>
      <c r="V154" s="787" t="str">
        <f t="shared" si="38"/>
        <v/>
      </c>
      <c r="W154" s="787" t="str">
        <f t="shared" si="39"/>
        <v/>
      </c>
      <c r="X154" s="787" t="str">
        <f t="shared" si="40"/>
        <v/>
      </c>
      <c r="Y154" s="491" t="str">
        <f t="shared" si="41"/>
        <v/>
      </c>
      <c r="AJ154" s="461" t="s">
        <v>466</v>
      </c>
      <c r="AK154" s="490">
        <v>142</v>
      </c>
      <c r="AL154" s="460" t="str">
        <f t="shared" si="29"/>
        <v>○</v>
      </c>
      <c r="AM154" s="468" t="str">
        <f t="shared" si="30"/>
        <v>申請しない場合は入力不要です。</v>
      </c>
      <c r="AO154" s="468">
        <f t="shared" si="47"/>
        <v>0</v>
      </c>
    </row>
    <row r="155" spans="1:50" ht="20.100000000000001" customHeight="1">
      <c r="A155" s="485">
        <v>143</v>
      </c>
      <c r="B155" s="205"/>
      <c r="C155" s="206"/>
      <c r="D155" s="1889"/>
      <c r="E155" s="1890"/>
      <c r="F155" s="1891"/>
      <c r="G155" s="207"/>
      <c r="H155" s="207"/>
      <c r="I155" s="208"/>
      <c r="J155" s="486">
        <f t="shared" si="42"/>
        <v>0</v>
      </c>
      <c r="K155" s="487">
        <f t="shared" si="43"/>
        <v>0</v>
      </c>
      <c r="L155" s="487" t="str">
        <f t="shared" si="44"/>
        <v/>
      </c>
      <c r="M155" s="487" t="str">
        <f xml:space="preserve">
IF(AL155&lt;&gt;"◎","",
IF(AND(表紙!X126="実績報告（１次）",DATE(IF(N155=5,2023,IF(N155=6,2024)),O155,P155)&lt;DATE(2023,5,8)),0,
IF(AND(OR(表紙!X126="実績報告（２次）",表紙!X126="交付申請兼実績報告"),DATE(IF(N155=5,2023,IF(N155=6,2024)),O155,P155)&lt;DATE(2023,10,1)),0,
MIN(K155,L155))))</f>
        <v/>
      </c>
      <c r="N155" s="725"/>
      <c r="O155" s="725"/>
      <c r="P155" s="725"/>
      <c r="Q155" s="488" t="str">
        <f xml:space="preserve">
IF(AL155&lt;&gt;"◎","",
IF(AND(表紙!X126="実績報告（１次）",DATE(IF(N155=5,2023,IF(N155=6,2024)),O155,P155)&lt;DATE(2023,5,8)),0,
IF(AND(OR(表紙!X126="実績報告（２次）",表紙!X126="交付申請兼実績報告"),DATE(IF(N155=5,2023,IF(N155=6,2024)),O155,P155)&lt;DATE(2023,10,1)),0,
G155*H155)))</f>
        <v/>
      </c>
      <c r="R155" s="724" t="str">
        <f xml:space="preserve">
IF(表紙!$X$2="事前協議","－",
IF(表紙!$X$2="交付申請（２次）","－",
IF(表紙!$X$2="変更申請","－",
IF(AND(OR(表紙!$X$2="実績報告（１次）",表紙!$X$2="実績報告（２次）",表紙!$X$2="交付申請兼実績報告"),AL155="◎"),COUNTIF($AL$30:AL155,"◎"),""))))</f>
        <v/>
      </c>
      <c r="S155" s="489" t="str">
        <f t="shared" si="45"/>
        <v/>
      </c>
      <c r="T155" s="765" t="str">
        <f t="shared" si="28"/>
        <v/>
      </c>
      <c r="U155" s="596" t="str">
        <f t="shared" si="46"/>
        <v/>
      </c>
      <c r="V155" s="787" t="str">
        <f t="shared" si="38"/>
        <v/>
      </c>
      <c r="W155" s="787" t="str">
        <f t="shared" si="39"/>
        <v/>
      </c>
      <c r="X155" s="787" t="str">
        <f t="shared" si="40"/>
        <v/>
      </c>
      <c r="Y155" s="491" t="str">
        <f t="shared" si="41"/>
        <v/>
      </c>
      <c r="AJ155" s="461" t="s">
        <v>466</v>
      </c>
      <c r="AK155" s="490">
        <v>143</v>
      </c>
      <c r="AL155" s="460" t="str">
        <f t="shared" si="29"/>
        <v>○</v>
      </c>
      <c r="AM155" s="468" t="str">
        <f t="shared" si="30"/>
        <v>申請しない場合は入力不要です。</v>
      </c>
      <c r="AO155" s="468">
        <f t="shared" si="47"/>
        <v>0</v>
      </c>
    </row>
    <row r="156" spans="1:50" ht="20.100000000000001" customHeight="1">
      <c r="A156" s="485">
        <v>144</v>
      </c>
      <c r="B156" s="205"/>
      <c r="C156" s="206"/>
      <c r="D156" s="1889"/>
      <c r="E156" s="1890"/>
      <c r="F156" s="1891"/>
      <c r="G156" s="207"/>
      <c r="H156" s="207"/>
      <c r="I156" s="208"/>
      <c r="J156" s="486">
        <f t="shared" si="42"/>
        <v>0</v>
      </c>
      <c r="K156" s="487">
        <f t="shared" si="43"/>
        <v>0</v>
      </c>
      <c r="L156" s="487" t="str">
        <f t="shared" si="44"/>
        <v/>
      </c>
      <c r="M156" s="487" t="str">
        <f xml:space="preserve">
IF(AL156&lt;&gt;"◎","",
IF(AND(表紙!X127="実績報告（１次）",DATE(IF(N156=5,2023,IF(N156=6,2024)),O156,P156)&lt;DATE(2023,5,8)),0,
IF(AND(OR(表紙!X127="実績報告（２次）",表紙!X127="交付申請兼実績報告"),DATE(IF(N156=5,2023,IF(N156=6,2024)),O156,P156)&lt;DATE(2023,10,1)),0,
MIN(K156,L156))))</f>
        <v/>
      </c>
      <c r="N156" s="725"/>
      <c r="O156" s="725"/>
      <c r="P156" s="725"/>
      <c r="Q156" s="488" t="str">
        <f xml:space="preserve">
IF(AL156&lt;&gt;"◎","",
IF(AND(表紙!X127="実績報告（１次）",DATE(IF(N156=5,2023,IF(N156=6,2024)),O156,P156)&lt;DATE(2023,5,8)),0,
IF(AND(OR(表紙!X127="実績報告（２次）",表紙!X127="交付申請兼実績報告"),DATE(IF(N156=5,2023,IF(N156=6,2024)),O156,P156)&lt;DATE(2023,10,1)),0,
G156*H156)))</f>
        <v/>
      </c>
      <c r="R156" s="724" t="str">
        <f xml:space="preserve">
IF(表紙!$X$2="事前協議","－",
IF(表紙!$X$2="交付申請（２次）","－",
IF(表紙!$X$2="変更申請","－",
IF(AND(OR(表紙!$X$2="実績報告（１次）",表紙!$X$2="実績報告（２次）",表紙!$X$2="交付申請兼実績報告"),AL156="◎"),COUNTIF($AL$30:AL156,"◎"),""))))</f>
        <v/>
      </c>
      <c r="S156" s="489" t="str">
        <f t="shared" si="45"/>
        <v/>
      </c>
      <c r="T156" s="765" t="str">
        <f t="shared" si="28"/>
        <v/>
      </c>
      <c r="U156" s="596" t="str">
        <f t="shared" si="46"/>
        <v/>
      </c>
      <c r="V156" s="787" t="str">
        <f t="shared" si="38"/>
        <v/>
      </c>
      <c r="W156" s="787" t="str">
        <f t="shared" si="39"/>
        <v/>
      </c>
      <c r="X156" s="787" t="str">
        <f t="shared" si="40"/>
        <v/>
      </c>
      <c r="Y156" s="491" t="str">
        <f t="shared" si="41"/>
        <v/>
      </c>
      <c r="AJ156" s="461" t="s">
        <v>466</v>
      </c>
      <c r="AK156" s="490">
        <v>144</v>
      </c>
      <c r="AL156" s="460" t="str">
        <f t="shared" si="29"/>
        <v>○</v>
      </c>
      <c r="AM156" s="468" t="str">
        <f t="shared" si="30"/>
        <v>申請しない場合は入力不要です。</v>
      </c>
      <c r="AO156" s="468">
        <f t="shared" si="47"/>
        <v>0</v>
      </c>
    </row>
    <row r="157" spans="1:50" ht="20.100000000000001" customHeight="1">
      <c r="A157" s="485">
        <v>145</v>
      </c>
      <c r="B157" s="205"/>
      <c r="C157" s="206"/>
      <c r="D157" s="1889"/>
      <c r="E157" s="1890"/>
      <c r="F157" s="1891"/>
      <c r="G157" s="207"/>
      <c r="H157" s="207"/>
      <c r="I157" s="208"/>
      <c r="J157" s="486">
        <f t="shared" si="42"/>
        <v>0</v>
      </c>
      <c r="K157" s="487">
        <f t="shared" si="43"/>
        <v>0</v>
      </c>
      <c r="L157" s="487" t="str">
        <f t="shared" si="44"/>
        <v/>
      </c>
      <c r="M157" s="487" t="str">
        <f xml:space="preserve">
IF(AL157&lt;&gt;"◎","",
IF(AND(表紙!X128="実績報告（１次）",DATE(IF(N157=5,2023,IF(N157=6,2024)),O157,P157)&lt;DATE(2023,5,8)),0,
IF(AND(OR(表紙!X128="実績報告（２次）",表紙!X128="交付申請兼実績報告"),DATE(IF(N157=5,2023,IF(N157=6,2024)),O157,P157)&lt;DATE(2023,10,1)),0,
MIN(K157,L157))))</f>
        <v/>
      </c>
      <c r="N157" s="725"/>
      <c r="O157" s="725"/>
      <c r="P157" s="725"/>
      <c r="Q157" s="488" t="str">
        <f xml:space="preserve">
IF(AL157&lt;&gt;"◎","",
IF(AND(表紙!X128="実績報告（１次）",DATE(IF(N157=5,2023,IF(N157=6,2024)),O157,P157)&lt;DATE(2023,5,8)),0,
IF(AND(OR(表紙!X128="実績報告（２次）",表紙!X128="交付申請兼実績報告"),DATE(IF(N157=5,2023,IF(N157=6,2024)),O157,P157)&lt;DATE(2023,10,1)),0,
G157*H157)))</f>
        <v/>
      </c>
      <c r="R157" s="724" t="str">
        <f xml:space="preserve">
IF(表紙!$X$2="事前協議","－",
IF(表紙!$X$2="交付申請（２次）","－",
IF(表紙!$X$2="変更申請","－",
IF(AND(OR(表紙!$X$2="実績報告（１次）",表紙!$X$2="実績報告（２次）",表紙!$X$2="交付申請兼実績報告"),AL157="◎"),COUNTIF($AL$30:AL157,"◎"),""))))</f>
        <v/>
      </c>
      <c r="S157" s="489" t="str">
        <f t="shared" si="45"/>
        <v/>
      </c>
      <c r="T157" s="765" t="str">
        <f t="shared" si="28"/>
        <v/>
      </c>
      <c r="U157" s="596" t="str">
        <f t="shared" si="46"/>
        <v/>
      </c>
      <c r="V157" s="787" t="str">
        <f t="shared" si="38"/>
        <v/>
      </c>
      <c r="W157" s="787" t="str">
        <f t="shared" si="39"/>
        <v/>
      </c>
      <c r="X157" s="787" t="str">
        <f t="shared" si="40"/>
        <v/>
      </c>
      <c r="Y157" s="491" t="str">
        <f t="shared" si="41"/>
        <v/>
      </c>
      <c r="AJ157" s="461" t="s">
        <v>466</v>
      </c>
      <c r="AK157" s="490">
        <v>145</v>
      </c>
      <c r="AL157" s="460" t="str">
        <f t="shared" si="29"/>
        <v>○</v>
      </c>
      <c r="AM157" s="468" t="str">
        <f t="shared" si="30"/>
        <v>申請しない場合は入力不要です。</v>
      </c>
      <c r="AO157" s="468">
        <f t="shared" si="47"/>
        <v>0</v>
      </c>
    </row>
    <row r="158" spans="1:50" ht="20.100000000000001" customHeight="1">
      <c r="A158" s="485">
        <v>146</v>
      </c>
      <c r="B158" s="205"/>
      <c r="C158" s="206"/>
      <c r="D158" s="1889"/>
      <c r="E158" s="1890"/>
      <c r="F158" s="1891"/>
      <c r="G158" s="207"/>
      <c r="H158" s="207"/>
      <c r="I158" s="208"/>
      <c r="J158" s="486">
        <f t="shared" si="42"/>
        <v>0</v>
      </c>
      <c r="K158" s="487">
        <f t="shared" si="43"/>
        <v>0</v>
      </c>
      <c r="L158" s="487" t="str">
        <f t="shared" si="44"/>
        <v/>
      </c>
      <c r="M158" s="487" t="str">
        <f xml:space="preserve">
IF(AL158&lt;&gt;"◎","",
IF(AND(表紙!X129="実績報告（１次）",DATE(IF(N158=5,2023,IF(N158=6,2024)),O158,P158)&lt;DATE(2023,5,8)),0,
IF(AND(OR(表紙!X129="実績報告（２次）",表紙!X129="交付申請兼実績報告"),DATE(IF(N158=5,2023,IF(N158=6,2024)),O158,P158)&lt;DATE(2023,10,1)),0,
MIN(K158,L158))))</f>
        <v/>
      </c>
      <c r="N158" s="725"/>
      <c r="O158" s="725"/>
      <c r="P158" s="725"/>
      <c r="Q158" s="488" t="str">
        <f xml:space="preserve">
IF(AL158&lt;&gt;"◎","",
IF(AND(表紙!X129="実績報告（１次）",DATE(IF(N158=5,2023,IF(N158=6,2024)),O158,P158)&lt;DATE(2023,5,8)),0,
IF(AND(OR(表紙!X129="実績報告（２次）",表紙!X129="交付申請兼実績報告"),DATE(IF(N158=5,2023,IF(N158=6,2024)),O158,P158)&lt;DATE(2023,10,1)),0,
G158*H158)))</f>
        <v/>
      </c>
      <c r="R158" s="724" t="str">
        <f xml:space="preserve">
IF(表紙!$X$2="事前協議","－",
IF(表紙!$X$2="交付申請（２次）","－",
IF(表紙!$X$2="変更申請","－",
IF(AND(OR(表紙!$X$2="実績報告（１次）",表紙!$X$2="実績報告（２次）",表紙!$X$2="交付申請兼実績報告"),AL158="◎"),COUNTIF($AL$30:AL158,"◎"),""))))</f>
        <v/>
      </c>
      <c r="S158" s="489" t="str">
        <f t="shared" si="45"/>
        <v/>
      </c>
      <c r="T158" s="765" t="str">
        <f t="shared" si="28"/>
        <v/>
      </c>
      <c r="U158" s="596" t="str">
        <f t="shared" si="46"/>
        <v/>
      </c>
      <c r="V158" s="787" t="str">
        <f t="shared" si="38"/>
        <v/>
      </c>
      <c r="W158" s="787" t="str">
        <f t="shared" si="39"/>
        <v/>
      </c>
      <c r="X158" s="787" t="str">
        <f t="shared" si="40"/>
        <v/>
      </c>
      <c r="Y158" s="491" t="str">
        <f t="shared" si="41"/>
        <v/>
      </c>
      <c r="AJ158" s="461" t="s">
        <v>466</v>
      </c>
      <c r="AK158" s="490">
        <v>146</v>
      </c>
      <c r="AL158" s="460" t="str">
        <f t="shared" si="29"/>
        <v>○</v>
      </c>
      <c r="AM158" s="468" t="str">
        <f t="shared" si="30"/>
        <v>申請しない場合は入力不要です。</v>
      </c>
      <c r="AO158" s="468">
        <f t="shared" si="47"/>
        <v>0</v>
      </c>
    </row>
    <row r="159" spans="1:50" ht="20.100000000000001" customHeight="1">
      <c r="A159" s="485">
        <v>147</v>
      </c>
      <c r="B159" s="205"/>
      <c r="C159" s="206"/>
      <c r="D159" s="1889"/>
      <c r="E159" s="1890"/>
      <c r="F159" s="1891"/>
      <c r="G159" s="207"/>
      <c r="H159" s="207"/>
      <c r="I159" s="208"/>
      <c r="J159" s="486">
        <f t="shared" si="42"/>
        <v>0</v>
      </c>
      <c r="K159" s="487">
        <f t="shared" si="43"/>
        <v>0</v>
      </c>
      <c r="L159" s="487" t="str">
        <f t="shared" si="44"/>
        <v/>
      </c>
      <c r="M159" s="487" t="str">
        <f xml:space="preserve">
IF(AL159&lt;&gt;"◎","",
IF(AND(表紙!X130="実績報告（１次）",DATE(IF(N159=5,2023,IF(N159=6,2024)),O159,P159)&lt;DATE(2023,5,8)),0,
IF(AND(OR(表紙!X130="実績報告（２次）",表紙!X130="交付申請兼実績報告"),DATE(IF(N159=5,2023,IF(N159=6,2024)),O159,P159)&lt;DATE(2023,10,1)),0,
MIN(K159,L159))))</f>
        <v/>
      </c>
      <c r="N159" s="725"/>
      <c r="O159" s="725"/>
      <c r="P159" s="725"/>
      <c r="Q159" s="488" t="str">
        <f xml:space="preserve">
IF(AL159&lt;&gt;"◎","",
IF(AND(表紙!X130="実績報告（１次）",DATE(IF(N159=5,2023,IF(N159=6,2024)),O159,P159)&lt;DATE(2023,5,8)),0,
IF(AND(OR(表紙!X130="実績報告（２次）",表紙!X130="交付申請兼実績報告"),DATE(IF(N159=5,2023,IF(N159=6,2024)),O159,P159)&lt;DATE(2023,10,1)),0,
G159*H159)))</f>
        <v/>
      </c>
      <c r="R159" s="724" t="str">
        <f xml:space="preserve">
IF(表紙!$X$2="事前協議","－",
IF(表紙!$X$2="交付申請（２次）","－",
IF(表紙!$X$2="変更申請","－",
IF(AND(OR(表紙!$X$2="実績報告（１次）",表紙!$X$2="実績報告（２次）",表紙!$X$2="交付申請兼実績報告"),AL159="◎"),COUNTIF($AL$30:AL159,"◎"),""))))</f>
        <v/>
      </c>
      <c r="S159" s="489" t="str">
        <f t="shared" si="45"/>
        <v/>
      </c>
      <c r="T159" s="765" t="str">
        <f t="shared" ref="T159:T212" si="48">IF(H159="","",H159)</f>
        <v/>
      </c>
      <c r="U159" s="596" t="str">
        <f t="shared" si="46"/>
        <v/>
      </c>
      <c r="V159" s="787" t="str">
        <f t="shared" si="38"/>
        <v/>
      </c>
      <c r="W159" s="787" t="str">
        <f t="shared" si="39"/>
        <v/>
      </c>
      <c r="X159" s="787" t="str">
        <f t="shared" si="40"/>
        <v/>
      </c>
      <c r="Y159" s="491" t="str">
        <f t="shared" si="41"/>
        <v/>
      </c>
      <c r="AJ159" s="461" t="s">
        <v>466</v>
      </c>
      <c r="AK159" s="490">
        <v>147</v>
      </c>
      <c r="AL159" s="460" t="str">
        <f t="shared" ref="AL159:AL212" si="49" xml:space="preserve">
IF(COUNTA(B159:I159,N159:P159)=0,"○",
IF(AND(COUNTA(B159:I159,N159:P159)&gt;=1,COUNTA(B159:I159,N159:P159)&lt;9),"×",
IF(OR(COUNTA(B159:I159,N159:P159)=9,COUNTA(B159:I159,N159:P159)=11),"◎")))</f>
        <v>○</v>
      </c>
      <c r="AM159" s="468" t="str">
        <f t="shared" ref="AM159:AM212" si="50" xml:space="preserve">
IF(COUNTA(B159:I159,N159:P159)=0,"申請しない場合は入力不要です。",
IF(AND(COUNTA(B159:I159,N159:P159)&gt;=1,COUNTA(B159:I159,N159:P159)&lt;9),"【要修正】種類、品名、内容量、数量、税抜単価及び納品日の内、未入力の箇所があります。",
IF(OR(COUNTA(B159:I159,N159:P159)=9,COUNTA(B159:I159,N159:P159)=11),"適切に入力がされました。")))</f>
        <v>申請しない場合は入力不要です。</v>
      </c>
      <c r="AO159" s="468">
        <f t="shared" si="47"/>
        <v>0</v>
      </c>
    </row>
    <row r="160" spans="1:50" ht="20.100000000000001" customHeight="1">
      <c r="A160" s="485">
        <v>148</v>
      </c>
      <c r="B160" s="205"/>
      <c r="C160" s="206"/>
      <c r="D160" s="1889"/>
      <c r="E160" s="1890"/>
      <c r="F160" s="1891"/>
      <c r="G160" s="207"/>
      <c r="H160" s="207"/>
      <c r="I160" s="208"/>
      <c r="J160" s="486">
        <f t="shared" si="42"/>
        <v>0</v>
      </c>
      <c r="K160" s="487">
        <f t="shared" si="43"/>
        <v>0</v>
      </c>
      <c r="L160" s="487" t="str">
        <f t="shared" si="44"/>
        <v/>
      </c>
      <c r="M160" s="487" t="str">
        <f xml:space="preserve">
IF(AL160&lt;&gt;"◎","",
IF(AND(表紙!X131="実績報告（１次）",DATE(IF(N160=5,2023,IF(N160=6,2024)),O160,P160)&lt;DATE(2023,5,8)),0,
IF(AND(OR(表紙!X131="実績報告（２次）",表紙!X131="交付申請兼実績報告"),DATE(IF(N160=5,2023,IF(N160=6,2024)),O160,P160)&lt;DATE(2023,10,1)),0,
MIN(K160,L160))))</f>
        <v/>
      </c>
      <c r="N160" s="725"/>
      <c r="O160" s="725"/>
      <c r="P160" s="725"/>
      <c r="Q160" s="488" t="str">
        <f xml:space="preserve">
IF(AL160&lt;&gt;"◎","",
IF(AND(表紙!X131="実績報告（１次）",DATE(IF(N160=5,2023,IF(N160=6,2024)),O160,P160)&lt;DATE(2023,5,8)),0,
IF(AND(OR(表紙!X131="実績報告（２次）",表紙!X131="交付申請兼実績報告"),DATE(IF(N160=5,2023,IF(N160=6,2024)),O160,P160)&lt;DATE(2023,10,1)),0,
G160*H160)))</f>
        <v/>
      </c>
      <c r="R160" s="724" t="str">
        <f xml:space="preserve">
IF(表紙!$X$2="事前協議","－",
IF(表紙!$X$2="交付申請（２次）","－",
IF(表紙!$X$2="変更申請","－",
IF(AND(OR(表紙!$X$2="実績報告（１次）",表紙!$X$2="実績報告（２次）",表紙!$X$2="交付申請兼実績報告"),AL160="◎"),COUNTIF($AL$30:AL160,"◎"),""))))</f>
        <v/>
      </c>
      <c r="S160" s="489" t="str">
        <f t="shared" si="45"/>
        <v/>
      </c>
      <c r="T160" s="765" t="str">
        <f t="shared" si="48"/>
        <v/>
      </c>
      <c r="U160" s="596" t="str">
        <f t="shared" si="46"/>
        <v/>
      </c>
      <c r="V160" s="787" t="str">
        <f t="shared" si="38"/>
        <v/>
      </c>
      <c r="W160" s="787" t="str">
        <f t="shared" si="39"/>
        <v/>
      </c>
      <c r="X160" s="787" t="str">
        <f t="shared" si="40"/>
        <v/>
      </c>
      <c r="Y160" s="491" t="str">
        <f t="shared" si="41"/>
        <v/>
      </c>
      <c r="AJ160" s="461" t="s">
        <v>466</v>
      </c>
      <c r="AK160" s="490">
        <v>148</v>
      </c>
      <c r="AL160" s="460" t="str">
        <f t="shared" si="49"/>
        <v>○</v>
      </c>
      <c r="AM160" s="468" t="str">
        <f t="shared" si="50"/>
        <v>申請しない場合は入力不要です。</v>
      </c>
      <c r="AO160" s="468">
        <f t="shared" si="47"/>
        <v>0</v>
      </c>
    </row>
    <row r="161" spans="1:41" ht="20.100000000000001" customHeight="1">
      <c r="A161" s="485">
        <v>149</v>
      </c>
      <c r="B161" s="205"/>
      <c r="C161" s="206"/>
      <c r="D161" s="1889"/>
      <c r="E161" s="1890"/>
      <c r="F161" s="1891"/>
      <c r="G161" s="207"/>
      <c r="H161" s="207"/>
      <c r="I161" s="208"/>
      <c r="J161" s="486">
        <f t="shared" si="42"/>
        <v>0</v>
      </c>
      <c r="K161" s="487">
        <f t="shared" si="43"/>
        <v>0</v>
      </c>
      <c r="L161" s="487" t="str">
        <f t="shared" si="44"/>
        <v/>
      </c>
      <c r="M161" s="487" t="str">
        <f xml:space="preserve">
IF(AL161&lt;&gt;"◎","",
IF(AND(表紙!X132="実績報告（１次）",DATE(IF(N161=5,2023,IF(N161=6,2024)),O161,P161)&lt;DATE(2023,5,8)),0,
IF(AND(OR(表紙!X132="実績報告（２次）",表紙!X132="交付申請兼実績報告"),DATE(IF(N161=5,2023,IF(N161=6,2024)),O161,P161)&lt;DATE(2023,10,1)),0,
MIN(K161,L161))))</f>
        <v/>
      </c>
      <c r="N161" s="725"/>
      <c r="O161" s="725"/>
      <c r="P161" s="725"/>
      <c r="Q161" s="488" t="str">
        <f xml:space="preserve">
IF(AL161&lt;&gt;"◎","",
IF(AND(表紙!X132="実績報告（１次）",DATE(IF(N161=5,2023,IF(N161=6,2024)),O161,P161)&lt;DATE(2023,5,8)),0,
IF(AND(OR(表紙!X132="実績報告（２次）",表紙!X132="交付申請兼実績報告"),DATE(IF(N161=5,2023,IF(N161=6,2024)),O161,P161)&lt;DATE(2023,10,1)),0,
G161*H161)))</f>
        <v/>
      </c>
      <c r="R161" s="724" t="str">
        <f xml:space="preserve">
IF(表紙!$X$2="事前協議","－",
IF(表紙!$X$2="交付申請（２次）","－",
IF(表紙!$X$2="変更申請","－",
IF(AND(OR(表紙!$X$2="実績報告（１次）",表紙!$X$2="実績報告（２次）",表紙!$X$2="交付申請兼実績報告"),AL161="◎"),COUNTIF($AL$30:AL161,"◎"),""))))</f>
        <v/>
      </c>
      <c r="S161" s="489" t="str">
        <f t="shared" si="45"/>
        <v/>
      </c>
      <c r="T161" s="765" t="str">
        <f t="shared" si="48"/>
        <v/>
      </c>
      <c r="U161" s="596" t="str">
        <f t="shared" si="46"/>
        <v/>
      </c>
      <c r="V161" s="787" t="str">
        <f t="shared" si="38"/>
        <v/>
      </c>
      <c r="W161" s="787" t="str">
        <f t="shared" si="39"/>
        <v/>
      </c>
      <c r="X161" s="787" t="str">
        <f t="shared" si="40"/>
        <v/>
      </c>
      <c r="Y161" s="491" t="str">
        <f t="shared" si="41"/>
        <v/>
      </c>
      <c r="AJ161" s="461" t="s">
        <v>466</v>
      </c>
      <c r="AK161" s="490">
        <v>149</v>
      </c>
      <c r="AL161" s="460" t="str">
        <f t="shared" si="49"/>
        <v>○</v>
      </c>
      <c r="AM161" s="468" t="str">
        <f t="shared" si="50"/>
        <v>申請しない場合は入力不要です。</v>
      </c>
      <c r="AO161" s="468">
        <f t="shared" si="47"/>
        <v>0</v>
      </c>
    </row>
    <row r="162" spans="1:41" ht="20.100000000000001" customHeight="1">
      <c r="A162" s="485">
        <v>150</v>
      </c>
      <c r="B162" s="205"/>
      <c r="C162" s="206"/>
      <c r="D162" s="1889"/>
      <c r="E162" s="1890"/>
      <c r="F162" s="1891"/>
      <c r="G162" s="207"/>
      <c r="H162" s="207"/>
      <c r="I162" s="208"/>
      <c r="J162" s="486">
        <f t="shared" si="42"/>
        <v>0</v>
      </c>
      <c r="K162" s="487">
        <f t="shared" si="43"/>
        <v>0</v>
      </c>
      <c r="L162" s="487" t="str">
        <f t="shared" si="44"/>
        <v/>
      </c>
      <c r="M162" s="487" t="str">
        <f xml:space="preserve">
IF(AL162&lt;&gt;"◎","",
IF(AND(表紙!X133="実績報告（１次）",DATE(IF(N162=5,2023,IF(N162=6,2024)),O162,P162)&lt;DATE(2023,5,8)),0,
IF(AND(OR(表紙!X133="実績報告（２次）",表紙!X133="交付申請兼実績報告"),DATE(IF(N162=5,2023,IF(N162=6,2024)),O162,P162)&lt;DATE(2023,10,1)),0,
MIN(K162,L162))))</f>
        <v/>
      </c>
      <c r="N162" s="725"/>
      <c r="O162" s="725"/>
      <c r="P162" s="725"/>
      <c r="Q162" s="488" t="str">
        <f xml:space="preserve">
IF(AL162&lt;&gt;"◎","",
IF(AND(表紙!X133="実績報告（１次）",DATE(IF(N162=5,2023,IF(N162=6,2024)),O162,P162)&lt;DATE(2023,5,8)),0,
IF(AND(OR(表紙!X133="実績報告（２次）",表紙!X133="交付申請兼実績報告"),DATE(IF(N162=5,2023,IF(N162=6,2024)),O162,P162)&lt;DATE(2023,10,1)),0,
G162*H162)))</f>
        <v/>
      </c>
      <c r="R162" s="724" t="str">
        <f xml:space="preserve">
IF(表紙!$X$2="事前協議","－",
IF(表紙!$X$2="交付申請（２次）","－",
IF(表紙!$X$2="変更申請","－",
IF(AND(OR(表紙!$X$2="実績報告（１次）",表紙!$X$2="実績報告（２次）",表紙!$X$2="交付申請兼実績報告"),AL162="◎"),COUNTIF($AL$30:AL162,"◎"),""))))</f>
        <v/>
      </c>
      <c r="S162" s="489" t="str">
        <f t="shared" si="45"/>
        <v/>
      </c>
      <c r="T162" s="765" t="str">
        <f t="shared" si="48"/>
        <v/>
      </c>
      <c r="U162" s="596" t="str">
        <f t="shared" si="46"/>
        <v/>
      </c>
      <c r="V162" s="787" t="str">
        <f t="shared" si="38"/>
        <v/>
      </c>
      <c r="W162" s="787" t="str">
        <f t="shared" si="39"/>
        <v/>
      </c>
      <c r="X162" s="787" t="str">
        <f t="shared" si="40"/>
        <v/>
      </c>
      <c r="Y162" s="491" t="str">
        <f t="shared" si="41"/>
        <v/>
      </c>
      <c r="AJ162" s="461" t="s">
        <v>466</v>
      </c>
      <c r="AK162" s="490">
        <v>150</v>
      </c>
      <c r="AL162" s="460" t="str">
        <f t="shared" si="49"/>
        <v>○</v>
      </c>
      <c r="AM162" s="468" t="str">
        <f t="shared" si="50"/>
        <v>申請しない場合は入力不要です。</v>
      </c>
      <c r="AO162" s="468">
        <f t="shared" si="47"/>
        <v>0</v>
      </c>
    </row>
    <row r="163" spans="1:41" ht="20.100000000000001" customHeight="1">
      <c r="A163" s="485">
        <v>151</v>
      </c>
      <c r="B163" s="205"/>
      <c r="C163" s="206"/>
      <c r="D163" s="1889"/>
      <c r="E163" s="1890"/>
      <c r="F163" s="1891"/>
      <c r="G163" s="207"/>
      <c r="H163" s="207"/>
      <c r="I163" s="208"/>
      <c r="J163" s="486">
        <f t="shared" si="42"/>
        <v>0</v>
      </c>
      <c r="K163" s="487">
        <f t="shared" si="43"/>
        <v>0</v>
      </c>
      <c r="L163" s="487" t="str">
        <f t="shared" si="44"/>
        <v/>
      </c>
      <c r="M163" s="487" t="str">
        <f xml:space="preserve">
IF(AL163&lt;&gt;"◎","",
IF(AND(表紙!X134="実績報告（１次）",DATE(IF(N163=5,2023,IF(N163=6,2024)),O163,P163)&lt;DATE(2023,5,8)),0,
IF(AND(OR(表紙!X134="実績報告（２次）",表紙!X134="交付申請兼実績報告"),DATE(IF(N163=5,2023,IF(N163=6,2024)),O163,P163)&lt;DATE(2023,10,1)),0,
MIN(K163,L163))))</f>
        <v/>
      </c>
      <c r="N163" s="725"/>
      <c r="O163" s="725"/>
      <c r="P163" s="725"/>
      <c r="Q163" s="488" t="str">
        <f xml:space="preserve">
IF(AL163&lt;&gt;"◎","",
IF(AND(表紙!X134="実績報告（１次）",DATE(IF(N163=5,2023,IF(N163=6,2024)),O163,P163)&lt;DATE(2023,5,8)),0,
IF(AND(OR(表紙!X134="実績報告（２次）",表紙!X134="交付申請兼実績報告"),DATE(IF(N163=5,2023,IF(N163=6,2024)),O163,P163)&lt;DATE(2023,10,1)),0,
G163*H163)))</f>
        <v/>
      </c>
      <c r="R163" s="724" t="str">
        <f xml:space="preserve">
IF(表紙!$X$2="事前協議","－",
IF(表紙!$X$2="交付申請（２次）","－",
IF(表紙!$X$2="変更申請","－",
IF(AND(OR(表紙!$X$2="実績報告（１次）",表紙!$X$2="実績報告（２次）",表紙!$X$2="交付申請兼実績報告"),AL163="◎"),COUNTIF($AL$30:AL163,"◎"),""))))</f>
        <v/>
      </c>
      <c r="S163" s="489" t="str">
        <f t="shared" si="45"/>
        <v/>
      </c>
      <c r="T163" s="765" t="str">
        <f t="shared" si="48"/>
        <v/>
      </c>
      <c r="U163" s="596" t="str">
        <f t="shared" si="46"/>
        <v/>
      </c>
      <c r="V163" s="787" t="str">
        <f t="shared" si="38"/>
        <v/>
      </c>
      <c r="W163" s="787" t="str">
        <f t="shared" si="39"/>
        <v/>
      </c>
      <c r="X163" s="787" t="str">
        <f t="shared" si="40"/>
        <v/>
      </c>
      <c r="Y163" s="491" t="str">
        <f t="shared" si="41"/>
        <v/>
      </c>
      <c r="AJ163" s="461" t="s">
        <v>466</v>
      </c>
      <c r="AK163" s="490">
        <v>151</v>
      </c>
      <c r="AL163" s="460" t="str">
        <f t="shared" si="49"/>
        <v>○</v>
      </c>
      <c r="AM163" s="468" t="str">
        <f t="shared" si="50"/>
        <v>申請しない場合は入力不要です。</v>
      </c>
      <c r="AO163" s="468">
        <f t="shared" si="47"/>
        <v>0</v>
      </c>
    </row>
    <row r="164" spans="1:41" ht="20.100000000000001" customHeight="1">
      <c r="A164" s="485">
        <v>152</v>
      </c>
      <c r="B164" s="205"/>
      <c r="C164" s="206"/>
      <c r="D164" s="1889"/>
      <c r="E164" s="1890"/>
      <c r="F164" s="1891"/>
      <c r="G164" s="207"/>
      <c r="H164" s="207"/>
      <c r="I164" s="208"/>
      <c r="J164" s="486">
        <f t="shared" si="42"/>
        <v>0</v>
      </c>
      <c r="K164" s="487">
        <f t="shared" si="43"/>
        <v>0</v>
      </c>
      <c r="L164" s="487" t="str">
        <f t="shared" si="44"/>
        <v/>
      </c>
      <c r="M164" s="487" t="str">
        <f xml:space="preserve">
IF(AL164&lt;&gt;"◎","",
IF(AND(表紙!X135="実績報告（１次）",DATE(IF(N164=5,2023,IF(N164=6,2024)),O164,P164)&lt;DATE(2023,5,8)),0,
IF(AND(OR(表紙!X135="実績報告（２次）",表紙!X135="交付申請兼実績報告"),DATE(IF(N164=5,2023,IF(N164=6,2024)),O164,P164)&lt;DATE(2023,10,1)),0,
MIN(K164,L164))))</f>
        <v/>
      </c>
      <c r="N164" s="725"/>
      <c r="O164" s="725"/>
      <c r="P164" s="725"/>
      <c r="Q164" s="488" t="str">
        <f xml:space="preserve">
IF(AL164&lt;&gt;"◎","",
IF(AND(表紙!X135="実績報告（１次）",DATE(IF(N164=5,2023,IF(N164=6,2024)),O164,P164)&lt;DATE(2023,5,8)),0,
IF(AND(OR(表紙!X135="実績報告（２次）",表紙!X135="交付申請兼実績報告"),DATE(IF(N164=5,2023,IF(N164=6,2024)),O164,P164)&lt;DATE(2023,10,1)),0,
G164*H164)))</f>
        <v/>
      </c>
      <c r="R164" s="724" t="str">
        <f xml:space="preserve">
IF(表紙!$X$2="事前協議","－",
IF(表紙!$X$2="交付申請（２次）","－",
IF(表紙!$X$2="変更申請","－",
IF(AND(OR(表紙!$X$2="実績報告（１次）",表紙!$X$2="実績報告（２次）",表紙!$X$2="交付申請兼実績報告"),AL164="◎"),COUNTIF($AL$30:AL164,"◎"),""))))</f>
        <v/>
      </c>
      <c r="S164" s="489" t="str">
        <f t="shared" si="45"/>
        <v/>
      </c>
      <c r="T164" s="765" t="str">
        <f t="shared" si="48"/>
        <v/>
      </c>
      <c r="U164" s="596" t="str">
        <f t="shared" si="46"/>
        <v/>
      </c>
      <c r="V164" s="787" t="str">
        <f t="shared" si="38"/>
        <v/>
      </c>
      <c r="W164" s="787" t="str">
        <f t="shared" si="39"/>
        <v/>
      </c>
      <c r="X164" s="787" t="str">
        <f t="shared" si="40"/>
        <v/>
      </c>
      <c r="Y164" s="491" t="str">
        <f t="shared" si="41"/>
        <v/>
      </c>
      <c r="AJ164" s="461" t="s">
        <v>466</v>
      </c>
      <c r="AK164" s="490">
        <v>152</v>
      </c>
      <c r="AL164" s="460" t="str">
        <f t="shared" si="49"/>
        <v>○</v>
      </c>
      <c r="AM164" s="468" t="str">
        <f t="shared" si="50"/>
        <v>申請しない場合は入力不要です。</v>
      </c>
      <c r="AO164" s="468">
        <f t="shared" si="47"/>
        <v>0</v>
      </c>
    </row>
    <row r="165" spans="1:41" ht="20.100000000000001" customHeight="1">
      <c r="A165" s="485">
        <v>153</v>
      </c>
      <c r="B165" s="205"/>
      <c r="C165" s="206"/>
      <c r="D165" s="1889"/>
      <c r="E165" s="1890"/>
      <c r="F165" s="1891"/>
      <c r="G165" s="207"/>
      <c r="H165" s="207"/>
      <c r="I165" s="208"/>
      <c r="J165" s="486">
        <f t="shared" si="42"/>
        <v>0</v>
      </c>
      <c r="K165" s="487">
        <f t="shared" si="43"/>
        <v>0</v>
      </c>
      <c r="L165" s="487" t="str">
        <f t="shared" si="44"/>
        <v/>
      </c>
      <c r="M165" s="487" t="str">
        <f xml:space="preserve">
IF(AL165&lt;&gt;"◎","",
IF(AND(表紙!X136="実績報告（１次）",DATE(IF(N165=5,2023,IF(N165=6,2024)),O165,P165)&lt;DATE(2023,5,8)),0,
IF(AND(OR(表紙!X136="実績報告（２次）",表紙!X136="交付申請兼実績報告"),DATE(IF(N165=5,2023,IF(N165=6,2024)),O165,P165)&lt;DATE(2023,10,1)),0,
MIN(K165,L165))))</f>
        <v/>
      </c>
      <c r="N165" s="725"/>
      <c r="O165" s="725"/>
      <c r="P165" s="725"/>
      <c r="Q165" s="488" t="str">
        <f xml:space="preserve">
IF(AL165&lt;&gt;"◎","",
IF(AND(表紙!X136="実績報告（１次）",DATE(IF(N165=5,2023,IF(N165=6,2024)),O165,P165)&lt;DATE(2023,5,8)),0,
IF(AND(OR(表紙!X136="実績報告（２次）",表紙!X136="交付申請兼実績報告"),DATE(IF(N165=5,2023,IF(N165=6,2024)),O165,P165)&lt;DATE(2023,10,1)),0,
G165*H165)))</f>
        <v/>
      </c>
      <c r="R165" s="724" t="str">
        <f xml:space="preserve">
IF(表紙!$X$2="事前協議","－",
IF(表紙!$X$2="交付申請（２次）","－",
IF(表紙!$X$2="変更申請","－",
IF(AND(OR(表紙!$X$2="実績報告（１次）",表紙!$X$2="実績報告（２次）",表紙!$X$2="交付申請兼実績報告"),AL165="◎"),COUNTIF($AL$30:AL165,"◎"),""))))</f>
        <v/>
      </c>
      <c r="S165" s="489" t="str">
        <f t="shared" si="45"/>
        <v/>
      </c>
      <c r="T165" s="765" t="str">
        <f t="shared" si="48"/>
        <v/>
      </c>
      <c r="U165" s="596" t="str">
        <f t="shared" si="46"/>
        <v/>
      </c>
      <c r="V165" s="787" t="str">
        <f t="shared" si="38"/>
        <v/>
      </c>
      <c r="W165" s="787" t="str">
        <f t="shared" si="39"/>
        <v/>
      </c>
      <c r="X165" s="787" t="str">
        <f t="shared" si="40"/>
        <v/>
      </c>
      <c r="Y165" s="491" t="str">
        <f t="shared" si="41"/>
        <v/>
      </c>
      <c r="AJ165" s="461" t="s">
        <v>466</v>
      </c>
      <c r="AK165" s="490">
        <v>153</v>
      </c>
      <c r="AL165" s="460" t="str">
        <f t="shared" si="49"/>
        <v>○</v>
      </c>
      <c r="AM165" s="468" t="str">
        <f t="shared" si="50"/>
        <v>申請しない場合は入力不要です。</v>
      </c>
      <c r="AO165" s="468">
        <f t="shared" si="47"/>
        <v>0</v>
      </c>
    </row>
    <row r="166" spans="1:41" ht="20.100000000000001" customHeight="1">
      <c r="A166" s="485">
        <v>154</v>
      </c>
      <c r="B166" s="205"/>
      <c r="C166" s="206"/>
      <c r="D166" s="1889"/>
      <c r="E166" s="1890"/>
      <c r="F166" s="1891"/>
      <c r="G166" s="207"/>
      <c r="H166" s="207"/>
      <c r="I166" s="208"/>
      <c r="J166" s="486">
        <f t="shared" si="42"/>
        <v>0</v>
      </c>
      <c r="K166" s="487">
        <f t="shared" si="43"/>
        <v>0</v>
      </c>
      <c r="L166" s="487" t="str">
        <f t="shared" si="44"/>
        <v/>
      </c>
      <c r="M166" s="487" t="str">
        <f xml:space="preserve">
IF(AL166&lt;&gt;"◎","",
IF(AND(表紙!X137="実績報告（１次）",DATE(IF(N166=5,2023,IF(N166=6,2024)),O166,P166)&lt;DATE(2023,5,8)),0,
IF(AND(OR(表紙!X137="実績報告（２次）",表紙!X137="交付申請兼実績報告"),DATE(IF(N166=5,2023,IF(N166=6,2024)),O166,P166)&lt;DATE(2023,10,1)),0,
MIN(K166,L166))))</f>
        <v/>
      </c>
      <c r="N166" s="725"/>
      <c r="O166" s="725"/>
      <c r="P166" s="725"/>
      <c r="Q166" s="488" t="str">
        <f xml:space="preserve">
IF(AL166&lt;&gt;"◎","",
IF(AND(表紙!X137="実績報告（１次）",DATE(IF(N166=5,2023,IF(N166=6,2024)),O166,P166)&lt;DATE(2023,5,8)),0,
IF(AND(OR(表紙!X137="実績報告（２次）",表紙!X137="交付申請兼実績報告"),DATE(IF(N166=5,2023,IF(N166=6,2024)),O166,P166)&lt;DATE(2023,10,1)),0,
G166*H166)))</f>
        <v/>
      </c>
      <c r="R166" s="724" t="str">
        <f xml:space="preserve">
IF(表紙!$X$2="事前協議","－",
IF(表紙!$X$2="交付申請（２次）","－",
IF(表紙!$X$2="変更申請","－",
IF(AND(OR(表紙!$X$2="実績報告（１次）",表紙!$X$2="実績報告（２次）",表紙!$X$2="交付申請兼実績報告"),AL166="◎"),COUNTIF($AL$30:AL166,"◎"),""))))</f>
        <v/>
      </c>
      <c r="S166" s="489" t="str">
        <f t="shared" si="45"/>
        <v/>
      </c>
      <c r="T166" s="765" t="str">
        <f t="shared" si="48"/>
        <v/>
      </c>
      <c r="U166" s="596" t="str">
        <f t="shared" si="46"/>
        <v/>
      </c>
      <c r="V166" s="787" t="str">
        <f t="shared" si="38"/>
        <v/>
      </c>
      <c r="W166" s="787" t="str">
        <f t="shared" si="39"/>
        <v/>
      </c>
      <c r="X166" s="787" t="str">
        <f t="shared" si="40"/>
        <v/>
      </c>
      <c r="Y166" s="491" t="str">
        <f t="shared" si="41"/>
        <v/>
      </c>
      <c r="AJ166" s="461" t="s">
        <v>466</v>
      </c>
      <c r="AK166" s="490">
        <v>154</v>
      </c>
      <c r="AL166" s="460" t="str">
        <f t="shared" si="49"/>
        <v>○</v>
      </c>
      <c r="AM166" s="468" t="str">
        <f t="shared" si="50"/>
        <v>申請しない場合は入力不要です。</v>
      </c>
      <c r="AO166" s="468">
        <f t="shared" si="47"/>
        <v>0</v>
      </c>
    </row>
    <row r="167" spans="1:41" ht="20.100000000000001" customHeight="1">
      <c r="A167" s="485">
        <v>155</v>
      </c>
      <c r="B167" s="205"/>
      <c r="C167" s="206"/>
      <c r="D167" s="1889"/>
      <c r="E167" s="1890"/>
      <c r="F167" s="1891"/>
      <c r="G167" s="207"/>
      <c r="H167" s="207"/>
      <c r="I167" s="208"/>
      <c r="J167" s="486">
        <f t="shared" si="42"/>
        <v>0</v>
      </c>
      <c r="K167" s="487">
        <f t="shared" si="43"/>
        <v>0</v>
      </c>
      <c r="L167" s="487" t="str">
        <f t="shared" si="44"/>
        <v/>
      </c>
      <c r="M167" s="487" t="str">
        <f xml:space="preserve">
IF(AL167&lt;&gt;"◎","",
IF(AND(表紙!X138="実績報告（１次）",DATE(IF(N167=5,2023,IF(N167=6,2024)),O167,P167)&lt;DATE(2023,5,8)),0,
IF(AND(OR(表紙!X138="実績報告（２次）",表紙!X138="交付申請兼実績報告"),DATE(IF(N167=5,2023,IF(N167=6,2024)),O167,P167)&lt;DATE(2023,10,1)),0,
MIN(K167,L167))))</f>
        <v/>
      </c>
      <c r="N167" s="725"/>
      <c r="O167" s="725"/>
      <c r="P167" s="725"/>
      <c r="Q167" s="488" t="str">
        <f xml:space="preserve">
IF(AL167&lt;&gt;"◎","",
IF(AND(表紙!X138="実績報告（１次）",DATE(IF(N167=5,2023,IF(N167=6,2024)),O167,P167)&lt;DATE(2023,5,8)),0,
IF(AND(OR(表紙!X138="実績報告（２次）",表紙!X138="交付申請兼実績報告"),DATE(IF(N167=5,2023,IF(N167=6,2024)),O167,P167)&lt;DATE(2023,10,1)),0,
G167*H167)))</f>
        <v/>
      </c>
      <c r="R167" s="724" t="str">
        <f xml:space="preserve">
IF(表紙!$X$2="事前協議","－",
IF(表紙!$X$2="交付申請（２次）","－",
IF(表紙!$X$2="変更申請","－",
IF(AND(OR(表紙!$X$2="実績報告（１次）",表紙!$X$2="実績報告（２次）",表紙!$X$2="交付申請兼実績報告"),AL167="◎"),COUNTIF($AL$30:AL167,"◎"),""))))</f>
        <v/>
      </c>
      <c r="S167" s="489" t="str">
        <f t="shared" si="45"/>
        <v/>
      </c>
      <c r="T167" s="765" t="str">
        <f t="shared" si="48"/>
        <v/>
      </c>
      <c r="U167" s="596" t="str">
        <f t="shared" si="46"/>
        <v/>
      </c>
      <c r="V167" s="787" t="str">
        <f t="shared" si="38"/>
        <v/>
      </c>
      <c r="W167" s="787" t="str">
        <f t="shared" si="39"/>
        <v/>
      </c>
      <c r="X167" s="787" t="str">
        <f t="shared" si="40"/>
        <v/>
      </c>
      <c r="Y167" s="491" t="str">
        <f t="shared" si="41"/>
        <v/>
      </c>
      <c r="AJ167" s="461" t="s">
        <v>466</v>
      </c>
      <c r="AK167" s="490">
        <v>155</v>
      </c>
      <c r="AL167" s="460" t="str">
        <f t="shared" si="49"/>
        <v>○</v>
      </c>
      <c r="AM167" s="468" t="str">
        <f t="shared" si="50"/>
        <v>申請しない場合は入力不要です。</v>
      </c>
      <c r="AO167" s="468">
        <f t="shared" si="47"/>
        <v>0</v>
      </c>
    </row>
    <row r="168" spans="1:41" ht="20.100000000000001" customHeight="1">
      <c r="A168" s="485">
        <v>156</v>
      </c>
      <c r="B168" s="205"/>
      <c r="C168" s="206"/>
      <c r="D168" s="1889"/>
      <c r="E168" s="1890"/>
      <c r="F168" s="1891"/>
      <c r="G168" s="207"/>
      <c r="H168" s="207"/>
      <c r="I168" s="208"/>
      <c r="J168" s="486">
        <f t="shared" si="42"/>
        <v>0</v>
      </c>
      <c r="K168" s="487">
        <f t="shared" si="43"/>
        <v>0</v>
      </c>
      <c r="L168" s="487" t="str">
        <f t="shared" si="44"/>
        <v/>
      </c>
      <c r="M168" s="487" t="str">
        <f xml:space="preserve">
IF(AL168&lt;&gt;"◎","",
IF(AND(表紙!X139="実績報告（１次）",DATE(IF(N168=5,2023,IF(N168=6,2024)),O168,P168)&lt;DATE(2023,5,8)),0,
IF(AND(OR(表紙!X139="実績報告（２次）",表紙!X139="交付申請兼実績報告"),DATE(IF(N168=5,2023,IF(N168=6,2024)),O168,P168)&lt;DATE(2023,10,1)),0,
MIN(K168,L168))))</f>
        <v/>
      </c>
      <c r="N168" s="725"/>
      <c r="O168" s="725"/>
      <c r="P168" s="725"/>
      <c r="Q168" s="488" t="str">
        <f xml:space="preserve">
IF(AL168&lt;&gt;"◎","",
IF(AND(表紙!X139="実績報告（１次）",DATE(IF(N168=5,2023,IF(N168=6,2024)),O168,P168)&lt;DATE(2023,5,8)),0,
IF(AND(OR(表紙!X139="実績報告（２次）",表紙!X139="交付申請兼実績報告"),DATE(IF(N168=5,2023,IF(N168=6,2024)),O168,P168)&lt;DATE(2023,10,1)),0,
G168*H168)))</f>
        <v/>
      </c>
      <c r="R168" s="724" t="str">
        <f xml:space="preserve">
IF(表紙!$X$2="事前協議","－",
IF(表紙!$X$2="交付申請（２次）","－",
IF(表紙!$X$2="変更申請","－",
IF(AND(OR(表紙!$X$2="実績報告（１次）",表紙!$X$2="実績報告（２次）",表紙!$X$2="交付申請兼実績報告"),AL168="◎"),COUNTIF($AL$30:AL168,"◎"),""))))</f>
        <v/>
      </c>
      <c r="S168" s="489" t="str">
        <f t="shared" si="45"/>
        <v/>
      </c>
      <c r="T168" s="765" t="str">
        <f t="shared" si="48"/>
        <v/>
      </c>
      <c r="U168" s="596" t="str">
        <f t="shared" si="46"/>
        <v/>
      </c>
      <c r="V168" s="787" t="str">
        <f t="shared" si="38"/>
        <v/>
      </c>
      <c r="W168" s="787" t="str">
        <f t="shared" si="39"/>
        <v/>
      </c>
      <c r="X168" s="787" t="str">
        <f t="shared" si="40"/>
        <v/>
      </c>
      <c r="Y168" s="491" t="str">
        <f t="shared" si="41"/>
        <v/>
      </c>
      <c r="AJ168" s="461" t="s">
        <v>466</v>
      </c>
      <c r="AK168" s="490">
        <v>156</v>
      </c>
      <c r="AL168" s="460" t="str">
        <f t="shared" si="49"/>
        <v>○</v>
      </c>
      <c r="AM168" s="468" t="str">
        <f t="shared" si="50"/>
        <v>申請しない場合は入力不要です。</v>
      </c>
      <c r="AO168" s="468">
        <f t="shared" si="47"/>
        <v>0</v>
      </c>
    </row>
    <row r="169" spans="1:41" ht="20.100000000000001" customHeight="1">
      <c r="A169" s="485">
        <v>157</v>
      </c>
      <c r="B169" s="205"/>
      <c r="C169" s="206"/>
      <c r="D169" s="1889"/>
      <c r="E169" s="1890"/>
      <c r="F169" s="1891"/>
      <c r="G169" s="207"/>
      <c r="H169" s="207"/>
      <c r="I169" s="208"/>
      <c r="J169" s="486">
        <f t="shared" si="42"/>
        <v>0</v>
      </c>
      <c r="K169" s="487">
        <f t="shared" si="43"/>
        <v>0</v>
      </c>
      <c r="L169" s="487" t="str">
        <f t="shared" si="44"/>
        <v/>
      </c>
      <c r="M169" s="487" t="str">
        <f xml:space="preserve">
IF(AL169&lt;&gt;"◎","",
IF(AND(表紙!X140="実績報告（１次）",DATE(IF(N169=5,2023,IF(N169=6,2024)),O169,P169)&lt;DATE(2023,5,8)),0,
IF(AND(OR(表紙!X140="実績報告（２次）",表紙!X140="交付申請兼実績報告"),DATE(IF(N169=5,2023,IF(N169=6,2024)),O169,P169)&lt;DATE(2023,10,1)),0,
MIN(K169,L169))))</f>
        <v/>
      </c>
      <c r="N169" s="725"/>
      <c r="O169" s="725"/>
      <c r="P169" s="725"/>
      <c r="Q169" s="488" t="str">
        <f xml:space="preserve">
IF(AL169&lt;&gt;"◎","",
IF(AND(表紙!X140="実績報告（１次）",DATE(IF(N169=5,2023,IF(N169=6,2024)),O169,P169)&lt;DATE(2023,5,8)),0,
IF(AND(OR(表紙!X140="実績報告（２次）",表紙!X140="交付申請兼実績報告"),DATE(IF(N169=5,2023,IF(N169=6,2024)),O169,P169)&lt;DATE(2023,10,1)),0,
G169*H169)))</f>
        <v/>
      </c>
      <c r="R169" s="724" t="str">
        <f xml:space="preserve">
IF(表紙!$X$2="事前協議","－",
IF(表紙!$X$2="交付申請（２次）","－",
IF(表紙!$X$2="変更申請","－",
IF(AND(OR(表紙!$X$2="実績報告（１次）",表紙!$X$2="実績報告（２次）",表紙!$X$2="交付申請兼実績報告"),AL169="◎"),COUNTIF($AL$30:AL169,"◎"),""))))</f>
        <v/>
      </c>
      <c r="S169" s="489" t="str">
        <f t="shared" si="45"/>
        <v/>
      </c>
      <c r="T169" s="765" t="str">
        <f t="shared" si="48"/>
        <v/>
      </c>
      <c r="U169" s="596" t="str">
        <f t="shared" si="46"/>
        <v/>
      </c>
      <c r="V169" s="787" t="str">
        <f t="shared" si="38"/>
        <v/>
      </c>
      <c r="W169" s="787" t="str">
        <f t="shared" si="39"/>
        <v/>
      </c>
      <c r="X169" s="787" t="str">
        <f t="shared" si="40"/>
        <v/>
      </c>
      <c r="Y169" s="491" t="str">
        <f t="shared" si="41"/>
        <v/>
      </c>
      <c r="AJ169" s="461" t="s">
        <v>466</v>
      </c>
      <c r="AK169" s="490">
        <v>157</v>
      </c>
      <c r="AL169" s="460" t="str">
        <f t="shared" si="49"/>
        <v>○</v>
      </c>
      <c r="AM169" s="468" t="str">
        <f t="shared" si="50"/>
        <v>申請しない場合は入力不要です。</v>
      </c>
      <c r="AO169" s="468">
        <f t="shared" si="47"/>
        <v>0</v>
      </c>
    </row>
    <row r="170" spans="1:41" ht="20.100000000000001" customHeight="1">
      <c r="A170" s="485">
        <v>158</v>
      </c>
      <c r="B170" s="205"/>
      <c r="C170" s="206"/>
      <c r="D170" s="1889"/>
      <c r="E170" s="1890"/>
      <c r="F170" s="1891"/>
      <c r="G170" s="207"/>
      <c r="H170" s="207"/>
      <c r="I170" s="208"/>
      <c r="J170" s="486">
        <f t="shared" si="42"/>
        <v>0</v>
      </c>
      <c r="K170" s="487">
        <f t="shared" si="43"/>
        <v>0</v>
      </c>
      <c r="L170" s="487" t="str">
        <f t="shared" si="44"/>
        <v/>
      </c>
      <c r="M170" s="487" t="str">
        <f xml:space="preserve">
IF(AL170&lt;&gt;"◎","",
IF(AND(表紙!X141="実績報告（１次）",DATE(IF(N170=5,2023,IF(N170=6,2024)),O170,P170)&lt;DATE(2023,5,8)),0,
IF(AND(OR(表紙!X141="実績報告（２次）",表紙!X141="交付申請兼実績報告"),DATE(IF(N170=5,2023,IF(N170=6,2024)),O170,P170)&lt;DATE(2023,10,1)),0,
MIN(K170,L170))))</f>
        <v/>
      </c>
      <c r="N170" s="725"/>
      <c r="O170" s="725"/>
      <c r="P170" s="725"/>
      <c r="Q170" s="488" t="str">
        <f xml:space="preserve">
IF(AL170&lt;&gt;"◎","",
IF(AND(表紙!X141="実績報告（１次）",DATE(IF(N170=5,2023,IF(N170=6,2024)),O170,P170)&lt;DATE(2023,5,8)),0,
IF(AND(OR(表紙!X141="実績報告（２次）",表紙!X141="交付申請兼実績報告"),DATE(IF(N170=5,2023,IF(N170=6,2024)),O170,P170)&lt;DATE(2023,10,1)),0,
G170*H170)))</f>
        <v/>
      </c>
      <c r="R170" s="724" t="str">
        <f xml:space="preserve">
IF(表紙!$X$2="事前協議","－",
IF(表紙!$X$2="交付申請（２次）","－",
IF(表紙!$X$2="変更申請","－",
IF(AND(OR(表紙!$X$2="実績報告（１次）",表紙!$X$2="実績報告（２次）",表紙!$X$2="交付申請兼実績報告"),AL170="◎"),COUNTIF($AL$30:AL170,"◎"),""))))</f>
        <v/>
      </c>
      <c r="S170" s="489" t="str">
        <f t="shared" si="45"/>
        <v/>
      </c>
      <c r="T170" s="765" t="str">
        <f t="shared" si="48"/>
        <v/>
      </c>
      <c r="U170" s="596" t="str">
        <f t="shared" si="46"/>
        <v/>
      </c>
      <c r="V170" s="787" t="str">
        <f t="shared" si="38"/>
        <v/>
      </c>
      <c r="W170" s="787" t="str">
        <f t="shared" si="39"/>
        <v/>
      </c>
      <c r="X170" s="787" t="str">
        <f t="shared" si="40"/>
        <v/>
      </c>
      <c r="Y170" s="491" t="str">
        <f t="shared" si="41"/>
        <v/>
      </c>
      <c r="AJ170" s="461" t="s">
        <v>466</v>
      </c>
      <c r="AK170" s="490">
        <v>158</v>
      </c>
      <c r="AL170" s="460" t="str">
        <f t="shared" si="49"/>
        <v>○</v>
      </c>
      <c r="AM170" s="468" t="str">
        <f t="shared" si="50"/>
        <v>申請しない場合は入力不要です。</v>
      </c>
      <c r="AO170" s="468">
        <f t="shared" si="47"/>
        <v>0</v>
      </c>
    </row>
    <row r="171" spans="1:41" ht="20.100000000000001" customHeight="1">
      <c r="A171" s="485">
        <v>159</v>
      </c>
      <c r="B171" s="205"/>
      <c r="C171" s="206"/>
      <c r="D171" s="1889"/>
      <c r="E171" s="1890"/>
      <c r="F171" s="1891"/>
      <c r="G171" s="207"/>
      <c r="H171" s="207"/>
      <c r="I171" s="208"/>
      <c r="J171" s="486">
        <f t="shared" si="42"/>
        <v>0</v>
      </c>
      <c r="K171" s="487">
        <f t="shared" si="43"/>
        <v>0</v>
      </c>
      <c r="L171" s="487" t="str">
        <f t="shared" si="44"/>
        <v/>
      </c>
      <c r="M171" s="487" t="str">
        <f xml:space="preserve">
IF(AL171&lt;&gt;"◎","",
IF(AND(表紙!X142="実績報告（１次）",DATE(IF(N171=5,2023,IF(N171=6,2024)),O171,P171)&lt;DATE(2023,5,8)),0,
IF(AND(OR(表紙!X142="実績報告（２次）",表紙!X142="交付申請兼実績報告"),DATE(IF(N171=5,2023,IF(N171=6,2024)),O171,P171)&lt;DATE(2023,10,1)),0,
MIN(K171,L171))))</f>
        <v/>
      </c>
      <c r="N171" s="725"/>
      <c r="O171" s="725"/>
      <c r="P171" s="725"/>
      <c r="Q171" s="488" t="str">
        <f xml:space="preserve">
IF(AL171&lt;&gt;"◎","",
IF(AND(表紙!X142="実績報告（１次）",DATE(IF(N171=5,2023,IF(N171=6,2024)),O171,P171)&lt;DATE(2023,5,8)),0,
IF(AND(OR(表紙!X142="実績報告（２次）",表紙!X142="交付申請兼実績報告"),DATE(IF(N171=5,2023,IF(N171=6,2024)),O171,P171)&lt;DATE(2023,10,1)),0,
G171*H171)))</f>
        <v/>
      </c>
      <c r="R171" s="724" t="str">
        <f xml:space="preserve">
IF(表紙!$X$2="事前協議","－",
IF(表紙!$X$2="交付申請（２次）","－",
IF(表紙!$X$2="変更申請","－",
IF(AND(OR(表紙!$X$2="実績報告（１次）",表紙!$X$2="実績報告（２次）",表紙!$X$2="交付申請兼実績報告"),AL171="◎"),COUNTIF($AL$30:AL171,"◎"),""))))</f>
        <v/>
      </c>
      <c r="S171" s="489" t="str">
        <f t="shared" si="45"/>
        <v/>
      </c>
      <c r="T171" s="765" t="str">
        <f t="shared" si="48"/>
        <v/>
      </c>
      <c r="U171" s="596" t="str">
        <f t="shared" si="46"/>
        <v/>
      </c>
      <c r="V171" s="787" t="str">
        <f t="shared" si="38"/>
        <v/>
      </c>
      <c r="W171" s="787" t="str">
        <f t="shared" si="39"/>
        <v/>
      </c>
      <c r="X171" s="787" t="str">
        <f t="shared" si="40"/>
        <v/>
      </c>
      <c r="Y171" s="491" t="str">
        <f t="shared" si="41"/>
        <v/>
      </c>
      <c r="AJ171" s="461" t="s">
        <v>466</v>
      </c>
      <c r="AK171" s="490">
        <v>159</v>
      </c>
      <c r="AL171" s="460" t="str">
        <f t="shared" si="49"/>
        <v>○</v>
      </c>
      <c r="AM171" s="468" t="str">
        <f t="shared" si="50"/>
        <v>申請しない場合は入力不要です。</v>
      </c>
      <c r="AO171" s="468">
        <f t="shared" si="47"/>
        <v>0</v>
      </c>
    </row>
    <row r="172" spans="1:41" ht="20.100000000000001" customHeight="1">
      <c r="A172" s="485">
        <v>160</v>
      </c>
      <c r="B172" s="205"/>
      <c r="C172" s="206"/>
      <c r="D172" s="1889"/>
      <c r="E172" s="1890"/>
      <c r="F172" s="1891"/>
      <c r="G172" s="207"/>
      <c r="H172" s="207"/>
      <c r="I172" s="208"/>
      <c r="J172" s="486">
        <f t="shared" si="42"/>
        <v>0</v>
      </c>
      <c r="K172" s="487">
        <f t="shared" si="43"/>
        <v>0</v>
      </c>
      <c r="L172" s="487" t="str">
        <f t="shared" si="44"/>
        <v/>
      </c>
      <c r="M172" s="487" t="str">
        <f xml:space="preserve">
IF(AL172&lt;&gt;"◎","",
IF(AND(表紙!X143="実績報告（１次）",DATE(IF(N172=5,2023,IF(N172=6,2024)),O172,P172)&lt;DATE(2023,5,8)),0,
IF(AND(OR(表紙!X143="実績報告（２次）",表紙!X143="交付申請兼実績報告"),DATE(IF(N172=5,2023,IF(N172=6,2024)),O172,P172)&lt;DATE(2023,10,1)),0,
MIN(K172,L172))))</f>
        <v/>
      </c>
      <c r="N172" s="725"/>
      <c r="O172" s="725"/>
      <c r="P172" s="725"/>
      <c r="Q172" s="488" t="str">
        <f xml:space="preserve">
IF(AL172&lt;&gt;"◎","",
IF(AND(表紙!X143="実績報告（１次）",DATE(IF(N172=5,2023,IF(N172=6,2024)),O172,P172)&lt;DATE(2023,5,8)),0,
IF(AND(OR(表紙!X143="実績報告（２次）",表紙!X143="交付申請兼実績報告"),DATE(IF(N172=5,2023,IF(N172=6,2024)),O172,P172)&lt;DATE(2023,10,1)),0,
G172*H172)))</f>
        <v/>
      </c>
      <c r="R172" s="724" t="str">
        <f xml:space="preserve">
IF(表紙!$X$2="事前協議","－",
IF(表紙!$X$2="交付申請（２次）","－",
IF(表紙!$X$2="変更申請","－",
IF(AND(OR(表紙!$X$2="実績報告（１次）",表紙!$X$2="実績報告（２次）",表紙!$X$2="交付申請兼実績報告"),AL172="◎"),COUNTIF($AL$30:AL172,"◎"),""))))</f>
        <v/>
      </c>
      <c r="S172" s="489" t="str">
        <f t="shared" si="45"/>
        <v/>
      </c>
      <c r="T172" s="765" t="str">
        <f t="shared" si="48"/>
        <v/>
      </c>
      <c r="U172" s="596" t="str">
        <f t="shared" si="46"/>
        <v/>
      </c>
      <c r="V172" s="787" t="str">
        <f t="shared" si="38"/>
        <v/>
      </c>
      <c r="W172" s="787" t="str">
        <f t="shared" si="39"/>
        <v/>
      </c>
      <c r="X172" s="787" t="str">
        <f t="shared" si="40"/>
        <v/>
      </c>
      <c r="Y172" s="491" t="str">
        <f t="shared" si="41"/>
        <v/>
      </c>
      <c r="AJ172" s="461" t="s">
        <v>466</v>
      </c>
      <c r="AK172" s="490">
        <v>160</v>
      </c>
      <c r="AL172" s="460" t="str">
        <f t="shared" si="49"/>
        <v>○</v>
      </c>
      <c r="AM172" s="468" t="str">
        <f t="shared" si="50"/>
        <v>申請しない場合は入力不要です。</v>
      </c>
      <c r="AO172" s="468">
        <f t="shared" si="47"/>
        <v>0</v>
      </c>
    </row>
    <row r="173" spans="1:41" ht="20.100000000000001" customHeight="1">
      <c r="A173" s="485">
        <v>161</v>
      </c>
      <c r="B173" s="205"/>
      <c r="C173" s="206"/>
      <c r="D173" s="1889"/>
      <c r="E173" s="1890"/>
      <c r="F173" s="1891"/>
      <c r="G173" s="207"/>
      <c r="H173" s="207"/>
      <c r="I173" s="208"/>
      <c r="J173" s="486">
        <f t="shared" si="42"/>
        <v>0</v>
      </c>
      <c r="K173" s="487">
        <f t="shared" si="43"/>
        <v>0</v>
      </c>
      <c r="L173" s="487" t="str">
        <f t="shared" si="44"/>
        <v/>
      </c>
      <c r="M173" s="487" t="str">
        <f xml:space="preserve">
IF(AL173&lt;&gt;"◎","",
IF(AND(表紙!X144="実績報告（１次）",DATE(IF(N173=5,2023,IF(N173=6,2024)),O173,P173)&lt;DATE(2023,5,8)),0,
IF(AND(OR(表紙!X144="実績報告（２次）",表紙!X144="交付申請兼実績報告"),DATE(IF(N173=5,2023,IF(N173=6,2024)),O173,P173)&lt;DATE(2023,10,1)),0,
MIN(K173,L173))))</f>
        <v/>
      </c>
      <c r="N173" s="725"/>
      <c r="O173" s="725"/>
      <c r="P173" s="725"/>
      <c r="Q173" s="488" t="str">
        <f xml:space="preserve">
IF(AL173&lt;&gt;"◎","",
IF(AND(表紙!X144="実績報告（１次）",DATE(IF(N173=5,2023,IF(N173=6,2024)),O173,P173)&lt;DATE(2023,5,8)),0,
IF(AND(OR(表紙!X144="実績報告（２次）",表紙!X144="交付申請兼実績報告"),DATE(IF(N173=5,2023,IF(N173=6,2024)),O173,P173)&lt;DATE(2023,10,1)),0,
G173*H173)))</f>
        <v/>
      </c>
      <c r="R173" s="724" t="str">
        <f xml:space="preserve">
IF(表紙!$X$2="事前協議","－",
IF(表紙!$X$2="交付申請（２次）","－",
IF(表紙!$X$2="変更申請","－",
IF(AND(OR(表紙!$X$2="実績報告（１次）",表紙!$X$2="実績報告（２次）",表紙!$X$2="交付申請兼実績報告"),AL173="◎"),COUNTIF($AL$30:AL173,"◎"),""))))</f>
        <v/>
      </c>
      <c r="S173" s="489" t="str">
        <f t="shared" si="45"/>
        <v/>
      </c>
      <c r="T173" s="765" t="str">
        <f t="shared" si="48"/>
        <v/>
      </c>
      <c r="U173" s="596" t="str">
        <f t="shared" si="46"/>
        <v/>
      </c>
      <c r="V173" s="787" t="str">
        <f t="shared" si="38"/>
        <v/>
      </c>
      <c r="W173" s="787" t="str">
        <f t="shared" si="39"/>
        <v/>
      </c>
      <c r="X173" s="787" t="str">
        <f t="shared" si="40"/>
        <v/>
      </c>
      <c r="Y173" s="491" t="str">
        <f t="shared" si="41"/>
        <v/>
      </c>
      <c r="AJ173" s="461" t="s">
        <v>466</v>
      </c>
      <c r="AK173" s="490">
        <v>161</v>
      </c>
      <c r="AL173" s="460" t="str">
        <f t="shared" si="49"/>
        <v>○</v>
      </c>
      <c r="AM173" s="468" t="str">
        <f t="shared" si="50"/>
        <v>申請しない場合は入力不要です。</v>
      </c>
      <c r="AO173" s="468">
        <f t="shared" si="47"/>
        <v>0</v>
      </c>
    </row>
    <row r="174" spans="1:41" ht="20.100000000000001" customHeight="1">
      <c r="A174" s="485">
        <v>162</v>
      </c>
      <c r="B174" s="205"/>
      <c r="C174" s="206"/>
      <c r="D174" s="1889"/>
      <c r="E174" s="1890"/>
      <c r="F174" s="1891"/>
      <c r="G174" s="207"/>
      <c r="H174" s="207"/>
      <c r="I174" s="208"/>
      <c r="J174" s="486">
        <f t="shared" si="42"/>
        <v>0</v>
      </c>
      <c r="K174" s="487">
        <f t="shared" si="43"/>
        <v>0</v>
      </c>
      <c r="L174" s="487" t="str">
        <f t="shared" si="44"/>
        <v/>
      </c>
      <c r="M174" s="487" t="str">
        <f xml:space="preserve">
IF(AL174&lt;&gt;"◎","",
IF(AND(表紙!X145="実績報告（１次）",DATE(IF(N174=5,2023,IF(N174=6,2024)),O174,P174)&lt;DATE(2023,5,8)),0,
IF(AND(OR(表紙!X145="実績報告（２次）",表紙!X145="交付申請兼実績報告"),DATE(IF(N174=5,2023,IF(N174=6,2024)),O174,P174)&lt;DATE(2023,10,1)),0,
MIN(K174,L174))))</f>
        <v/>
      </c>
      <c r="N174" s="725"/>
      <c r="O174" s="725"/>
      <c r="P174" s="725"/>
      <c r="Q174" s="488" t="str">
        <f xml:space="preserve">
IF(AL174&lt;&gt;"◎","",
IF(AND(表紙!X145="実績報告（１次）",DATE(IF(N174=5,2023,IF(N174=6,2024)),O174,P174)&lt;DATE(2023,5,8)),0,
IF(AND(OR(表紙!X145="実績報告（２次）",表紙!X145="交付申請兼実績報告"),DATE(IF(N174=5,2023,IF(N174=6,2024)),O174,P174)&lt;DATE(2023,10,1)),0,
G174*H174)))</f>
        <v/>
      </c>
      <c r="R174" s="724" t="str">
        <f xml:space="preserve">
IF(表紙!$X$2="事前協議","－",
IF(表紙!$X$2="交付申請（２次）","－",
IF(表紙!$X$2="変更申請","－",
IF(AND(OR(表紙!$X$2="実績報告（１次）",表紙!$X$2="実績報告（２次）",表紙!$X$2="交付申請兼実績報告"),AL174="◎"),COUNTIF($AL$30:AL174,"◎"),""))))</f>
        <v/>
      </c>
      <c r="S174" s="489" t="str">
        <f t="shared" si="45"/>
        <v/>
      </c>
      <c r="T174" s="765" t="str">
        <f t="shared" si="48"/>
        <v/>
      </c>
      <c r="U174" s="596" t="str">
        <f t="shared" si="46"/>
        <v/>
      </c>
      <c r="V174" s="787" t="str">
        <f t="shared" si="38"/>
        <v/>
      </c>
      <c r="W174" s="787" t="str">
        <f t="shared" si="39"/>
        <v/>
      </c>
      <c r="X174" s="787" t="str">
        <f t="shared" si="40"/>
        <v/>
      </c>
      <c r="Y174" s="491" t="str">
        <f t="shared" si="41"/>
        <v/>
      </c>
      <c r="AJ174" s="461" t="s">
        <v>466</v>
      </c>
      <c r="AK174" s="490">
        <v>162</v>
      </c>
      <c r="AL174" s="460" t="str">
        <f t="shared" si="49"/>
        <v>○</v>
      </c>
      <c r="AM174" s="468" t="str">
        <f t="shared" si="50"/>
        <v>申請しない場合は入力不要です。</v>
      </c>
      <c r="AO174" s="468">
        <f t="shared" si="47"/>
        <v>0</v>
      </c>
    </row>
    <row r="175" spans="1:41" ht="20.100000000000001" customHeight="1">
      <c r="A175" s="485">
        <v>163</v>
      </c>
      <c r="B175" s="205"/>
      <c r="C175" s="206"/>
      <c r="D175" s="1889"/>
      <c r="E175" s="1890"/>
      <c r="F175" s="1891"/>
      <c r="G175" s="207"/>
      <c r="H175" s="207"/>
      <c r="I175" s="208"/>
      <c r="J175" s="486">
        <f t="shared" si="42"/>
        <v>0</v>
      </c>
      <c r="K175" s="487">
        <f t="shared" si="43"/>
        <v>0</v>
      </c>
      <c r="L175" s="487" t="str">
        <f t="shared" si="44"/>
        <v/>
      </c>
      <c r="M175" s="487" t="str">
        <f xml:space="preserve">
IF(AL175&lt;&gt;"◎","",
IF(AND(表紙!X146="実績報告（１次）",DATE(IF(N175=5,2023,IF(N175=6,2024)),O175,P175)&lt;DATE(2023,5,8)),0,
IF(AND(OR(表紙!X146="実績報告（２次）",表紙!X146="交付申請兼実績報告"),DATE(IF(N175=5,2023,IF(N175=6,2024)),O175,P175)&lt;DATE(2023,10,1)),0,
MIN(K175,L175))))</f>
        <v/>
      </c>
      <c r="N175" s="725"/>
      <c r="O175" s="725"/>
      <c r="P175" s="725"/>
      <c r="Q175" s="488" t="str">
        <f xml:space="preserve">
IF(AL175&lt;&gt;"◎","",
IF(AND(表紙!X146="実績報告（１次）",DATE(IF(N175=5,2023,IF(N175=6,2024)),O175,P175)&lt;DATE(2023,5,8)),0,
IF(AND(OR(表紙!X146="実績報告（２次）",表紙!X146="交付申請兼実績報告"),DATE(IF(N175=5,2023,IF(N175=6,2024)),O175,P175)&lt;DATE(2023,10,1)),0,
G175*H175)))</f>
        <v/>
      </c>
      <c r="R175" s="724" t="str">
        <f xml:space="preserve">
IF(表紙!$X$2="事前協議","－",
IF(表紙!$X$2="交付申請（２次）","－",
IF(表紙!$X$2="変更申請","－",
IF(AND(OR(表紙!$X$2="実績報告（１次）",表紙!$X$2="実績報告（２次）",表紙!$X$2="交付申請兼実績報告"),AL175="◎"),COUNTIF($AL$30:AL175,"◎"),""))))</f>
        <v/>
      </c>
      <c r="S175" s="489" t="str">
        <f t="shared" si="45"/>
        <v/>
      </c>
      <c r="T175" s="765" t="str">
        <f t="shared" si="48"/>
        <v/>
      </c>
      <c r="U175" s="596" t="str">
        <f t="shared" si="46"/>
        <v/>
      </c>
      <c r="V175" s="787" t="str">
        <f t="shared" si="38"/>
        <v/>
      </c>
      <c r="W175" s="787" t="str">
        <f t="shared" si="39"/>
        <v/>
      </c>
      <c r="X175" s="787" t="str">
        <f t="shared" si="40"/>
        <v/>
      </c>
      <c r="Y175" s="491" t="str">
        <f t="shared" si="41"/>
        <v/>
      </c>
      <c r="AJ175" s="461" t="s">
        <v>466</v>
      </c>
      <c r="AK175" s="490">
        <v>163</v>
      </c>
      <c r="AL175" s="460" t="str">
        <f t="shared" si="49"/>
        <v>○</v>
      </c>
      <c r="AM175" s="468" t="str">
        <f t="shared" si="50"/>
        <v>申請しない場合は入力不要です。</v>
      </c>
      <c r="AO175" s="468">
        <f t="shared" si="47"/>
        <v>0</v>
      </c>
    </row>
    <row r="176" spans="1:41" ht="20.100000000000001" customHeight="1">
      <c r="A176" s="485">
        <v>164</v>
      </c>
      <c r="B176" s="205"/>
      <c r="C176" s="206"/>
      <c r="D176" s="1889"/>
      <c r="E176" s="1890"/>
      <c r="F176" s="1891"/>
      <c r="G176" s="207"/>
      <c r="H176" s="207"/>
      <c r="I176" s="208"/>
      <c r="J176" s="486">
        <f t="shared" si="42"/>
        <v>0</v>
      </c>
      <c r="K176" s="487">
        <f t="shared" si="43"/>
        <v>0</v>
      </c>
      <c r="L176" s="487" t="str">
        <f t="shared" si="44"/>
        <v/>
      </c>
      <c r="M176" s="487" t="str">
        <f xml:space="preserve">
IF(AL176&lt;&gt;"◎","",
IF(AND(表紙!X147="実績報告（１次）",DATE(IF(N176=5,2023,IF(N176=6,2024)),O176,P176)&lt;DATE(2023,5,8)),0,
IF(AND(OR(表紙!X147="実績報告（２次）",表紙!X147="交付申請兼実績報告"),DATE(IF(N176=5,2023,IF(N176=6,2024)),O176,P176)&lt;DATE(2023,10,1)),0,
MIN(K176,L176))))</f>
        <v/>
      </c>
      <c r="N176" s="725"/>
      <c r="O176" s="725"/>
      <c r="P176" s="725"/>
      <c r="Q176" s="488" t="str">
        <f xml:space="preserve">
IF(AL176&lt;&gt;"◎","",
IF(AND(表紙!X147="実績報告（１次）",DATE(IF(N176=5,2023,IF(N176=6,2024)),O176,P176)&lt;DATE(2023,5,8)),0,
IF(AND(OR(表紙!X147="実績報告（２次）",表紙!X147="交付申請兼実績報告"),DATE(IF(N176=5,2023,IF(N176=6,2024)),O176,P176)&lt;DATE(2023,10,1)),0,
G176*H176)))</f>
        <v/>
      </c>
      <c r="R176" s="724" t="str">
        <f xml:space="preserve">
IF(表紙!$X$2="事前協議","－",
IF(表紙!$X$2="交付申請（２次）","－",
IF(表紙!$X$2="変更申請","－",
IF(AND(OR(表紙!$X$2="実績報告（１次）",表紙!$X$2="実績報告（２次）",表紙!$X$2="交付申請兼実績報告"),AL176="◎"),COUNTIF($AL$30:AL176,"◎"),""))))</f>
        <v/>
      </c>
      <c r="S176" s="489" t="str">
        <f t="shared" si="45"/>
        <v/>
      </c>
      <c r="T176" s="765" t="str">
        <f t="shared" si="48"/>
        <v/>
      </c>
      <c r="U176" s="596" t="str">
        <f t="shared" si="46"/>
        <v/>
      </c>
      <c r="V176" s="787" t="str">
        <f t="shared" si="38"/>
        <v/>
      </c>
      <c r="W176" s="787" t="str">
        <f t="shared" si="39"/>
        <v/>
      </c>
      <c r="X176" s="787" t="str">
        <f t="shared" si="40"/>
        <v/>
      </c>
      <c r="Y176" s="491" t="str">
        <f t="shared" si="41"/>
        <v/>
      </c>
      <c r="AJ176" s="461" t="s">
        <v>466</v>
      </c>
      <c r="AK176" s="490">
        <v>164</v>
      </c>
      <c r="AL176" s="460" t="str">
        <f t="shared" si="49"/>
        <v>○</v>
      </c>
      <c r="AM176" s="468" t="str">
        <f t="shared" si="50"/>
        <v>申請しない場合は入力不要です。</v>
      </c>
      <c r="AO176" s="468">
        <f t="shared" si="47"/>
        <v>0</v>
      </c>
    </row>
    <row r="177" spans="1:41" ht="20.100000000000001" customHeight="1">
      <c r="A177" s="485">
        <v>165</v>
      </c>
      <c r="B177" s="205"/>
      <c r="C177" s="206"/>
      <c r="D177" s="1889"/>
      <c r="E177" s="1890"/>
      <c r="F177" s="1891"/>
      <c r="G177" s="207"/>
      <c r="H177" s="207"/>
      <c r="I177" s="208"/>
      <c r="J177" s="486">
        <f t="shared" si="42"/>
        <v>0</v>
      </c>
      <c r="K177" s="487">
        <f t="shared" si="43"/>
        <v>0</v>
      </c>
      <c r="L177" s="487" t="str">
        <f t="shared" si="44"/>
        <v/>
      </c>
      <c r="M177" s="487" t="str">
        <f xml:space="preserve">
IF(AL177&lt;&gt;"◎","",
IF(AND(表紙!X148="実績報告（１次）",DATE(IF(N177=5,2023,IF(N177=6,2024)),O177,P177)&lt;DATE(2023,5,8)),0,
IF(AND(OR(表紙!X148="実績報告（２次）",表紙!X148="交付申請兼実績報告"),DATE(IF(N177=5,2023,IF(N177=6,2024)),O177,P177)&lt;DATE(2023,10,1)),0,
MIN(K177,L177))))</f>
        <v/>
      </c>
      <c r="N177" s="725"/>
      <c r="O177" s="725"/>
      <c r="P177" s="725"/>
      <c r="Q177" s="488" t="str">
        <f xml:space="preserve">
IF(AL177&lt;&gt;"◎","",
IF(AND(表紙!X148="実績報告（１次）",DATE(IF(N177=5,2023,IF(N177=6,2024)),O177,P177)&lt;DATE(2023,5,8)),0,
IF(AND(OR(表紙!X148="実績報告（２次）",表紙!X148="交付申請兼実績報告"),DATE(IF(N177=5,2023,IF(N177=6,2024)),O177,P177)&lt;DATE(2023,10,1)),0,
G177*H177)))</f>
        <v/>
      </c>
      <c r="R177" s="724" t="str">
        <f xml:space="preserve">
IF(表紙!$X$2="事前協議","－",
IF(表紙!$X$2="交付申請（２次）","－",
IF(表紙!$X$2="変更申請","－",
IF(AND(OR(表紙!$X$2="実績報告（１次）",表紙!$X$2="実績報告（２次）",表紙!$X$2="交付申請兼実績報告"),AL177="◎"),COUNTIF($AL$30:AL177,"◎"),""))))</f>
        <v/>
      </c>
      <c r="S177" s="489" t="str">
        <f t="shared" si="45"/>
        <v/>
      </c>
      <c r="T177" s="765" t="str">
        <f t="shared" si="48"/>
        <v/>
      </c>
      <c r="U177" s="596" t="str">
        <f t="shared" si="46"/>
        <v/>
      </c>
      <c r="V177" s="787" t="str">
        <f t="shared" si="38"/>
        <v/>
      </c>
      <c r="W177" s="787" t="str">
        <f t="shared" si="39"/>
        <v/>
      </c>
      <c r="X177" s="787" t="str">
        <f t="shared" si="40"/>
        <v/>
      </c>
      <c r="Y177" s="491" t="str">
        <f t="shared" si="41"/>
        <v/>
      </c>
      <c r="AJ177" s="461" t="s">
        <v>466</v>
      </c>
      <c r="AK177" s="490">
        <v>165</v>
      </c>
      <c r="AL177" s="460" t="str">
        <f t="shared" si="49"/>
        <v>○</v>
      </c>
      <c r="AM177" s="468" t="str">
        <f t="shared" si="50"/>
        <v>申請しない場合は入力不要です。</v>
      </c>
      <c r="AO177" s="468">
        <f t="shared" si="47"/>
        <v>0</v>
      </c>
    </row>
    <row r="178" spans="1:41" ht="20.100000000000001" customHeight="1">
      <c r="A178" s="485">
        <v>166</v>
      </c>
      <c r="B178" s="205"/>
      <c r="C178" s="206"/>
      <c r="D178" s="1889"/>
      <c r="E178" s="1890"/>
      <c r="F178" s="1891"/>
      <c r="G178" s="207"/>
      <c r="H178" s="207"/>
      <c r="I178" s="208"/>
      <c r="J178" s="486">
        <f t="shared" si="42"/>
        <v>0</v>
      </c>
      <c r="K178" s="487">
        <f t="shared" si="43"/>
        <v>0</v>
      </c>
      <c r="L178" s="487" t="str">
        <f t="shared" si="44"/>
        <v/>
      </c>
      <c r="M178" s="487" t="str">
        <f xml:space="preserve">
IF(AL178&lt;&gt;"◎","",
IF(AND(表紙!X149="実績報告（１次）",DATE(IF(N178=5,2023,IF(N178=6,2024)),O178,P178)&lt;DATE(2023,5,8)),0,
IF(AND(OR(表紙!X149="実績報告（２次）",表紙!X149="交付申請兼実績報告"),DATE(IF(N178=5,2023,IF(N178=6,2024)),O178,P178)&lt;DATE(2023,10,1)),0,
MIN(K178,L178))))</f>
        <v/>
      </c>
      <c r="N178" s="725"/>
      <c r="O178" s="725"/>
      <c r="P178" s="725"/>
      <c r="Q178" s="488" t="str">
        <f xml:space="preserve">
IF(AL178&lt;&gt;"◎","",
IF(AND(表紙!X149="実績報告（１次）",DATE(IF(N178=5,2023,IF(N178=6,2024)),O178,P178)&lt;DATE(2023,5,8)),0,
IF(AND(OR(表紙!X149="実績報告（２次）",表紙!X149="交付申請兼実績報告"),DATE(IF(N178=5,2023,IF(N178=6,2024)),O178,P178)&lt;DATE(2023,10,1)),0,
G178*H178)))</f>
        <v/>
      </c>
      <c r="R178" s="724" t="str">
        <f xml:space="preserve">
IF(表紙!$X$2="事前協議","－",
IF(表紙!$X$2="交付申請（２次）","－",
IF(表紙!$X$2="変更申請","－",
IF(AND(OR(表紙!$X$2="実績報告（１次）",表紙!$X$2="実績報告（２次）",表紙!$X$2="交付申請兼実績報告"),AL178="◎"),COUNTIF($AL$30:AL178,"◎"),""))))</f>
        <v/>
      </c>
      <c r="S178" s="489" t="str">
        <f t="shared" si="45"/>
        <v/>
      </c>
      <c r="T178" s="765" t="str">
        <f t="shared" si="48"/>
        <v/>
      </c>
      <c r="U178" s="596" t="str">
        <f t="shared" si="46"/>
        <v/>
      </c>
      <c r="V178" s="787" t="str">
        <f t="shared" si="38"/>
        <v/>
      </c>
      <c r="W178" s="787" t="str">
        <f t="shared" si="39"/>
        <v/>
      </c>
      <c r="X178" s="787" t="str">
        <f t="shared" si="40"/>
        <v/>
      </c>
      <c r="Y178" s="491" t="str">
        <f t="shared" si="41"/>
        <v/>
      </c>
      <c r="AJ178" s="461" t="s">
        <v>466</v>
      </c>
      <c r="AK178" s="490">
        <v>166</v>
      </c>
      <c r="AL178" s="460" t="str">
        <f t="shared" si="49"/>
        <v>○</v>
      </c>
      <c r="AM178" s="468" t="str">
        <f t="shared" si="50"/>
        <v>申請しない場合は入力不要です。</v>
      </c>
      <c r="AO178" s="468">
        <f t="shared" si="47"/>
        <v>0</v>
      </c>
    </row>
    <row r="179" spans="1:41" ht="20.100000000000001" customHeight="1">
      <c r="A179" s="485">
        <v>167</v>
      </c>
      <c r="B179" s="205"/>
      <c r="C179" s="206"/>
      <c r="D179" s="1889"/>
      <c r="E179" s="1890"/>
      <c r="F179" s="1891"/>
      <c r="G179" s="207"/>
      <c r="H179" s="207"/>
      <c r="I179" s="208"/>
      <c r="J179" s="486">
        <f t="shared" si="42"/>
        <v>0</v>
      </c>
      <c r="K179" s="487">
        <f t="shared" si="43"/>
        <v>0</v>
      </c>
      <c r="L179" s="487" t="str">
        <f t="shared" si="44"/>
        <v/>
      </c>
      <c r="M179" s="487" t="str">
        <f xml:space="preserve">
IF(AL179&lt;&gt;"◎","",
IF(AND(表紙!X150="実績報告（１次）",DATE(IF(N179=5,2023,IF(N179=6,2024)),O179,P179)&lt;DATE(2023,5,8)),0,
IF(AND(OR(表紙!X150="実績報告（２次）",表紙!X150="交付申請兼実績報告"),DATE(IF(N179=5,2023,IF(N179=6,2024)),O179,P179)&lt;DATE(2023,10,1)),0,
MIN(K179,L179))))</f>
        <v/>
      </c>
      <c r="N179" s="725"/>
      <c r="O179" s="725"/>
      <c r="P179" s="725"/>
      <c r="Q179" s="488" t="str">
        <f xml:space="preserve">
IF(AL179&lt;&gt;"◎","",
IF(AND(表紙!X150="実績報告（１次）",DATE(IF(N179=5,2023,IF(N179=6,2024)),O179,P179)&lt;DATE(2023,5,8)),0,
IF(AND(OR(表紙!X150="実績報告（２次）",表紙!X150="交付申請兼実績報告"),DATE(IF(N179=5,2023,IF(N179=6,2024)),O179,P179)&lt;DATE(2023,10,1)),0,
G179*H179)))</f>
        <v/>
      </c>
      <c r="R179" s="724" t="str">
        <f xml:space="preserve">
IF(表紙!$X$2="事前協議","－",
IF(表紙!$X$2="交付申請（２次）","－",
IF(表紙!$X$2="変更申請","－",
IF(AND(OR(表紙!$X$2="実績報告（１次）",表紙!$X$2="実績報告（２次）",表紙!$X$2="交付申請兼実績報告"),AL179="◎"),COUNTIF($AL$30:AL179,"◎"),""))))</f>
        <v/>
      </c>
      <c r="S179" s="489" t="str">
        <f t="shared" si="45"/>
        <v/>
      </c>
      <c r="T179" s="765" t="str">
        <f t="shared" si="48"/>
        <v/>
      </c>
      <c r="U179" s="596" t="str">
        <f t="shared" si="46"/>
        <v/>
      </c>
      <c r="V179" s="787" t="str">
        <f t="shared" si="38"/>
        <v/>
      </c>
      <c r="W179" s="787" t="str">
        <f t="shared" si="39"/>
        <v/>
      </c>
      <c r="X179" s="787" t="str">
        <f t="shared" si="40"/>
        <v/>
      </c>
      <c r="Y179" s="491" t="str">
        <f t="shared" si="41"/>
        <v/>
      </c>
      <c r="AJ179" s="461" t="s">
        <v>466</v>
      </c>
      <c r="AK179" s="490">
        <v>167</v>
      </c>
      <c r="AL179" s="460" t="str">
        <f t="shared" si="49"/>
        <v>○</v>
      </c>
      <c r="AM179" s="468" t="str">
        <f t="shared" si="50"/>
        <v>申請しない場合は入力不要です。</v>
      </c>
      <c r="AO179" s="468">
        <f t="shared" si="47"/>
        <v>0</v>
      </c>
    </row>
    <row r="180" spans="1:41" ht="20.100000000000001" customHeight="1">
      <c r="A180" s="485">
        <v>168</v>
      </c>
      <c r="B180" s="205"/>
      <c r="C180" s="206"/>
      <c r="D180" s="1889"/>
      <c r="E180" s="1890"/>
      <c r="F180" s="1891"/>
      <c r="G180" s="207"/>
      <c r="H180" s="207"/>
      <c r="I180" s="208"/>
      <c r="J180" s="486">
        <f t="shared" si="42"/>
        <v>0</v>
      </c>
      <c r="K180" s="487">
        <f t="shared" si="43"/>
        <v>0</v>
      </c>
      <c r="L180" s="487" t="str">
        <f t="shared" si="44"/>
        <v/>
      </c>
      <c r="M180" s="487" t="str">
        <f xml:space="preserve">
IF(AL180&lt;&gt;"◎","",
IF(AND(表紙!X151="実績報告（１次）",DATE(IF(N180=5,2023,IF(N180=6,2024)),O180,P180)&lt;DATE(2023,5,8)),0,
IF(AND(OR(表紙!X151="実績報告（２次）",表紙!X151="交付申請兼実績報告"),DATE(IF(N180=5,2023,IF(N180=6,2024)),O180,P180)&lt;DATE(2023,10,1)),0,
MIN(K180,L180))))</f>
        <v/>
      </c>
      <c r="N180" s="725"/>
      <c r="O180" s="725"/>
      <c r="P180" s="725"/>
      <c r="Q180" s="488" t="str">
        <f xml:space="preserve">
IF(AL180&lt;&gt;"◎","",
IF(AND(表紙!X151="実績報告（１次）",DATE(IF(N180=5,2023,IF(N180=6,2024)),O180,P180)&lt;DATE(2023,5,8)),0,
IF(AND(OR(表紙!X151="実績報告（２次）",表紙!X151="交付申請兼実績報告"),DATE(IF(N180=5,2023,IF(N180=6,2024)),O180,P180)&lt;DATE(2023,10,1)),0,
G180*H180)))</f>
        <v/>
      </c>
      <c r="R180" s="724" t="str">
        <f xml:space="preserve">
IF(表紙!$X$2="事前協議","－",
IF(表紙!$X$2="交付申請（２次）","－",
IF(表紙!$X$2="変更申請","－",
IF(AND(OR(表紙!$X$2="実績報告（１次）",表紙!$X$2="実績報告（２次）",表紙!$X$2="交付申請兼実績報告"),AL180="◎"),COUNTIF($AL$30:AL180,"◎"),""))))</f>
        <v/>
      </c>
      <c r="S180" s="489" t="str">
        <f t="shared" si="45"/>
        <v/>
      </c>
      <c r="T180" s="765" t="str">
        <f t="shared" si="48"/>
        <v/>
      </c>
      <c r="U180" s="596" t="str">
        <f t="shared" si="46"/>
        <v/>
      </c>
      <c r="V180" s="787" t="str">
        <f t="shared" si="38"/>
        <v/>
      </c>
      <c r="W180" s="787" t="str">
        <f t="shared" si="39"/>
        <v/>
      </c>
      <c r="X180" s="787" t="str">
        <f t="shared" si="40"/>
        <v/>
      </c>
      <c r="Y180" s="491" t="str">
        <f t="shared" si="41"/>
        <v/>
      </c>
      <c r="AJ180" s="461" t="s">
        <v>466</v>
      </c>
      <c r="AK180" s="490">
        <v>168</v>
      </c>
      <c r="AL180" s="460" t="str">
        <f t="shared" si="49"/>
        <v>○</v>
      </c>
      <c r="AM180" s="468" t="str">
        <f t="shared" si="50"/>
        <v>申請しない場合は入力不要です。</v>
      </c>
      <c r="AO180" s="468">
        <f t="shared" si="47"/>
        <v>0</v>
      </c>
    </row>
    <row r="181" spans="1:41" ht="20.100000000000001" customHeight="1">
      <c r="A181" s="485">
        <v>169</v>
      </c>
      <c r="B181" s="205"/>
      <c r="C181" s="206"/>
      <c r="D181" s="1889"/>
      <c r="E181" s="1890"/>
      <c r="F181" s="1891"/>
      <c r="G181" s="207"/>
      <c r="H181" s="207"/>
      <c r="I181" s="208"/>
      <c r="J181" s="486">
        <f t="shared" si="42"/>
        <v>0</v>
      </c>
      <c r="K181" s="487">
        <f t="shared" si="43"/>
        <v>0</v>
      </c>
      <c r="L181" s="487" t="str">
        <f t="shared" si="44"/>
        <v/>
      </c>
      <c r="M181" s="487" t="str">
        <f xml:space="preserve">
IF(AL181&lt;&gt;"◎","",
IF(AND(表紙!X152="実績報告（１次）",DATE(IF(N181=5,2023,IF(N181=6,2024)),O181,P181)&lt;DATE(2023,5,8)),0,
IF(AND(OR(表紙!X152="実績報告（２次）",表紙!X152="交付申請兼実績報告"),DATE(IF(N181=5,2023,IF(N181=6,2024)),O181,P181)&lt;DATE(2023,10,1)),0,
MIN(K181,L181))))</f>
        <v/>
      </c>
      <c r="N181" s="725"/>
      <c r="O181" s="725"/>
      <c r="P181" s="725"/>
      <c r="Q181" s="488" t="str">
        <f xml:space="preserve">
IF(AL181&lt;&gt;"◎","",
IF(AND(表紙!X152="実績報告（１次）",DATE(IF(N181=5,2023,IF(N181=6,2024)),O181,P181)&lt;DATE(2023,5,8)),0,
IF(AND(OR(表紙!X152="実績報告（２次）",表紙!X152="交付申請兼実績報告"),DATE(IF(N181=5,2023,IF(N181=6,2024)),O181,P181)&lt;DATE(2023,10,1)),0,
G181*H181)))</f>
        <v/>
      </c>
      <c r="R181" s="724" t="str">
        <f xml:space="preserve">
IF(表紙!$X$2="事前協議","－",
IF(表紙!$X$2="交付申請（２次）","－",
IF(表紙!$X$2="変更申請","－",
IF(AND(OR(表紙!$X$2="実績報告（１次）",表紙!$X$2="実績報告（２次）",表紙!$X$2="交付申請兼実績報告"),AL181="◎"),COUNTIF($AL$30:AL181,"◎"),""))))</f>
        <v/>
      </c>
      <c r="S181" s="489" t="str">
        <f t="shared" si="45"/>
        <v/>
      </c>
      <c r="T181" s="765" t="str">
        <f t="shared" si="48"/>
        <v/>
      </c>
      <c r="U181" s="596" t="str">
        <f t="shared" si="46"/>
        <v/>
      </c>
      <c r="V181" s="787" t="str">
        <f t="shared" si="38"/>
        <v/>
      </c>
      <c r="W181" s="787" t="str">
        <f t="shared" si="39"/>
        <v/>
      </c>
      <c r="X181" s="787" t="str">
        <f t="shared" si="40"/>
        <v/>
      </c>
      <c r="Y181" s="491" t="str">
        <f t="shared" si="41"/>
        <v/>
      </c>
      <c r="AJ181" s="461" t="s">
        <v>466</v>
      </c>
      <c r="AK181" s="490">
        <v>169</v>
      </c>
      <c r="AL181" s="460" t="str">
        <f t="shared" si="49"/>
        <v>○</v>
      </c>
      <c r="AM181" s="468" t="str">
        <f t="shared" si="50"/>
        <v>申請しない場合は入力不要です。</v>
      </c>
      <c r="AO181" s="468">
        <f t="shared" si="47"/>
        <v>0</v>
      </c>
    </row>
    <row r="182" spans="1:41" ht="20.100000000000001" customHeight="1">
      <c r="A182" s="485">
        <v>170</v>
      </c>
      <c r="B182" s="205"/>
      <c r="C182" s="206"/>
      <c r="D182" s="1889"/>
      <c r="E182" s="1890"/>
      <c r="F182" s="1891"/>
      <c r="G182" s="207"/>
      <c r="H182" s="207"/>
      <c r="I182" s="208"/>
      <c r="J182" s="486">
        <f t="shared" si="42"/>
        <v>0</v>
      </c>
      <c r="K182" s="487">
        <f t="shared" si="43"/>
        <v>0</v>
      </c>
      <c r="L182" s="487" t="str">
        <f t="shared" si="44"/>
        <v/>
      </c>
      <c r="M182" s="487" t="str">
        <f xml:space="preserve">
IF(AL182&lt;&gt;"◎","",
IF(AND(表紙!X153="実績報告（１次）",DATE(IF(N182=5,2023,IF(N182=6,2024)),O182,P182)&lt;DATE(2023,5,8)),0,
IF(AND(OR(表紙!X153="実績報告（２次）",表紙!X153="交付申請兼実績報告"),DATE(IF(N182=5,2023,IF(N182=6,2024)),O182,P182)&lt;DATE(2023,10,1)),0,
MIN(K182,L182))))</f>
        <v/>
      </c>
      <c r="N182" s="725"/>
      <c r="O182" s="725"/>
      <c r="P182" s="725"/>
      <c r="Q182" s="488" t="str">
        <f xml:space="preserve">
IF(AL182&lt;&gt;"◎","",
IF(AND(表紙!X153="実績報告（１次）",DATE(IF(N182=5,2023,IF(N182=6,2024)),O182,P182)&lt;DATE(2023,5,8)),0,
IF(AND(OR(表紙!X153="実績報告（２次）",表紙!X153="交付申請兼実績報告"),DATE(IF(N182=5,2023,IF(N182=6,2024)),O182,P182)&lt;DATE(2023,10,1)),0,
G182*H182)))</f>
        <v/>
      </c>
      <c r="R182" s="724" t="str">
        <f xml:space="preserve">
IF(表紙!$X$2="事前協議","－",
IF(表紙!$X$2="交付申請（２次）","－",
IF(表紙!$X$2="変更申請","－",
IF(AND(OR(表紙!$X$2="実績報告（１次）",表紙!$X$2="実績報告（２次）",表紙!$X$2="交付申請兼実績報告"),AL182="◎"),COUNTIF($AL$30:AL182,"◎"),""))))</f>
        <v/>
      </c>
      <c r="S182" s="489" t="str">
        <f t="shared" si="45"/>
        <v/>
      </c>
      <c r="T182" s="765" t="str">
        <f t="shared" si="48"/>
        <v/>
      </c>
      <c r="U182" s="596" t="str">
        <f t="shared" si="46"/>
        <v/>
      </c>
      <c r="V182" s="787" t="str">
        <f t="shared" si="38"/>
        <v/>
      </c>
      <c r="W182" s="787" t="str">
        <f t="shared" si="39"/>
        <v/>
      </c>
      <c r="X182" s="787" t="str">
        <f t="shared" si="40"/>
        <v/>
      </c>
      <c r="Y182" s="491" t="str">
        <f t="shared" si="41"/>
        <v/>
      </c>
      <c r="AJ182" s="461" t="s">
        <v>466</v>
      </c>
      <c r="AK182" s="490">
        <v>170</v>
      </c>
      <c r="AL182" s="460" t="str">
        <f t="shared" si="49"/>
        <v>○</v>
      </c>
      <c r="AM182" s="468" t="str">
        <f t="shared" si="50"/>
        <v>申請しない場合は入力不要です。</v>
      </c>
      <c r="AO182" s="468">
        <f t="shared" si="47"/>
        <v>0</v>
      </c>
    </row>
    <row r="183" spans="1:41" ht="20.100000000000001" customHeight="1">
      <c r="A183" s="485">
        <v>171</v>
      </c>
      <c r="B183" s="205"/>
      <c r="C183" s="206"/>
      <c r="D183" s="1889"/>
      <c r="E183" s="1890"/>
      <c r="F183" s="1891"/>
      <c r="G183" s="207"/>
      <c r="H183" s="207"/>
      <c r="I183" s="208"/>
      <c r="J183" s="486">
        <f t="shared" si="42"/>
        <v>0</v>
      </c>
      <c r="K183" s="487">
        <f t="shared" si="43"/>
        <v>0</v>
      </c>
      <c r="L183" s="487" t="str">
        <f t="shared" si="44"/>
        <v/>
      </c>
      <c r="M183" s="487" t="str">
        <f xml:space="preserve">
IF(AL183&lt;&gt;"◎","",
IF(AND(表紙!X154="実績報告（１次）",DATE(IF(N183=5,2023,IF(N183=6,2024)),O183,P183)&lt;DATE(2023,5,8)),0,
IF(AND(OR(表紙!X154="実績報告（２次）",表紙!X154="交付申請兼実績報告"),DATE(IF(N183=5,2023,IF(N183=6,2024)),O183,P183)&lt;DATE(2023,10,1)),0,
MIN(K183,L183))))</f>
        <v/>
      </c>
      <c r="N183" s="725"/>
      <c r="O183" s="725"/>
      <c r="P183" s="725"/>
      <c r="Q183" s="488" t="str">
        <f xml:space="preserve">
IF(AL183&lt;&gt;"◎","",
IF(AND(表紙!X154="実績報告（１次）",DATE(IF(N183=5,2023,IF(N183=6,2024)),O183,P183)&lt;DATE(2023,5,8)),0,
IF(AND(OR(表紙!X154="実績報告（２次）",表紙!X154="交付申請兼実績報告"),DATE(IF(N183=5,2023,IF(N183=6,2024)),O183,P183)&lt;DATE(2023,10,1)),0,
G183*H183)))</f>
        <v/>
      </c>
      <c r="R183" s="724" t="str">
        <f xml:space="preserve">
IF(表紙!$X$2="事前協議","－",
IF(表紙!$X$2="交付申請（２次）","－",
IF(表紙!$X$2="変更申請","－",
IF(AND(OR(表紙!$X$2="実績報告（１次）",表紙!$X$2="実績報告（２次）",表紙!$X$2="交付申請兼実績報告"),AL183="◎"),COUNTIF($AL$30:AL183,"◎"),""))))</f>
        <v/>
      </c>
      <c r="S183" s="489" t="str">
        <f t="shared" si="45"/>
        <v/>
      </c>
      <c r="T183" s="765" t="str">
        <f t="shared" si="48"/>
        <v/>
      </c>
      <c r="U183" s="596" t="str">
        <f t="shared" si="46"/>
        <v/>
      </c>
      <c r="V183" s="787" t="str">
        <f t="shared" si="38"/>
        <v/>
      </c>
      <c r="W183" s="787" t="str">
        <f t="shared" si="39"/>
        <v/>
      </c>
      <c r="X183" s="787" t="str">
        <f t="shared" si="40"/>
        <v/>
      </c>
      <c r="Y183" s="491" t="str">
        <f t="shared" si="41"/>
        <v/>
      </c>
      <c r="AJ183" s="461" t="s">
        <v>466</v>
      </c>
      <c r="AK183" s="490">
        <v>171</v>
      </c>
      <c r="AL183" s="460" t="str">
        <f t="shared" si="49"/>
        <v>○</v>
      </c>
      <c r="AM183" s="468" t="str">
        <f t="shared" si="50"/>
        <v>申請しない場合は入力不要です。</v>
      </c>
      <c r="AO183" s="468">
        <f t="shared" si="47"/>
        <v>0</v>
      </c>
    </row>
    <row r="184" spans="1:41" ht="20.100000000000001" customHeight="1">
      <c r="A184" s="485">
        <v>172</v>
      </c>
      <c r="B184" s="205"/>
      <c r="C184" s="206"/>
      <c r="D184" s="1889"/>
      <c r="E184" s="1890"/>
      <c r="F184" s="1891"/>
      <c r="G184" s="207"/>
      <c r="H184" s="207"/>
      <c r="I184" s="208"/>
      <c r="J184" s="486">
        <f t="shared" si="42"/>
        <v>0</v>
      </c>
      <c r="K184" s="487">
        <f t="shared" si="43"/>
        <v>0</v>
      </c>
      <c r="L184" s="487" t="str">
        <f t="shared" si="44"/>
        <v/>
      </c>
      <c r="M184" s="487" t="str">
        <f xml:space="preserve">
IF(AL184&lt;&gt;"◎","",
IF(AND(表紙!X155="実績報告（１次）",DATE(IF(N184=5,2023,IF(N184=6,2024)),O184,P184)&lt;DATE(2023,5,8)),0,
IF(AND(OR(表紙!X155="実績報告（２次）",表紙!X155="交付申請兼実績報告"),DATE(IF(N184=5,2023,IF(N184=6,2024)),O184,P184)&lt;DATE(2023,10,1)),0,
MIN(K184,L184))))</f>
        <v/>
      </c>
      <c r="N184" s="725"/>
      <c r="O184" s="725"/>
      <c r="P184" s="725"/>
      <c r="Q184" s="488" t="str">
        <f xml:space="preserve">
IF(AL184&lt;&gt;"◎","",
IF(AND(表紙!X155="実績報告（１次）",DATE(IF(N184=5,2023,IF(N184=6,2024)),O184,P184)&lt;DATE(2023,5,8)),0,
IF(AND(OR(表紙!X155="実績報告（２次）",表紙!X155="交付申請兼実績報告"),DATE(IF(N184=5,2023,IF(N184=6,2024)),O184,P184)&lt;DATE(2023,10,1)),0,
G184*H184)))</f>
        <v/>
      </c>
      <c r="R184" s="724" t="str">
        <f xml:space="preserve">
IF(表紙!$X$2="事前協議","－",
IF(表紙!$X$2="交付申請（２次）","－",
IF(表紙!$X$2="変更申請","－",
IF(AND(OR(表紙!$X$2="実績報告（１次）",表紙!$X$2="実績報告（２次）",表紙!$X$2="交付申請兼実績報告"),AL184="◎"),COUNTIF($AL$30:AL184,"◎"),""))))</f>
        <v/>
      </c>
      <c r="S184" s="489" t="str">
        <f t="shared" si="45"/>
        <v/>
      </c>
      <c r="T184" s="765" t="str">
        <f t="shared" si="48"/>
        <v/>
      </c>
      <c r="U184" s="596" t="str">
        <f t="shared" si="46"/>
        <v/>
      </c>
      <c r="V184" s="787" t="str">
        <f t="shared" si="38"/>
        <v/>
      </c>
      <c r="W184" s="787" t="str">
        <f t="shared" si="39"/>
        <v/>
      </c>
      <c r="X184" s="787" t="str">
        <f t="shared" si="40"/>
        <v/>
      </c>
      <c r="Y184" s="491" t="str">
        <f t="shared" si="41"/>
        <v/>
      </c>
      <c r="AJ184" s="461" t="s">
        <v>466</v>
      </c>
      <c r="AK184" s="490">
        <v>172</v>
      </c>
      <c r="AL184" s="460" t="str">
        <f t="shared" si="49"/>
        <v>○</v>
      </c>
      <c r="AM184" s="468" t="str">
        <f t="shared" si="50"/>
        <v>申請しない場合は入力不要です。</v>
      </c>
      <c r="AO184" s="468">
        <f t="shared" si="47"/>
        <v>0</v>
      </c>
    </row>
    <row r="185" spans="1:41" ht="20.100000000000001" customHeight="1">
      <c r="A185" s="485">
        <v>173</v>
      </c>
      <c r="B185" s="205"/>
      <c r="C185" s="206"/>
      <c r="D185" s="1889"/>
      <c r="E185" s="1890"/>
      <c r="F185" s="1891"/>
      <c r="G185" s="207"/>
      <c r="H185" s="207"/>
      <c r="I185" s="208"/>
      <c r="J185" s="486">
        <f t="shared" si="42"/>
        <v>0</v>
      </c>
      <c r="K185" s="487">
        <f t="shared" si="43"/>
        <v>0</v>
      </c>
      <c r="L185" s="487" t="str">
        <f t="shared" si="44"/>
        <v/>
      </c>
      <c r="M185" s="487" t="str">
        <f xml:space="preserve">
IF(AL185&lt;&gt;"◎","",
IF(AND(表紙!X156="実績報告（１次）",DATE(IF(N185=5,2023,IF(N185=6,2024)),O185,P185)&lt;DATE(2023,5,8)),0,
IF(AND(OR(表紙!X156="実績報告（２次）",表紙!X156="交付申請兼実績報告"),DATE(IF(N185=5,2023,IF(N185=6,2024)),O185,P185)&lt;DATE(2023,10,1)),0,
MIN(K185,L185))))</f>
        <v/>
      </c>
      <c r="N185" s="725"/>
      <c r="O185" s="725"/>
      <c r="P185" s="725"/>
      <c r="Q185" s="488" t="str">
        <f xml:space="preserve">
IF(AL185&lt;&gt;"◎","",
IF(AND(表紙!X156="実績報告（１次）",DATE(IF(N185=5,2023,IF(N185=6,2024)),O185,P185)&lt;DATE(2023,5,8)),0,
IF(AND(OR(表紙!X156="実績報告（２次）",表紙!X156="交付申請兼実績報告"),DATE(IF(N185=5,2023,IF(N185=6,2024)),O185,P185)&lt;DATE(2023,10,1)),0,
G185*H185)))</f>
        <v/>
      </c>
      <c r="R185" s="724" t="str">
        <f xml:space="preserve">
IF(表紙!$X$2="事前協議","－",
IF(表紙!$X$2="交付申請（２次）","－",
IF(表紙!$X$2="変更申請","－",
IF(AND(OR(表紙!$X$2="実績報告（１次）",表紙!$X$2="実績報告（２次）",表紙!$X$2="交付申請兼実績報告"),AL185="◎"),COUNTIF($AL$30:AL185,"◎"),""))))</f>
        <v/>
      </c>
      <c r="S185" s="489" t="str">
        <f t="shared" si="45"/>
        <v/>
      </c>
      <c r="T185" s="765" t="str">
        <f t="shared" si="48"/>
        <v/>
      </c>
      <c r="U185" s="596" t="str">
        <f t="shared" si="46"/>
        <v/>
      </c>
      <c r="V185" s="787" t="str">
        <f t="shared" si="38"/>
        <v/>
      </c>
      <c r="W185" s="787" t="str">
        <f t="shared" si="39"/>
        <v/>
      </c>
      <c r="X185" s="787" t="str">
        <f t="shared" si="40"/>
        <v/>
      </c>
      <c r="Y185" s="491" t="str">
        <f t="shared" si="41"/>
        <v/>
      </c>
      <c r="AJ185" s="461" t="s">
        <v>466</v>
      </c>
      <c r="AK185" s="490">
        <v>173</v>
      </c>
      <c r="AL185" s="460" t="str">
        <f t="shared" si="49"/>
        <v>○</v>
      </c>
      <c r="AM185" s="468" t="str">
        <f t="shared" si="50"/>
        <v>申請しない場合は入力不要です。</v>
      </c>
      <c r="AO185" s="468">
        <f t="shared" si="47"/>
        <v>0</v>
      </c>
    </row>
    <row r="186" spans="1:41" ht="20.100000000000001" customHeight="1">
      <c r="A186" s="485">
        <v>174</v>
      </c>
      <c r="B186" s="205"/>
      <c r="C186" s="206"/>
      <c r="D186" s="1889"/>
      <c r="E186" s="1890"/>
      <c r="F186" s="1891"/>
      <c r="G186" s="207"/>
      <c r="H186" s="207"/>
      <c r="I186" s="208"/>
      <c r="J186" s="486">
        <f t="shared" si="42"/>
        <v>0</v>
      </c>
      <c r="K186" s="487">
        <f t="shared" si="43"/>
        <v>0</v>
      </c>
      <c r="L186" s="487" t="str">
        <f t="shared" si="44"/>
        <v/>
      </c>
      <c r="M186" s="487" t="str">
        <f xml:space="preserve">
IF(AL186&lt;&gt;"◎","",
IF(AND(表紙!X157="実績報告（１次）",DATE(IF(N186=5,2023,IF(N186=6,2024)),O186,P186)&lt;DATE(2023,5,8)),0,
IF(AND(OR(表紙!X157="実績報告（２次）",表紙!X157="交付申請兼実績報告"),DATE(IF(N186=5,2023,IF(N186=6,2024)),O186,P186)&lt;DATE(2023,10,1)),0,
MIN(K186,L186))))</f>
        <v/>
      </c>
      <c r="N186" s="725"/>
      <c r="O186" s="725"/>
      <c r="P186" s="725"/>
      <c r="Q186" s="488" t="str">
        <f xml:space="preserve">
IF(AL186&lt;&gt;"◎","",
IF(AND(表紙!X157="実績報告（１次）",DATE(IF(N186=5,2023,IF(N186=6,2024)),O186,P186)&lt;DATE(2023,5,8)),0,
IF(AND(OR(表紙!X157="実績報告（２次）",表紙!X157="交付申請兼実績報告"),DATE(IF(N186=5,2023,IF(N186=6,2024)),O186,P186)&lt;DATE(2023,10,1)),0,
G186*H186)))</f>
        <v/>
      </c>
      <c r="R186" s="724" t="str">
        <f xml:space="preserve">
IF(表紙!$X$2="事前協議","－",
IF(表紙!$X$2="交付申請（２次）","－",
IF(表紙!$X$2="変更申請","－",
IF(AND(OR(表紙!$X$2="実績報告（１次）",表紙!$X$2="実績報告（２次）",表紙!$X$2="交付申請兼実績報告"),AL186="◎"),COUNTIF($AL$30:AL186,"◎"),""))))</f>
        <v/>
      </c>
      <c r="S186" s="489" t="str">
        <f t="shared" si="45"/>
        <v/>
      </c>
      <c r="T186" s="765" t="str">
        <f t="shared" si="48"/>
        <v/>
      </c>
      <c r="U186" s="596" t="str">
        <f t="shared" si="46"/>
        <v/>
      </c>
      <c r="V186" s="787" t="str">
        <f t="shared" si="38"/>
        <v/>
      </c>
      <c r="W186" s="787" t="str">
        <f t="shared" si="39"/>
        <v/>
      </c>
      <c r="X186" s="787" t="str">
        <f t="shared" si="40"/>
        <v/>
      </c>
      <c r="Y186" s="491" t="str">
        <f t="shared" si="41"/>
        <v/>
      </c>
      <c r="AJ186" s="461" t="s">
        <v>466</v>
      </c>
      <c r="AK186" s="490">
        <v>174</v>
      </c>
      <c r="AL186" s="460" t="str">
        <f t="shared" si="49"/>
        <v>○</v>
      </c>
      <c r="AM186" s="468" t="str">
        <f t="shared" si="50"/>
        <v>申請しない場合は入力不要です。</v>
      </c>
      <c r="AO186" s="468">
        <f t="shared" si="47"/>
        <v>0</v>
      </c>
    </row>
    <row r="187" spans="1:41" ht="20.100000000000001" customHeight="1">
      <c r="A187" s="485">
        <v>175</v>
      </c>
      <c r="B187" s="205"/>
      <c r="C187" s="206"/>
      <c r="D187" s="1889"/>
      <c r="E187" s="1890"/>
      <c r="F187" s="1891"/>
      <c r="G187" s="207"/>
      <c r="H187" s="207"/>
      <c r="I187" s="208"/>
      <c r="J187" s="486">
        <f t="shared" si="42"/>
        <v>0</v>
      </c>
      <c r="K187" s="487">
        <f t="shared" si="43"/>
        <v>0</v>
      </c>
      <c r="L187" s="487" t="str">
        <f t="shared" si="44"/>
        <v/>
      </c>
      <c r="M187" s="487" t="str">
        <f xml:space="preserve">
IF(AL187&lt;&gt;"◎","",
IF(AND(表紙!X158="実績報告（１次）",DATE(IF(N187=5,2023,IF(N187=6,2024)),O187,P187)&lt;DATE(2023,5,8)),0,
IF(AND(OR(表紙!X158="実績報告（２次）",表紙!X158="交付申請兼実績報告"),DATE(IF(N187=5,2023,IF(N187=6,2024)),O187,P187)&lt;DATE(2023,10,1)),0,
MIN(K187,L187))))</f>
        <v/>
      </c>
      <c r="N187" s="725"/>
      <c r="O187" s="725"/>
      <c r="P187" s="725"/>
      <c r="Q187" s="488" t="str">
        <f xml:space="preserve">
IF(AL187&lt;&gt;"◎","",
IF(AND(表紙!X158="実績報告（１次）",DATE(IF(N187=5,2023,IF(N187=6,2024)),O187,P187)&lt;DATE(2023,5,8)),0,
IF(AND(OR(表紙!X158="実績報告（２次）",表紙!X158="交付申請兼実績報告"),DATE(IF(N187=5,2023,IF(N187=6,2024)),O187,P187)&lt;DATE(2023,10,1)),0,
G187*H187)))</f>
        <v/>
      </c>
      <c r="R187" s="724" t="str">
        <f xml:space="preserve">
IF(表紙!$X$2="事前協議","－",
IF(表紙!$X$2="交付申請（２次）","－",
IF(表紙!$X$2="変更申請","－",
IF(AND(OR(表紙!$X$2="実績報告（１次）",表紙!$X$2="実績報告（２次）",表紙!$X$2="交付申請兼実績報告"),AL187="◎"),COUNTIF($AL$30:AL187,"◎"),""))))</f>
        <v/>
      </c>
      <c r="S187" s="489" t="str">
        <f t="shared" si="45"/>
        <v/>
      </c>
      <c r="T187" s="765" t="str">
        <f t="shared" si="48"/>
        <v/>
      </c>
      <c r="U187" s="596" t="str">
        <f t="shared" si="46"/>
        <v/>
      </c>
      <c r="V187" s="787" t="str">
        <f t="shared" si="38"/>
        <v/>
      </c>
      <c r="W187" s="787" t="str">
        <f t="shared" si="39"/>
        <v/>
      </c>
      <c r="X187" s="787" t="str">
        <f t="shared" si="40"/>
        <v/>
      </c>
      <c r="Y187" s="491" t="str">
        <f t="shared" si="41"/>
        <v/>
      </c>
      <c r="AJ187" s="461" t="s">
        <v>466</v>
      </c>
      <c r="AK187" s="490">
        <v>175</v>
      </c>
      <c r="AL187" s="460" t="str">
        <f t="shared" si="49"/>
        <v>○</v>
      </c>
      <c r="AM187" s="468" t="str">
        <f t="shared" si="50"/>
        <v>申請しない場合は入力不要です。</v>
      </c>
      <c r="AO187" s="468">
        <f t="shared" si="47"/>
        <v>0</v>
      </c>
    </row>
    <row r="188" spans="1:41" ht="20.100000000000001" customHeight="1">
      <c r="A188" s="485">
        <v>176</v>
      </c>
      <c r="B188" s="205"/>
      <c r="C188" s="206"/>
      <c r="D188" s="1889"/>
      <c r="E188" s="1890"/>
      <c r="F188" s="1891"/>
      <c r="G188" s="207"/>
      <c r="H188" s="207"/>
      <c r="I188" s="208"/>
      <c r="J188" s="486">
        <f t="shared" si="42"/>
        <v>0</v>
      </c>
      <c r="K188" s="487">
        <f t="shared" si="43"/>
        <v>0</v>
      </c>
      <c r="L188" s="487" t="str">
        <f t="shared" si="44"/>
        <v/>
      </c>
      <c r="M188" s="487" t="str">
        <f xml:space="preserve">
IF(AL188&lt;&gt;"◎","",
IF(AND(表紙!X159="実績報告（１次）",DATE(IF(N188=5,2023,IF(N188=6,2024)),O188,P188)&lt;DATE(2023,5,8)),0,
IF(AND(OR(表紙!X159="実績報告（２次）",表紙!X159="交付申請兼実績報告"),DATE(IF(N188=5,2023,IF(N188=6,2024)),O188,P188)&lt;DATE(2023,10,1)),0,
MIN(K188,L188))))</f>
        <v/>
      </c>
      <c r="N188" s="725"/>
      <c r="O188" s="725"/>
      <c r="P188" s="725"/>
      <c r="Q188" s="488" t="str">
        <f xml:space="preserve">
IF(AL188&lt;&gt;"◎","",
IF(AND(表紙!X159="実績報告（１次）",DATE(IF(N188=5,2023,IF(N188=6,2024)),O188,P188)&lt;DATE(2023,5,8)),0,
IF(AND(OR(表紙!X159="実績報告（２次）",表紙!X159="交付申請兼実績報告"),DATE(IF(N188=5,2023,IF(N188=6,2024)),O188,P188)&lt;DATE(2023,10,1)),0,
G188*H188)))</f>
        <v/>
      </c>
      <c r="R188" s="724" t="str">
        <f xml:space="preserve">
IF(表紙!$X$2="事前協議","－",
IF(表紙!$X$2="交付申請（２次）","－",
IF(表紙!$X$2="変更申請","－",
IF(AND(OR(表紙!$X$2="実績報告（１次）",表紙!$X$2="実績報告（２次）",表紙!$X$2="交付申請兼実績報告"),AL188="◎"),COUNTIF($AL$30:AL188,"◎"),""))))</f>
        <v/>
      </c>
      <c r="S188" s="489" t="str">
        <f t="shared" si="45"/>
        <v/>
      </c>
      <c r="T188" s="765" t="str">
        <f t="shared" si="48"/>
        <v/>
      </c>
      <c r="U188" s="596" t="str">
        <f t="shared" si="46"/>
        <v/>
      </c>
      <c r="V188" s="787" t="str">
        <f t="shared" si="38"/>
        <v/>
      </c>
      <c r="W188" s="787" t="str">
        <f t="shared" si="39"/>
        <v/>
      </c>
      <c r="X188" s="787" t="str">
        <f t="shared" si="40"/>
        <v/>
      </c>
      <c r="Y188" s="491" t="str">
        <f t="shared" si="41"/>
        <v/>
      </c>
      <c r="AJ188" s="461" t="s">
        <v>466</v>
      </c>
      <c r="AK188" s="490">
        <v>176</v>
      </c>
      <c r="AL188" s="460" t="str">
        <f t="shared" si="49"/>
        <v>○</v>
      </c>
      <c r="AM188" s="468" t="str">
        <f t="shared" si="50"/>
        <v>申請しない場合は入力不要です。</v>
      </c>
      <c r="AO188" s="468">
        <f t="shared" si="47"/>
        <v>0</v>
      </c>
    </row>
    <row r="189" spans="1:41" ht="20.100000000000001" customHeight="1">
      <c r="A189" s="485">
        <v>177</v>
      </c>
      <c r="B189" s="205"/>
      <c r="C189" s="206"/>
      <c r="D189" s="1889"/>
      <c r="E189" s="1890"/>
      <c r="F189" s="1891"/>
      <c r="G189" s="207"/>
      <c r="H189" s="207"/>
      <c r="I189" s="208"/>
      <c r="J189" s="486">
        <f t="shared" si="42"/>
        <v>0</v>
      </c>
      <c r="K189" s="487">
        <f t="shared" si="43"/>
        <v>0</v>
      </c>
      <c r="L189" s="487" t="str">
        <f t="shared" si="44"/>
        <v/>
      </c>
      <c r="M189" s="487" t="str">
        <f xml:space="preserve">
IF(AL189&lt;&gt;"◎","",
IF(AND(表紙!X160="実績報告（１次）",DATE(IF(N189=5,2023,IF(N189=6,2024)),O189,P189)&lt;DATE(2023,5,8)),0,
IF(AND(OR(表紙!X160="実績報告（２次）",表紙!X160="交付申請兼実績報告"),DATE(IF(N189=5,2023,IF(N189=6,2024)),O189,P189)&lt;DATE(2023,10,1)),0,
MIN(K189,L189))))</f>
        <v/>
      </c>
      <c r="N189" s="725"/>
      <c r="O189" s="725"/>
      <c r="P189" s="725"/>
      <c r="Q189" s="488" t="str">
        <f xml:space="preserve">
IF(AL189&lt;&gt;"◎","",
IF(AND(表紙!X160="実績報告（１次）",DATE(IF(N189=5,2023,IF(N189=6,2024)),O189,P189)&lt;DATE(2023,5,8)),0,
IF(AND(OR(表紙!X160="実績報告（２次）",表紙!X160="交付申請兼実績報告"),DATE(IF(N189=5,2023,IF(N189=6,2024)),O189,P189)&lt;DATE(2023,10,1)),0,
G189*H189)))</f>
        <v/>
      </c>
      <c r="R189" s="724" t="str">
        <f xml:space="preserve">
IF(表紙!$X$2="事前協議","－",
IF(表紙!$X$2="交付申請（２次）","－",
IF(表紙!$X$2="変更申請","－",
IF(AND(OR(表紙!$X$2="実績報告（１次）",表紙!$X$2="実績報告（２次）",表紙!$X$2="交付申請兼実績報告"),AL189="◎"),COUNTIF($AL$30:AL189,"◎"),""))))</f>
        <v/>
      </c>
      <c r="S189" s="489" t="str">
        <f t="shared" si="45"/>
        <v/>
      </c>
      <c r="T189" s="765" t="str">
        <f t="shared" si="48"/>
        <v/>
      </c>
      <c r="U189" s="596" t="str">
        <f t="shared" si="46"/>
        <v/>
      </c>
      <c r="V189" s="787" t="str">
        <f t="shared" si="38"/>
        <v/>
      </c>
      <c r="W189" s="787" t="str">
        <f t="shared" si="39"/>
        <v/>
      </c>
      <c r="X189" s="787" t="str">
        <f t="shared" si="40"/>
        <v/>
      </c>
      <c r="Y189" s="491" t="str">
        <f t="shared" si="41"/>
        <v/>
      </c>
      <c r="AJ189" s="461" t="s">
        <v>466</v>
      </c>
      <c r="AK189" s="490">
        <v>177</v>
      </c>
      <c r="AL189" s="460" t="str">
        <f t="shared" si="49"/>
        <v>○</v>
      </c>
      <c r="AM189" s="468" t="str">
        <f t="shared" si="50"/>
        <v>申請しない場合は入力不要です。</v>
      </c>
      <c r="AO189" s="468">
        <f t="shared" si="47"/>
        <v>0</v>
      </c>
    </row>
    <row r="190" spans="1:41" ht="20.100000000000001" customHeight="1">
      <c r="A190" s="485">
        <v>178</v>
      </c>
      <c r="B190" s="205"/>
      <c r="C190" s="206"/>
      <c r="D190" s="1889"/>
      <c r="E190" s="1890"/>
      <c r="F190" s="1891"/>
      <c r="G190" s="207"/>
      <c r="H190" s="207"/>
      <c r="I190" s="208"/>
      <c r="J190" s="486">
        <f t="shared" si="42"/>
        <v>0</v>
      </c>
      <c r="K190" s="487">
        <f t="shared" si="43"/>
        <v>0</v>
      </c>
      <c r="L190" s="487" t="str">
        <f t="shared" si="44"/>
        <v/>
      </c>
      <c r="M190" s="487" t="str">
        <f xml:space="preserve">
IF(AL190&lt;&gt;"◎","",
IF(AND(表紙!X161="実績報告（１次）",DATE(IF(N190=5,2023,IF(N190=6,2024)),O190,P190)&lt;DATE(2023,5,8)),0,
IF(AND(OR(表紙!X161="実績報告（２次）",表紙!X161="交付申請兼実績報告"),DATE(IF(N190=5,2023,IF(N190=6,2024)),O190,P190)&lt;DATE(2023,10,1)),0,
MIN(K190,L190))))</f>
        <v/>
      </c>
      <c r="N190" s="725"/>
      <c r="O190" s="725"/>
      <c r="P190" s="725"/>
      <c r="Q190" s="488" t="str">
        <f xml:space="preserve">
IF(AL190&lt;&gt;"◎","",
IF(AND(表紙!X161="実績報告（１次）",DATE(IF(N190=5,2023,IF(N190=6,2024)),O190,P190)&lt;DATE(2023,5,8)),0,
IF(AND(OR(表紙!X161="実績報告（２次）",表紙!X161="交付申請兼実績報告"),DATE(IF(N190=5,2023,IF(N190=6,2024)),O190,P190)&lt;DATE(2023,10,1)),0,
G190*H190)))</f>
        <v/>
      </c>
      <c r="R190" s="724" t="str">
        <f xml:space="preserve">
IF(表紙!$X$2="事前協議","－",
IF(表紙!$X$2="交付申請（２次）","－",
IF(表紙!$X$2="変更申請","－",
IF(AND(OR(表紙!$X$2="実績報告（１次）",表紙!$X$2="実績報告（２次）",表紙!$X$2="交付申請兼実績報告"),AL190="◎"),COUNTIF($AL$30:AL190,"◎"),""))))</f>
        <v/>
      </c>
      <c r="S190" s="489" t="str">
        <f t="shared" si="45"/>
        <v/>
      </c>
      <c r="T190" s="765" t="str">
        <f t="shared" si="48"/>
        <v/>
      </c>
      <c r="U190" s="596" t="str">
        <f t="shared" si="46"/>
        <v/>
      </c>
      <c r="V190" s="787" t="str">
        <f t="shared" si="38"/>
        <v/>
      </c>
      <c r="W190" s="787" t="str">
        <f t="shared" si="39"/>
        <v/>
      </c>
      <c r="X190" s="787" t="str">
        <f t="shared" si="40"/>
        <v/>
      </c>
      <c r="Y190" s="491" t="str">
        <f t="shared" si="41"/>
        <v/>
      </c>
      <c r="AJ190" s="461" t="s">
        <v>466</v>
      </c>
      <c r="AK190" s="490">
        <v>178</v>
      </c>
      <c r="AL190" s="460" t="str">
        <f t="shared" si="49"/>
        <v>○</v>
      </c>
      <c r="AM190" s="468" t="str">
        <f t="shared" si="50"/>
        <v>申請しない場合は入力不要です。</v>
      </c>
      <c r="AO190" s="468">
        <f t="shared" si="47"/>
        <v>0</v>
      </c>
    </row>
    <row r="191" spans="1:41" ht="20.100000000000001" customHeight="1">
      <c r="A191" s="485">
        <v>179</v>
      </c>
      <c r="B191" s="205"/>
      <c r="C191" s="206"/>
      <c r="D191" s="1889"/>
      <c r="E191" s="1890"/>
      <c r="F191" s="1891"/>
      <c r="G191" s="207"/>
      <c r="H191" s="207"/>
      <c r="I191" s="208"/>
      <c r="J191" s="486">
        <f t="shared" si="42"/>
        <v>0</v>
      </c>
      <c r="K191" s="487">
        <f t="shared" si="43"/>
        <v>0</v>
      </c>
      <c r="L191" s="487" t="str">
        <f t="shared" si="44"/>
        <v/>
      </c>
      <c r="M191" s="487" t="str">
        <f xml:space="preserve">
IF(AL191&lt;&gt;"◎","",
IF(AND(表紙!X162="実績報告（１次）",DATE(IF(N191=5,2023,IF(N191=6,2024)),O191,P191)&lt;DATE(2023,5,8)),0,
IF(AND(OR(表紙!X162="実績報告（２次）",表紙!X162="交付申請兼実績報告"),DATE(IF(N191=5,2023,IF(N191=6,2024)),O191,P191)&lt;DATE(2023,10,1)),0,
MIN(K191,L191))))</f>
        <v/>
      </c>
      <c r="N191" s="725"/>
      <c r="O191" s="725"/>
      <c r="P191" s="725"/>
      <c r="Q191" s="488" t="str">
        <f xml:space="preserve">
IF(AL191&lt;&gt;"◎","",
IF(AND(表紙!X162="実績報告（１次）",DATE(IF(N191=5,2023,IF(N191=6,2024)),O191,P191)&lt;DATE(2023,5,8)),0,
IF(AND(OR(表紙!X162="実績報告（２次）",表紙!X162="交付申請兼実績報告"),DATE(IF(N191=5,2023,IF(N191=6,2024)),O191,P191)&lt;DATE(2023,10,1)),0,
G191*H191)))</f>
        <v/>
      </c>
      <c r="R191" s="724" t="str">
        <f xml:space="preserve">
IF(表紙!$X$2="事前協議","－",
IF(表紙!$X$2="交付申請（２次）","－",
IF(表紙!$X$2="変更申請","－",
IF(AND(OR(表紙!$X$2="実績報告（１次）",表紙!$X$2="実績報告（２次）",表紙!$X$2="交付申請兼実績報告"),AL191="◎"),COUNTIF($AL$30:AL191,"◎"),""))))</f>
        <v/>
      </c>
      <c r="S191" s="489" t="str">
        <f t="shared" si="45"/>
        <v/>
      </c>
      <c r="T191" s="765" t="str">
        <f t="shared" si="48"/>
        <v/>
      </c>
      <c r="U191" s="596" t="str">
        <f t="shared" si="46"/>
        <v/>
      </c>
      <c r="V191" s="787" t="str">
        <f t="shared" si="38"/>
        <v/>
      </c>
      <c r="W191" s="787" t="str">
        <f t="shared" si="39"/>
        <v/>
      </c>
      <c r="X191" s="787" t="str">
        <f t="shared" si="40"/>
        <v/>
      </c>
      <c r="Y191" s="491" t="str">
        <f t="shared" si="41"/>
        <v/>
      </c>
      <c r="AJ191" s="461" t="s">
        <v>466</v>
      </c>
      <c r="AK191" s="490">
        <v>179</v>
      </c>
      <c r="AL191" s="460" t="str">
        <f t="shared" si="49"/>
        <v>○</v>
      </c>
      <c r="AM191" s="468" t="str">
        <f t="shared" si="50"/>
        <v>申請しない場合は入力不要です。</v>
      </c>
      <c r="AO191" s="468">
        <f t="shared" si="47"/>
        <v>0</v>
      </c>
    </row>
    <row r="192" spans="1:41" ht="20.100000000000001" customHeight="1">
      <c r="A192" s="485">
        <v>180</v>
      </c>
      <c r="B192" s="205"/>
      <c r="C192" s="206"/>
      <c r="D192" s="1889"/>
      <c r="E192" s="1890"/>
      <c r="F192" s="1891"/>
      <c r="G192" s="207"/>
      <c r="H192" s="207"/>
      <c r="I192" s="208"/>
      <c r="J192" s="486">
        <f t="shared" si="42"/>
        <v>0</v>
      </c>
      <c r="K192" s="487">
        <f t="shared" si="43"/>
        <v>0</v>
      </c>
      <c r="L192" s="487" t="str">
        <f t="shared" si="44"/>
        <v/>
      </c>
      <c r="M192" s="487" t="str">
        <f xml:space="preserve">
IF(AL192&lt;&gt;"◎","",
IF(AND(表紙!X163="実績報告（１次）",DATE(IF(N192=5,2023,IF(N192=6,2024)),O192,P192)&lt;DATE(2023,5,8)),0,
IF(AND(OR(表紙!X163="実績報告（２次）",表紙!X163="交付申請兼実績報告"),DATE(IF(N192=5,2023,IF(N192=6,2024)),O192,P192)&lt;DATE(2023,10,1)),0,
MIN(K192,L192))))</f>
        <v/>
      </c>
      <c r="N192" s="725"/>
      <c r="O192" s="725"/>
      <c r="P192" s="725"/>
      <c r="Q192" s="488" t="str">
        <f xml:space="preserve">
IF(AL192&lt;&gt;"◎","",
IF(AND(表紙!X163="実績報告（１次）",DATE(IF(N192=5,2023,IF(N192=6,2024)),O192,P192)&lt;DATE(2023,5,8)),0,
IF(AND(OR(表紙!X163="実績報告（２次）",表紙!X163="交付申請兼実績報告"),DATE(IF(N192=5,2023,IF(N192=6,2024)),O192,P192)&lt;DATE(2023,10,1)),0,
G192*H192)))</f>
        <v/>
      </c>
      <c r="R192" s="724" t="str">
        <f xml:space="preserve">
IF(表紙!$X$2="事前協議","－",
IF(表紙!$X$2="交付申請（２次）","－",
IF(表紙!$X$2="変更申請","－",
IF(AND(OR(表紙!$X$2="実績報告（１次）",表紙!$X$2="実績報告（２次）",表紙!$X$2="交付申請兼実績報告"),AL192="◎"),COUNTIF($AL$30:AL192,"◎"),""))))</f>
        <v/>
      </c>
      <c r="S192" s="489" t="str">
        <f t="shared" si="45"/>
        <v/>
      </c>
      <c r="T192" s="765" t="str">
        <f t="shared" si="48"/>
        <v/>
      </c>
      <c r="U192" s="596" t="str">
        <f t="shared" si="46"/>
        <v/>
      </c>
      <c r="V192" s="787" t="str">
        <f t="shared" si="38"/>
        <v/>
      </c>
      <c r="W192" s="787" t="str">
        <f t="shared" si="39"/>
        <v/>
      </c>
      <c r="X192" s="787" t="str">
        <f t="shared" si="40"/>
        <v/>
      </c>
      <c r="Y192" s="491" t="str">
        <f t="shared" si="41"/>
        <v/>
      </c>
      <c r="AJ192" s="461" t="s">
        <v>466</v>
      </c>
      <c r="AK192" s="490">
        <v>180</v>
      </c>
      <c r="AL192" s="460" t="str">
        <f t="shared" si="49"/>
        <v>○</v>
      </c>
      <c r="AM192" s="468" t="str">
        <f t="shared" si="50"/>
        <v>申請しない場合は入力不要です。</v>
      </c>
      <c r="AO192" s="468">
        <f t="shared" si="47"/>
        <v>0</v>
      </c>
    </row>
    <row r="193" spans="1:41" ht="20.100000000000001" customHeight="1">
      <c r="A193" s="485">
        <v>181</v>
      </c>
      <c r="B193" s="205"/>
      <c r="C193" s="206"/>
      <c r="D193" s="1889"/>
      <c r="E193" s="1890"/>
      <c r="F193" s="1891"/>
      <c r="G193" s="207"/>
      <c r="H193" s="207"/>
      <c r="I193" s="208"/>
      <c r="J193" s="486">
        <f t="shared" si="42"/>
        <v>0</v>
      </c>
      <c r="K193" s="487">
        <f t="shared" si="43"/>
        <v>0</v>
      </c>
      <c r="L193" s="487" t="str">
        <f t="shared" si="44"/>
        <v/>
      </c>
      <c r="M193" s="487" t="str">
        <f xml:space="preserve">
IF(AL193&lt;&gt;"◎","",
IF(AND(表紙!X164="実績報告（１次）",DATE(IF(N193=5,2023,IF(N193=6,2024)),O193,P193)&lt;DATE(2023,5,8)),0,
IF(AND(OR(表紙!X164="実績報告（２次）",表紙!X164="交付申請兼実績報告"),DATE(IF(N193=5,2023,IF(N193=6,2024)),O193,P193)&lt;DATE(2023,10,1)),0,
MIN(K193,L193))))</f>
        <v/>
      </c>
      <c r="N193" s="725"/>
      <c r="O193" s="725"/>
      <c r="P193" s="725"/>
      <c r="Q193" s="488" t="str">
        <f xml:space="preserve">
IF(AL193&lt;&gt;"◎","",
IF(AND(表紙!X164="実績報告（１次）",DATE(IF(N193=5,2023,IF(N193=6,2024)),O193,P193)&lt;DATE(2023,5,8)),0,
IF(AND(OR(表紙!X164="実績報告（２次）",表紙!X164="交付申請兼実績報告"),DATE(IF(N193=5,2023,IF(N193=6,2024)),O193,P193)&lt;DATE(2023,10,1)),0,
G193*H193)))</f>
        <v/>
      </c>
      <c r="R193" s="724" t="str">
        <f xml:space="preserve">
IF(表紙!$X$2="事前協議","－",
IF(表紙!$X$2="交付申請（２次）","－",
IF(表紙!$X$2="変更申請","－",
IF(AND(OR(表紙!$X$2="実績報告（１次）",表紙!$X$2="実績報告（２次）",表紙!$X$2="交付申請兼実績報告"),AL193="◎"),COUNTIF($AL$30:AL193,"◎"),""))))</f>
        <v/>
      </c>
      <c r="S193" s="489" t="str">
        <f t="shared" si="45"/>
        <v/>
      </c>
      <c r="T193" s="765" t="str">
        <f t="shared" si="48"/>
        <v/>
      </c>
      <c r="U193" s="596" t="str">
        <f t="shared" si="46"/>
        <v/>
      </c>
      <c r="V193" s="787" t="str">
        <f t="shared" si="38"/>
        <v/>
      </c>
      <c r="W193" s="787" t="str">
        <f t="shared" si="39"/>
        <v/>
      </c>
      <c r="X193" s="787" t="str">
        <f t="shared" si="40"/>
        <v/>
      </c>
      <c r="Y193" s="491" t="str">
        <f t="shared" si="41"/>
        <v/>
      </c>
      <c r="AJ193" s="461" t="s">
        <v>466</v>
      </c>
      <c r="AK193" s="490">
        <v>181</v>
      </c>
      <c r="AL193" s="460" t="str">
        <f t="shared" si="49"/>
        <v>○</v>
      </c>
      <c r="AM193" s="468" t="str">
        <f t="shared" si="50"/>
        <v>申請しない場合は入力不要です。</v>
      </c>
      <c r="AO193" s="468">
        <f t="shared" si="47"/>
        <v>0</v>
      </c>
    </row>
    <row r="194" spans="1:41" ht="20.100000000000001" customHeight="1">
      <c r="A194" s="485">
        <v>182</v>
      </c>
      <c r="B194" s="205"/>
      <c r="C194" s="206"/>
      <c r="D194" s="1889"/>
      <c r="E194" s="1890"/>
      <c r="F194" s="1891"/>
      <c r="G194" s="207"/>
      <c r="H194" s="207"/>
      <c r="I194" s="208"/>
      <c r="J194" s="486">
        <f t="shared" si="42"/>
        <v>0</v>
      </c>
      <c r="K194" s="487">
        <f t="shared" si="43"/>
        <v>0</v>
      </c>
      <c r="L194" s="487" t="str">
        <f t="shared" si="44"/>
        <v/>
      </c>
      <c r="M194" s="487" t="str">
        <f xml:space="preserve">
IF(AL194&lt;&gt;"◎","",
IF(AND(表紙!X165="実績報告（１次）",DATE(IF(N194=5,2023,IF(N194=6,2024)),O194,P194)&lt;DATE(2023,5,8)),0,
IF(AND(OR(表紙!X165="実績報告（２次）",表紙!X165="交付申請兼実績報告"),DATE(IF(N194=5,2023,IF(N194=6,2024)),O194,P194)&lt;DATE(2023,10,1)),0,
MIN(K194,L194))))</f>
        <v/>
      </c>
      <c r="N194" s="725"/>
      <c r="O194" s="725"/>
      <c r="P194" s="725"/>
      <c r="Q194" s="488" t="str">
        <f xml:space="preserve">
IF(AL194&lt;&gt;"◎","",
IF(AND(表紙!X165="実績報告（１次）",DATE(IF(N194=5,2023,IF(N194=6,2024)),O194,P194)&lt;DATE(2023,5,8)),0,
IF(AND(OR(表紙!X165="実績報告（２次）",表紙!X165="交付申請兼実績報告"),DATE(IF(N194=5,2023,IF(N194=6,2024)),O194,P194)&lt;DATE(2023,10,1)),0,
G194*H194)))</f>
        <v/>
      </c>
      <c r="R194" s="724" t="str">
        <f xml:space="preserve">
IF(表紙!$X$2="事前協議","－",
IF(表紙!$X$2="交付申請（２次）","－",
IF(表紙!$X$2="変更申請","－",
IF(AND(OR(表紙!$X$2="実績報告（１次）",表紙!$X$2="実績報告（２次）",表紙!$X$2="交付申請兼実績報告"),AL194="◎"),COUNTIF($AL$30:AL194,"◎"),""))))</f>
        <v/>
      </c>
      <c r="S194" s="489" t="str">
        <f t="shared" si="45"/>
        <v/>
      </c>
      <c r="T194" s="765" t="str">
        <f t="shared" si="48"/>
        <v/>
      </c>
      <c r="U194" s="596" t="str">
        <f t="shared" si="46"/>
        <v/>
      </c>
      <c r="V194" s="787" t="str">
        <f t="shared" si="38"/>
        <v/>
      </c>
      <c r="W194" s="787" t="str">
        <f t="shared" si="39"/>
        <v/>
      </c>
      <c r="X194" s="787" t="str">
        <f t="shared" si="40"/>
        <v/>
      </c>
      <c r="Y194" s="491" t="str">
        <f t="shared" si="41"/>
        <v/>
      </c>
      <c r="AJ194" s="461" t="s">
        <v>466</v>
      </c>
      <c r="AK194" s="490">
        <v>182</v>
      </c>
      <c r="AL194" s="460" t="str">
        <f t="shared" si="49"/>
        <v>○</v>
      </c>
      <c r="AM194" s="468" t="str">
        <f t="shared" si="50"/>
        <v>申請しない場合は入力不要です。</v>
      </c>
      <c r="AO194" s="468">
        <f t="shared" si="47"/>
        <v>0</v>
      </c>
    </row>
    <row r="195" spans="1:41" ht="20.100000000000001" customHeight="1">
      <c r="A195" s="485">
        <v>183</v>
      </c>
      <c r="B195" s="205"/>
      <c r="C195" s="206"/>
      <c r="D195" s="1889"/>
      <c r="E195" s="1890"/>
      <c r="F195" s="1891"/>
      <c r="G195" s="207"/>
      <c r="H195" s="207"/>
      <c r="I195" s="208"/>
      <c r="J195" s="486">
        <f t="shared" si="42"/>
        <v>0</v>
      </c>
      <c r="K195" s="487">
        <f t="shared" si="43"/>
        <v>0</v>
      </c>
      <c r="L195" s="487" t="str">
        <f t="shared" si="44"/>
        <v/>
      </c>
      <c r="M195" s="487" t="str">
        <f xml:space="preserve">
IF(AL195&lt;&gt;"◎","",
IF(AND(表紙!X166="実績報告（１次）",DATE(IF(N195=5,2023,IF(N195=6,2024)),O195,P195)&lt;DATE(2023,5,8)),0,
IF(AND(OR(表紙!X166="実績報告（２次）",表紙!X166="交付申請兼実績報告"),DATE(IF(N195=5,2023,IF(N195=6,2024)),O195,P195)&lt;DATE(2023,10,1)),0,
MIN(K195,L195))))</f>
        <v/>
      </c>
      <c r="N195" s="725"/>
      <c r="O195" s="725"/>
      <c r="P195" s="725"/>
      <c r="Q195" s="488" t="str">
        <f xml:space="preserve">
IF(AL195&lt;&gt;"◎","",
IF(AND(表紙!X166="実績報告（１次）",DATE(IF(N195=5,2023,IF(N195=6,2024)),O195,P195)&lt;DATE(2023,5,8)),0,
IF(AND(OR(表紙!X166="実績報告（２次）",表紙!X166="交付申請兼実績報告"),DATE(IF(N195=5,2023,IF(N195=6,2024)),O195,P195)&lt;DATE(2023,10,1)),0,
G195*H195)))</f>
        <v/>
      </c>
      <c r="R195" s="724" t="str">
        <f xml:space="preserve">
IF(表紙!$X$2="事前協議","－",
IF(表紙!$X$2="交付申請（２次）","－",
IF(表紙!$X$2="変更申請","－",
IF(AND(OR(表紙!$X$2="実績報告（１次）",表紙!$X$2="実績報告（２次）",表紙!$X$2="交付申請兼実績報告"),AL195="◎"),COUNTIF($AL$30:AL195,"◎"),""))))</f>
        <v/>
      </c>
      <c r="S195" s="489" t="str">
        <f t="shared" si="45"/>
        <v/>
      </c>
      <c r="T195" s="765" t="str">
        <f t="shared" si="48"/>
        <v/>
      </c>
      <c r="U195" s="596" t="str">
        <f t="shared" si="46"/>
        <v/>
      </c>
      <c r="V195" s="787" t="str">
        <f t="shared" si="38"/>
        <v/>
      </c>
      <c r="W195" s="787" t="str">
        <f t="shared" si="39"/>
        <v/>
      </c>
      <c r="X195" s="787" t="str">
        <f t="shared" si="40"/>
        <v/>
      </c>
      <c r="Y195" s="491" t="str">
        <f t="shared" si="41"/>
        <v/>
      </c>
      <c r="AJ195" s="461" t="s">
        <v>466</v>
      </c>
      <c r="AK195" s="490">
        <v>183</v>
      </c>
      <c r="AL195" s="460" t="str">
        <f t="shared" si="49"/>
        <v>○</v>
      </c>
      <c r="AM195" s="468" t="str">
        <f t="shared" si="50"/>
        <v>申請しない場合は入力不要です。</v>
      </c>
      <c r="AO195" s="468">
        <f t="shared" si="47"/>
        <v>0</v>
      </c>
    </row>
    <row r="196" spans="1:41" ht="20.100000000000001" customHeight="1">
      <c r="A196" s="485">
        <v>184</v>
      </c>
      <c r="B196" s="205"/>
      <c r="C196" s="206"/>
      <c r="D196" s="1889"/>
      <c r="E196" s="1890"/>
      <c r="F196" s="1891"/>
      <c r="G196" s="207"/>
      <c r="H196" s="207"/>
      <c r="I196" s="208"/>
      <c r="J196" s="486">
        <f t="shared" si="42"/>
        <v>0</v>
      </c>
      <c r="K196" s="487">
        <f t="shared" si="43"/>
        <v>0</v>
      </c>
      <c r="L196" s="487" t="str">
        <f t="shared" si="44"/>
        <v/>
      </c>
      <c r="M196" s="487" t="str">
        <f xml:space="preserve">
IF(AL196&lt;&gt;"◎","",
IF(AND(表紙!X167="実績報告（１次）",DATE(IF(N196=5,2023,IF(N196=6,2024)),O196,P196)&lt;DATE(2023,5,8)),0,
IF(AND(OR(表紙!X167="実績報告（２次）",表紙!X167="交付申請兼実績報告"),DATE(IF(N196=5,2023,IF(N196=6,2024)),O196,P196)&lt;DATE(2023,10,1)),0,
MIN(K196,L196))))</f>
        <v/>
      </c>
      <c r="N196" s="725"/>
      <c r="O196" s="725"/>
      <c r="P196" s="725"/>
      <c r="Q196" s="488" t="str">
        <f xml:space="preserve">
IF(AL196&lt;&gt;"◎","",
IF(AND(表紙!X167="実績報告（１次）",DATE(IF(N196=5,2023,IF(N196=6,2024)),O196,P196)&lt;DATE(2023,5,8)),0,
IF(AND(OR(表紙!X167="実績報告（２次）",表紙!X167="交付申請兼実績報告"),DATE(IF(N196=5,2023,IF(N196=6,2024)),O196,P196)&lt;DATE(2023,10,1)),0,
G196*H196)))</f>
        <v/>
      </c>
      <c r="R196" s="724" t="str">
        <f xml:space="preserve">
IF(表紙!$X$2="事前協議","－",
IF(表紙!$X$2="交付申請（２次）","－",
IF(表紙!$X$2="変更申請","－",
IF(AND(OR(表紙!$X$2="実績報告（１次）",表紙!$X$2="実績報告（２次）",表紙!$X$2="交付申請兼実績報告"),AL196="◎"),COUNTIF($AL$30:AL196,"◎"),""))))</f>
        <v/>
      </c>
      <c r="S196" s="489" t="str">
        <f t="shared" si="45"/>
        <v/>
      </c>
      <c r="T196" s="765" t="str">
        <f t="shared" si="48"/>
        <v/>
      </c>
      <c r="U196" s="596" t="str">
        <f t="shared" si="46"/>
        <v/>
      </c>
      <c r="V196" s="787" t="str">
        <f t="shared" si="38"/>
        <v/>
      </c>
      <c r="W196" s="787" t="str">
        <f t="shared" si="39"/>
        <v/>
      </c>
      <c r="X196" s="787" t="str">
        <f t="shared" si="40"/>
        <v/>
      </c>
      <c r="Y196" s="491" t="str">
        <f t="shared" si="41"/>
        <v/>
      </c>
      <c r="AJ196" s="461" t="s">
        <v>466</v>
      </c>
      <c r="AK196" s="490">
        <v>184</v>
      </c>
      <c r="AL196" s="460" t="str">
        <f t="shared" si="49"/>
        <v>○</v>
      </c>
      <c r="AM196" s="468" t="str">
        <f t="shared" si="50"/>
        <v>申請しない場合は入力不要です。</v>
      </c>
      <c r="AO196" s="468">
        <f t="shared" si="47"/>
        <v>0</v>
      </c>
    </row>
    <row r="197" spans="1:41" ht="20.100000000000001" customHeight="1">
      <c r="A197" s="485">
        <v>185</v>
      </c>
      <c r="B197" s="205"/>
      <c r="C197" s="206"/>
      <c r="D197" s="1889"/>
      <c r="E197" s="1890"/>
      <c r="F197" s="1891"/>
      <c r="G197" s="207"/>
      <c r="H197" s="207"/>
      <c r="I197" s="208"/>
      <c r="J197" s="486">
        <f t="shared" si="42"/>
        <v>0</v>
      </c>
      <c r="K197" s="487">
        <f t="shared" si="43"/>
        <v>0</v>
      </c>
      <c r="L197" s="487" t="str">
        <f t="shared" si="44"/>
        <v/>
      </c>
      <c r="M197" s="487" t="str">
        <f xml:space="preserve">
IF(AL197&lt;&gt;"◎","",
IF(AND(表紙!X168="実績報告（１次）",DATE(IF(N197=5,2023,IF(N197=6,2024)),O197,P197)&lt;DATE(2023,5,8)),0,
IF(AND(OR(表紙!X168="実績報告（２次）",表紙!X168="交付申請兼実績報告"),DATE(IF(N197=5,2023,IF(N197=6,2024)),O197,P197)&lt;DATE(2023,10,1)),0,
MIN(K197,L197))))</f>
        <v/>
      </c>
      <c r="N197" s="725"/>
      <c r="O197" s="725"/>
      <c r="P197" s="725"/>
      <c r="Q197" s="488" t="str">
        <f xml:space="preserve">
IF(AL197&lt;&gt;"◎","",
IF(AND(表紙!X168="実績報告（１次）",DATE(IF(N197=5,2023,IF(N197=6,2024)),O197,P197)&lt;DATE(2023,5,8)),0,
IF(AND(OR(表紙!X168="実績報告（２次）",表紙!X168="交付申請兼実績報告"),DATE(IF(N197=5,2023,IF(N197=6,2024)),O197,P197)&lt;DATE(2023,10,1)),0,
G197*H197)))</f>
        <v/>
      </c>
      <c r="R197" s="724" t="str">
        <f xml:space="preserve">
IF(表紙!$X$2="事前協議","－",
IF(表紙!$X$2="交付申請（２次）","－",
IF(表紙!$X$2="変更申請","－",
IF(AND(OR(表紙!$X$2="実績報告（１次）",表紙!$X$2="実績報告（２次）",表紙!$X$2="交付申請兼実績報告"),AL197="◎"),COUNTIF($AL$30:AL197,"◎"),""))))</f>
        <v/>
      </c>
      <c r="S197" s="489" t="str">
        <f t="shared" si="45"/>
        <v/>
      </c>
      <c r="T197" s="765" t="str">
        <f t="shared" si="48"/>
        <v/>
      </c>
      <c r="U197" s="596" t="str">
        <f t="shared" si="46"/>
        <v/>
      </c>
      <c r="V197" s="787" t="str">
        <f t="shared" si="38"/>
        <v/>
      </c>
      <c r="W197" s="787" t="str">
        <f t="shared" si="39"/>
        <v/>
      </c>
      <c r="X197" s="787" t="str">
        <f t="shared" si="40"/>
        <v/>
      </c>
      <c r="Y197" s="491" t="str">
        <f t="shared" si="41"/>
        <v/>
      </c>
      <c r="AJ197" s="461" t="s">
        <v>466</v>
      </c>
      <c r="AK197" s="490">
        <v>185</v>
      </c>
      <c r="AL197" s="460" t="str">
        <f t="shared" si="49"/>
        <v>○</v>
      </c>
      <c r="AM197" s="468" t="str">
        <f t="shared" si="50"/>
        <v>申請しない場合は入力不要です。</v>
      </c>
      <c r="AO197" s="468">
        <f t="shared" si="47"/>
        <v>0</v>
      </c>
    </row>
    <row r="198" spans="1:41" ht="20.100000000000001" customHeight="1">
      <c r="A198" s="485">
        <v>186</v>
      </c>
      <c r="B198" s="205"/>
      <c r="C198" s="206"/>
      <c r="D198" s="1889"/>
      <c r="E198" s="1890"/>
      <c r="F198" s="1891"/>
      <c r="G198" s="207"/>
      <c r="H198" s="207"/>
      <c r="I198" s="208"/>
      <c r="J198" s="486">
        <f t="shared" si="42"/>
        <v>0</v>
      </c>
      <c r="K198" s="487">
        <f t="shared" si="43"/>
        <v>0</v>
      </c>
      <c r="L198" s="487" t="str">
        <f t="shared" si="44"/>
        <v/>
      </c>
      <c r="M198" s="487" t="str">
        <f xml:space="preserve">
IF(AL198&lt;&gt;"◎","",
IF(AND(表紙!X169="実績報告（１次）",DATE(IF(N198=5,2023,IF(N198=6,2024)),O198,P198)&lt;DATE(2023,5,8)),0,
IF(AND(OR(表紙!X169="実績報告（２次）",表紙!X169="交付申請兼実績報告"),DATE(IF(N198=5,2023,IF(N198=6,2024)),O198,P198)&lt;DATE(2023,10,1)),0,
MIN(K198,L198))))</f>
        <v/>
      </c>
      <c r="N198" s="725"/>
      <c r="O198" s="725"/>
      <c r="P198" s="725"/>
      <c r="Q198" s="488" t="str">
        <f xml:space="preserve">
IF(AL198&lt;&gt;"◎","",
IF(AND(表紙!X169="実績報告（１次）",DATE(IF(N198=5,2023,IF(N198=6,2024)),O198,P198)&lt;DATE(2023,5,8)),0,
IF(AND(OR(表紙!X169="実績報告（２次）",表紙!X169="交付申請兼実績報告"),DATE(IF(N198=5,2023,IF(N198=6,2024)),O198,P198)&lt;DATE(2023,10,1)),0,
G198*H198)))</f>
        <v/>
      </c>
      <c r="R198" s="724" t="str">
        <f xml:space="preserve">
IF(表紙!$X$2="事前協議","－",
IF(表紙!$X$2="交付申請（２次）","－",
IF(表紙!$X$2="変更申請","－",
IF(AND(OR(表紙!$X$2="実績報告（１次）",表紙!$X$2="実績報告（２次）",表紙!$X$2="交付申請兼実績報告"),AL198="◎"),COUNTIF($AL$30:AL198,"◎"),""))))</f>
        <v/>
      </c>
      <c r="S198" s="489" t="str">
        <f t="shared" si="45"/>
        <v/>
      </c>
      <c r="T198" s="765" t="str">
        <f t="shared" si="48"/>
        <v/>
      </c>
      <c r="U198" s="596" t="str">
        <f t="shared" si="46"/>
        <v/>
      </c>
      <c r="V198" s="787" t="str">
        <f t="shared" si="38"/>
        <v/>
      </c>
      <c r="W198" s="787" t="str">
        <f t="shared" si="39"/>
        <v/>
      </c>
      <c r="X198" s="787" t="str">
        <f t="shared" si="40"/>
        <v/>
      </c>
      <c r="Y198" s="491" t="str">
        <f t="shared" si="41"/>
        <v/>
      </c>
      <c r="AJ198" s="461" t="s">
        <v>466</v>
      </c>
      <c r="AK198" s="490">
        <v>186</v>
      </c>
      <c r="AL198" s="460" t="str">
        <f t="shared" si="49"/>
        <v>○</v>
      </c>
      <c r="AM198" s="468" t="str">
        <f t="shared" si="50"/>
        <v>申請しない場合は入力不要です。</v>
      </c>
      <c r="AO198" s="468">
        <f t="shared" si="47"/>
        <v>0</v>
      </c>
    </row>
    <row r="199" spans="1:41" ht="20.100000000000001" customHeight="1">
      <c r="A199" s="485">
        <v>187</v>
      </c>
      <c r="B199" s="205"/>
      <c r="C199" s="206"/>
      <c r="D199" s="1889"/>
      <c r="E199" s="1890"/>
      <c r="F199" s="1891"/>
      <c r="G199" s="207"/>
      <c r="H199" s="207"/>
      <c r="I199" s="208"/>
      <c r="J199" s="486">
        <f t="shared" si="42"/>
        <v>0</v>
      </c>
      <c r="K199" s="487">
        <f t="shared" si="43"/>
        <v>0</v>
      </c>
      <c r="L199" s="487" t="str">
        <f t="shared" si="44"/>
        <v/>
      </c>
      <c r="M199" s="487" t="str">
        <f xml:space="preserve">
IF(AL199&lt;&gt;"◎","",
IF(AND(表紙!X170="実績報告（１次）",DATE(IF(N199=5,2023,IF(N199=6,2024)),O199,P199)&lt;DATE(2023,5,8)),0,
IF(AND(OR(表紙!X170="実績報告（２次）",表紙!X170="交付申請兼実績報告"),DATE(IF(N199=5,2023,IF(N199=6,2024)),O199,P199)&lt;DATE(2023,10,1)),0,
MIN(K199,L199))))</f>
        <v/>
      </c>
      <c r="N199" s="725"/>
      <c r="O199" s="725"/>
      <c r="P199" s="725"/>
      <c r="Q199" s="488" t="str">
        <f xml:space="preserve">
IF(AL199&lt;&gt;"◎","",
IF(AND(表紙!X170="実績報告（１次）",DATE(IF(N199=5,2023,IF(N199=6,2024)),O199,P199)&lt;DATE(2023,5,8)),0,
IF(AND(OR(表紙!X170="実績報告（２次）",表紙!X170="交付申請兼実績報告"),DATE(IF(N199=5,2023,IF(N199=6,2024)),O199,P199)&lt;DATE(2023,10,1)),0,
G199*H199)))</f>
        <v/>
      </c>
      <c r="R199" s="724" t="str">
        <f xml:space="preserve">
IF(表紙!$X$2="事前協議","－",
IF(表紙!$X$2="交付申請（２次）","－",
IF(表紙!$X$2="変更申請","－",
IF(AND(OR(表紙!$X$2="実績報告（１次）",表紙!$X$2="実績報告（２次）",表紙!$X$2="交付申請兼実績報告"),AL199="◎"),COUNTIF($AL$30:AL199,"◎"),""))))</f>
        <v/>
      </c>
      <c r="S199" s="489" t="str">
        <f t="shared" si="45"/>
        <v/>
      </c>
      <c r="T199" s="765" t="str">
        <f t="shared" si="48"/>
        <v/>
      </c>
      <c r="U199" s="596" t="str">
        <f t="shared" si="46"/>
        <v/>
      </c>
      <c r="V199" s="787" t="str">
        <f t="shared" si="38"/>
        <v/>
      </c>
      <c r="W199" s="787" t="str">
        <f t="shared" si="39"/>
        <v/>
      </c>
      <c r="X199" s="787" t="str">
        <f t="shared" si="40"/>
        <v/>
      </c>
      <c r="Y199" s="491" t="str">
        <f t="shared" si="41"/>
        <v/>
      </c>
      <c r="AJ199" s="461" t="s">
        <v>466</v>
      </c>
      <c r="AK199" s="490">
        <v>187</v>
      </c>
      <c r="AL199" s="460" t="str">
        <f t="shared" si="49"/>
        <v>○</v>
      </c>
      <c r="AM199" s="468" t="str">
        <f t="shared" si="50"/>
        <v>申請しない場合は入力不要です。</v>
      </c>
      <c r="AO199" s="468">
        <f t="shared" si="47"/>
        <v>0</v>
      </c>
    </row>
    <row r="200" spans="1:41" ht="20.100000000000001" customHeight="1">
      <c r="A200" s="485">
        <v>188</v>
      </c>
      <c r="B200" s="205"/>
      <c r="C200" s="206"/>
      <c r="D200" s="1889"/>
      <c r="E200" s="1890"/>
      <c r="F200" s="1891"/>
      <c r="G200" s="207"/>
      <c r="H200" s="207"/>
      <c r="I200" s="208"/>
      <c r="J200" s="486">
        <f t="shared" si="42"/>
        <v>0</v>
      </c>
      <c r="K200" s="487">
        <f t="shared" si="43"/>
        <v>0</v>
      </c>
      <c r="L200" s="487" t="str">
        <f t="shared" si="44"/>
        <v/>
      </c>
      <c r="M200" s="487" t="str">
        <f xml:space="preserve">
IF(AL200&lt;&gt;"◎","",
IF(AND(表紙!X171="実績報告（１次）",DATE(IF(N200=5,2023,IF(N200=6,2024)),O200,P200)&lt;DATE(2023,5,8)),0,
IF(AND(OR(表紙!X171="実績報告（２次）",表紙!X171="交付申請兼実績報告"),DATE(IF(N200=5,2023,IF(N200=6,2024)),O200,P200)&lt;DATE(2023,10,1)),0,
MIN(K200,L200))))</f>
        <v/>
      </c>
      <c r="N200" s="725"/>
      <c r="O200" s="725"/>
      <c r="P200" s="725"/>
      <c r="Q200" s="488" t="str">
        <f xml:space="preserve">
IF(AL200&lt;&gt;"◎","",
IF(AND(表紙!X171="実績報告（１次）",DATE(IF(N200=5,2023,IF(N200=6,2024)),O200,P200)&lt;DATE(2023,5,8)),0,
IF(AND(OR(表紙!X171="実績報告（２次）",表紙!X171="交付申請兼実績報告"),DATE(IF(N200=5,2023,IF(N200=6,2024)),O200,P200)&lt;DATE(2023,10,1)),0,
G200*H200)))</f>
        <v/>
      </c>
      <c r="R200" s="724" t="str">
        <f xml:space="preserve">
IF(表紙!$X$2="事前協議","－",
IF(表紙!$X$2="交付申請（２次）","－",
IF(表紙!$X$2="変更申請","－",
IF(AND(OR(表紙!$X$2="実績報告（１次）",表紙!$X$2="実績報告（２次）",表紙!$X$2="交付申請兼実績報告"),AL200="◎"),COUNTIF($AL$30:AL200,"◎"),""))))</f>
        <v/>
      </c>
      <c r="S200" s="489" t="str">
        <f t="shared" si="45"/>
        <v/>
      </c>
      <c r="T200" s="765" t="str">
        <f t="shared" si="48"/>
        <v/>
      </c>
      <c r="U200" s="596" t="str">
        <f t="shared" si="46"/>
        <v/>
      </c>
      <c r="V200" s="787" t="str">
        <f t="shared" si="38"/>
        <v/>
      </c>
      <c r="W200" s="787" t="str">
        <f t="shared" si="39"/>
        <v/>
      </c>
      <c r="X200" s="787" t="str">
        <f t="shared" si="40"/>
        <v/>
      </c>
      <c r="Y200" s="491" t="str">
        <f t="shared" si="41"/>
        <v/>
      </c>
      <c r="AJ200" s="461" t="s">
        <v>466</v>
      </c>
      <c r="AK200" s="490">
        <v>188</v>
      </c>
      <c r="AL200" s="460" t="str">
        <f t="shared" si="49"/>
        <v>○</v>
      </c>
      <c r="AM200" s="468" t="str">
        <f t="shared" si="50"/>
        <v>申請しない場合は入力不要です。</v>
      </c>
      <c r="AO200" s="468">
        <f t="shared" si="47"/>
        <v>0</v>
      </c>
    </row>
    <row r="201" spans="1:41" ht="20.100000000000001" customHeight="1">
      <c r="A201" s="485">
        <v>189</v>
      </c>
      <c r="B201" s="205"/>
      <c r="C201" s="206"/>
      <c r="D201" s="1889"/>
      <c r="E201" s="1890"/>
      <c r="F201" s="1891"/>
      <c r="G201" s="207"/>
      <c r="H201" s="207"/>
      <c r="I201" s="208"/>
      <c r="J201" s="486">
        <f t="shared" si="42"/>
        <v>0</v>
      </c>
      <c r="K201" s="487">
        <f t="shared" si="43"/>
        <v>0</v>
      </c>
      <c r="L201" s="487" t="str">
        <f t="shared" si="44"/>
        <v/>
      </c>
      <c r="M201" s="487" t="str">
        <f xml:space="preserve">
IF(AL201&lt;&gt;"◎","",
IF(AND(表紙!X172="実績報告（１次）",DATE(IF(N201=5,2023,IF(N201=6,2024)),O201,P201)&lt;DATE(2023,5,8)),0,
IF(AND(OR(表紙!X172="実績報告（２次）",表紙!X172="交付申請兼実績報告"),DATE(IF(N201=5,2023,IF(N201=6,2024)),O201,P201)&lt;DATE(2023,10,1)),0,
MIN(K201,L201))))</f>
        <v/>
      </c>
      <c r="N201" s="725"/>
      <c r="O201" s="725"/>
      <c r="P201" s="725"/>
      <c r="Q201" s="488" t="str">
        <f xml:space="preserve">
IF(AL201&lt;&gt;"◎","",
IF(AND(表紙!X172="実績報告（１次）",DATE(IF(N201=5,2023,IF(N201=6,2024)),O201,P201)&lt;DATE(2023,5,8)),0,
IF(AND(OR(表紙!X172="実績報告（２次）",表紙!X172="交付申請兼実績報告"),DATE(IF(N201=5,2023,IF(N201=6,2024)),O201,P201)&lt;DATE(2023,10,1)),0,
G201*H201)))</f>
        <v/>
      </c>
      <c r="R201" s="724" t="str">
        <f xml:space="preserve">
IF(表紙!$X$2="事前協議","－",
IF(表紙!$X$2="交付申請（２次）","－",
IF(表紙!$X$2="変更申請","－",
IF(AND(OR(表紙!$X$2="実績報告（１次）",表紙!$X$2="実績報告（２次）",表紙!$X$2="交付申請兼実績報告"),AL201="◎"),COUNTIF($AL$30:AL201,"◎"),""))))</f>
        <v/>
      </c>
      <c r="S201" s="489" t="str">
        <f t="shared" si="45"/>
        <v/>
      </c>
      <c r="T201" s="765" t="str">
        <f t="shared" si="48"/>
        <v/>
      </c>
      <c r="U201" s="596" t="str">
        <f t="shared" si="46"/>
        <v/>
      </c>
      <c r="V201" s="787" t="str">
        <f t="shared" si="38"/>
        <v/>
      </c>
      <c r="W201" s="787" t="str">
        <f t="shared" si="39"/>
        <v/>
      </c>
      <c r="X201" s="787" t="str">
        <f t="shared" si="40"/>
        <v/>
      </c>
      <c r="Y201" s="491" t="str">
        <f t="shared" si="41"/>
        <v/>
      </c>
      <c r="AJ201" s="461" t="s">
        <v>466</v>
      </c>
      <c r="AK201" s="490">
        <v>189</v>
      </c>
      <c r="AL201" s="460" t="str">
        <f t="shared" si="49"/>
        <v>○</v>
      </c>
      <c r="AM201" s="468" t="str">
        <f t="shared" si="50"/>
        <v>申請しない場合は入力不要です。</v>
      </c>
      <c r="AO201" s="468">
        <f t="shared" si="47"/>
        <v>0</v>
      </c>
    </row>
    <row r="202" spans="1:41" ht="20.100000000000001" customHeight="1">
      <c r="A202" s="485">
        <v>190</v>
      </c>
      <c r="B202" s="205"/>
      <c r="C202" s="206"/>
      <c r="D202" s="1889"/>
      <c r="E202" s="1890"/>
      <c r="F202" s="1891"/>
      <c r="G202" s="207"/>
      <c r="H202" s="207"/>
      <c r="I202" s="208"/>
      <c r="J202" s="486">
        <f t="shared" si="42"/>
        <v>0</v>
      </c>
      <c r="K202" s="487">
        <f t="shared" si="43"/>
        <v>0</v>
      </c>
      <c r="L202" s="487" t="str">
        <f t="shared" si="44"/>
        <v/>
      </c>
      <c r="M202" s="487" t="str">
        <f xml:space="preserve">
IF(AL202&lt;&gt;"◎","",
IF(AND(表紙!X173="実績報告（１次）",DATE(IF(N202=5,2023,IF(N202=6,2024)),O202,P202)&lt;DATE(2023,5,8)),0,
IF(AND(OR(表紙!X173="実績報告（２次）",表紙!X173="交付申請兼実績報告"),DATE(IF(N202=5,2023,IF(N202=6,2024)),O202,P202)&lt;DATE(2023,10,1)),0,
MIN(K202,L202))))</f>
        <v/>
      </c>
      <c r="N202" s="725"/>
      <c r="O202" s="725"/>
      <c r="P202" s="725"/>
      <c r="Q202" s="488" t="str">
        <f xml:space="preserve">
IF(AL202&lt;&gt;"◎","",
IF(AND(表紙!X173="実績報告（１次）",DATE(IF(N202=5,2023,IF(N202=6,2024)),O202,P202)&lt;DATE(2023,5,8)),0,
IF(AND(OR(表紙!X173="実績報告（２次）",表紙!X173="交付申請兼実績報告"),DATE(IF(N202=5,2023,IF(N202=6,2024)),O202,P202)&lt;DATE(2023,10,1)),0,
G202*H202)))</f>
        <v/>
      </c>
      <c r="R202" s="724" t="str">
        <f xml:space="preserve">
IF(表紙!$X$2="事前協議","－",
IF(表紙!$X$2="交付申請（２次）","－",
IF(表紙!$X$2="変更申請","－",
IF(AND(OR(表紙!$X$2="実績報告（１次）",表紙!$X$2="実績報告（２次）",表紙!$X$2="交付申請兼実績報告"),AL202="◎"),COUNTIF($AL$30:AL202,"◎"),""))))</f>
        <v/>
      </c>
      <c r="S202" s="489" t="str">
        <f t="shared" si="45"/>
        <v/>
      </c>
      <c r="T202" s="765" t="str">
        <f t="shared" si="48"/>
        <v/>
      </c>
      <c r="U202" s="596" t="str">
        <f t="shared" si="46"/>
        <v/>
      </c>
      <c r="V202" s="787" t="str">
        <f t="shared" si="38"/>
        <v/>
      </c>
      <c r="W202" s="787" t="str">
        <f t="shared" si="39"/>
        <v/>
      </c>
      <c r="X202" s="787" t="str">
        <f t="shared" si="40"/>
        <v/>
      </c>
      <c r="Y202" s="491" t="str">
        <f t="shared" si="41"/>
        <v/>
      </c>
      <c r="AJ202" s="461" t="s">
        <v>466</v>
      </c>
      <c r="AK202" s="490">
        <v>190</v>
      </c>
      <c r="AL202" s="460" t="str">
        <f t="shared" si="49"/>
        <v>○</v>
      </c>
      <c r="AM202" s="468" t="str">
        <f t="shared" si="50"/>
        <v>申請しない場合は入力不要です。</v>
      </c>
      <c r="AO202" s="468">
        <f t="shared" si="47"/>
        <v>0</v>
      </c>
    </row>
    <row r="203" spans="1:41" ht="20.100000000000001" customHeight="1">
      <c r="A203" s="485">
        <v>191</v>
      </c>
      <c r="B203" s="205"/>
      <c r="C203" s="206"/>
      <c r="D203" s="1889"/>
      <c r="E203" s="1890"/>
      <c r="F203" s="1891"/>
      <c r="G203" s="207"/>
      <c r="H203" s="207"/>
      <c r="I203" s="208"/>
      <c r="J203" s="486">
        <f t="shared" si="42"/>
        <v>0</v>
      </c>
      <c r="K203" s="487">
        <f t="shared" si="43"/>
        <v>0</v>
      </c>
      <c r="L203" s="487" t="str">
        <f t="shared" si="44"/>
        <v/>
      </c>
      <c r="M203" s="487" t="str">
        <f xml:space="preserve">
IF(AL203&lt;&gt;"◎","",
IF(AND(表紙!X174="実績報告（１次）",DATE(IF(N203=5,2023,IF(N203=6,2024)),O203,P203)&lt;DATE(2023,5,8)),0,
IF(AND(OR(表紙!X174="実績報告（２次）",表紙!X174="交付申請兼実績報告"),DATE(IF(N203=5,2023,IF(N203=6,2024)),O203,P203)&lt;DATE(2023,10,1)),0,
MIN(K203,L203))))</f>
        <v/>
      </c>
      <c r="N203" s="725"/>
      <c r="O203" s="725"/>
      <c r="P203" s="725"/>
      <c r="Q203" s="488" t="str">
        <f xml:space="preserve">
IF(AL203&lt;&gt;"◎","",
IF(AND(表紙!X174="実績報告（１次）",DATE(IF(N203=5,2023,IF(N203=6,2024)),O203,P203)&lt;DATE(2023,5,8)),0,
IF(AND(OR(表紙!X174="実績報告（２次）",表紙!X174="交付申請兼実績報告"),DATE(IF(N203=5,2023,IF(N203=6,2024)),O203,P203)&lt;DATE(2023,10,1)),0,
G203*H203)))</f>
        <v/>
      </c>
      <c r="R203" s="724" t="str">
        <f xml:space="preserve">
IF(表紙!$X$2="事前協議","－",
IF(表紙!$X$2="交付申請（２次）","－",
IF(表紙!$X$2="変更申請","－",
IF(AND(OR(表紙!$X$2="実績報告（１次）",表紙!$X$2="実績報告（２次）",表紙!$X$2="交付申請兼実績報告"),AL203="◎"),COUNTIF($AL$30:AL203,"◎"),""))))</f>
        <v/>
      </c>
      <c r="S203" s="489" t="str">
        <f t="shared" si="45"/>
        <v/>
      </c>
      <c r="T203" s="765" t="str">
        <f t="shared" si="48"/>
        <v/>
      </c>
      <c r="U203" s="596" t="str">
        <f t="shared" si="46"/>
        <v/>
      </c>
      <c r="V203" s="787" t="str">
        <f t="shared" si="38"/>
        <v/>
      </c>
      <c r="W203" s="787" t="str">
        <f t="shared" si="39"/>
        <v/>
      </c>
      <c r="X203" s="787" t="str">
        <f t="shared" si="40"/>
        <v/>
      </c>
      <c r="Y203" s="491" t="str">
        <f t="shared" si="41"/>
        <v/>
      </c>
      <c r="AJ203" s="461" t="s">
        <v>466</v>
      </c>
      <c r="AK203" s="490">
        <v>191</v>
      </c>
      <c r="AL203" s="460" t="str">
        <f t="shared" si="49"/>
        <v>○</v>
      </c>
      <c r="AM203" s="468" t="str">
        <f t="shared" si="50"/>
        <v>申請しない場合は入力不要です。</v>
      </c>
      <c r="AO203" s="468">
        <f t="shared" si="47"/>
        <v>0</v>
      </c>
    </row>
    <row r="204" spans="1:41" ht="20.100000000000001" customHeight="1">
      <c r="A204" s="485">
        <v>192</v>
      </c>
      <c r="B204" s="205"/>
      <c r="C204" s="206"/>
      <c r="D204" s="1889"/>
      <c r="E204" s="1890"/>
      <c r="F204" s="1891"/>
      <c r="G204" s="207"/>
      <c r="H204" s="207"/>
      <c r="I204" s="208"/>
      <c r="J204" s="486">
        <f t="shared" si="42"/>
        <v>0</v>
      </c>
      <c r="K204" s="487">
        <f t="shared" si="43"/>
        <v>0</v>
      </c>
      <c r="L204" s="487" t="str">
        <f t="shared" si="44"/>
        <v/>
      </c>
      <c r="M204" s="487" t="str">
        <f xml:space="preserve">
IF(AL204&lt;&gt;"◎","",
IF(AND(表紙!X175="実績報告（１次）",DATE(IF(N204=5,2023,IF(N204=6,2024)),O204,P204)&lt;DATE(2023,5,8)),0,
IF(AND(OR(表紙!X175="実績報告（２次）",表紙!X175="交付申請兼実績報告"),DATE(IF(N204=5,2023,IF(N204=6,2024)),O204,P204)&lt;DATE(2023,10,1)),0,
MIN(K204,L204))))</f>
        <v/>
      </c>
      <c r="N204" s="725"/>
      <c r="O204" s="725"/>
      <c r="P204" s="725"/>
      <c r="Q204" s="488" t="str">
        <f xml:space="preserve">
IF(AL204&lt;&gt;"◎","",
IF(AND(表紙!X175="実績報告（１次）",DATE(IF(N204=5,2023,IF(N204=6,2024)),O204,P204)&lt;DATE(2023,5,8)),0,
IF(AND(OR(表紙!X175="実績報告（２次）",表紙!X175="交付申請兼実績報告"),DATE(IF(N204=5,2023,IF(N204=6,2024)),O204,P204)&lt;DATE(2023,10,1)),0,
G204*H204)))</f>
        <v/>
      </c>
      <c r="R204" s="724" t="str">
        <f xml:space="preserve">
IF(表紙!$X$2="事前協議","－",
IF(表紙!$X$2="交付申請（２次）","－",
IF(表紙!$X$2="変更申請","－",
IF(AND(OR(表紙!$X$2="実績報告（１次）",表紙!$X$2="実績報告（２次）",表紙!$X$2="交付申請兼実績報告"),AL204="◎"),COUNTIF($AL$30:AL204,"◎"),""))))</f>
        <v/>
      </c>
      <c r="S204" s="489" t="str">
        <f t="shared" si="45"/>
        <v/>
      </c>
      <c r="T204" s="765" t="str">
        <f t="shared" si="48"/>
        <v/>
      </c>
      <c r="U204" s="596" t="str">
        <f t="shared" si="46"/>
        <v/>
      </c>
      <c r="V204" s="787" t="str">
        <f t="shared" si="38"/>
        <v/>
      </c>
      <c r="W204" s="787" t="str">
        <f t="shared" si="39"/>
        <v/>
      </c>
      <c r="X204" s="787" t="str">
        <f t="shared" si="40"/>
        <v/>
      </c>
      <c r="Y204" s="491" t="str">
        <f t="shared" si="41"/>
        <v/>
      </c>
      <c r="AJ204" s="461" t="s">
        <v>466</v>
      </c>
      <c r="AK204" s="490">
        <v>192</v>
      </c>
      <c r="AL204" s="460" t="str">
        <f t="shared" si="49"/>
        <v>○</v>
      </c>
      <c r="AM204" s="468" t="str">
        <f t="shared" si="50"/>
        <v>申請しない場合は入力不要です。</v>
      </c>
      <c r="AO204" s="468">
        <f t="shared" si="47"/>
        <v>0</v>
      </c>
    </row>
    <row r="205" spans="1:41" ht="20.100000000000001" customHeight="1">
      <c r="A205" s="485">
        <v>193</v>
      </c>
      <c r="B205" s="205"/>
      <c r="C205" s="206"/>
      <c r="D205" s="1889"/>
      <c r="E205" s="1890"/>
      <c r="F205" s="1891"/>
      <c r="G205" s="207"/>
      <c r="H205" s="207"/>
      <c r="I205" s="208"/>
      <c r="J205" s="486">
        <f t="shared" si="42"/>
        <v>0</v>
      </c>
      <c r="K205" s="487">
        <f t="shared" si="43"/>
        <v>0</v>
      </c>
      <c r="L205" s="487" t="str">
        <f t="shared" si="44"/>
        <v/>
      </c>
      <c r="M205" s="487" t="str">
        <f xml:space="preserve">
IF(AL205&lt;&gt;"◎","",
IF(AND(表紙!X176="実績報告（１次）",DATE(IF(N205=5,2023,IF(N205=6,2024)),O205,P205)&lt;DATE(2023,5,8)),0,
IF(AND(OR(表紙!X176="実績報告（２次）",表紙!X176="交付申請兼実績報告"),DATE(IF(N205=5,2023,IF(N205=6,2024)),O205,P205)&lt;DATE(2023,10,1)),0,
MIN(K205,L205))))</f>
        <v/>
      </c>
      <c r="N205" s="725"/>
      <c r="O205" s="725"/>
      <c r="P205" s="725"/>
      <c r="Q205" s="488" t="str">
        <f xml:space="preserve">
IF(AL205&lt;&gt;"◎","",
IF(AND(表紙!X176="実績報告（１次）",DATE(IF(N205=5,2023,IF(N205=6,2024)),O205,P205)&lt;DATE(2023,5,8)),0,
IF(AND(OR(表紙!X176="実績報告（２次）",表紙!X176="交付申請兼実績報告"),DATE(IF(N205=5,2023,IF(N205=6,2024)),O205,P205)&lt;DATE(2023,10,1)),0,
G205*H205)))</f>
        <v/>
      </c>
      <c r="R205" s="724" t="str">
        <f xml:space="preserve">
IF(表紙!$X$2="事前協議","－",
IF(表紙!$X$2="交付申請（２次）","－",
IF(表紙!$X$2="変更申請","－",
IF(AND(OR(表紙!$X$2="実績報告（１次）",表紙!$X$2="実績報告（２次）",表紙!$X$2="交付申請兼実績報告"),AL205="◎"),COUNTIF($AL$30:AL205,"◎"),""))))</f>
        <v/>
      </c>
      <c r="S205" s="489" t="str">
        <f t="shared" si="45"/>
        <v/>
      </c>
      <c r="T205" s="765" t="str">
        <f t="shared" si="48"/>
        <v/>
      </c>
      <c r="U205" s="596" t="str">
        <f t="shared" si="46"/>
        <v/>
      </c>
      <c r="V205" s="787" t="str">
        <f t="shared" si="38"/>
        <v/>
      </c>
      <c r="W205" s="787" t="str">
        <f t="shared" si="39"/>
        <v/>
      </c>
      <c r="X205" s="787" t="str">
        <f t="shared" si="40"/>
        <v/>
      </c>
      <c r="Y205" s="491" t="str">
        <f t="shared" si="41"/>
        <v/>
      </c>
      <c r="AJ205" s="461" t="s">
        <v>466</v>
      </c>
      <c r="AK205" s="490">
        <v>193</v>
      </c>
      <c r="AL205" s="460" t="str">
        <f t="shared" si="49"/>
        <v>○</v>
      </c>
      <c r="AM205" s="468" t="str">
        <f t="shared" si="50"/>
        <v>申請しない場合は入力不要です。</v>
      </c>
      <c r="AO205" s="468">
        <f t="shared" si="47"/>
        <v>0</v>
      </c>
    </row>
    <row r="206" spans="1:41" ht="20.100000000000001" customHeight="1">
      <c r="A206" s="485">
        <v>194</v>
      </c>
      <c r="B206" s="205"/>
      <c r="C206" s="206"/>
      <c r="D206" s="1889"/>
      <c r="E206" s="1890"/>
      <c r="F206" s="1891"/>
      <c r="G206" s="207"/>
      <c r="H206" s="207"/>
      <c r="I206" s="208"/>
      <c r="J206" s="486">
        <f t="shared" si="42"/>
        <v>0</v>
      </c>
      <c r="K206" s="487">
        <f t="shared" si="43"/>
        <v>0</v>
      </c>
      <c r="L206" s="487" t="str">
        <f t="shared" si="44"/>
        <v/>
      </c>
      <c r="M206" s="487" t="str">
        <f xml:space="preserve">
IF(AL206&lt;&gt;"◎","",
IF(AND(表紙!X177="実績報告（１次）",DATE(IF(N206=5,2023,IF(N206=6,2024)),O206,P206)&lt;DATE(2023,5,8)),0,
IF(AND(OR(表紙!X177="実績報告（２次）",表紙!X177="交付申請兼実績報告"),DATE(IF(N206=5,2023,IF(N206=6,2024)),O206,P206)&lt;DATE(2023,10,1)),0,
MIN(K206,L206))))</f>
        <v/>
      </c>
      <c r="N206" s="725"/>
      <c r="O206" s="725"/>
      <c r="P206" s="725"/>
      <c r="Q206" s="488" t="str">
        <f xml:space="preserve">
IF(AL206&lt;&gt;"◎","",
IF(AND(表紙!X177="実績報告（１次）",DATE(IF(N206=5,2023,IF(N206=6,2024)),O206,P206)&lt;DATE(2023,5,8)),0,
IF(AND(OR(表紙!X177="実績報告（２次）",表紙!X177="交付申請兼実績報告"),DATE(IF(N206=5,2023,IF(N206=6,2024)),O206,P206)&lt;DATE(2023,10,1)),0,
G206*H206)))</f>
        <v/>
      </c>
      <c r="R206" s="724" t="str">
        <f xml:space="preserve">
IF(表紙!$X$2="事前協議","－",
IF(表紙!$X$2="交付申請（２次）","－",
IF(表紙!$X$2="変更申請","－",
IF(AND(OR(表紙!$X$2="実績報告（１次）",表紙!$X$2="実績報告（２次）",表紙!$X$2="交付申請兼実績報告"),AL206="◎"),COUNTIF($AL$30:AL206,"◎"),""))))</f>
        <v/>
      </c>
      <c r="S206" s="489" t="str">
        <f t="shared" si="45"/>
        <v/>
      </c>
      <c r="T206" s="765" t="str">
        <f t="shared" si="48"/>
        <v/>
      </c>
      <c r="U206" s="596" t="str">
        <f t="shared" si="46"/>
        <v/>
      </c>
      <c r="V206" s="787" t="str">
        <f t="shared" ref="V206:V211" si="51">IF($U206=MAX($U$13:$U$212),N206,"")</f>
        <v/>
      </c>
      <c r="W206" s="787" t="str">
        <f t="shared" ref="W206:W211" si="52">IF($U206=MAX($U$13:$U$212),O206,"")</f>
        <v/>
      </c>
      <c r="X206" s="787" t="str">
        <f t="shared" ref="X206:X211" si="53">IF($U206=MAX($U$13:$U$212),P206,"")</f>
        <v/>
      </c>
      <c r="Y206" s="491" t="str">
        <f t="shared" ref="Y206:Y212" si="54">U206&amp;
IF(OR(C206="N95マスク",C206="ハイラックマスク"),"N95マスク・ハイラックマスク",
IF(OR(C206="ニトリルグローブ",C206="プラスチックグローブ等"),"グローブ",
IF(OR(C206="アイソレーションガウン",C206="プラスチックガウン",C206="エプロン"),"ガウン",C206)))</f>
        <v/>
      </c>
      <c r="AJ206" s="461" t="s">
        <v>466</v>
      </c>
      <c r="AK206" s="490">
        <v>194</v>
      </c>
      <c r="AL206" s="460" t="str">
        <f t="shared" si="49"/>
        <v>○</v>
      </c>
      <c r="AM206" s="468" t="str">
        <f t="shared" si="50"/>
        <v>申請しない場合は入力不要です。</v>
      </c>
      <c r="AO206" s="468">
        <f t="shared" si="47"/>
        <v>0</v>
      </c>
    </row>
    <row r="207" spans="1:41" ht="20.100000000000001" customHeight="1">
      <c r="A207" s="485">
        <v>195</v>
      </c>
      <c r="B207" s="205"/>
      <c r="C207" s="206"/>
      <c r="D207" s="1889"/>
      <c r="E207" s="1890"/>
      <c r="F207" s="1891"/>
      <c r="G207" s="207"/>
      <c r="H207" s="207"/>
      <c r="I207" s="208"/>
      <c r="J207" s="486">
        <f t="shared" ref="J207:J212" si="55">ROUNDDOWN(I207*1.1,0)</f>
        <v>0</v>
      </c>
      <c r="K207" s="487">
        <f t="shared" ref="K207:K212" si="56">ROUNDDOWN(H207*J207,0)</f>
        <v>0</v>
      </c>
      <c r="L207" s="487" t="str">
        <f t="shared" ref="L207:L212" si="57">IFERROR(G207*H207*VLOOKUP(C207,$AY$123:$AZ$139,2,FALSE),"")</f>
        <v/>
      </c>
      <c r="M207" s="487" t="str">
        <f xml:space="preserve">
IF(AL207&lt;&gt;"◎","",
IF(AND(表紙!X178="実績報告（１次）",DATE(IF(N207=5,2023,IF(N207=6,2024)),O207,P207)&lt;DATE(2023,5,8)),0,
IF(AND(OR(表紙!X178="実績報告（２次）",表紙!X178="交付申請兼実績報告"),DATE(IF(N207=5,2023,IF(N207=6,2024)),O207,P207)&lt;DATE(2023,10,1)),0,
MIN(K207,L207))))</f>
        <v/>
      </c>
      <c r="N207" s="725"/>
      <c r="O207" s="725"/>
      <c r="P207" s="725"/>
      <c r="Q207" s="488" t="str">
        <f xml:space="preserve">
IF(AL207&lt;&gt;"◎","",
IF(AND(表紙!X178="実績報告（１次）",DATE(IF(N207=5,2023,IF(N207=6,2024)),O207,P207)&lt;DATE(2023,5,8)),0,
IF(AND(OR(表紙!X178="実績報告（２次）",表紙!X178="交付申請兼実績報告"),DATE(IF(N207=5,2023,IF(N207=6,2024)),O207,P207)&lt;DATE(2023,10,1)),0,
G207*H207)))</f>
        <v/>
      </c>
      <c r="R207" s="724" t="str">
        <f xml:space="preserve">
IF(表紙!$X$2="事前協議","－",
IF(表紙!$X$2="交付申請（２次）","－",
IF(表紙!$X$2="変更申請","－",
IF(AND(OR(表紙!$X$2="実績報告（１次）",表紙!$X$2="実績報告（２次）",表紙!$X$2="交付申請兼実績報告"),AL207="◎"),COUNTIF($AL$30:AL207,"◎"),""))))</f>
        <v/>
      </c>
      <c r="S207" s="489" t="str">
        <f t="shared" ref="S207:S212" si="58">IFERROR(
"@"&amp;TEXT(ROUNDUP(J207/G207,0),"#,###円")&amp;
IF(ROUNDUP(J207/G207,0)&lt;VLOOKUP(C207,$AY$123:$AZ$139,2,FALSE),"&lt;",
IF(ROUNDUP(J207/G207,0)=VLOOKUP(C207,$AY$123:$AZ$139,2,FALSE),"=",
IF(ROUNDUP(J207/G207,0)&gt;VLOOKUP(C207,$AY$123:$AZ$139,2,FALSE),"&gt;")))&amp;
"上限@"&amp;TEXT(VLOOKUP(C207,$AY$123:$AZ$139,2,FALSE),"#,###円"),"")</f>
        <v/>
      </c>
      <c r="T207" s="765" t="str">
        <f t="shared" si="48"/>
        <v/>
      </c>
      <c r="U207" s="596" t="str">
        <f t="shared" ref="U207:U212" si="59">IF(AL207="◎",DATE(IF(N207=5,2023,IF(N207=6,2024)),O207,P207),"")</f>
        <v/>
      </c>
      <c r="V207" s="787" t="str">
        <f t="shared" si="51"/>
        <v/>
      </c>
      <c r="W207" s="787" t="str">
        <f t="shared" si="52"/>
        <v/>
      </c>
      <c r="X207" s="787" t="str">
        <f t="shared" si="53"/>
        <v/>
      </c>
      <c r="Y207" s="491" t="str">
        <f t="shared" si="54"/>
        <v/>
      </c>
      <c r="AJ207" s="461" t="s">
        <v>466</v>
      </c>
      <c r="AK207" s="490">
        <v>195</v>
      </c>
      <c r="AL207" s="460" t="str">
        <f t="shared" si="49"/>
        <v>○</v>
      </c>
      <c r="AM207" s="468" t="str">
        <f t="shared" si="50"/>
        <v>申請しない場合は入力不要です。</v>
      </c>
      <c r="AO207" s="468">
        <f t="shared" ref="AO207:AO212" si="60">G207*H207</f>
        <v>0</v>
      </c>
    </row>
    <row r="208" spans="1:41" ht="20.100000000000001" customHeight="1">
      <c r="A208" s="485">
        <v>196</v>
      </c>
      <c r="B208" s="205"/>
      <c r="C208" s="206"/>
      <c r="D208" s="1889"/>
      <c r="E208" s="1890"/>
      <c r="F208" s="1891"/>
      <c r="G208" s="207"/>
      <c r="H208" s="207"/>
      <c r="I208" s="208"/>
      <c r="J208" s="486">
        <f t="shared" si="55"/>
        <v>0</v>
      </c>
      <c r="K208" s="487">
        <f t="shared" si="56"/>
        <v>0</v>
      </c>
      <c r="L208" s="487" t="str">
        <f t="shared" si="57"/>
        <v/>
      </c>
      <c r="M208" s="487" t="str">
        <f xml:space="preserve">
IF(AL208&lt;&gt;"◎","",
IF(AND(表紙!X179="実績報告（１次）",DATE(IF(N208=5,2023,IF(N208=6,2024)),O208,P208)&lt;DATE(2023,5,8)),0,
IF(AND(OR(表紙!X179="実績報告（２次）",表紙!X179="交付申請兼実績報告"),DATE(IF(N208=5,2023,IF(N208=6,2024)),O208,P208)&lt;DATE(2023,10,1)),0,
MIN(K208,L208))))</f>
        <v/>
      </c>
      <c r="N208" s="725"/>
      <c r="O208" s="725"/>
      <c r="P208" s="725"/>
      <c r="Q208" s="488" t="str">
        <f xml:space="preserve">
IF(AL208&lt;&gt;"◎","",
IF(AND(表紙!X179="実績報告（１次）",DATE(IF(N208=5,2023,IF(N208=6,2024)),O208,P208)&lt;DATE(2023,5,8)),0,
IF(AND(OR(表紙!X179="実績報告（２次）",表紙!X179="交付申請兼実績報告"),DATE(IF(N208=5,2023,IF(N208=6,2024)),O208,P208)&lt;DATE(2023,10,1)),0,
G208*H208)))</f>
        <v/>
      </c>
      <c r="R208" s="724" t="str">
        <f xml:space="preserve">
IF(表紙!$X$2="事前協議","－",
IF(表紙!$X$2="交付申請（２次）","－",
IF(表紙!$X$2="変更申請","－",
IF(AND(OR(表紙!$X$2="実績報告（１次）",表紙!$X$2="実績報告（２次）",表紙!$X$2="交付申請兼実績報告"),AL208="◎"),COUNTIF($AL$30:AL208,"◎"),""))))</f>
        <v/>
      </c>
      <c r="S208" s="489" t="str">
        <f t="shared" si="58"/>
        <v/>
      </c>
      <c r="T208" s="765" t="str">
        <f t="shared" si="48"/>
        <v/>
      </c>
      <c r="U208" s="596" t="str">
        <f t="shared" si="59"/>
        <v/>
      </c>
      <c r="V208" s="787" t="str">
        <f t="shared" si="51"/>
        <v/>
      </c>
      <c r="W208" s="787" t="str">
        <f t="shared" si="52"/>
        <v/>
      </c>
      <c r="X208" s="787" t="str">
        <f t="shared" si="53"/>
        <v/>
      </c>
      <c r="Y208" s="491" t="str">
        <f t="shared" si="54"/>
        <v/>
      </c>
      <c r="AJ208" s="461" t="s">
        <v>466</v>
      </c>
      <c r="AK208" s="490">
        <v>196</v>
      </c>
      <c r="AL208" s="460" t="str">
        <f t="shared" si="49"/>
        <v>○</v>
      </c>
      <c r="AM208" s="468" t="str">
        <f t="shared" si="50"/>
        <v>申請しない場合は入力不要です。</v>
      </c>
      <c r="AO208" s="468">
        <f t="shared" si="60"/>
        <v>0</v>
      </c>
    </row>
    <row r="209" spans="1:41" ht="20.100000000000001" customHeight="1">
      <c r="A209" s="485">
        <v>197</v>
      </c>
      <c r="B209" s="205"/>
      <c r="C209" s="206"/>
      <c r="D209" s="1889"/>
      <c r="E209" s="1890"/>
      <c r="F209" s="1891"/>
      <c r="G209" s="207"/>
      <c r="H209" s="207"/>
      <c r="I209" s="208"/>
      <c r="J209" s="486">
        <f t="shared" si="55"/>
        <v>0</v>
      </c>
      <c r="K209" s="487">
        <f t="shared" si="56"/>
        <v>0</v>
      </c>
      <c r="L209" s="487" t="str">
        <f t="shared" si="57"/>
        <v/>
      </c>
      <c r="M209" s="487" t="str">
        <f xml:space="preserve">
IF(AL209&lt;&gt;"◎","",
IF(AND(表紙!X180="実績報告（１次）",DATE(IF(N209=5,2023,IF(N209=6,2024)),O209,P209)&lt;DATE(2023,5,8)),0,
IF(AND(OR(表紙!X180="実績報告（２次）",表紙!X180="交付申請兼実績報告"),DATE(IF(N209=5,2023,IF(N209=6,2024)),O209,P209)&lt;DATE(2023,10,1)),0,
MIN(K209,L209))))</f>
        <v/>
      </c>
      <c r="N209" s="725"/>
      <c r="O209" s="725"/>
      <c r="P209" s="725"/>
      <c r="Q209" s="488" t="str">
        <f xml:space="preserve">
IF(AL209&lt;&gt;"◎","",
IF(AND(表紙!X180="実績報告（１次）",DATE(IF(N209=5,2023,IF(N209=6,2024)),O209,P209)&lt;DATE(2023,5,8)),0,
IF(AND(OR(表紙!X180="実績報告（２次）",表紙!X180="交付申請兼実績報告"),DATE(IF(N209=5,2023,IF(N209=6,2024)),O209,P209)&lt;DATE(2023,10,1)),0,
G209*H209)))</f>
        <v/>
      </c>
      <c r="R209" s="724" t="str">
        <f xml:space="preserve">
IF(表紙!$X$2="事前協議","－",
IF(表紙!$X$2="交付申請（２次）","－",
IF(表紙!$X$2="変更申請","－",
IF(AND(OR(表紙!$X$2="実績報告（１次）",表紙!$X$2="実績報告（２次）",表紙!$X$2="交付申請兼実績報告"),AL209="◎"),COUNTIF($AL$30:AL209,"◎"),""))))</f>
        <v/>
      </c>
      <c r="S209" s="489" t="str">
        <f t="shared" si="58"/>
        <v/>
      </c>
      <c r="T209" s="765" t="str">
        <f t="shared" si="48"/>
        <v/>
      </c>
      <c r="U209" s="596" t="str">
        <f t="shared" si="59"/>
        <v/>
      </c>
      <c r="V209" s="787" t="str">
        <f t="shared" si="51"/>
        <v/>
      </c>
      <c r="W209" s="787" t="str">
        <f t="shared" si="52"/>
        <v/>
      </c>
      <c r="X209" s="787" t="str">
        <f t="shared" si="53"/>
        <v/>
      </c>
      <c r="Y209" s="491" t="str">
        <f t="shared" si="54"/>
        <v/>
      </c>
      <c r="AJ209" s="461" t="s">
        <v>466</v>
      </c>
      <c r="AK209" s="490">
        <v>197</v>
      </c>
      <c r="AL209" s="460" t="str">
        <f t="shared" si="49"/>
        <v>○</v>
      </c>
      <c r="AM209" s="468" t="str">
        <f t="shared" si="50"/>
        <v>申請しない場合は入力不要です。</v>
      </c>
      <c r="AO209" s="468">
        <f t="shared" si="60"/>
        <v>0</v>
      </c>
    </row>
    <row r="210" spans="1:41" ht="20.100000000000001" customHeight="1">
      <c r="A210" s="485">
        <v>198</v>
      </c>
      <c r="B210" s="205"/>
      <c r="C210" s="206"/>
      <c r="D210" s="1889"/>
      <c r="E210" s="1890"/>
      <c r="F210" s="1891"/>
      <c r="G210" s="207"/>
      <c r="H210" s="207"/>
      <c r="I210" s="208"/>
      <c r="J210" s="486">
        <f t="shared" si="55"/>
        <v>0</v>
      </c>
      <c r="K210" s="487">
        <f t="shared" si="56"/>
        <v>0</v>
      </c>
      <c r="L210" s="487" t="str">
        <f t="shared" si="57"/>
        <v/>
      </c>
      <c r="M210" s="487" t="str">
        <f xml:space="preserve">
IF(AL210&lt;&gt;"◎","",
IF(AND(表紙!X181="実績報告（１次）",DATE(IF(N210=5,2023,IF(N210=6,2024)),O210,P210)&lt;DATE(2023,5,8)),0,
IF(AND(OR(表紙!X181="実績報告（２次）",表紙!X181="交付申請兼実績報告"),DATE(IF(N210=5,2023,IF(N210=6,2024)),O210,P210)&lt;DATE(2023,10,1)),0,
MIN(K210,L210))))</f>
        <v/>
      </c>
      <c r="N210" s="725"/>
      <c r="O210" s="725"/>
      <c r="P210" s="725"/>
      <c r="Q210" s="488" t="str">
        <f xml:space="preserve">
IF(AL210&lt;&gt;"◎","",
IF(AND(表紙!X181="実績報告（１次）",DATE(IF(N210=5,2023,IF(N210=6,2024)),O210,P210)&lt;DATE(2023,5,8)),0,
IF(AND(OR(表紙!X181="実績報告（２次）",表紙!X181="交付申請兼実績報告"),DATE(IF(N210=5,2023,IF(N210=6,2024)),O210,P210)&lt;DATE(2023,10,1)),0,
G210*H210)))</f>
        <v/>
      </c>
      <c r="R210" s="724" t="str">
        <f xml:space="preserve">
IF(表紙!$X$2="事前協議","－",
IF(表紙!$X$2="交付申請（２次）","－",
IF(表紙!$X$2="変更申請","－",
IF(AND(OR(表紙!$X$2="実績報告（１次）",表紙!$X$2="実績報告（２次）",表紙!$X$2="交付申請兼実績報告"),AL210="◎"),COUNTIF($AL$30:AL210,"◎"),""))))</f>
        <v/>
      </c>
      <c r="S210" s="489" t="str">
        <f t="shared" si="58"/>
        <v/>
      </c>
      <c r="T210" s="765" t="str">
        <f t="shared" si="48"/>
        <v/>
      </c>
      <c r="U210" s="596" t="str">
        <f t="shared" si="59"/>
        <v/>
      </c>
      <c r="V210" s="787" t="str">
        <f t="shared" si="51"/>
        <v/>
      </c>
      <c r="W210" s="787" t="str">
        <f t="shared" si="52"/>
        <v/>
      </c>
      <c r="X210" s="787" t="str">
        <f t="shared" si="53"/>
        <v/>
      </c>
      <c r="Y210" s="491" t="str">
        <f t="shared" si="54"/>
        <v/>
      </c>
      <c r="AJ210" s="461" t="s">
        <v>466</v>
      </c>
      <c r="AK210" s="490">
        <v>198</v>
      </c>
      <c r="AL210" s="460" t="str">
        <f t="shared" si="49"/>
        <v>○</v>
      </c>
      <c r="AM210" s="468" t="str">
        <f t="shared" si="50"/>
        <v>申請しない場合は入力不要です。</v>
      </c>
      <c r="AO210" s="468">
        <f t="shared" si="60"/>
        <v>0</v>
      </c>
    </row>
    <row r="211" spans="1:41" ht="20.100000000000001" customHeight="1">
      <c r="A211" s="485">
        <v>199</v>
      </c>
      <c r="B211" s="205"/>
      <c r="C211" s="206"/>
      <c r="D211" s="1889"/>
      <c r="E211" s="1890"/>
      <c r="F211" s="1891"/>
      <c r="G211" s="207"/>
      <c r="H211" s="207"/>
      <c r="I211" s="208"/>
      <c r="J211" s="486">
        <f t="shared" si="55"/>
        <v>0</v>
      </c>
      <c r="K211" s="487">
        <f t="shared" si="56"/>
        <v>0</v>
      </c>
      <c r="L211" s="487" t="str">
        <f t="shared" si="57"/>
        <v/>
      </c>
      <c r="M211" s="487" t="str">
        <f xml:space="preserve">
IF(AL211&lt;&gt;"◎","",
IF(AND(表紙!X182="実績報告（１次）",DATE(IF(N211=5,2023,IF(N211=6,2024)),O211,P211)&lt;DATE(2023,5,8)),0,
IF(AND(OR(表紙!X182="実績報告（２次）",表紙!X182="交付申請兼実績報告"),DATE(IF(N211=5,2023,IF(N211=6,2024)),O211,P211)&lt;DATE(2023,10,1)),0,
MIN(K211,L211))))</f>
        <v/>
      </c>
      <c r="N211" s="725"/>
      <c r="O211" s="725"/>
      <c r="P211" s="725"/>
      <c r="Q211" s="488" t="str">
        <f xml:space="preserve">
IF(AL211&lt;&gt;"◎","",
IF(AND(表紙!X182="実績報告（１次）",DATE(IF(N211=5,2023,IF(N211=6,2024)),O211,P211)&lt;DATE(2023,5,8)),0,
IF(AND(OR(表紙!X182="実績報告（２次）",表紙!X182="交付申請兼実績報告"),DATE(IF(N211=5,2023,IF(N211=6,2024)),O211,P211)&lt;DATE(2023,10,1)),0,
G211*H211)))</f>
        <v/>
      </c>
      <c r="R211" s="724" t="str">
        <f xml:space="preserve">
IF(表紙!$X$2="事前協議","－",
IF(表紙!$X$2="交付申請（２次）","－",
IF(表紙!$X$2="変更申請","－",
IF(AND(OR(表紙!$X$2="実績報告（１次）",表紙!$X$2="実績報告（２次）",表紙!$X$2="交付申請兼実績報告"),AL211="◎"),COUNTIF($AL$30:AL211,"◎"),""))))</f>
        <v/>
      </c>
      <c r="S211" s="489" t="str">
        <f t="shared" si="58"/>
        <v/>
      </c>
      <c r="T211" s="765" t="str">
        <f t="shared" si="48"/>
        <v/>
      </c>
      <c r="U211" s="596" t="str">
        <f t="shared" si="59"/>
        <v/>
      </c>
      <c r="V211" s="787" t="str">
        <f t="shared" si="51"/>
        <v/>
      </c>
      <c r="W211" s="787" t="str">
        <f t="shared" si="52"/>
        <v/>
      </c>
      <c r="X211" s="787" t="str">
        <f t="shared" si="53"/>
        <v/>
      </c>
      <c r="Y211" s="491" t="str">
        <f t="shared" si="54"/>
        <v/>
      </c>
      <c r="AJ211" s="461" t="s">
        <v>466</v>
      </c>
      <c r="AK211" s="490">
        <v>199</v>
      </c>
      <c r="AL211" s="460" t="str">
        <f t="shared" si="49"/>
        <v>○</v>
      </c>
      <c r="AM211" s="468" t="str">
        <f t="shared" si="50"/>
        <v>申請しない場合は入力不要です。</v>
      </c>
      <c r="AO211" s="468">
        <f t="shared" si="60"/>
        <v>0</v>
      </c>
    </row>
    <row r="212" spans="1:41" ht="20.100000000000001" customHeight="1">
      <c r="A212" s="485">
        <v>200</v>
      </c>
      <c r="B212" s="205"/>
      <c r="C212" s="206"/>
      <c r="D212" s="1889"/>
      <c r="E212" s="1890"/>
      <c r="F212" s="1891"/>
      <c r="G212" s="207"/>
      <c r="H212" s="207"/>
      <c r="I212" s="208"/>
      <c r="J212" s="486">
        <f t="shared" si="55"/>
        <v>0</v>
      </c>
      <c r="K212" s="487">
        <f t="shared" si="56"/>
        <v>0</v>
      </c>
      <c r="L212" s="487" t="str">
        <f t="shared" si="57"/>
        <v/>
      </c>
      <c r="M212" s="487" t="str">
        <f xml:space="preserve">
IF(AL212&lt;&gt;"◎","",
IF(AND(表紙!X183="実績報告（１次）",DATE(IF(N212=5,2023,IF(N212=6,2024)),O212,P212)&lt;DATE(2023,5,8)),0,
IF(AND(OR(表紙!X183="実績報告（２次）",表紙!X183="交付申請兼実績報告"),DATE(IF(N212=5,2023,IF(N212=6,2024)),O212,P212)&lt;DATE(2023,10,1)),0,
MIN(K212,L212))))</f>
        <v/>
      </c>
      <c r="N212" s="725"/>
      <c r="O212" s="725"/>
      <c r="P212" s="725"/>
      <c r="Q212" s="488" t="str">
        <f xml:space="preserve">
IF(AL212&lt;&gt;"◎","",
IF(AND(表紙!X183="実績報告（１次）",DATE(IF(N212=5,2023,IF(N212=6,2024)),O212,P212)&lt;DATE(2023,5,8)),0,
IF(AND(OR(表紙!X183="実績報告（２次）",表紙!X183="交付申請兼実績報告"),DATE(IF(N212=5,2023,IF(N212=6,2024)),O212,P212)&lt;DATE(2023,10,1)),0,
G212*H212)))</f>
        <v/>
      </c>
      <c r="R212" s="724" t="str">
        <f xml:space="preserve">
IF(表紙!$X$2="事前協議","－",
IF(表紙!$X$2="交付申請（２次）","－",
IF(表紙!$X$2="変更申請","－",
IF(AND(OR(表紙!$X$2="実績報告（１次）",表紙!$X$2="実績報告（２次）",表紙!$X$2="交付申請兼実績報告"),AL212="◎"),COUNTIF($AL$30:AL212,"◎"),""))))</f>
        <v/>
      </c>
      <c r="S212" s="489" t="str">
        <f t="shared" si="58"/>
        <v/>
      </c>
      <c r="T212" s="765" t="str">
        <f t="shared" si="48"/>
        <v/>
      </c>
      <c r="U212" s="596" t="str">
        <f t="shared" si="59"/>
        <v/>
      </c>
      <c r="V212" s="787" t="str">
        <f>IF($U212=MAX($U$13:$U$212),N212,"")</f>
        <v/>
      </c>
      <c r="W212" s="787" t="str">
        <f>IF($U212=MAX($U$13:$U$212),O212,"")</f>
        <v/>
      </c>
      <c r="X212" s="787" t="str">
        <f>IF($U212=MAX($U$13:$U$212),P212,"")</f>
        <v/>
      </c>
      <c r="Y212" s="491" t="str">
        <f t="shared" si="54"/>
        <v/>
      </c>
      <c r="AJ212" s="461" t="s">
        <v>466</v>
      </c>
      <c r="AK212" s="490">
        <v>200</v>
      </c>
      <c r="AL212" s="460" t="str">
        <f t="shared" si="49"/>
        <v>○</v>
      </c>
      <c r="AM212" s="468" t="str">
        <f t="shared" si="50"/>
        <v>申請しない場合は入力不要です。</v>
      </c>
      <c r="AO212" s="468">
        <f t="shared" si="60"/>
        <v>0</v>
      </c>
    </row>
  </sheetData>
  <sheetProtection algorithmName="SHA-512" hashValue="2/V+SAXumL23GQyxHcG5NXshOwwdgjh8OmigNrEHdi2zClS0DKAUd1UNHaqEbpx+HbvHSzyOcaenhlwmCxPK2A==" saltValue="Y2F4Mrhf5DTOnbbHIhjf0A==" spinCount="100000" sheet="1" insertRows="0"/>
  <mergeCells count="232">
    <mergeCell ref="BA122:BB122"/>
    <mergeCell ref="D208:F208"/>
    <mergeCell ref="D209:F209"/>
    <mergeCell ref="D210:F210"/>
    <mergeCell ref="D211:F211"/>
    <mergeCell ref="D212:F212"/>
    <mergeCell ref="D199:F199"/>
    <mergeCell ref="D200:F200"/>
    <mergeCell ref="D201:F201"/>
    <mergeCell ref="D202:F202"/>
    <mergeCell ref="D203:F203"/>
    <mergeCell ref="D204:F204"/>
    <mergeCell ref="D205:F205"/>
    <mergeCell ref="D206:F206"/>
    <mergeCell ref="D207:F207"/>
    <mergeCell ref="D190:F190"/>
    <mergeCell ref="D191:F191"/>
    <mergeCell ref="D192:F192"/>
    <mergeCell ref="D193:F193"/>
    <mergeCell ref="D194:F194"/>
    <mergeCell ref="D195:F195"/>
    <mergeCell ref="D196:F196"/>
    <mergeCell ref="D197:F197"/>
    <mergeCell ref="D198:F198"/>
    <mergeCell ref="D181:F181"/>
    <mergeCell ref="D182:F182"/>
    <mergeCell ref="D183:F183"/>
    <mergeCell ref="D184:F184"/>
    <mergeCell ref="D185:F185"/>
    <mergeCell ref="D186:F186"/>
    <mergeCell ref="D187:F187"/>
    <mergeCell ref="D188:F188"/>
    <mergeCell ref="D189:F189"/>
    <mergeCell ref="D172:F172"/>
    <mergeCell ref="D173:F173"/>
    <mergeCell ref="D174:F174"/>
    <mergeCell ref="D175:F175"/>
    <mergeCell ref="D176:F176"/>
    <mergeCell ref="D177:F177"/>
    <mergeCell ref="D178:F178"/>
    <mergeCell ref="D179:F179"/>
    <mergeCell ref="D180:F180"/>
    <mergeCell ref="D163:F163"/>
    <mergeCell ref="D164:F164"/>
    <mergeCell ref="D165:F165"/>
    <mergeCell ref="D166:F166"/>
    <mergeCell ref="D167:F167"/>
    <mergeCell ref="D168:F168"/>
    <mergeCell ref="D169:F169"/>
    <mergeCell ref="D170:F170"/>
    <mergeCell ref="D171:F171"/>
    <mergeCell ref="D154:F154"/>
    <mergeCell ref="D155:F155"/>
    <mergeCell ref="D156:F156"/>
    <mergeCell ref="D157:F157"/>
    <mergeCell ref="D158:F158"/>
    <mergeCell ref="D159:F159"/>
    <mergeCell ref="D160:F160"/>
    <mergeCell ref="D161:F161"/>
    <mergeCell ref="D162:F162"/>
    <mergeCell ref="D145:F145"/>
    <mergeCell ref="D146:F146"/>
    <mergeCell ref="D147:F147"/>
    <mergeCell ref="D148:F148"/>
    <mergeCell ref="D149:F149"/>
    <mergeCell ref="D150:F150"/>
    <mergeCell ref="D151:F151"/>
    <mergeCell ref="D152:F152"/>
    <mergeCell ref="D153:F153"/>
    <mergeCell ref="D136:F136"/>
    <mergeCell ref="D137:F137"/>
    <mergeCell ref="D138:F138"/>
    <mergeCell ref="D139:F139"/>
    <mergeCell ref="D140:F140"/>
    <mergeCell ref="D141:F141"/>
    <mergeCell ref="D142:F142"/>
    <mergeCell ref="D143:F143"/>
    <mergeCell ref="D144:F144"/>
    <mergeCell ref="D127:F127"/>
    <mergeCell ref="D128:F128"/>
    <mergeCell ref="D129:F129"/>
    <mergeCell ref="D130:F130"/>
    <mergeCell ref="D131:F131"/>
    <mergeCell ref="D132:F132"/>
    <mergeCell ref="D133:F133"/>
    <mergeCell ref="D134:F134"/>
    <mergeCell ref="D135:F135"/>
    <mergeCell ref="D118:F118"/>
    <mergeCell ref="D119:F119"/>
    <mergeCell ref="D120:F120"/>
    <mergeCell ref="R1:T1"/>
    <mergeCell ref="R2:S2"/>
    <mergeCell ref="A5:S5"/>
    <mergeCell ref="E6:G6"/>
    <mergeCell ref="F7:G7"/>
    <mergeCell ref="H7:K8"/>
    <mergeCell ref="F8:G8"/>
    <mergeCell ref="D16:F16"/>
    <mergeCell ref="D17:F17"/>
    <mergeCell ref="N12:P12"/>
    <mergeCell ref="D18:F18"/>
    <mergeCell ref="D19:F19"/>
    <mergeCell ref="D20:F20"/>
    <mergeCell ref="D21:F21"/>
    <mergeCell ref="A10:B10"/>
    <mergeCell ref="A11:R11"/>
    <mergeCell ref="D12:F12"/>
    <mergeCell ref="D13:F13"/>
    <mergeCell ref="D14:F14"/>
    <mergeCell ref="D15:F15"/>
    <mergeCell ref="D28:F28"/>
    <mergeCell ref="D29:F29"/>
    <mergeCell ref="D30:F30"/>
    <mergeCell ref="D31:F31"/>
    <mergeCell ref="D32:F32"/>
    <mergeCell ref="D33:F33"/>
    <mergeCell ref="D22:F22"/>
    <mergeCell ref="D23:F23"/>
    <mergeCell ref="D24:F24"/>
    <mergeCell ref="D25:F25"/>
    <mergeCell ref="D26:F26"/>
    <mergeCell ref="D27:F27"/>
    <mergeCell ref="D40:F40"/>
    <mergeCell ref="D41:F41"/>
    <mergeCell ref="D42:F42"/>
    <mergeCell ref="D43:F43"/>
    <mergeCell ref="D44:F44"/>
    <mergeCell ref="D45:F45"/>
    <mergeCell ref="D34:F34"/>
    <mergeCell ref="D35:F35"/>
    <mergeCell ref="D36:F36"/>
    <mergeCell ref="D37:F37"/>
    <mergeCell ref="D38:F38"/>
    <mergeCell ref="D39:F39"/>
    <mergeCell ref="D52:F52"/>
    <mergeCell ref="D53:F53"/>
    <mergeCell ref="D54:F54"/>
    <mergeCell ref="D55:F55"/>
    <mergeCell ref="D56:F56"/>
    <mergeCell ref="D57:F57"/>
    <mergeCell ref="D46:F46"/>
    <mergeCell ref="D47:F47"/>
    <mergeCell ref="D48:F48"/>
    <mergeCell ref="D49:F49"/>
    <mergeCell ref="D50:F50"/>
    <mergeCell ref="D51:F51"/>
    <mergeCell ref="D64:F64"/>
    <mergeCell ref="D65:F65"/>
    <mergeCell ref="D66:F66"/>
    <mergeCell ref="D67:F67"/>
    <mergeCell ref="D68:F68"/>
    <mergeCell ref="D69:F69"/>
    <mergeCell ref="D58:F58"/>
    <mergeCell ref="D59:F59"/>
    <mergeCell ref="D60:F60"/>
    <mergeCell ref="D61:F61"/>
    <mergeCell ref="D62:F62"/>
    <mergeCell ref="D63:F63"/>
    <mergeCell ref="D76:F76"/>
    <mergeCell ref="D77:F77"/>
    <mergeCell ref="D78:F78"/>
    <mergeCell ref="D79:F79"/>
    <mergeCell ref="D80:F80"/>
    <mergeCell ref="D81:F81"/>
    <mergeCell ref="D70:F70"/>
    <mergeCell ref="D71:F71"/>
    <mergeCell ref="D72:F72"/>
    <mergeCell ref="D73:F73"/>
    <mergeCell ref="D74:F74"/>
    <mergeCell ref="D75:F75"/>
    <mergeCell ref="D88:F88"/>
    <mergeCell ref="D89:F89"/>
    <mergeCell ref="D90:F90"/>
    <mergeCell ref="D91:F91"/>
    <mergeCell ref="D92:F92"/>
    <mergeCell ref="D93:F93"/>
    <mergeCell ref="D82:F82"/>
    <mergeCell ref="D83:F83"/>
    <mergeCell ref="D84:F84"/>
    <mergeCell ref="D85:F85"/>
    <mergeCell ref="D86:F86"/>
    <mergeCell ref="D87:F87"/>
    <mergeCell ref="D100:F100"/>
    <mergeCell ref="D101:F101"/>
    <mergeCell ref="D102:F102"/>
    <mergeCell ref="D103:F103"/>
    <mergeCell ref="D104:F104"/>
    <mergeCell ref="D105:F105"/>
    <mergeCell ref="D94:F94"/>
    <mergeCell ref="D95:F95"/>
    <mergeCell ref="D96:F96"/>
    <mergeCell ref="D97:F97"/>
    <mergeCell ref="D98:F98"/>
    <mergeCell ref="D99:F99"/>
    <mergeCell ref="D112:F112"/>
    <mergeCell ref="AW117:BC119"/>
    <mergeCell ref="AU118:AU119"/>
    <mergeCell ref="AV118:AV119"/>
    <mergeCell ref="AX123:AX126"/>
    <mergeCell ref="BB125:BB126"/>
    <mergeCell ref="BC125:BC126"/>
    <mergeCell ref="D106:F106"/>
    <mergeCell ref="D107:F107"/>
    <mergeCell ref="D108:F108"/>
    <mergeCell ref="D109:F109"/>
    <mergeCell ref="D110:F110"/>
    <mergeCell ref="D111:F111"/>
    <mergeCell ref="D121:F121"/>
    <mergeCell ref="D122:F122"/>
    <mergeCell ref="D123:F123"/>
    <mergeCell ref="D124:F124"/>
    <mergeCell ref="D125:F125"/>
    <mergeCell ref="D126:F126"/>
    <mergeCell ref="D113:F113"/>
    <mergeCell ref="D114:F114"/>
    <mergeCell ref="D115:F115"/>
    <mergeCell ref="D116:F116"/>
    <mergeCell ref="D117:F117"/>
    <mergeCell ref="AX133:AX134"/>
    <mergeCell ref="BB133:BB134"/>
    <mergeCell ref="BC133:BC134"/>
    <mergeCell ref="BD133:BD134"/>
    <mergeCell ref="BE133:BE134"/>
    <mergeCell ref="AX136:AX139"/>
    <mergeCell ref="BD125:BD126"/>
    <mergeCell ref="BE125:BE126"/>
    <mergeCell ref="AX127:AX129"/>
    <mergeCell ref="AX130:AX132"/>
    <mergeCell ref="BB130:BB132"/>
    <mergeCell ref="BC130:BC132"/>
    <mergeCell ref="BD130:BD132"/>
    <mergeCell ref="BE130:BE132"/>
  </mergeCells>
  <phoneticPr fontId="9"/>
  <conditionalFormatting sqref="AN7">
    <cfRule type="containsText" dxfId="133" priority="13" operator="containsText" text="（補助対象員数）">
      <formula>NOT(ISERROR(SEARCH("（補助対象員数）",AN7)))</formula>
    </cfRule>
  </conditionalFormatting>
  <conditionalFormatting sqref="AM13:AM212">
    <cfRule type="containsText" dxfId="132" priority="12" operator="containsText" text="【不備の点】">
      <formula>NOT(ISERROR(SEARCH("【不備の点】",AM13)))</formula>
    </cfRule>
  </conditionalFormatting>
  <conditionalFormatting sqref="AL13:AL212">
    <cfRule type="containsText" dxfId="131" priority="11" operator="containsText" text="×">
      <formula>NOT(ISERROR(SEARCH("×",AL13)))</formula>
    </cfRule>
  </conditionalFormatting>
  <conditionalFormatting sqref="AN7:AQ12">
    <cfRule type="containsText" dxfId="130" priority="10" operator="containsText" text="【未入力有】">
      <formula>NOT(ISERROR(SEARCH("【未入力有】",AN7)))</formula>
    </cfRule>
  </conditionalFormatting>
  <conditionalFormatting sqref="AT118:AU119">
    <cfRule type="containsText" dxfId="129" priority="9" operator="containsText" text="×">
      <formula>NOT(ISERROR(SEARCH("×",AT118)))</formula>
    </cfRule>
  </conditionalFormatting>
  <conditionalFormatting sqref="AV118:AV119 I4:P4">
    <cfRule type="containsText" dxfId="128" priority="8" operator="containsText" text="要修正">
      <formula>NOT(ISERROR(SEARCH("要修正",I4)))</formula>
    </cfRule>
  </conditionalFormatting>
  <conditionalFormatting sqref="R2:S4">
    <cfRule type="containsText" dxfId="127" priority="7" operator="containsText" text="要修正">
      <formula>NOT(ISERROR(SEARCH("要修正",R2)))</formula>
    </cfRule>
  </conditionalFormatting>
  <conditionalFormatting sqref="Q4">
    <cfRule type="containsText" dxfId="126" priority="6" operator="containsText" text="要修正">
      <formula>NOT(ISERROR(SEARCH("要修正",Q4)))</formula>
    </cfRule>
  </conditionalFormatting>
  <conditionalFormatting sqref="C8:C9">
    <cfRule type="containsText" dxfId="125" priority="5" operator="containsText" text="表示不可">
      <formula>NOT(ISERROR(SEARCH("表示不可",C8)))</formula>
    </cfRule>
  </conditionalFormatting>
  <conditionalFormatting sqref="C7">
    <cfRule type="containsText" dxfId="124" priority="4" operator="containsText" text="要修正">
      <formula>NOT(ISERROR(SEARCH("要修正",C7)))</formula>
    </cfRule>
  </conditionalFormatting>
  <conditionalFormatting sqref="C6">
    <cfRule type="containsText" dxfId="123" priority="3" operator="containsText" text="表示不可">
      <formula>NOT(ISERROR(SEARCH("表示不可",C6)))</formula>
    </cfRule>
  </conditionalFormatting>
  <conditionalFormatting sqref="S13:S212">
    <cfRule type="containsText" dxfId="122" priority="2" operator="containsText" text="&gt;">
      <formula>NOT(ISERROR(SEARCH("&gt;",S13)))</formula>
    </cfRule>
  </conditionalFormatting>
  <conditionalFormatting sqref="BD123:BD139">
    <cfRule type="cellIs" dxfId="121" priority="1" operator="lessThan">
      <formula>0</formula>
    </cfRule>
  </conditionalFormatting>
  <dataValidations xWindow="814" yWindow="656" count="10">
    <dataValidation type="list" allowBlank="1" showInputMessage="1" showErrorMessage="1" promptTitle="①「種類」欄はプルダウンリストから選択してください。" prompt="申請できる個人防護具の種類は、_x000a_マスク、ゴーグル、ガウン、グローブ、キャップ、フェイスシールド_x000a_です。" sqref="C13:C212" xr:uid="{767D9A1D-8A8F-455A-B44B-1C4B88F05950}">
      <formula1>INDIRECT(B13)</formula1>
    </dataValidation>
    <dataValidation type="decimal" operator="greaterThanOrEqual" allowBlank="1" showInputMessage="1" showErrorMessage="1" errorTitle="入力内容に誤りあり" error="数値のみを入力し、単位「円」は入力しないようにしてください。" promptTitle="税抜単価の入力" prompt="購入単価の税抜額を入力してください。_x000a_見積書の記載が税込額だけで、税抜額がわからない場合は上の算出欄をご利用ください。_x000a_入力しない方は「0」は入力せず、空欄としてください。" sqref="I13:I212" xr:uid="{0C2BDCEE-7B50-4BB0-B1EF-DF31A669FDFB}">
      <formula1>-1000000</formula1>
    </dataValidation>
    <dataValidation type="whole" operator="greaterThanOrEqual" allowBlank="1" showInputMessage="1" showErrorMessage="1" errorTitle="整数値を入力" error="単価に基づく箱数の購入量を入力してください。_x000a_数値のみ入力し、「箱」等の単位は入力しないでください。" promptTitle="購入数量の入力" prompt="購入するセット数を入力してください。（１箱50枚入りのマスクを10箱買う場合は、「10」を入力）_x000a_数値のみ入力し、「箱」等の単位は入力しないでください。" sqref="H13:H212" xr:uid="{AAAA2010-DBBA-4621-B305-B425F0E243DB}">
      <formula1>0</formula1>
    </dataValidation>
    <dataValidation type="whole" operator="greaterThanOrEqual" allowBlank="1" showInputMessage="1" showErrorMessage="1" errorTitle="整数値を入力" error="単価に基づく箱単位に梱包の個数を入力してください。_x000a_数値のみ入力し、「枚」等の単位は入力しないでください。" promptTitle="購入単位あたりの内容量を入力" prompt="購入単位あたりの内容量（１箱50枚のマスクならば、「50」）を入力してください。" sqref="G13:G212" xr:uid="{95AA9141-8102-49D5-AFA1-2F7073F08238}">
      <formula1>0</formula1>
    </dataValidation>
    <dataValidation allowBlank="1" showInputMessage="1" showErrorMessage="1" promptTitle="品名の入力" prompt="購入予定である個人防護具の品名を入力してください。（型番のみの入力の場合、購入内容が不明のため修正を依頼させていただきますのでご注意ください。）" sqref="D13:F212" xr:uid="{34B94D25-4B0F-4A0B-86A8-5D97C5C99626}"/>
    <dataValidation type="custom" allowBlank="1" showInputMessage="1" showErrorMessage="1" errorTitle="入力数値に誤りがあります。" error="令和４年10月１日から翌年３月31日までの日数の範囲内で入力してください。" sqref="C6" xr:uid="{24F9FB13-EC09-49C2-B1F7-DC16627780E6}">
      <formula1>C6&lt;=182</formula1>
    </dataValidation>
    <dataValidation allowBlank="1" showInputMessage="1" showErrorMessage="1" promptTitle="単価の入力" prompt="税抜額または税込額のいずれかを入力してください。_x000a_入力しない方は「0」は入力せず、空欄としてください。" sqref="J13:J212" xr:uid="{ABC91664-6777-47B9-A5AB-45EF49BA27AE}"/>
    <dataValidation allowBlank="1" showInputMessage="1" showErrorMessage="1" promptTitle="添付書類番号" prompt="種類、規格、数量、単価が全て適切に入力され、右の「判定」が「◎」と表示されると自動で番号が表示されます。" sqref="R13:S212" xr:uid="{67217B9E-51A6-4DB6-A8D0-4DC2DFE3867D}"/>
    <dataValidation allowBlank="1" showInputMessage="1" showErrorMessage="1" promptTitle="金額の表示" prompt="数式が入力されているため、自動計算されます。" sqref="K13:M212" xr:uid="{803C4A54-CF67-402D-9A0D-8742D806757C}"/>
    <dataValidation type="list" allowBlank="1" showInputMessage="1" showErrorMessage="1" promptTitle="①「種類」欄はプルダウンリストから選択してください。" prompt="申請できる個人防護具の種類は、_x000a_マスク、ゴーグル、ガウン、グローブ、キャップ、フェイスシールド_x000a_です。" sqref="B13:B212" xr:uid="{1BB68453-DAE1-46AE-8886-C2BAC1D81F67}">
      <formula1>$AX$141:$AX$146</formula1>
    </dataValidation>
  </dataValidations>
  <printOptions horizontalCentered="1"/>
  <pageMargins left="0.59055118110236227" right="0.39370078740157483" top="0.39370078740157483" bottom="0.39370078740157483" header="0.31496062992125984" footer="0.31496062992125984"/>
  <pageSetup paperSize="9" scale="42" fitToWidth="0" orientation="portrait" r:id="rId1"/>
  <drawing r:id="rId2"/>
  <legacyDrawing r:id="rId3"/>
  <extLst>
    <ext xmlns:x14="http://schemas.microsoft.com/office/spreadsheetml/2009/9/main" uri="{CCE6A557-97BC-4b89-ADB6-D9C93CAAB3DF}">
      <x14:dataValidations xmlns:xm="http://schemas.microsoft.com/office/excel/2006/main" xWindow="814" yWindow="656" count="3">
        <x14:dataValidation type="list" allowBlank="1" showInputMessage="1" showErrorMessage="1" promptTitle="金額の表示" prompt="数式が入力されているため、自動計算されます。" xr:uid="{D4C3CFF5-C2E1-46E7-A9EE-61B9D4CFAC76}">
          <x14:formula1>
            <xm:f>テーブル!$I$2:$I$3</xm:f>
          </x14:formula1>
          <xm:sqref>N13:N212</xm:sqref>
        </x14:dataValidation>
        <x14:dataValidation type="list" allowBlank="1" showInputMessage="1" showErrorMessage="1" promptTitle="金額の表示" prompt="数式が入力されているため、自動計算されます。" xr:uid="{62342D0D-FE98-4E1C-89DB-ACC542FC2C3A}">
          <x14:formula1>
            <xm:f>テーブル!$J$2:$J$7</xm:f>
          </x14:formula1>
          <xm:sqref>O13:O212</xm:sqref>
        </x14:dataValidation>
        <x14:dataValidation type="list" allowBlank="1" showInputMessage="1" showErrorMessage="1" promptTitle="金額の表示" prompt="数式が入力されているため、自動計算されます。" xr:uid="{B7B3C57F-E8F1-47F5-8558-31C58E7973EA}">
          <x14:formula1>
            <xm:f>テーブル!$K$2:$K$32</xm:f>
          </x14:formula1>
          <xm:sqref>P13:P212</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801FE-AB8F-4BF0-B52F-D9E83ABED116}">
  <sheetPr>
    <tabColor rgb="FFFF0000"/>
  </sheetPr>
  <dimension ref="A1:GJ71"/>
  <sheetViews>
    <sheetView topLeftCell="C1" zoomScale="70" zoomScaleNormal="70" workbookViewId="0">
      <pane xSplit="4" ySplit="21" topLeftCell="G22" activePane="bottomRight" state="frozen"/>
      <selection activeCell="C1" sqref="C1"/>
      <selection pane="topRight" activeCell="G1" sqref="G1"/>
      <selection pane="bottomLeft" activeCell="C23" sqref="C23"/>
      <selection pane="bottomRight" activeCell="E3" sqref="E3:F3"/>
    </sheetView>
  </sheetViews>
  <sheetFormatPr defaultRowHeight="9.75"/>
  <cols>
    <col min="1" max="2" width="3.625" style="617" hidden="1" customWidth="1"/>
    <col min="3" max="3" width="20.625" style="617" customWidth="1"/>
    <col min="4" max="192" width="4.625" style="617" customWidth="1"/>
    <col min="193" max="16384" width="9" style="617"/>
  </cols>
  <sheetData>
    <row r="1" spans="2:192">
      <c r="B1" s="618"/>
      <c r="C1" s="618" t="s">
        <v>1382</v>
      </c>
      <c r="D1" s="618"/>
      <c r="E1" s="618"/>
      <c r="F1" s="618"/>
      <c r="G1" s="618"/>
      <c r="H1" s="618"/>
      <c r="I1" s="618"/>
      <c r="J1" s="618"/>
      <c r="K1" s="618"/>
    </row>
    <row r="2" spans="2:192" ht="18.75">
      <c r="B2" s="618"/>
      <c r="C2" s="628" t="s">
        <v>471</v>
      </c>
      <c r="D2" s="671" t="s">
        <v>1383</v>
      </c>
      <c r="E2" s="1943" t="s">
        <v>1410</v>
      </c>
      <c r="F2" s="1944"/>
      <c r="G2" s="673">
        <f>G19</f>
        <v>0</v>
      </c>
      <c r="H2" s="673">
        <f t="shared" ref="H2:BS2" si="0">H19</f>
        <v>0</v>
      </c>
      <c r="I2" s="673">
        <f t="shared" si="0"/>
        <v>0</v>
      </c>
      <c r="J2" s="673">
        <f t="shared" si="0"/>
        <v>0</v>
      </c>
      <c r="K2" s="673">
        <f t="shared" si="0"/>
        <v>0</v>
      </c>
      <c r="L2" s="673">
        <f t="shared" si="0"/>
        <v>0</v>
      </c>
      <c r="M2" s="673">
        <f t="shared" si="0"/>
        <v>0</v>
      </c>
      <c r="N2" s="673">
        <f t="shared" si="0"/>
        <v>0</v>
      </c>
      <c r="O2" s="673">
        <f t="shared" si="0"/>
        <v>0</v>
      </c>
      <c r="P2" s="673">
        <f t="shared" si="0"/>
        <v>0</v>
      </c>
      <c r="Q2" s="673">
        <f t="shared" si="0"/>
        <v>0</v>
      </c>
      <c r="R2" s="673">
        <f t="shared" si="0"/>
        <v>0</v>
      </c>
      <c r="S2" s="673">
        <f t="shared" si="0"/>
        <v>0</v>
      </c>
      <c r="T2" s="673">
        <f t="shared" si="0"/>
        <v>0</v>
      </c>
      <c r="U2" s="673">
        <f t="shared" si="0"/>
        <v>0</v>
      </c>
      <c r="V2" s="673">
        <f t="shared" si="0"/>
        <v>0</v>
      </c>
      <c r="W2" s="673">
        <f t="shared" si="0"/>
        <v>0</v>
      </c>
      <c r="X2" s="673">
        <f t="shared" si="0"/>
        <v>0</v>
      </c>
      <c r="Y2" s="673">
        <f t="shared" si="0"/>
        <v>0</v>
      </c>
      <c r="Z2" s="673">
        <f t="shared" si="0"/>
        <v>0</v>
      </c>
      <c r="AA2" s="673">
        <f t="shared" si="0"/>
        <v>0</v>
      </c>
      <c r="AB2" s="673">
        <f t="shared" si="0"/>
        <v>0</v>
      </c>
      <c r="AC2" s="673">
        <f t="shared" si="0"/>
        <v>0</v>
      </c>
      <c r="AD2" s="673">
        <f t="shared" si="0"/>
        <v>0</v>
      </c>
      <c r="AE2" s="673">
        <f t="shared" si="0"/>
        <v>0</v>
      </c>
      <c r="AF2" s="673">
        <f t="shared" si="0"/>
        <v>0</v>
      </c>
      <c r="AG2" s="673">
        <f t="shared" si="0"/>
        <v>0</v>
      </c>
      <c r="AH2" s="673">
        <f t="shared" si="0"/>
        <v>0</v>
      </c>
      <c r="AI2" s="673">
        <f t="shared" si="0"/>
        <v>0</v>
      </c>
      <c r="AJ2" s="673">
        <f t="shared" si="0"/>
        <v>0</v>
      </c>
      <c r="AK2" s="673">
        <f t="shared" si="0"/>
        <v>0</v>
      </c>
      <c r="AL2" s="673">
        <f t="shared" si="0"/>
        <v>0</v>
      </c>
      <c r="AM2" s="673">
        <f t="shared" si="0"/>
        <v>0</v>
      </c>
      <c r="AN2" s="673">
        <f t="shared" si="0"/>
        <v>0</v>
      </c>
      <c r="AO2" s="673">
        <f t="shared" si="0"/>
        <v>0</v>
      </c>
      <c r="AP2" s="673">
        <f t="shared" si="0"/>
        <v>0</v>
      </c>
      <c r="AQ2" s="673">
        <f t="shared" si="0"/>
        <v>0</v>
      </c>
      <c r="AR2" s="673">
        <f t="shared" si="0"/>
        <v>0</v>
      </c>
      <c r="AS2" s="673">
        <f t="shared" si="0"/>
        <v>0</v>
      </c>
      <c r="AT2" s="673">
        <f t="shared" si="0"/>
        <v>0</v>
      </c>
      <c r="AU2" s="673">
        <f t="shared" si="0"/>
        <v>0</v>
      </c>
      <c r="AV2" s="673">
        <f t="shared" si="0"/>
        <v>0</v>
      </c>
      <c r="AW2" s="673">
        <f t="shared" si="0"/>
        <v>0</v>
      </c>
      <c r="AX2" s="673">
        <f t="shared" si="0"/>
        <v>0</v>
      </c>
      <c r="AY2" s="673">
        <f t="shared" si="0"/>
        <v>0</v>
      </c>
      <c r="AZ2" s="673">
        <f t="shared" si="0"/>
        <v>0</v>
      </c>
      <c r="BA2" s="673">
        <f t="shared" si="0"/>
        <v>0</v>
      </c>
      <c r="BB2" s="673">
        <f t="shared" si="0"/>
        <v>0</v>
      </c>
      <c r="BC2" s="673">
        <f t="shared" si="0"/>
        <v>0</v>
      </c>
      <c r="BD2" s="673">
        <f t="shared" si="0"/>
        <v>0</v>
      </c>
      <c r="BE2" s="673">
        <f t="shared" si="0"/>
        <v>0</v>
      </c>
      <c r="BF2" s="673">
        <f t="shared" si="0"/>
        <v>0</v>
      </c>
      <c r="BG2" s="673">
        <f t="shared" si="0"/>
        <v>0</v>
      </c>
      <c r="BH2" s="673">
        <f t="shared" si="0"/>
        <v>0</v>
      </c>
      <c r="BI2" s="673">
        <f t="shared" si="0"/>
        <v>0</v>
      </c>
      <c r="BJ2" s="673">
        <f t="shared" si="0"/>
        <v>0</v>
      </c>
      <c r="BK2" s="673">
        <f t="shared" si="0"/>
        <v>0</v>
      </c>
      <c r="BL2" s="673">
        <f t="shared" si="0"/>
        <v>0</v>
      </c>
      <c r="BM2" s="673">
        <f t="shared" si="0"/>
        <v>0</v>
      </c>
      <c r="BN2" s="673">
        <f t="shared" si="0"/>
        <v>0</v>
      </c>
      <c r="BO2" s="673">
        <f t="shared" si="0"/>
        <v>0</v>
      </c>
      <c r="BP2" s="673">
        <f t="shared" si="0"/>
        <v>0</v>
      </c>
      <c r="BQ2" s="673">
        <f t="shared" si="0"/>
        <v>0</v>
      </c>
      <c r="BR2" s="673">
        <f t="shared" si="0"/>
        <v>0</v>
      </c>
      <c r="BS2" s="673">
        <f t="shared" si="0"/>
        <v>0</v>
      </c>
      <c r="BT2" s="673">
        <f t="shared" ref="BT2:EE2" si="1">BT19</f>
        <v>0</v>
      </c>
      <c r="BU2" s="673">
        <f t="shared" si="1"/>
        <v>0</v>
      </c>
      <c r="BV2" s="673">
        <f t="shared" si="1"/>
        <v>0</v>
      </c>
      <c r="BW2" s="673">
        <f t="shared" si="1"/>
        <v>0</v>
      </c>
      <c r="BX2" s="673">
        <f t="shared" si="1"/>
        <v>0</v>
      </c>
      <c r="BY2" s="673">
        <f t="shared" si="1"/>
        <v>0</v>
      </c>
      <c r="BZ2" s="673">
        <f t="shared" si="1"/>
        <v>0</v>
      </c>
      <c r="CA2" s="673">
        <f t="shared" si="1"/>
        <v>0</v>
      </c>
      <c r="CB2" s="673">
        <f t="shared" si="1"/>
        <v>0</v>
      </c>
      <c r="CC2" s="673">
        <f t="shared" si="1"/>
        <v>0</v>
      </c>
      <c r="CD2" s="673">
        <f t="shared" si="1"/>
        <v>0</v>
      </c>
      <c r="CE2" s="673">
        <f t="shared" si="1"/>
        <v>0</v>
      </c>
      <c r="CF2" s="673">
        <f t="shared" si="1"/>
        <v>0</v>
      </c>
      <c r="CG2" s="673">
        <f t="shared" si="1"/>
        <v>0</v>
      </c>
      <c r="CH2" s="673">
        <f t="shared" si="1"/>
        <v>0</v>
      </c>
      <c r="CI2" s="673">
        <f t="shared" si="1"/>
        <v>0</v>
      </c>
      <c r="CJ2" s="673">
        <f t="shared" si="1"/>
        <v>0</v>
      </c>
      <c r="CK2" s="673">
        <f t="shared" si="1"/>
        <v>0</v>
      </c>
      <c r="CL2" s="673">
        <f t="shared" si="1"/>
        <v>0</v>
      </c>
      <c r="CM2" s="673">
        <f t="shared" si="1"/>
        <v>0</v>
      </c>
      <c r="CN2" s="673">
        <f t="shared" si="1"/>
        <v>0</v>
      </c>
      <c r="CO2" s="673">
        <f t="shared" si="1"/>
        <v>0</v>
      </c>
      <c r="CP2" s="673">
        <f t="shared" si="1"/>
        <v>0</v>
      </c>
      <c r="CQ2" s="673">
        <f t="shared" si="1"/>
        <v>0</v>
      </c>
      <c r="CR2" s="673">
        <f t="shared" si="1"/>
        <v>0</v>
      </c>
      <c r="CS2" s="673">
        <f t="shared" si="1"/>
        <v>0</v>
      </c>
      <c r="CT2" s="673">
        <f t="shared" si="1"/>
        <v>0</v>
      </c>
      <c r="CU2" s="673">
        <f t="shared" si="1"/>
        <v>0</v>
      </c>
      <c r="CV2" s="673">
        <f t="shared" si="1"/>
        <v>0</v>
      </c>
      <c r="CW2" s="673">
        <f t="shared" si="1"/>
        <v>0</v>
      </c>
      <c r="CX2" s="673">
        <f t="shared" si="1"/>
        <v>0</v>
      </c>
      <c r="CY2" s="673">
        <f t="shared" si="1"/>
        <v>0</v>
      </c>
      <c r="CZ2" s="673">
        <f t="shared" si="1"/>
        <v>0</v>
      </c>
      <c r="DA2" s="673">
        <f t="shared" si="1"/>
        <v>0</v>
      </c>
      <c r="DB2" s="673">
        <f t="shared" si="1"/>
        <v>0</v>
      </c>
      <c r="DC2" s="673">
        <f t="shared" si="1"/>
        <v>0</v>
      </c>
      <c r="DD2" s="673">
        <f t="shared" si="1"/>
        <v>0</v>
      </c>
      <c r="DE2" s="673">
        <f t="shared" si="1"/>
        <v>0</v>
      </c>
      <c r="DF2" s="673">
        <f t="shared" si="1"/>
        <v>0</v>
      </c>
      <c r="DG2" s="673">
        <f t="shared" si="1"/>
        <v>0</v>
      </c>
      <c r="DH2" s="673">
        <f t="shared" si="1"/>
        <v>0</v>
      </c>
      <c r="DI2" s="673">
        <f t="shared" si="1"/>
        <v>0</v>
      </c>
      <c r="DJ2" s="673">
        <f t="shared" si="1"/>
        <v>0</v>
      </c>
      <c r="DK2" s="673">
        <f t="shared" si="1"/>
        <v>0</v>
      </c>
      <c r="DL2" s="673">
        <f t="shared" si="1"/>
        <v>0</v>
      </c>
      <c r="DM2" s="673">
        <f t="shared" si="1"/>
        <v>0</v>
      </c>
      <c r="DN2" s="673">
        <f t="shared" si="1"/>
        <v>0</v>
      </c>
      <c r="DO2" s="673">
        <f t="shared" si="1"/>
        <v>0</v>
      </c>
      <c r="DP2" s="673">
        <f t="shared" si="1"/>
        <v>0</v>
      </c>
      <c r="DQ2" s="673">
        <f t="shared" si="1"/>
        <v>0</v>
      </c>
      <c r="DR2" s="673">
        <f t="shared" si="1"/>
        <v>0</v>
      </c>
      <c r="DS2" s="673">
        <f t="shared" si="1"/>
        <v>1</v>
      </c>
      <c r="DT2" s="673">
        <f t="shared" si="1"/>
        <v>1</v>
      </c>
      <c r="DU2" s="673">
        <f t="shared" si="1"/>
        <v>1</v>
      </c>
      <c r="DV2" s="673">
        <f t="shared" si="1"/>
        <v>1</v>
      </c>
      <c r="DW2" s="673">
        <f t="shared" si="1"/>
        <v>1</v>
      </c>
      <c r="DX2" s="673">
        <f t="shared" si="1"/>
        <v>1</v>
      </c>
      <c r="DY2" s="673">
        <f t="shared" si="1"/>
        <v>1</v>
      </c>
      <c r="DZ2" s="673">
        <f t="shared" si="1"/>
        <v>1</v>
      </c>
      <c r="EA2" s="673">
        <f t="shared" si="1"/>
        <v>1</v>
      </c>
      <c r="EB2" s="673">
        <f t="shared" si="1"/>
        <v>1</v>
      </c>
      <c r="EC2" s="673">
        <f t="shared" si="1"/>
        <v>1</v>
      </c>
      <c r="ED2" s="673">
        <f t="shared" si="1"/>
        <v>1</v>
      </c>
      <c r="EE2" s="673">
        <f t="shared" si="1"/>
        <v>1</v>
      </c>
      <c r="EF2" s="673">
        <f t="shared" ref="EF2:GJ2" si="2">EF19</f>
        <v>1</v>
      </c>
      <c r="EG2" s="673">
        <f t="shared" si="2"/>
        <v>1</v>
      </c>
      <c r="EH2" s="673">
        <f t="shared" si="2"/>
        <v>1</v>
      </c>
      <c r="EI2" s="673">
        <f t="shared" si="2"/>
        <v>1</v>
      </c>
      <c r="EJ2" s="673">
        <f t="shared" si="2"/>
        <v>1</v>
      </c>
      <c r="EK2" s="673">
        <f t="shared" si="2"/>
        <v>1</v>
      </c>
      <c r="EL2" s="673">
        <f t="shared" si="2"/>
        <v>1</v>
      </c>
      <c r="EM2" s="673">
        <f t="shared" si="2"/>
        <v>1</v>
      </c>
      <c r="EN2" s="673">
        <f t="shared" si="2"/>
        <v>1</v>
      </c>
      <c r="EO2" s="673">
        <f t="shared" si="2"/>
        <v>1</v>
      </c>
      <c r="EP2" s="673">
        <f t="shared" si="2"/>
        <v>1</v>
      </c>
      <c r="EQ2" s="673">
        <f t="shared" si="2"/>
        <v>1</v>
      </c>
      <c r="ER2" s="673">
        <f t="shared" si="2"/>
        <v>1</v>
      </c>
      <c r="ES2" s="673">
        <f t="shared" si="2"/>
        <v>1</v>
      </c>
      <c r="ET2" s="673">
        <f t="shared" si="2"/>
        <v>1</v>
      </c>
      <c r="EU2" s="673">
        <f t="shared" si="2"/>
        <v>1</v>
      </c>
      <c r="EV2" s="673">
        <f t="shared" si="2"/>
        <v>1</v>
      </c>
      <c r="EW2" s="673">
        <f t="shared" si="2"/>
        <v>1</v>
      </c>
      <c r="EX2" s="673">
        <f t="shared" si="2"/>
        <v>1</v>
      </c>
      <c r="EY2" s="673">
        <f t="shared" si="2"/>
        <v>1</v>
      </c>
      <c r="EZ2" s="673">
        <f t="shared" si="2"/>
        <v>1</v>
      </c>
      <c r="FA2" s="673">
        <f t="shared" si="2"/>
        <v>1</v>
      </c>
      <c r="FB2" s="673">
        <f t="shared" si="2"/>
        <v>1</v>
      </c>
      <c r="FC2" s="673">
        <f t="shared" si="2"/>
        <v>1</v>
      </c>
      <c r="FD2" s="673">
        <f t="shared" si="2"/>
        <v>0</v>
      </c>
      <c r="FE2" s="673">
        <f t="shared" si="2"/>
        <v>0</v>
      </c>
      <c r="FF2" s="673">
        <f t="shared" si="2"/>
        <v>1</v>
      </c>
      <c r="FG2" s="673">
        <f t="shared" si="2"/>
        <v>1</v>
      </c>
      <c r="FH2" s="673">
        <f t="shared" si="2"/>
        <v>1</v>
      </c>
      <c r="FI2" s="673">
        <f t="shared" si="2"/>
        <v>1</v>
      </c>
      <c r="FJ2" s="673">
        <f t="shared" si="2"/>
        <v>1</v>
      </c>
      <c r="FK2" s="673">
        <f t="shared" si="2"/>
        <v>1</v>
      </c>
      <c r="FL2" s="673">
        <f t="shared" si="2"/>
        <v>1</v>
      </c>
      <c r="FM2" s="673">
        <f t="shared" si="2"/>
        <v>1</v>
      </c>
      <c r="FN2" s="673">
        <f t="shared" si="2"/>
        <v>1</v>
      </c>
      <c r="FO2" s="673">
        <f t="shared" si="2"/>
        <v>1</v>
      </c>
      <c r="FP2" s="673">
        <f t="shared" si="2"/>
        <v>1</v>
      </c>
      <c r="FQ2" s="673">
        <f t="shared" si="2"/>
        <v>1</v>
      </c>
      <c r="FR2" s="673">
        <f t="shared" si="2"/>
        <v>0</v>
      </c>
      <c r="FS2" s="673">
        <f t="shared" si="2"/>
        <v>0</v>
      </c>
      <c r="FT2" s="673">
        <f t="shared" si="2"/>
        <v>0</v>
      </c>
      <c r="FU2" s="673">
        <f t="shared" si="2"/>
        <v>0</v>
      </c>
      <c r="FV2" s="673">
        <f t="shared" si="2"/>
        <v>0</v>
      </c>
      <c r="FW2" s="673">
        <f t="shared" si="2"/>
        <v>0</v>
      </c>
      <c r="FX2" s="673">
        <f t="shared" si="2"/>
        <v>0</v>
      </c>
      <c r="FY2" s="673">
        <f t="shared" si="2"/>
        <v>0</v>
      </c>
      <c r="FZ2" s="673">
        <f t="shared" si="2"/>
        <v>0</v>
      </c>
      <c r="GA2" s="673">
        <f t="shared" si="2"/>
        <v>0</v>
      </c>
      <c r="GB2" s="673">
        <f t="shared" si="2"/>
        <v>0</v>
      </c>
      <c r="GC2" s="673">
        <f t="shared" si="2"/>
        <v>0</v>
      </c>
      <c r="GD2" s="673">
        <f t="shared" si="2"/>
        <v>0</v>
      </c>
      <c r="GE2" s="673">
        <f t="shared" si="2"/>
        <v>0</v>
      </c>
      <c r="GF2" s="673">
        <f t="shared" si="2"/>
        <v>0</v>
      </c>
      <c r="GG2" s="673">
        <f t="shared" si="2"/>
        <v>0</v>
      </c>
      <c r="GH2" s="673">
        <f t="shared" si="2"/>
        <v>0</v>
      </c>
      <c r="GI2" s="673">
        <f t="shared" si="2"/>
        <v>0</v>
      </c>
      <c r="GJ2" s="673">
        <f t="shared" si="2"/>
        <v>0</v>
      </c>
    </row>
    <row r="3" spans="2:192" ht="9.75" customHeight="1">
      <c r="B3" s="618"/>
      <c r="C3" s="629" t="s">
        <v>1212</v>
      </c>
      <c r="D3" s="672">
        <f>基礎情報!V116</f>
        <v>0</v>
      </c>
      <c r="E3" s="1941">
        <f>SUM(G3:GJ3)</f>
        <v>0</v>
      </c>
      <c r="F3" s="1942"/>
      <c r="G3" s="674">
        <f xml:space="preserve">
IF(表紙!$X$2="実績報告（１次）",G22,
IF(G$19&gt;=1,G22,0))</f>
        <v>0</v>
      </c>
      <c r="H3" s="674">
        <f xml:space="preserve">
IF(表紙!$X$2="実績報告（１次）",H22,
IF(H$19&gt;=1,H22,0))</f>
        <v>0</v>
      </c>
      <c r="I3" s="674">
        <f xml:space="preserve">
IF(表紙!$X$2="実績報告（１次）",I22,
IF(I$19&gt;=1,I22,0))</f>
        <v>0</v>
      </c>
      <c r="J3" s="674">
        <f xml:space="preserve">
IF(表紙!$X$2="実績報告（１次）",J22,
IF(J$19&gt;=1,J22,0))</f>
        <v>0</v>
      </c>
      <c r="K3" s="674">
        <f xml:space="preserve">
IF(表紙!$X$2="実績報告（１次）",K22,
IF(K$19&gt;=1,K22,0))</f>
        <v>0</v>
      </c>
      <c r="L3" s="674">
        <f xml:space="preserve">
IF(表紙!$X$2="実績報告（１次）",L22,
IF(L$19&gt;=1,L22,0))</f>
        <v>0</v>
      </c>
      <c r="M3" s="674">
        <f xml:space="preserve">
IF(表紙!$X$2="実績報告（１次）",M22,
IF(M$19&gt;=1,M22,0))</f>
        <v>0</v>
      </c>
      <c r="N3" s="674">
        <f xml:space="preserve">
IF(表紙!$X$2="実績報告（１次）",N22,
IF(N$19&gt;=1,N22,0))</f>
        <v>0</v>
      </c>
      <c r="O3" s="674">
        <f xml:space="preserve">
IF(表紙!$X$2="実績報告（１次）",O22,
IF(O$19&gt;=1,O22,0))</f>
        <v>0</v>
      </c>
      <c r="P3" s="674">
        <f xml:space="preserve">
IF(表紙!$X$2="実績報告（１次）",P22,
IF(P$19&gt;=1,P22,0))</f>
        <v>0</v>
      </c>
      <c r="Q3" s="674">
        <f xml:space="preserve">
IF(表紙!$X$2="実績報告（１次）",Q22,
IF(Q$19&gt;=1,Q22,0))</f>
        <v>0</v>
      </c>
      <c r="R3" s="674">
        <f xml:space="preserve">
IF(表紙!$X$2="実績報告（１次）",R22,
IF(R$19&gt;=1,R22,0))</f>
        <v>0</v>
      </c>
      <c r="S3" s="674">
        <f xml:space="preserve">
IF(表紙!$X$2="実績報告（１次）",S22,
IF(S$19&gt;=1,S22,0))</f>
        <v>0</v>
      </c>
      <c r="T3" s="674">
        <f xml:space="preserve">
IF(表紙!$X$2="実績報告（１次）",T22,
IF(T$19&gt;=1,T22,0))</f>
        <v>0</v>
      </c>
      <c r="U3" s="674">
        <f xml:space="preserve">
IF(表紙!$X$2="実績報告（１次）",U22,
IF(U$19&gt;=1,U22,0))</f>
        <v>0</v>
      </c>
      <c r="V3" s="674">
        <f xml:space="preserve">
IF(表紙!$X$2="実績報告（１次）",V22,
IF(V$19&gt;=1,V22,0))</f>
        <v>0</v>
      </c>
      <c r="W3" s="674">
        <f xml:space="preserve">
IF(表紙!$X$2="実績報告（１次）",W22,
IF(W$19&gt;=1,W22,0))</f>
        <v>0</v>
      </c>
      <c r="X3" s="674">
        <f xml:space="preserve">
IF(表紙!$X$2="実績報告（１次）",X22,
IF(X$19&gt;=1,X22,0))</f>
        <v>0</v>
      </c>
      <c r="Y3" s="674">
        <f xml:space="preserve">
IF(表紙!$X$2="実績報告（１次）",Y22,
IF(Y$19&gt;=1,Y22,0))</f>
        <v>0</v>
      </c>
      <c r="Z3" s="674">
        <f xml:space="preserve">
IF(表紙!$X$2="実績報告（１次）",Z22,
IF(Z$19&gt;=1,Z22,0))</f>
        <v>0</v>
      </c>
      <c r="AA3" s="674">
        <f xml:space="preserve">
IF(表紙!$X$2="実績報告（１次）",AA22,
IF(AA$19&gt;=1,AA22,0))</f>
        <v>0</v>
      </c>
      <c r="AB3" s="674">
        <f xml:space="preserve">
IF(表紙!$X$2="実績報告（１次）",AB22,
IF(AB$19&gt;=1,AB22,0))</f>
        <v>0</v>
      </c>
      <c r="AC3" s="674">
        <f xml:space="preserve">
IF(表紙!$X$2="実績報告（１次）",AC22,
IF(AC$19&gt;=1,AC22,0))</f>
        <v>0</v>
      </c>
      <c r="AD3" s="674">
        <f xml:space="preserve">
IF(表紙!$X$2="実績報告（１次）",AD22,
IF(AD$19&gt;=1,AD22,0))</f>
        <v>0</v>
      </c>
      <c r="AE3" s="674">
        <f xml:space="preserve">
IF(表紙!$X$2="実績報告（１次）",AE22,
IF(AE$19&gt;=1,AE22,0))</f>
        <v>0</v>
      </c>
      <c r="AF3" s="674">
        <f xml:space="preserve">
IF(表紙!$X$2="実績報告（１次）",AF22,
IF(AF$19&gt;=1,AF22,0))</f>
        <v>0</v>
      </c>
      <c r="AG3" s="674">
        <f xml:space="preserve">
IF(表紙!$X$2="実績報告（１次）",AG22,
IF(AG$19&gt;=1,AG22,0))</f>
        <v>0</v>
      </c>
      <c r="AH3" s="674">
        <f xml:space="preserve">
IF(表紙!$X$2="実績報告（１次）",AH22,
IF(AH$19&gt;=1,AH22,0))</f>
        <v>0</v>
      </c>
      <c r="AI3" s="674">
        <f xml:space="preserve">
IF(表紙!$X$2="実績報告（１次）",AI22,
IF(AI$19&gt;=1,AI22,0))</f>
        <v>0</v>
      </c>
      <c r="AJ3" s="674">
        <f xml:space="preserve">
IF(表紙!$X$2="実績報告（１次）",AJ22,
IF(AJ$19&gt;=1,AJ22,0))</f>
        <v>0</v>
      </c>
      <c r="AK3" s="674">
        <f xml:space="preserve">
IF(表紙!$X$2="実績報告（１次）",AK22,
IF(AK$19&gt;=1,AK22,0))</f>
        <v>0</v>
      </c>
      <c r="AL3" s="674">
        <f xml:space="preserve">
IF(表紙!$X$2="実績報告（１次）",AL22,
IF(AL$19&gt;=1,AL22,0))</f>
        <v>0</v>
      </c>
      <c r="AM3" s="674">
        <f xml:space="preserve">
IF(表紙!$X$2="実績報告（１次）",AM22,
IF(AM$19&gt;=1,AM22,0))</f>
        <v>0</v>
      </c>
      <c r="AN3" s="674">
        <f xml:space="preserve">
IF(表紙!$X$2="実績報告（１次）",AN22,
IF(AN$19&gt;=1,AN22,0))</f>
        <v>0</v>
      </c>
      <c r="AO3" s="674">
        <f xml:space="preserve">
IF(表紙!$X$2="実績報告（１次）",AO22,
IF(AO$19&gt;=1,AO22,0))</f>
        <v>0</v>
      </c>
      <c r="AP3" s="674">
        <f xml:space="preserve">
IF(表紙!$X$2="実績報告（１次）",AP22,
IF(AP$19&gt;=1,AP22,0))</f>
        <v>0</v>
      </c>
      <c r="AQ3" s="674">
        <f xml:space="preserve">
IF(表紙!$X$2="実績報告（１次）",AQ22,
IF(AQ$19&gt;=1,AQ22,0))</f>
        <v>0</v>
      </c>
      <c r="AR3" s="674">
        <f xml:space="preserve">
IF(表紙!$X$2="実績報告（１次）",AR22,
IF(AR$19&gt;=1,AR22,0))</f>
        <v>0</v>
      </c>
      <c r="AS3" s="674">
        <f xml:space="preserve">
IF(表紙!$X$2="実績報告（１次）",AS22,
IF(AS$19&gt;=1,AS22,0))</f>
        <v>0</v>
      </c>
      <c r="AT3" s="674">
        <f xml:space="preserve">
IF(表紙!$X$2="実績報告（１次）",AT22,
IF(AT$19&gt;=1,AT22,0))</f>
        <v>0</v>
      </c>
      <c r="AU3" s="674">
        <f xml:space="preserve">
IF(表紙!$X$2="実績報告（１次）",AU22,
IF(AU$19&gt;=1,AU22,0))</f>
        <v>0</v>
      </c>
      <c r="AV3" s="674">
        <f xml:space="preserve">
IF(表紙!$X$2="実績報告（１次）",AV22,
IF(AV$19&gt;=1,AV22,0))</f>
        <v>0</v>
      </c>
      <c r="AW3" s="674">
        <f xml:space="preserve">
IF(表紙!$X$2="実績報告（１次）",AW22,
IF(AW$19&gt;=1,AW22,0))</f>
        <v>0</v>
      </c>
      <c r="AX3" s="674">
        <f xml:space="preserve">
IF(表紙!$X$2="実績報告（１次）",AX22,
IF(AX$19&gt;=1,AX22,0))</f>
        <v>0</v>
      </c>
      <c r="AY3" s="674">
        <f xml:space="preserve">
IF(表紙!$X$2="実績報告（１次）",AY22,
IF(AY$19&gt;=1,AY22,0))</f>
        <v>0</v>
      </c>
      <c r="AZ3" s="674">
        <f xml:space="preserve">
IF(表紙!$X$2="実績報告（１次）",AZ22,
IF(AZ$19&gt;=1,AZ22,0))</f>
        <v>0</v>
      </c>
      <c r="BA3" s="674">
        <f xml:space="preserve">
IF(表紙!$X$2="実績報告（１次）",BA22,
IF(BA$19&gt;=1,BA22,0))</f>
        <v>0</v>
      </c>
      <c r="BB3" s="674">
        <f xml:space="preserve">
IF(表紙!$X$2="実績報告（１次）",BB22,
IF(BB$19&gt;=1,BB22,0))</f>
        <v>0</v>
      </c>
      <c r="BC3" s="674">
        <f xml:space="preserve">
IF(表紙!$X$2="実績報告（１次）",BC22,
IF(BC$19&gt;=1,BC22,0))</f>
        <v>0</v>
      </c>
      <c r="BD3" s="674">
        <f xml:space="preserve">
IF(表紙!$X$2="実績報告（１次）",BD22,
IF(BD$19&gt;=1,BD22,0))</f>
        <v>0</v>
      </c>
      <c r="BE3" s="674">
        <f xml:space="preserve">
IF(表紙!$X$2="実績報告（１次）",BE22,
IF(BE$19&gt;=1,BE22,0))</f>
        <v>0</v>
      </c>
      <c r="BF3" s="674">
        <f xml:space="preserve">
IF(表紙!$X$2="実績報告（１次）",BF22,
IF(BF$19&gt;=1,BF22,0))</f>
        <v>0</v>
      </c>
      <c r="BG3" s="674">
        <f xml:space="preserve">
IF(表紙!$X$2="実績報告（１次）",BG22,
IF(BG$19&gt;=1,BG22,0))</f>
        <v>0</v>
      </c>
      <c r="BH3" s="674">
        <f xml:space="preserve">
IF(表紙!$X$2="実績報告（１次）",BH22,
IF(BH$19&gt;=1,BH22,0))</f>
        <v>0</v>
      </c>
      <c r="BI3" s="674">
        <f xml:space="preserve">
IF(表紙!$X$2="実績報告（１次）",BI22,
IF(BI$19&gt;=1,BI22,0))</f>
        <v>0</v>
      </c>
      <c r="BJ3" s="674">
        <f xml:space="preserve">
IF(表紙!$X$2="実績報告（１次）",BJ22,
IF(BJ$19&gt;=1,BJ22,0))</f>
        <v>0</v>
      </c>
      <c r="BK3" s="674">
        <f xml:space="preserve">
IF(表紙!$X$2="実績報告（１次）",BK22,
IF(BK$19&gt;=1,BK22,0))</f>
        <v>0</v>
      </c>
      <c r="BL3" s="674">
        <f xml:space="preserve">
IF(表紙!$X$2="実績報告（１次）",BL22,
IF(BL$19&gt;=1,BL22,0))</f>
        <v>0</v>
      </c>
      <c r="BM3" s="674">
        <f xml:space="preserve">
IF(表紙!$X$2="実績報告（１次）",BM22,
IF(BM$19&gt;=1,BM22,0))</f>
        <v>0</v>
      </c>
      <c r="BN3" s="674">
        <f xml:space="preserve">
IF(表紙!$X$2="実績報告（１次）",BN22,
IF(BN$19&gt;=1,BN22,0))</f>
        <v>0</v>
      </c>
      <c r="BO3" s="674">
        <f xml:space="preserve">
IF(表紙!$X$2="実績報告（１次）",BO22,
IF(BO$19&gt;=1,BO22,0))</f>
        <v>0</v>
      </c>
      <c r="BP3" s="674">
        <f xml:space="preserve">
IF(表紙!$X$2="実績報告（１次）",BP22,
IF(BP$19&gt;=1,BP22,0))</f>
        <v>0</v>
      </c>
      <c r="BQ3" s="674">
        <f xml:space="preserve">
IF(表紙!$X$2="実績報告（１次）",BQ22,
IF(BQ$19&gt;=1,BQ22,0))</f>
        <v>0</v>
      </c>
      <c r="BR3" s="674">
        <f xml:space="preserve">
IF(表紙!$X$2="実績報告（１次）",BR22,
IF(BR$19&gt;=1,BR22,0))</f>
        <v>0</v>
      </c>
      <c r="BS3" s="674">
        <f xml:space="preserve">
IF(表紙!$X$2="実績報告（１次）",BS22,
IF(BS$19&gt;=1,BS22,0))</f>
        <v>0</v>
      </c>
      <c r="BT3" s="674">
        <f xml:space="preserve">
IF(表紙!$X$2="実績報告（１次）",BT22,
IF(BT$19&gt;=1,BT22,0))</f>
        <v>0</v>
      </c>
      <c r="BU3" s="674">
        <f xml:space="preserve">
IF(表紙!$X$2="実績報告（１次）",BU22,
IF(BU$19&gt;=1,BU22,0))</f>
        <v>0</v>
      </c>
      <c r="BV3" s="674">
        <f xml:space="preserve">
IF(表紙!$X$2="実績報告（１次）",BV22,
IF(BV$19&gt;=1,BV22,0))</f>
        <v>0</v>
      </c>
      <c r="BW3" s="674">
        <f xml:space="preserve">
IF(表紙!$X$2="実績報告（１次）",BW22,
IF(BW$19&gt;=1,BW22,0))</f>
        <v>0</v>
      </c>
      <c r="BX3" s="674">
        <f xml:space="preserve">
IF(表紙!$X$2="実績報告（１次）",BX22,
IF(BX$19&gt;=1,BX22,0))</f>
        <v>0</v>
      </c>
      <c r="BY3" s="674">
        <f xml:space="preserve">
IF(表紙!$X$2="実績報告（１次）",BY22,
IF(BY$19&gt;=1,BY22,0))</f>
        <v>0</v>
      </c>
      <c r="BZ3" s="674">
        <f xml:space="preserve">
IF(表紙!$X$2="実績報告（１次）",BZ22,
IF(BZ$19&gt;=1,BZ22,0))</f>
        <v>0</v>
      </c>
      <c r="CA3" s="674">
        <f xml:space="preserve">
IF(表紙!$X$2="実績報告（１次）",CA22,
IF(CA$19&gt;=1,CA22,0))</f>
        <v>0</v>
      </c>
      <c r="CB3" s="674">
        <f xml:space="preserve">
IF(表紙!$X$2="実績報告（１次）",CB22,
IF(CB$19&gt;=1,CB22,0))</f>
        <v>0</v>
      </c>
      <c r="CC3" s="674">
        <f xml:space="preserve">
IF(表紙!$X$2="実績報告（１次）",CC22,
IF(CC$19&gt;=1,CC22,0))</f>
        <v>0</v>
      </c>
      <c r="CD3" s="674">
        <f xml:space="preserve">
IF(表紙!$X$2="実績報告（１次）",CD22,
IF(CD$19&gt;=1,CD22,0))</f>
        <v>0</v>
      </c>
      <c r="CE3" s="674">
        <f xml:space="preserve">
IF(表紙!$X$2="実績報告（１次）",CE22,
IF(CE$19&gt;=1,CE22,0))</f>
        <v>0</v>
      </c>
      <c r="CF3" s="674">
        <f xml:space="preserve">
IF(表紙!$X$2="実績報告（１次）",CF22,
IF(CF$19&gt;=1,CF22,0))</f>
        <v>0</v>
      </c>
      <c r="CG3" s="674">
        <f xml:space="preserve">
IF(表紙!$X$2="実績報告（１次）",CG22,
IF(CG$19&gt;=1,CG22,0))</f>
        <v>0</v>
      </c>
      <c r="CH3" s="674">
        <f xml:space="preserve">
IF(表紙!$X$2="実績報告（１次）",CH22,
IF(CH$19&gt;=1,CH22,0))</f>
        <v>0</v>
      </c>
      <c r="CI3" s="674">
        <f xml:space="preserve">
IF(表紙!$X$2="実績報告（１次）",CI22,
IF(CI$19&gt;=1,CI22,0))</f>
        <v>0</v>
      </c>
      <c r="CJ3" s="674">
        <f xml:space="preserve">
IF(表紙!$X$2="実績報告（１次）",CJ22,
IF(CJ$19&gt;=1,CJ22,0))</f>
        <v>0</v>
      </c>
      <c r="CK3" s="674">
        <f xml:space="preserve">
IF(表紙!$X$2="実績報告（１次）",CK22,
IF(CK$19&gt;=1,CK22,0))</f>
        <v>0</v>
      </c>
      <c r="CL3" s="674">
        <f xml:space="preserve">
IF(表紙!$X$2="実績報告（１次）",CL22,
IF(CL$19&gt;=1,CL22,0))</f>
        <v>0</v>
      </c>
      <c r="CM3" s="674">
        <f xml:space="preserve">
IF(表紙!$X$2="実績報告（１次）",CM22,
IF(CM$19&gt;=1,CM22,0))</f>
        <v>0</v>
      </c>
      <c r="CN3" s="674">
        <f xml:space="preserve">
IF(表紙!$X$2="実績報告（１次）",CN22,
IF(CN$19&gt;=1,CN22,0))</f>
        <v>0</v>
      </c>
      <c r="CO3" s="674">
        <f xml:space="preserve">
IF(表紙!$X$2="実績報告（１次）",CO22,
IF(CO$19&gt;=1,CO22,0))</f>
        <v>0</v>
      </c>
      <c r="CP3" s="674">
        <f xml:space="preserve">
IF(表紙!$X$2="実績報告（１次）",CP22,
IF(CP$19&gt;=1,CP22,0))</f>
        <v>0</v>
      </c>
      <c r="CQ3" s="674">
        <f xml:space="preserve">
IF(表紙!$X$2="実績報告（１次）",CQ22,
IF(CQ$19&gt;=1,CQ22,0))</f>
        <v>0</v>
      </c>
      <c r="CR3" s="674">
        <f xml:space="preserve">
IF(表紙!$X$2="実績報告（１次）",CR22,
IF(CR$19&gt;=1,CR22,0))</f>
        <v>0</v>
      </c>
      <c r="CS3" s="674">
        <f xml:space="preserve">
IF(表紙!$X$2="実績報告（１次）",CS22,
IF(CS$19&gt;=1,CS22,0))</f>
        <v>0</v>
      </c>
      <c r="CT3" s="674">
        <f xml:space="preserve">
IF(表紙!$X$2="実績報告（１次）",CT22,
IF(CT$19&gt;=1,CT22,0))</f>
        <v>0</v>
      </c>
      <c r="CU3" s="674">
        <f xml:space="preserve">
IF(表紙!$X$2="実績報告（１次）",CU22,
IF(CU$19&gt;=1,CU22,0))</f>
        <v>0</v>
      </c>
      <c r="CV3" s="674">
        <f xml:space="preserve">
IF(表紙!$X$2="実績報告（１次）",CV22,
IF(CV$19&gt;=1,CV22,0))</f>
        <v>0</v>
      </c>
      <c r="CW3" s="674">
        <f xml:space="preserve">
IF(表紙!$X$2="実績報告（１次）",CW22,
IF(CW$19&gt;=1,CW22,0))</f>
        <v>0</v>
      </c>
      <c r="CX3" s="674">
        <f xml:space="preserve">
IF(表紙!$X$2="実績報告（１次）",CX22,
IF(CX$19&gt;=1,CX22,0))</f>
        <v>0</v>
      </c>
      <c r="CY3" s="674">
        <f xml:space="preserve">
IF(表紙!$X$2="実績報告（１次）",CY22,
IF(CY$19&gt;=1,CY22,0))</f>
        <v>0</v>
      </c>
      <c r="CZ3" s="674">
        <f xml:space="preserve">
IF(表紙!$X$2="実績報告（１次）",CZ22,
IF(CZ$19&gt;=1,CZ22,0))</f>
        <v>0</v>
      </c>
      <c r="DA3" s="674">
        <f xml:space="preserve">
IF(表紙!$X$2="実績報告（１次）",DA22,
IF(DA$19&gt;=1,DA22,0))</f>
        <v>0</v>
      </c>
      <c r="DB3" s="674">
        <f xml:space="preserve">
IF(表紙!$X$2="実績報告（１次）",DB22,
IF(DB$19&gt;=1,DB22,0))</f>
        <v>0</v>
      </c>
      <c r="DC3" s="674">
        <f xml:space="preserve">
IF(表紙!$X$2="実績報告（１次）",DC22,
IF(DC$19&gt;=1,DC22,0))</f>
        <v>0</v>
      </c>
      <c r="DD3" s="674">
        <f xml:space="preserve">
IF(表紙!$X$2="実績報告（１次）",DD22,
IF(DD$19&gt;=1,DD22,0))</f>
        <v>0</v>
      </c>
      <c r="DE3" s="674">
        <f xml:space="preserve">
IF(表紙!$X$2="実績報告（１次）",DE22,
IF(DE$19&gt;=1,DE22,0))</f>
        <v>0</v>
      </c>
      <c r="DF3" s="674">
        <f xml:space="preserve">
IF(表紙!$X$2="実績報告（１次）",DF22,
IF(DF$19&gt;=1,DF22,0))</f>
        <v>0</v>
      </c>
      <c r="DG3" s="674">
        <f xml:space="preserve">
IF(表紙!$X$2="実績報告（１次）",DG22,
IF(DG$19&gt;=1,DG22,0))</f>
        <v>0</v>
      </c>
      <c r="DH3" s="674">
        <f xml:space="preserve">
IF(表紙!$X$2="実績報告（１次）",DH22,
IF(DH$19&gt;=1,DH22,0))</f>
        <v>0</v>
      </c>
      <c r="DI3" s="674">
        <f xml:space="preserve">
IF(表紙!$X$2="実績報告（１次）",DI22,
IF(DI$19&gt;=1,DI22,0))</f>
        <v>0</v>
      </c>
      <c r="DJ3" s="674">
        <f xml:space="preserve">
IF(表紙!$X$2="実績報告（１次）",DJ22,
IF(DJ$19&gt;=1,DJ22,0))</f>
        <v>0</v>
      </c>
      <c r="DK3" s="674">
        <f xml:space="preserve">
IF(表紙!$X$2="実績報告（１次）",DK22,
IF(DK$19&gt;=1,DK22,0))</f>
        <v>0</v>
      </c>
      <c r="DL3" s="674">
        <f xml:space="preserve">
IF(表紙!$X$2="実績報告（１次）",DL22,
IF(DL$19&gt;=1,DL22,0))</f>
        <v>0</v>
      </c>
      <c r="DM3" s="674">
        <f xml:space="preserve">
IF(表紙!$X$2="実績報告（１次）",DM22,
IF(DM$19&gt;=1,DM22,0))</f>
        <v>0</v>
      </c>
      <c r="DN3" s="674">
        <f xml:space="preserve">
IF(表紙!$X$2="実績報告（１次）",DN22,
IF(DN$19&gt;=1,DN22,0))</f>
        <v>0</v>
      </c>
      <c r="DO3" s="674">
        <f xml:space="preserve">
IF(表紙!$X$2="実績報告（１次）",DO22,
IF(DO$19&gt;=1,DO22,0))</f>
        <v>0</v>
      </c>
      <c r="DP3" s="674">
        <f xml:space="preserve">
IF(表紙!$X$2="実績報告（１次）",DP22,
IF(DP$19&gt;=1,DP22,0))</f>
        <v>0</v>
      </c>
      <c r="DQ3" s="674">
        <f xml:space="preserve">
IF(表紙!$X$2="実績報告（１次）",DQ22,
IF(DQ$19&gt;=1,DQ22,0))</f>
        <v>0</v>
      </c>
      <c r="DR3" s="674">
        <f xml:space="preserve">
IF(表紙!$X$2="実績報告（１次）",DR22,
IF(DR$19&gt;=1,DR22,0))</f>
        <v>0</v>
      </c>
      <c r="DS3" s="674">
        <f xml:space="preserve">
IF(表紙!$X$2="実績報告（１次）",DS22,
IF(DS$19&gt;=1,DS22,0))</f>
        <v>0</v>
      </c>
      <c r="DT3" s="674">
        <f xml:space="preserve">
IF(表紙!$X$2="実績報告（１次）",DT22,
IF(DT$19&gt;=1,DT22,0))</f>
        <v>0</v>
      </c>
      <c r="DU3" s="674">
        <f xml:space="preserve">
IF(表紙!$X$2="実績報告（１次）",DU22,
IF(DU$19&gt;=1,DU22,0))</f>
        <v>0</v>
      </c>
      <c r="DV3" s="674">
        <f xml:space="preserve">
IF(表紙!$X$2="実績報告（１次）",DV22,
IF(DV$19&gt;=1,DV22,0))</f>
        <v>0</v>
      </c>
      <c r="DW3" s="674">
        <f xml:space="preserve">
IF(表紙!$X$2="実績報告（１次）",DW22,
IF(DW$19&gt;=1,DW22,0))</f>
        <v>0</v>
      </c>
      <c r="DX3" s="674">
        <f xml:space="preserve">
IF(表紙!$X$2="実績報告（１次）",DX22,
IF(DX$19&gt;=1,DX22,0))</f>
        <v>0</v>
      </c>
      <c r="DY3" s="674">
        <f xml:space="preserve">
IF(表紙!$X$2="実績報告（１次）",DY22,
IF(DY$19&gt;=1,DY22,0))</f>
        <v>0</v>
      </c>
      <c r="DZ3" s="674">
        <f xml:space="preserve">
IF(表紙!$X$2="実績報告（１次）",DZ22,
IF(DZ$19&gt;=1,DZ22,0))</f>
        <v>0</v>
      </c>
      <c r="EA3" s="674">
        <f xml:space="preserve">
IF(表紙!$X$2="実績報告（１次）",EA22,
IF(EA$19&gt;=1,EA22,0))</f>
        <v>0</v>
      </c>
      <c r="EB3" s="674">
        <f xml:space="preserve">
IF(表紙!$X$2="実績報告（１次）",EB22,
IF(EB$19&gt;=1,EB22,0))</f>
        <v>0</v>
      </c>
      <c r="EC3" s="674">
        <f xml:space="preserve">
IF(表紙!$X$2="実績報告（１次）",EC22,
IF(EC$19&gt;=1,EC22,0))</f>
        <v>0</v>
      </c>
      <c r="ED3" s="674">
        <f xml:space="preserve">
IF(表紙!$X$2="実績報告（１次）",ED22,
IF(ED$19&gt;=1,ED22,0))</f>
        <v>0</v>
      </c>
      <c r="EE3" s="674">
        <f xml:space="preserve">
IF(表紙!$X$2="実績報告（１次）",EE22,
IF(EE$19&gt;=1,EE22,0))</f>
        <v>0</v>
      </c>
      <c r="EF3" s="674">
        <f xml:space="preserve">
IF(表紙!$X$2="実績報告（１次）",EF22,
IF(EF$19&gt;=1,EF22,0))</f>
        <v>0</v>
      </c>
      <c r="EG3" s="674">
        <f xml:space="preserve">
IF(表紙!$X$2="実績報告（１次）",EG22,
IF(EG$19&gt;=1,EG22,0))</f>
        <v>0</v>
      </c>
      <c r="EH3" s="674">
        <f xml:space="preserve">
IF(表紙!$X$2="実績報告（１次）",EH22,
IF(EH$19&gt;=1,EH22,0))</f>
        <v>0</v>
      </c>
      <c r="EI3" s="674">
        <f xml:space="preserve">
IF(表紙!$X$2="実績報告（１次）",EI22,
IF(EI$19&gt;=1,EI22,0))</f>
        <v>0</v>
      </c>
      <c r="EJ3" s="674">
        <f xml:space="preserve">
IF(表紙!$X$2="実績報告（１次）",EJ22,
IF(EJ$19&gt;=1,EJ22,0))</f>
        <v>0</v>
      </c>
      <c r="EK3" s="674">
        <f xml:space="preserve">
IF(表紙!$X$2="実績報告（１次）",EK22,
IF(EK$19&gt;=1,EK22,0))</f>
        <v>0</v>
      </c>
      <c r="EL3" s="674">
        <f xml:space="preserve">
IF(表紙!$X$2="実績報告（１次）",EL22,
IF(EL$19&gt;=1,EL22,0))</f>
        <v>0</v>
      </c>
      <c r="EM3" s="674">
        <f xml:space="preserve">
IF(表紙!$X$2="実績報告（１次）",EM22,
IF(EM$19&gt;=1,EM22,0))</f>
        <v>0</v>
      </c>
      <c r="EN3" s="674">
        <f xml:space="preserve">
IF(表紙!$X$2="実績報告（１次）",EN22,
IF(EN$19&gt;=1,EN22,0))</f>
        <v>0</v>
      </c>
      <c r="EO3" s="674">
        <f xml:space="preserve">
IF(表紙!$X$2="実績報告（１次）",EO22,
IF(EO$19&gt;=1,EO22,0))</f>
        <v>0</v>
      </c>
      <c r="EP3" s="674">
        <f xml:space="preserve">
IF(表紙!$X$2="実績報告（１次）",EP22,
IF(EP$19&gt;=1,EP22,0))</f>
        <v>0</v>
      </c>
      <c r="EQ3" s="674">
        <f xml:space="preserve">
IF(表紙!$X$2="実績報告（１次）",EQ22,
IF(EQ$19&gt;=1,EQ22,0))</f>
        <v>0</v>
      </c>
      <c r="ER3" s="674">
        <f xml:space="preserve">
IF(表紙!$X$2="実績報告（１次）",ER22,
IF(ER$19&gt;=1,ER22,0))</f>
        <v>0</v>
      </c>
      <c r="ES3" s="674">
        <f xml:space="preserve">
IF(表紙!$X$2="実績報告（１次）",ES22,
IF(ES$19&gt;=1,ES22,0))</f>
        <v>0</v>
      </c>
      <c r="ET3" s="674">
        <f xml:space="preserve">
IF(表紙!$X$2="実績報告（１次）",ET22,
IF(ET$19&gt;=1,ET22,0))</f>
        <v>0</v>
      </c>
      <c r="EU3" s="674">
        <f xml:space="preserve">
IF(表紙!$X$2="実績報告（１次）",EU22,
IF(EU$19&gt;=1,EU22,0))</f>
        <v>0</v>
      </c>
      <c r="EV3" s="674">
        <f xml:space="preserve">
IF(表紙!$X$2="実績報告（１次）",EV22,
IF(EV$19&gt;=1,EV22,0))</f>
        <v>0</v>
      </c>
      <c r="EW3" s="674">
        <f xml:space="preserve">
IF(表紙!$X$2="実績報告（１次）",EW22,
IF(EW$19&gt;=1,EW22,0))</f>
        <v>0</v>
      </c>
      <c r="EX3" s="674">
        <f xml:space="preserve">
IF(表紙!$X$2="実績報告（１次）",EX22,
IF(EX$19&gt;=1,EX22,0))</f>
        <v>0</v>
      </c>
      <c r="EY3" s="674">
        <f xml:space="preserve">
IF(表紙!$X$2="実績報告（１次）",EY22,
IF(EY$19&gt;=1,EY22,0))</f>
        <v>0</v>
      </c>
      <c r="EZ3" s="674">
        <f xml:space="preserve">
IF(表紙!$X$2="実績報告（１次）",EZ22,
IF(EZ$19&gt;=1,EZ22,0))</f>
        <v>0</v>
      </c>
      <c r="FA3" s="674">
        <f xml:space="preserve">
IF(表紙!$X$2="実績報告（１次）",FA22,
IF(FA$19&gt;=1,FA22,0))</f>
        <v>0</v>
      </c>
      <c r="FB3" s="674">
        <f xml:space="preserve">
IF(表紙!$X$2="実績報告（１次）",FB22,
IF(FB$19&gt;=1,FB22,0))</f>
        <v>0</v>
      </c>
      <c r="FC3" s="674">
        <f xml:space="preserve">
IF(表紙!$X$2="実績報告（１次）",FC22,
IF(FC$19&gt;=1,FC22,0))</f>
        <v>0</v>
      </c>
      <c r="FD3" s="674">
        <f xml:space="preserve">
IF(表紙!$X$2="実績報告（１次）",FD22,
IF(FD$19&gt;=1,FD22,0))</f>
        <v>0</v>
      </c>
      <c r="FE3" s="674">
        <f xml:space="preserve">
IF(表紙!$X$2="実績報告（１次）",FE22,
IF(FE$19&gt;=1,FE22,0))</f>
        <v>0</v>
      </c>
      <c r="FF3" s="674">
        <f xml:space="preserve">
IF(表紙!$X$2="実績報告（１次）",FF22,
IF(FF$19&gt;=1,FF22,0))</f>
        <v>0</v>
      </c>
      <c r="FG3" s="674">
        <f xml:space="preserve">
IF(表紙!$X$2="実績報告（１次）",FG22,
IF(FG$19&gt;=1,FG22,0))</f>
        <v>0</v>
      </c>
      <c r="FH3" s="674">
        <f xml:space="preserve">
IF(表紙!$X$2="実績報告（１次）",FH22,
IF(FH$19&gt;=1,FH22,0))</f>
        <v>0</v>
      </c>
      <c r="FI3" s="674">
        <f xml:space="preserve">
IF(表紙!$X$2="実績報告（１次）",FI22,
IF(FI$19&gt;=1,FI22,0))</f>
        <v>0</v>
      </c>
      <c r="FJ3" s="674">
        <f xml:space="preserve">
IF(表紙!$X$2="実績報告（１次）",FJ22,
IF(FJ$19&gt;=1,FJ22,0))</f>
        <v>0</v>
      </c>
      <c r="FK3" s="674">
        <f xml:space="preserve">
IF(表紙!$X$2="実績報告（１次）",FK22,
IF(FK$19&gt;=1,FK22,0))</f>
        <v>0</v>
      </c>
      <c r="FL3" s="674">
        <f xml:space="preserve">
IF(表紙!$X$2="実績報告（１次）",FL22,
IF(FL$19&gt;=1,FL22,0))</f>
        <v>0</v>
      </c>
      <c r="FM3" s="674">
        <f xml:space="preserve">
IF(表紙!$X$2="実績報告（１次）",FM22,
IF(FM$19&gt;=1,FM22,0))</f>
        <v>0</v>
      </c>
      <c r="FN3" s="674">
        <f xml:space="preserve">
IF(表紙!$X$2="実績報告（１次）",FN22,
IF(FN$19&gt;=1,FN22,0))</f>
        <v>0</v>
      </c>
      <c r="FO3" s="674">
        <f xml:space="preserve">
IF(表紙!$X$2="実績報告（１次）",FO22,
IF(FO$19&gt;=1,FO22,0))</f>
        <v>0</v>
      </c>
      <c r="FP3" s="674">
        <f xml:space="preserve">
IF(表紙!$X$2="実績報告（１次）",FP22,
IF(FP$19&gt;=1,FP22,0))</f>
        <v>0</v>
      </c>
      <c r="FQ3" s="674">
        <f xml:space="preserve">
IF(表紙!$X$2="実績報告（１次）",FQ22,
IF(FQ$19&gt;=1,FQ22,0))</f>
        <v>0</v>
      </c>
      <c r="FR3" s="674">
        <f xml:space="preserve">
IF(表紙!$X$2="実績報告（１次）",FR22,
IF(FR$19&gt;=1,FR22,0))</f>
        <v>0</v>
      </c>
      <c r="FS3" s="674">
        <f xml:space="preserve">
IF(表紙!$X$2="実績報告（１次）",FS22,
IF(FS$19&gt;=1,FS22,0))</f>
        <v>0</v>
      </c>
      <c r="FT3" s="674">
        <f xml:space="preserve">
IF(表紙!$X$2="実績報告（１次）",FT22,
IF(FT$19&gt;=1,FT22,0))</f>
        <v>0</v>
      </c>
      <c r="FU3" s="674">
        <f xml:space="preserve">
IF(表紙!$X$2="実績報告（１次）",FU22,
IF(FU$19&gt;=1,FU22,0))</f>
        <v>0</v>
      </c>
      <c r="FV3" s="674">
        <f xml:space="preserve">
IF(表紙!$X$2="実績報告（１次）",FV22,
IF(FV$19&gt;=1,FV22,0))</f>
        <v>0</v>
      </c>
      <c r="FW3" s="674">
        <f xml:space="preserve">
IF(表紙!$X$2="実績報告（１次）",FW22,
IF(FW$19&gt;=1,FW22,0))</f>
        <v>0</v>
      </c>
      <c r="FX3" s="674">
        <f xml:space="preserve">
IF(表紙!$X$2="実績報告（１次）",FX22,
IF(FX$19&gt;=1,FX22,0))</f>
        <v>0</v>
      </c>
      <c r="FY3" s="674">
        <f xml:space="preserve">
IF(表紙!$X$2="実績報告（１次）",FY22,
IF(FY$19&gt;=1,FY22,0))</f>
        <v>0</v>
      </c>
      <c r="FZ3" s="674">
        <f xml:space="preserve">
IF(表紙!$X$2="実績報告（１次）",FZ22,
IF(FZ$19&gt;=1,FZ22,0))</f>
        <v>0</v>
      </c>
      <c r="GA3" s="674">
        <f xml:space="preserve">
IF(表紙!$X$2="実績報告（１次）",GA22,
IF(GA$19&gt;=1,GA22,0))</f>
        <v>0</v>
      </c>
      <c r="GB3" s="674">
        <f xml:space="preserve">
IF(表紙!$X$2="実績報告（１次）",GB22,
IF(GB$19&gt;=1,GB22,0))</f>
        <v>0</v>
      </c>
      <c r="GC3" s="674">
        <f xml:space="preserve">
IF(表紙!$X$2="実績報告（１次）",GC22,
IF(GC$19&gt;=1,GC22,0))</f>
        <v>0</v>
      </c>
      <c r="GD3" s="674">
        <f xml:space="preserve">
IF(表紙!$X$2="実績報告（１次）",GD22,
IF(GD$19&gt;=1,GD22,0))</f>
        <v>0</v>
      </c>
      <c r="GE3" s="674">
        <f xml:space="preserve">
IF(表紙!$X$2="実績報告（１次）",GE22,
IF(GE$19&gt;=1,GE22,0))</f>
        <v>0</v>
      </c>
      <c r="GF3" s="674">
        <f xml:space="preserve">
IF(表紙!$X$2="実績報告（１次）",GF22,
IF(GF$19&gt;=1,GF22,0))</f>
        <v>0</v>
      </c>
      <c r="GG3" s="674">
        <f xml:space="preserve">
IF(表紙!$X$2="実績報告（１次）",GG22,
IF(GG$19&gt;=1,GG22,0))</f>
        <v>0</v>
      </c>
      <c r="GH3" s="674">
        <f xml:space="preserve">
IF(表紙!$X$2="実績報告（１次）",GH22,
IF(GH$19&gt;=1,GH22,0))</f>
        <v>0</v>
      </c>
      <c r="GI3" s="674">
        <f xml:space="preserve">
IF(表紙!$X$2="実績報告（１次）",GI22,
IF(GI$19&gt;=1,GI22,0))</f>
        <v>0</v>
      </c>
      <c r="GJ3" s="674">
        <f xml:space="preserve">
IF(表紙!$X$2="実績報告（１次）",GJ22,
IF(GJ$19&gt;=1,GJ22,0))</f>
        <v>0</v>
      </c>
    </row>
    <row r="4" spans="2:192" ht="9.75" customHeight="1">
      <c r="B4" s="618"/>
      <c r="C4" s="630" t="s">
        <v>1222</v>
      </c>
      <c r="D4" s="672">
        <f>基礎情報!V119</f>
        <v>0</v>
      </c>
      <c r="E4" s="1941">
        <f t="shared" ref="E4:E15" si="3">SUM(G4:GJ4)</f>
        <v>0</v>
      </c>
      <c r="F4" s="1942"/>
      <c r="G4" s="674">
        <f xml:space="preserve">
IF(表紙!$X$2="実績報告（１次）",G25,
IF(G$19&gt;=1,G25,0))</f>
        <v>0</v>
      </c>
      <c r="H4" s="674">
        <f xml:space="preserve">
IF(表紙!$X$2="実績報告（１次）",H25,
IF(H$19&gt;=1,H25,0))</f>
        <v>0</v>
      </c>
      <c r="I4" s="674">
        <f xml:space="preserve">
IF(表紙!$X$2="実績報告（１次）",I25,
IF(I$19&gt;=1,I25,0))</f>
        <v>0</v>
      </c>
      <c r="J4" s="674">
        <f xml:space="preserve">
IF(表紙!$X$2="実績報告（１次）",J25,
IF(J$19&gt;=1,J25,0))</f>
        <v>0</v>
      </c>
      <c r="K4" s="674">
        <f xml:space="preserve">
IF(表紙!$X$2="実績報告（１次）",K25,
IF(K$19&gt;=1,K25,0))</f>
        <v>0</v>
      </c>
      <c r="L4" s="674">
        <f xml:space="preserve">
IF(表紙!$X$2="実績報告（１次）",L25,
IF(L$19&gt;=1,L25,0))</f>
        <v>0</v>
      </c>
      <c r="M4" s="674">
        <f xml:space="preserve">
IF(表紙!$X$2="実績報告（１次）",M25,
IF(M$19&gt;=1,M25,0))</f>
        <v>0</v>
      </c>
      <c r="N4" s="674">
        <f xml:space="preserve">
IF(表紙!$X$2="実績報告（１次）",N25,
IF(N$19&gt;=1,N25,0))</f>
        <v>0</v>
      </c>
      <c r="O4" s="674">
        <f xml:space="preserve">
IF(表紙!$X$2="実績報告（１次）",O25,
IF(O$19&gt;=1,O25,0))</f>
        <v>0</v>
      </c>
      <c r="P4" s="674">
        <f xml:space="preserve">
IF(表紙!$X$2="実績報告（１次）",P25,
IF(P$19&gt;=1,P25,0))</f>
        <v>0</v>
      </c>
      <c r="Q4" s="674">
        <f xml:space="preserve">
IF(表紙!$X$2="実績報告（１次）",Q25,
IF(Q$19&gt;=1,Q25,0))</f>
        <v>0</v>
      </c>
      <c r="R4" s="674">
        <f xml:space="preserve">
IF(表紙!$X$2="実績報告（１次）",R25,
IF(R$19&gt;=1,R25,0))</f>
        <v>0</v>
      </c>
      <c r="S4" s="674">
        <f xml:space="preserve">
IF(表紙!$X$2="実績報告（１次）",S25,
IF(S$19&gt;=1,S25,0))</f>
        <v>0</v>
      </c>
      <c r="T4" s="674">
        <f xml:space="preserve">
IF(表紙!$X$2="実績報告（１次）",T25,
IF(T$19&gt;=1,T25,0))</f>
        <v>0</v>
      </c>
      <c r="U4" s="674">
        <f xml:space="preserve">
IF(表紙!$X$2="実績報告（１次）",U25,
IF(U$19&gt;=1,U25,0))</f>
        <v>0</v>
      </c>
      <c r="V4" s="674">
        <f xml:space="preserve">
IF(表紙!$X$2="実績報告（１次）",V25,
IF(V$19&gt;=1,V25,0))</f>
        <v>0</v>
      </c>
      <c r="W4" s="674">
        <f xml:space="preserve">
IF(表紙!$X$2="実績報告（１次）",W25,
IF(W$19&gt;=1,W25,0))</f>
        <v>0</v>
      </c>
      <c r="X4" s="674">
        <f xml:space="preserve">
IF(表紙!$X$2="実績報告（１次）",X25,
IF(X$19&gt;=1,X25,0))</f>
        <v>0</v>
      </c>
      <c r="Y4" s="674">
        <f xml:space="preserve">
IF(表紙!$X$2="実績報告（１次）",Y25,
IF(Y$19&gt;=1,Y25,0))</f>
        <v>0</v>
      </c>
      <c r="Z4" s="674">
        <f xml:space="preserve">
IF(表紙!$X$2="実績報告（１次）",Z25,
IF(Z$19&gt;=1,Z25,0))</f>
        <v>0</v>
      </c>
      <c r="AA4" s="674">
        <f xml:space="preserve">
IF(表紙!$X$2="実績報告（１次）",AA25,
IF(AA$19&gt;=1,AA25,0))</f>
        <v>0</v>
      </c>
      <c r="AB4" s="674">
        <f xml:space="preserve">
IF(表紙!$X$2="実績報告（１次）",AB25,
IF(AB$19&gt;=1,AB25,0))</f>
        <v>0</v>
      </c>
      <c r="AC4" s="674">
        <f xml:space="preserve">
IF(表紙!$X$2="実績報告（１次）",AC25,
IF(AC$19&gt;=1,AC25,0))</f>
        <v>0</v>
      </c>
      <c r="AD4" s="674">
        <f xml:space="preserve">
IF(表紙!$X$2="実績報告（１次）",AD25,
IF(AD$19&gt;=1,AD25,0))</f>
        <v>0</v>
      </c>
      <c r="AE4" s="674">
        <f xml:space="preserve">
IF(表紙!$X$2="実績報告（１次）",AE25,
IF(AE$19&gt;=1,AE25,0))</f>
        <v>0</v>
      </c>
      <c r="AF4" s="674">
        <f xml:space="preserve">
IF(表紙!$X$2="実績報告（１次）",AF25,
IF(AF$19&gt;=1,AF25,0))</f>
        <v>0</v>
      </c>
      <c r="AG4" s="674">
        <f xml:space="preserve">
IF(表紙!$X$2="実績報告（１次）",AG25,
IF(AG$19&gt;=1,AG25,0))</f>
        <v>0</v>
      </c>
      <c r="AH4" s="674">
        <f xml:space="preserve">
IF(表紙!$X$2="実績報告（１次）",AH25,
IF(AH$19&gt;=1,AH25,0))</f>
        <v>0</v>
      </c>
      <c r="AI4" s="674">
        <f xml:space="preserve">
IF(表紙!$X$2="実績報告（１次）",AI25,
IF(AI$19&gt;=1,AI25,0))</f>
        <v>0</v>
      </c>
      <c r="AJ4" s="674">
        <f xml:space="preserve">
IF(表紙!$X$2="実績報告（１次）",AJ25,
IF(AJ$19&gt;=1,AJ25,0))</f>
        <v>0</v>
      </c>
      <c r="AK4" s="674">
        <f xml:space="preserve">
IF(表紙!$X$2="実績報告（１次）",AK25,
IF(AK$19&gt;=1,AK25,0))</f>
        <v>0</v>
      </c>
      <c r="AL4" s="674">
        <f xml:space="preserve">
IF(表紙!$X$2="実績報告（１次）",AL25,
IF(AL$19&gt;=1,AL25,0))</f>
        <v>0</v>
      </c>
      <c r="AM4" s="674">
        <f xml:space="preserve">
IF(表紙!$X$2="実績報告（１次）",AM25,
IF(AM$19&gt;=1,AM25,0))</f>
        <v>0</v>
      </c>
      <c r="AN4" s="674">
        <f xml:space="preserve">
IF(表紙!$X$2="実績報告（１次）",AN25,
IF(AN$19&gt;=1,AN25,0))</f>
        <v>0</v>
      </c>
      <c r="AO4" s="674">
        <f xml:space="preserve">
IF(表紙!$X$2="実績報告（１次）",AO25,
IF(AO$19&gt;=1,AO25,0))</f>
        <v>0</v>
      </c>
      <c r="AP4" s="674">
        <f xml:space="preserve">
IF(表紙!$X$2="実績報告（１次）",AP25,
IF(AP$19&gt;=1,AP25,0))</f>
        <v>0</v>
      </c>
      <c r="AQ4" s="674">
        <f xml:space="preserve">
IF(表紙!$X$2="実績報告（１次）",AQ25,
IF(AQ$19&gt;=1,AQ25,0))</f>
        <v>0</v>
      </c>
      <c r="AR4" s="674">
        <f xml:space="preserve">
IF(表紙!$X$2="実績報告（１次）",AR25,
IF(AR$19&gt;=1,AR25,0))</f>
        <v>0</v>
      </c>
      <c r="AS4" s="674">
        <f xml:space="preserve">
IF(表紙!$X$2="実績報告（１次）",AS25,
IF(AS$19&gt;=1,AS25,0))</f>
        <v>0</v>
      </c>
      <c r="AT4" s="674">
        <f xml:space="preserve">
IF(表紙!$X$2="実績報告（１次）",AT25,
IF(AT$19&gt;=1,AT25,0))</f>
        <v>0</v>
      </c>
      <c r="AU4" s="674">
        <f xml:space="preserve">
IF(表紙!$X$2="実績報告（１次）",AU25,
IF(AU$19&gt;=1,AU25,0))</f>
        <v>0</v>
      </c>
      <c r="AV4" s="674">
        <f xml:space="preserve">
IF(表紙!$X$2="実績報告（１次）",AV25,
IF(AV$19&gt;=1,AV25,0))</f>
        <v>0</v>
      </c>
      <c r="AW4" s="674">
        <f xml:space="preserve">
IF(表紙!$X$2="実績報告（１次）",AW25,
IF(AW$19&gt;=1,AW25,0))</f>
        <v>0</v>
      </c>
      <c r="AX4" s="674">
        <f xml:space="preserve">
IF(表紙!$X$2="実績報告（１次）",AX25,
IF(AX$19&gt;=1,AX25,0))</f>
        <v>0</v>
      </c>
      <c r="AY4" s="674">
        <f xml:space="preserve">
IF(表紙!$X$2="実績報告（１次）",AY25,
IF(AY$19&gt;=1,AY25,0))</f>
        <v>0</v>
      </c>
      <c r="AZ4" s="674">
        <f xml:space="preserve">
IF(表紙!$X$2="実績報告（１次）",AZ25,
IF(AZ$19&gt;=1,AZ25,0))</f>
        <v>0</v>
      </c>
      <c r="BA4" s="674">
        <f xml:space="preserve">
IF(表紙!$X$2="実績報告（１次）",BA25,
IF(BA$19&gt;=1,BA25,0))</f>
        <v>0</v>
      </c>
      <c r="BB4" s="674">
        <f xml:space="preserve">
IF(表紙!$X$2="実績報告（１次）",BB25,
IF(BB$19&gt;=1,BB25,0))</f>
        <v>0</v>
      </c>
      <c r="BC4" s="674">
        <f xml:space="preserve">
IF(表紙!$X$2="実績報告（１次）",BC25,
IF(BC$19&gt;=1,BC25,0))</f>
        <v>0</v>
      </c>
      <c r="BD4" s="674">
        <f xml:space="preserve">
IF(表紙!$X$2="実績報告（１次）",BD25,
IF(BD$19&gt;=1,BD25,0))</f>
        <v>0</v>
      </c>
      <c r="BE4" s="674">
        <f xml:space="preserve">
IF(表紙!$X$2="実績報告（１次）",BE25,
IF(BE$19&gt;=1,BE25,0))</f>
        <v>0</v>
      </c>
      <c r="BF4" s="674">
        <f xml:space="preserve">
IF(表紙!$X$2="実績報告（１次）",BF25,
IF(BF$19&gt;=1,BF25,0))</f>
        <v>0</v>
      </c>
      <c r="BG4" s="674">
        <f xml:space="preserve">
IF(表紙!$X$2="実績報告（１次）",BG25,
IF(BG$19&gt;=1,BG25,0))</f>
        <v>0</v>
      </c>
      <c r="BH4" s="674">
        <f xml:space="preserve">
IF(表紙!$X$2="実績報告（１次）",BH25,
IF(BH$19&gt;=1,BH25,0))</f>
        <v>0</v>
      </c>
      <c r="BI4" s="674">
        <f xml:space="preserve">
IF(表紙!$X$2="実績報告（１次）",BI25,
IF(BI$19&gt;=1,BI25,0))</f>
        <v>0</v>
      </c>
      <c r="BJ4" s="674">
        <f xml:space="preserve">
IF(表紙!$X$2="実績報告（１次）",BJ25,
IF(BJ$19&gt;=1,BJ25,0))</f>
        <v>0</v>
      </c>
      <c r="BK4" s="674">
        <f xml:space="preserve">
IF(表紙!$X$2="実績報告（１次）",BK25,
IF(BK$19&gt;=1,BK25,0))</f>
        <v>0</v>
      </c>
      <c r="BL4" s="674">
        <f xml:space="preserve">
IF(表紙!$X$2="実績報告（１次）",BL25,
IF(BL$19&gt;=1,BL25,0))</f>
        <v>0</v>
      </c>
      <c r="BM4" s="674">
        <f xml:space="preserve">
IF(表紙!$X$2="実績報告（１次）",BM25,
IF(BM$19&gt;=1,BM25,0))</f>
        <v>0</v>
      </c>
      <c r="BN4" s="674">
        <f xml:space="preserve">
IF(表紙!$X$2="実績報告（１次）",BN25,
IF(BN$19&gt;=1,BN25,0))</f>
        <v>0</v>
      </c>
      <c r="BO4" s="674">
        <f xml:space="preserve">
IF(表紙!$X$2="実績報告（１次）",BO25,
IF(BO$19&gt;=1,BO25,0))</f>
        <v>0</v>
      </c>
      <c r="BP4" s="674">
        <f xml:space="preserve">
IF(表紙!$X$2="実績報告（１次）",BP25,
IF(BP$19&gt;=1,BP25,0))</f>
        <v>0</v>
      </c>
      <c r="BQ4" s="674">
        <f xml:space="preserve">
IF(表紙!$X$2="実績報告（１次）",BQ25,
IF(BQ$19&gt;=1,BQ25,0))</f>
        <v>0</v>
      </c>
      <c r="BR4" s="674">
        <f xml:space="preserve">
IF(表紙!$X$2="実績報告（１次）",BR25,
IF(BR$19&gt;=1,BR25,0))</f>
        <v>0</v>
      </c>
      <c r="BS4" s="674">
        <f xml:space="preserve">
IF(表紙!$X$2="実績報告（１次）",BS25,
IF(BS$19&gt;=1,BS25,0))</f>
        <v>0</v>
      </c>
      <c r="BT4" s="674">
        <f xml:space="preserve">
IF(表紙!$X$2="実績報告（１次）",BT25,
IF(BT$19&gt;=1,BT25,0))</f>
        <v>0</v>
      </c>
      <c r="BU4" s="674">
        <f xml:space="preserve">
IF(表紙!$X$2="実績報告（１次）",BU25,
IF(BU$19&gt;=1,BU25,0))</f>
        <v>0</v>
      </c>
      <c r="BV4" s="674">
        <f xml:space="preserve">
IF(表紙!$X$2="実績報告（１次）",BV25,
IF(BV$19&gt;=1,BV25,0))</f>
        <v>0</v>
      </c>
      <c r="BW4" s="674">
        <f xml:space="preserve">
IF(表紙!$X$2="実績報告（１次）",BW25,
IF(BW$19&gt;=1,BW25,0))</f>
        <v>0</v>
      </c>
      <c r="BX4" s="674">
        <f xml:space="preserve">
IF(表紙!$X$2="実績報告（１次）",BX25,
IF(BX$19&gt;=1,BX25,0))</f>
        <v>0</v>
      </c>
      <c r="BY4" s="674">
        <f xml:space="preserve">
IF(表紙!$X$2="実績報告（１次）",BY25,
IF(BY$19&gt;=1,BY25,0))</f>
        <v>0</v>
      </c>
      <c r="BZ4" s="674">
        <f xml:space="preserve">
IF(表紙!$X$2="実績報告（１次）",BZ25,
IF(BZ$19&gt;=1,BZ25,0))</f>
        <v>0</v>
      </c>
      <c r="CA4" s="674">
        <f xml:space="preserve">
IF(表紙!$X$2="実績報告（１次）",CA25,
IF(CA$19&gt;=1,CA25,0))</f>
        <v>0</v>
      </c>
      <c r="CB4" s="674">
        <f xml:space="preserve">
IF(表紙!$X$2="実績報告（１次）",CB25,
IF(CB$19&gt;=1,CB25,0))</f>
        <v>0</v>
      </c>
      <c r="CC4" s="674">
        <f xml:space="preserve">
IF(表紙!$X$2="実績報告（１次）",CC25,
IF(CC$19&gt;=1,CC25,0))</f>
        <v>0</v>
      </c>
      <c r="CD4" s="674">
        <f xml:space="preserve">
IF(表紙!$X$2="実績報告（１次）",CD25,
IF(CD$19&gt;=1,CD25,0))</f>
        <v>0</v>
      </c>
      <c r="CE4" s="674">
        <f xml:space="preserve">
IF(表紙!$X$2="実績報告（１次）",CE25,
IF(CE$19&gt;=1,CE25,0))</f>
        <v>0</v>
      </c>
      <c r="CF4" s="674">
        <f xml:space="preserve">
IF(表紙!$X$2="実績報告（１次）",CF25,
IF(CF$19&gt;=1,CF25,0))</f>
        <v>0</v>
      </c>
      <c r="CG4" s="674">
        <f xml:space="preserve">
IF(表紙!$X$2="実績報告（１次）",CG25,
IF(CG$19&gt;=1,CG25,0))</f>
        <v>0</v>
      </c>
      <c r="CH4" s="674">
        <f xml:space="preserve">
IF(表紙!$X$2="実績報告（１次）",CH25,
IF(CH$19&gt;=1,CH25,0))</f>
        <v>0</v>
      </c>
      <c r="CI4" s="674">
        <f xml:space="preserve">
IF(表紙!$X$2="実績報告（１次）",CI25,
IF(CI$19&gt;=1,CI25,0))</f>
        <v>0</v>
      </c>
      <c r="CJ4" s="674">
        <f xml:space="preserve">
IF(表紙!$X$2="実績報告（１次）",CJ25,
IF(CJ$19&gt;=1,CJ25,0))</f>
        <v>0</v>
      </c>
      <c r="CK4" s="674">
        <f xml:space="preserve">
IF(表紙!$X$2="実績報告（１次）",CK25,
IF(CK$19&gt;=1,CK25,0))</f>
        <v>0</v>
      </c>
      <c r="CL4" s="674">
        <f xml:space="preserve">
IF(表紙!$X$2="実績報告（１次）",CL25,
IF(CL$19&gt;=1,CL25,0))</f>
        <v>0</v>
      </c>
      <c r="CM4" s="674">
        <f xml:space="preserve">
IF(表紙!$X$2="実績報告（１次）",CM25,
IF(CM$19&gt;=1,CM25,0))</f>
        <v>0</v>
      </c>
      <c r="CN4" s="674">
        <f xml:space="preserve">
IF(表紙!$X$2="実績報告（１次）",CN25,
IF(CN$19&gt;=1,CN25,0))</f>
        <v>0</v>
      </c>
      <c r="CO4" s="674">
        <f xml:space="preserve">
IF(表紙!$X$2="実績報告（１次）",CO25,
IF(CO$19&gt;=1,CO25,0))</f>
        <v>0</v>
      </c>
      <c r="CP4" s="674">
        <f xml:space="preserve">
IF(表紙!$X$2="実績報告（１次）",CP25,
IF(CP$19&gt;=1,CP25,0))</f>
        <v>0</v>
      </c>
      <c r="CQ4" s="674">
        <f xml:space="preserve">
IF(表紙!$X$2="実績報告（１次）",CQ25,
IF(CQ$19&gt;=1,CQ25,0))</f>
        <v>0</v>
      </c>
      <c r="CR4" s="674">
        <f xml:space="preserve">
IF(表紙!$X$2="実績報告（１次）",CR25,
IF(CR$19&gt;=1,CR25,0))</f>
        <v>0</v>
      </c>
      <c r="CS4" s="674">
        <f xml:space="preserve">
IF(表紙!$X$2="実績報告（１次）",CS25,
IF(CS$19&gt;=1,CS25,0))</f>
        <v>0</v>
      </c>
      <c r="CT4" s="674">
        <f xml:space="preserve">
IF(表紙!$X$2="実績報告（１次）",CT25,
IF(CT$19&gt;=1,CT25,0))</f>
        <v>0</v>
      </c>
      <c r="CU4" s="674">
        <f xml:space="preserve">
IF(表紙!$X$2="実績報告（１次）",CU25,
IF(CU$19&gt;=1,CU25,0))</f>
        <v>0</v>
      </c>
      <c r="CV4" s="674">
        <f xml:space="preserve">
IF(表紙!$X$2="実績報告（１次）",CV25,
IF(CV$19&gt;=1,CV25,0))</f>
        <v>0</v>
      </c>
      <c r="CW4" s="674">
        <f xml:space="preserve">
IF(表紙!$X$2="実績報告（１次）",CW25,
IF(CW$19&gt;=1,CW25,0))</f>
        <v>0</v>
      </c>
      <c r="CX4" s="674">
        <f xml:space="preserve">
IF(表紙!$X$2="実績報告（１次）",CX25,
IF(CX$19&gt;=1,CX25,0))</f>
        <v>0</v>
      </c>
      <c r="CY4" s="674">
        <f xml:space="preserve">
IF(表紙!$X$2="実績報告（１次）",CY25,
IF(CY$19&gt;=1,CY25,0))</f>
        <v>0</v>
      </c>
      <c r="CZ4" s="674">
        <f xml:space="preserve">
IF(表紙!$X$2="実績報告（１次）",CZ25,
IF(CZ$19&gt;=1,CZ25,0))</f>
        <v>0</v>
      </c>
      <c r="DA4" s="674">
        <f xml:space="preserve">
IF(表紙!$X$2="実績報告（１次）",DA25,
IF(DA$19&gt;=1,DA25,0))</f>
        <v>0</v>
      </c>
      <c r="DB4" s="674">
        <f xml:space="preserve">
IF(表紙!$X$2="実績報告（１次）",DB25,
IF(DB$19&gt;=1,DB25,0))</f>
        <v>0</v>
      </c>
      <c r="DC4" s="674">
        <f xml:space="preserve">
IF(表紙!$X$2="実績報告（１次）",DC25,
IF(DC$19&gt;=1,DC25,0))</f>
        <v>0</v>
      </c>
      <c r="DD4" s="674">
        <f xml:space="preserve">
IF(表紙!$X$2="実績報告（１次）",DD25,
IF(DD$19&gt;=1,DD25,0))</f>
        <v>0</v>
      </c>
      <c r="DE4" s="674">
        <f xml:space="preserve">
IF(表紙!$X$2="実績報告（１次）",DE25,
IF(DE$19&gt;=1,DE25,0))</f>
        <v>0</v>
      </c>
      <c r="DF4" s="674">
        <f xml:space="preserve">
IF(表紙!$X$2="実績報告（１次）",DF25,
IF(DF$19&gt;=1,DF25,0))</f>
        <v>0</v>
      </c>
      <c r="DG4" s="674">
        <f xml:space="preserve">
IF(表紙!$X$2="実績報告（１次）",DG25,
IF(DG$19&gt;=1,DG25,0))</f>
        <v>0</v>
      </c>
      <c r="DH4" s="674">
        <f xml:space="preserve">
IF(表紙!$X$2="実績報告（１次）",DH25,
IF(DH$19&gt;=1,DH25,0))</f>
        <v>0</v>
      </c>
      <c r="DI4" s="674">
        <f xml:space="preserve">
IF(表紙!$X$2="実績報告（１次）",DI25,
IF(DI$19&gt;=1,DI25,0))</f>
        <v>0</v>
      </c>
      <c r="DJ4" s="674">
        <f xml:space="preserve">
IF(表紙!$X$2="実績報告（１次）",DJ25,
IF(DJ$19&gt;=1,DJ25,0))</f>
        <v>0</v>
      </c>
      <c r="DK4" s="674">
        <f xml:space="preserve">
IF(表紙!$X$2="実績報告（１次）",DK25,
IF(DK$19&gt;=1,DK25,0))</f>
        <v>0</v>
      </c>
      <c r="DL4" s="674">
        <f xml:space="preserve">
IF(表紙!$X$2="実績報告（１次）",DL25,
IF(DL$19&gt;=1,DL25,0))</f>
        <v>0</v>
      </c>
      <c r="DM4" s="674">
        <f xml:space="preserve">
IF(表紙!$X$2="実績報告（１次）",DM25,
IF(DM$19&gt;=1,DM25,0))</f>
        <v>0</v>
      </c>
      <c r="DN4" s="674">
        <f xml:space="preserve">
IF(表紙!$X$2="実績報告（１次）",DN25,
IF(DN$19&gt;=1,DN25,0))</f>
        <v>0</v>
      </c>
      <c r="DO4" s="674">
        <f xml:space="preserve">
IF(表紙!$X$2="実績報告（１次）",DO25,
IF(DO$19&gt;=1,DO25,0))</f>
        <v>0</v>
      </c>
      <c r="DP4" s="674">
        <f xml:space="preserve">
IF(表紙!$X$2="実績報告（１次）",DP25,
IF(DP$19&gt;=1,DP25,0))</f>
        <v>0</v>
      </c>
      <c r="DQ4" s="674">
        <f xml:space="preserve">
IF(表紙!$X$2="実績報告（１次）",DQ25,
IF(DQ$19&gt;=1,DQ25,0))</f>
        <v>0</v>
      </c>
      <c r="DR4" s="674">
        <f xml:space="preserve">
IF(表紙!$X$2="実績報告（１次）",DR25,
IF(DR$19&gt;=1,DR25,0))</f>
        <v>0</v>
      </c>
      <c r="DS4" s="674">
        <f xml:space="preserve">
IF(表紙!$X$2="実績報告（１次）",DS25,
IF(DS$19&gt;=1,DS25,0))</f>
        <v>0</v>
      </c>
      <c r="DT4" s="674">
        <f xml:space="preserve">
IF(表紙!$X$2="実績報告（１次）",DT25,
IF(DT$19&gt;=1,DT25,0))</f>
        <v>0</v>
      </c>
      <c r="DU4" s="674">
        <f xml:space="preserve">
IF(表紙!$X$2="実績報告（１次）",DU25,
IF(DU$19&gt;=1,DU25,0))</f>
        <v>0</v>
      </c>
      <c r="DV4" s="674">
        <f xml:space="preserve">
IF(表紙!$X$2="実績報告（１次）",DV25,
IF(DV$19&gt;=1,DV25,0))</f>
        <v>0</v>
      </c>
      <c r="DW4" s="674">
        <f xml:space="preserve">
IF(表紙!$X$2="実績報告（１次）",DW25,
IF(DW$19&gt;=1,DW25,0))</f>
        <v>0</v>
      </c>
      <c r="DX4" s="674">
        <f xml:space="preserve">
IF(表紙!$X$2="実績報告（１次）",DX25,
IF(DX$19&gt;=1,DX25,0))</f>
        <v>0</v>
      </c>
      <c r="DY4" s="674">
        <f xml:space="preserve">
IF(表紙!$X$2="実績報告（１次）",DY25,
IF(DY$19&gt;=1,DY25,0))</f>
        <v>0</v>
      </c>
      <c r="DZ4" s="674">
        <f xml:space="preserve">
IF(表紙!$X$2="実績報告（１次）",DZ25,
IF(DZ$19&gt;=1,DZ25,0))</f>
        <v>0</v>
      </c>
      <c r="EA4" s="674">
        <f xml:space="preserve">
IF(表紙!$X$2="実績報告（１次）",EA25,
IF(EA$19&gt;=1,EA25,0))</f>
        <v>0</v>
      </c>
      <c r="EB4" s="674">
        <f xml:space="preserve">
IF(表紙!$X$2="実績報告（１次）",EB25,
IF(EB$19&gt;=1,EB25,0))</f>
        <v>0</v>
      </c>
      <c r="EC4" s="674">
        <f xml:space="preserve">
IF(表紙!$X$2="実績報告（１次）",EC25,
IF(EC$19&gt;=1,EC25,0))</f>
        <v>0</v>
      </c>
      <c r="ED4" s="674">
        <f xml:space="preserve">
IF(表紙!$X$2="実績報告（１次）",ED25,
IF(ED$19&gt;=1,ED25,0))</f>
        <v>0</v>
      </c>
      <c r="EE4" s="674">
        <f xml:space="preserve">
IF(表紙!$X$2="実績報告（１次）",EE25,
IF(EE$19&gt;=1,EE25,0))</f>
        <v>0</v>
      </c>
      <c r="EF4" s="674">
        <f xml:space="preserve">
IF(表紙!$X$2="実績報告（１次）",EF25,
IF(EF$19&gt;=1,EF25,0))</f>
        <v>0</v>
      </c>
      <c r="EG4" s="674">
        <f xml:space="preserve">
IF(表紙!$X$2="実績報告（１次）",EG25,
IF(EG$19&gt;=1,EG25,0))</f>
        <v>0</v>
      </c>
      <c r="EH4" s="674">
        <f xml:space="preserve">
IF(表紙!$X$2="実績報告（１次）",EH25,
IF(EH$19&gt;=1,EH25,0))</f>
        <v>0</v>
      </c>
      <c r="EI4" s="674">
        <f xml:space="preserve">
IF(表紙!$X$2="実績報告（１次）",EI25,
IF(EI$19&gt;=1,EI25,0))</f>
        <v>0</v>
      </c>
      <c r="EJ4" s="674">
        <f xml:space="preserve">
IF(表紙!$X$2="実績報告（１次）",EJ25,
IF(EJ$19&gt;=1,EJ25,0))</f>
        <v>0</v>
      </c>
      <c r="EK4" s="674">
        <f xml:space="preserve">
IF(表紙!$X$2="実績報告（１次）",EK25,
IF(EK$19&gt;=1,EK25,0))</f>
        <v>0</v>
      </c>
      <c r="EL4" s="674">
        <f xml:space="preserve">
IF(表紙!$X$2="実績報告（１次）",EL25,
IF(EL$19&gt;=1,EL25,0))</f>
        <v>0</v>
      </c>
      <c r="EM4" s="674">
        <f xml:space="preserve">
IF(表紙!$X$2="実績報告（１次）",EM25,
IF(EM$19&gt;=1,EM25,0))</f>
        <v>0</v>
      </c>
      <c r="EN4" s="674">
        <f xml:space="preserve">
IF(表紙!$X$2="実績報告（１次）",EN25,
IF(EN$19&gt;=1,EN25,0))</f>
        <v>0</v>
      </c>
      <c r="EO4" s="674">
        <f xml:space="preserve">
IF(表紙!$X$2="実績報告（１次）",EO25,
IF(EO$19&gt;=1,EO25,0))</f>
        <v>0</v>
      </c>
      <c r="EP4" s="674">
        <f xml:space="preserve">
IF(表紙!$X$2="実績報告（１次）",EP25,
IF(EP$19&gt;=1,EP25,0))</f>
        <v>0</v>
      </c>
      <c r="EQ4" s="674">
        <f xml:space="preserve">
IF(表紙!$X$2="実績報告（１次）",EQ25,
IF(EQ$19&gt;=1,EQ25,0))</f>
        <v>0</v>
      </c>
      <c r="ER4" s="674">
        <f xml:space="preserve">
IF(表紙!$X$2="実績報告（１次）",ER25,
IF(ER$19&gt;=1,ER25,0))</f>
        <v>0</v>
      </c>
      <c r="ES4" s="674">
        <f xml:space="preserve">
IF(表紙!$X$2="実績報告（１次）",ES25,
IF(ES$19&gt;=1,ES25,0))</f>
        <v>0</v>
      </c>
      <c r="ET4" s="674">
        <f xml:space="preserve">
IF(表紙!$X$2="実績報告（１次）",ET25,
IF(ET$19&gt;=1,ET25,0))</f>
        <v>0</v>
      </c>
      <c r="EU4" s="674">
        <f xml:space="preserve">
IF(表紙!$X$2="実績報告（１次）",EU25,
IF(EU$19&gt;=1,EU25,0))</f>
        <v>0</v>
      </c>
      <c r="EV4" s="674">
        <f xml:space="preserve">
IF(表紙!$X$2="実績報告（１次）",EV25,
IF(EV$19&gt;=1,EV25,0))</f>
        <v>0</v>
      </c>
      <c r="EW4" s="674">
        <f xml:space="preserve">
IF(表紙!$X$2="実績報告（１次）",EW25,
IF(EW$19&gt;=1,EW25,0))</f>
        <v>0</v>
      </c>
      <c r="EX4" s="674">
        <f xml:space="preserve">
IF(表紙!$X$2="実績報告（１次）",EX25,
IF(EX$19&gt;=1,EX25,0))</f>
        <v>0</v>
      </c>
      <c r="EY4" s="674">
        <f xml:space="preserve">
IF(表紙!$X$2="実績報告（１次）",EY25,
IF(EY$19&gt;=1,EY25,0))</f>
        <v>0</v>
      </c>
      <c r="EZ4" s="674">
        <f xml:space="preserve">
IF(表紙!$X$2="実績報告（１次）",EZ25,
IF(EZ$19&gt;=1,EZ25,0))</f>
        <v>0</v>
      </c>
      <c r="FA4" s="674">
        <f xml:space="preserve">
IF(表紙!$X$2="実績報告（１次）",FA25,
IF(FA$19&gt;=1,FA25,0))</f>
        <v>0</v>
      </c>
      <c r="FB4" s="674">
        <f xml:space="preserve">
IF(表紙!$X$2="実績報告（１次）",FB25,
IF(FB$19&gt;=1,FB25,0))</f>
        <v>0</v>
      </c>
      <c r="FC4" s="674">
        <f xml:space="preserve">
IF(表紙!$X$2="実績報告（１次）",FC25,
IF(FC$19&gt;=1,FC25,0))</f>
        <v>0</v>
      </c>
      <c r="FD4" s="674">
        <f xml:space="preserve">
IF(表紙!$X$2="実績報告（１次）",FD25,
IF(FD$19&gt;=1,FD25,0))</f>
        <v>0</v>
      </c>
      <c r="FE4" s="674">
        <f xml:space="preserve">
IF(表紙!$X$2="実績報告（１次）",FE25,
IF(FE$19&gt;=1,FE25,0))</f>
        <v>0</v>
      </c>
      <c r="FF4" s="674">
        <f xml:space="preserve">
IF(表紙!$X$2="実績報告（１次）",FF25,
IF(FF$19&gt;=1,FF25,0))</f>
        <v>0</v>
      </c>
      <c r="FG4" s="674">
        <f xml:space="preserve">
IF(表紙!$X$2="実績報告（１次）",FG25,
IF(FG$19&gt;=1,FG25,0))</f>
        <v>0</v>
      </c>
      <c r="FH4" s="674">
        <f xml:space="preserve">
IF(表紙!$X$2="実績報告（１次）",FH25,
IF(FH$19&gt;=1,FH25,0))</f>
        <v>0</v>
      </c>
      <c r="FI4" s="674">
        <f xml:space="preserve">
IF(表紙!$X$2="実績報告（１次）",FI25,
IF(FI$19&gt;=1,FI25,0))</f>
        <v>0</v>
      </c>
      <c r="FJ4" s="674">
        <f xml:space="preserve">
IF(表紙!$X$2="実績報告（１次）",FJ25,
IF(FJ$19&gt;=1,FJ25,0))</f>
        <v>0</v>
      </c>
      <c r="FK4" s="674">
        <f xml:space="preserve">
IF(表紙!$X$2="実績報告（１次）",FK25,
IF(FK$19&gt;=1,FK25,0))</f>
        <v>0</v>
      </c>
      <c r="FL4" s="674">
        <f xml:space="preserve">
IF(表紙!$X$2="実績報告（１次）",FL25,
IF(FL$19&gt;=1,FL25,0))</f>
        <v>0</v>
      </c>
      <c r="FM4" s="674">
        <f xml:space="preserve">
IF(表紙!$X$2="実績報告（１次）",FM25,
IF(FM$19&gt;=1,FM25,0))</f>
        <v>0</v>
      </c>
      <c r="FN4" s="674">
        <f xml:space="preserve">
IF(表紙!$X$2="実績報告（１次）",FN25,
IF(FN$19&gt;=1,FN25,0))</f>
        <v>0</v>
      </c>
      <c r="FO4" s="674">
        <f xml:space="preserve">
IF(表紙!$X$2="実績報告（１次）",FO25,
IF(FO$19&gt;=1,FO25,0))</f>
        <v>0</v>
      </c>
      <c r="FP4" s="674">
        <f xml:space="preserve">
IF(表紙!$X$2="実績報告（１次）",FP25,
IF(FP$19&gt;=1,FP25,0))</f>
        <v>0</v>
      </c>
      <c r="FQ4" s="674">
        <f xml:space="preserve">
IF(表紙!$X$2="実績報告（１次）",FQ25,
IF(FQ$19&gt;=1,FQ25,0))</f>
        <v>0</v>
      </c>
      <c r="FR4" s="674">
        <f xml:space="preserve">
IF(表紙!$X$2="実績報告（１次）",FR25,
IF(FR$19&gt;=1,FR25,0))</f>
        <v>0</v>
      </c>
      <c r="FS4" s="674">
        <f xml:space="preserve">
IF(表紙!$X$2="実績報告（１次）",FS25,
IF(FS$19&gt;=1,FS25,0))</f>
        <v>0</v>
      </c>
      <c r="FT4" s="674">
        <f xml:space="preserve">
IF(表紙!$X$2="実績報告（１次）",FT25,
IF(FT$19&gt;=1,FT25,0))</f>
        <v>0</v>
      </c>
      <c r="FU4" s="674">
        <f xml:space="preserve">
IF(表紙!$X$2="実績報告（１次）",FU25,
IF(FU$19&gt;=1,FU25,0))</f>
        <v>0</v>
      </c>
      <c r="FV4" s="674">
        <f xml:space="preserve">
IF(表紙!$X$2="実績報告（１次）",FV25,
IF(FV$19&gt;=1,FV25,0))</f>
        <v>0</v>
      </c>
      <c r="FW4" s="674">
        <f xml:space="preserve">
IF(表紙!$X$2="実績報告（１次）",FW25,
IF(FW$19&gt;=1,FW25,0))</f>
        <v>0</v>
      </c>
      <c r="FX4" s="674">
        <f xml:space="preserve">
IF(表紙!$X$2="実績報告（１次）",FX25,
IF(FX$19&gt;=1,FX25,0))</f>
        <v>0</v>
      </c>
      <c r="FY4" s="674">
        <f xml:space="preserve">
IF(表紙!$X$2="実績報告（１次）",FY25,
IF(FY$19&gt;=1,FY25,0))</f>
        <v>0</v>
      </c>
      <c r="FZ4" s="674">
        <f xml:space="preserve">
IF(表紙!$X$2="実績報告（１次）",FZ25,
IF(FZ$19&gt;=1,FZ25,0))</f>
        <v>0</v>
      </c>
      <c r="GA4" s="674">
        <f xml:space="preserve">
IF(表紙!$X$2="実績報告（１次）",GA25,
IF(GA$19&gt;=1,GA25,0))</f>
        <v>0</v>
      </c>
      <c r="GB4" s="674">
        <f xml:space="preserve">
IF(表紙!$X$2="実績報告（１次）",GB25,
IF(GB$19&gt;=1,GB25,0))</f>
        <v>0</v>
      </c>
      <c r="GC4" s="674">
        <f xml:space="preserve">
IF(表紙!$X$2="実績報告（１次）",GC25,
IF(GC$19&gt;=1,GC25,0))</f>
        <v>0</v>
      </c>
      <c r="GD4" s="674">
        <f xml:space="preserve">
IF(表紙!$X$2="実績報告（１次）",GD25,
IF(GD$19&gt;=1,GD25,0))</f>
        <v>0</v>
      </c>
      <c r="GE4" s="674">
        <f xml:space="preserve">
IF(表紙!$X$2="実績報告（１次）",GE25,
IF(GE$19&gt;=1,GE25,0))</f>
        <v>0</v>
      </c>
      <c r="GF4" s="674">
        <f xml:space="preserve">
IF(表紙!$X$2="実績報告（１次）",GF25,
IF(GF$19&gt;=1,GF25,0))</f>
        <v>0</v>
      </c>
      <c r="GG4" s="674">
        <f xml:space="preserve">
IF(表紙!$X$2="実績報告（１次）",GG25,
IF(GG$19&gt;=1,GG25,0))</f>
        <v>0</v>
      </c>
      <c r="GH4" s="674">
        <f xml:space="preserve">
IF(表紙!$X$2="実績報告（１次）",GH25,
IF(GH$19&gt;=1,GH25,0))</f>
        <v>0</v>
      </c>
      <c r="GI4" s="674">
        <f xml:space="preserve">
IF(表紙!$X$2="実績報告（１次）",GI25,
IF(GI$19&gt;=1,GI25,0))</f>
        <v>0</v>
      </c>
      <c r="GJ4" s="674">
        <f xml:space="preserve">
IF(表紙!$X$2="実績報告（１次）",GJ25,
IF(GJ$19&gt;=1,GJ25,0))</f>
        <v>0</v>
      </c>
    </row>
    <row r="5" spans="2:192" ht="9.75" customHeight="1">
      <c r="B5" s="618"/>
      <c r="C5" s="630" t="s">
        <v>1380</v>
      </c>
      <c r="D5" s="672">
        <f>基礎情報!V122</f>
        <v>0</v>
      </c>
      <c r="E5" s="1941">
        <f t="shared" si="3"/>
        <v>0</v>
      </c>
      <c r="F5" s="1942"/>
      <c r="G5" s="674">
        <f xml:space="preserve">
IF(表紙!$X$2="実績報告（１次）",G28,
IF(G$19&gt;=1,G28,0))</f>
        <v>0</v>
      </c>
      <c r="H5" s="674">
        <f xml:space="preserve">
IF(表紙!$X$2="実績報告（１次）",H28,
IF(H$19&gt;=1,H28,0))</f>
        <v>0</v>
      </c>
      <c r="I5" s="674">
        <f xml:space="preserve">
IF(表紙!$X$2="実績報告（１次）",I28,
IF(I$19&gt;=1,I28,0))</f>
        <v>0</v>
      </c>
      <c r="J5" s="674">
        <f xml:space="preserve">
IF(表紙!$X$2="実績報告（１次）",J28,
IF(J$19&gt;=1,J28,0))</f>
        <v>0</v>
      </c>
      <c r="K5" s="674">
        <f xml:space="preserve">
IF(表紙!$X$2="実績報告（１次）",K28,
IF(K$19&gt;=1,K28,0))</f>
        <v>0</v>
      </c>
      <c r="L5" s="674">
        <f xml:space="preserve">
IF(表紙!$X$2="実績報告（１次）",L28,
IF(L$19&gt;=1,L28,0))</f>
        <v>0</v>
      </c>
      <c r="M5" s="674">
        <f xml:space="preserve">
IF(表紙!$X$2="実績報告（１次）",M28,
IF(M$19&gt;=1,M28,0))</f>
        <v>0</v>
      </c>
      <c r="N5" s="674">
        <f xml:space="preserve">
IF(表紙!$X$2="実績報告（１次）",N28,
IF(N$19&gt;=1,N28,0))</f>
        <v>0</v>
      </c>
      <c r="O5" s="674">
        <f xml:space="preserve">
IF(表紙!$X$2="実績報告（１次）",O28,
IF(O$19&gt;=1,O28,0))</f>
        <v>0</v>
      </c>
      <c r="P5" s="674">
        <f xml:space="preserve">
IF(表紙!$X$2="実績報告（１次）",P28,
IF(P$19&gt;=1,P28,0))</f>
        <v>0</v>
      </c>
      <c r="Q5" s="674">
        <f xml:space="preserve">
IF(表紙!$X$2="実績報告（１次）",Q28,
IF(Q$19&gt;=1,Q28,0))</f>
        <v>0</v>
      </c>
      <c r="R5" s="674">
        <f xml:space="preserve">
IF(表紙!$X$2="実績報告（１次）",R28,
IF(R$19&gt;=1,R28,0))</f>
        <v>0</v>
      </c>
      <c r="S5" s="674">
        <f xml:space="preserve">
IF(表紙!$X$2="実績報告（１次）",S28,
IF(S$19&gt;=1,S28,0))</f>
        <v>0</v>
      </c>
      <c r="T5" s="674">
        <f xml:space="preserve">
IF(表紙!$X$2="実績報告（１次）",T28,
IF(T$19&gt;=1,T28,0))</f>
        <v>0</v>
      </c>
      <c r="U5" s="674">
        <f xml:space="preserve">
IF(表紙!$X$2="実績報告（１次）",U28,
IF(U$19&gt;=1,U28,0))</f>
        <v>0</v>
      </c>
      <c r="V5" s="674">
        <f xml:space="preserve">
IF(表紙!$X$2="実績報告（１次）",V28,
IF(V$19&gt;=1,V28,0))</f>
        <v>0</v>
      </c>
      <c r="W5" s="674">
        <f xml:space="preserve">
IF(表紙!$X$2="実績報告（１次）",W28,
IF(W$19&gt;=1,W28,0))</f>
        <v>0</v>
      </c>
      <c r="X5" s="674">
        <f xml:space="preserve">
IF(表紙!$X$2="実績報告（１次）",X28,
IF(X$19&gt;=1,X28,0))</f>
        <v>0</v>
      </c>
      <c r="Y5" s="674">
        <f xml:space="preserve">
IF(表紙!$X$2="実績報告（１次）",Y28,
IF(Y$19&gt;=1,Y28,0))</f>
        <v>0</v>
      </c>
      <c r="Z5" s="674">
        <f xml:space="preserve">
IF(表紙!$X$2="実績報告（１次）",Z28,
IF(Z$19&gt;=1,Z28,0))</f>
        <v>0</v>
      </c>
      <c r="AA5" s="674">
        <f xml:space="preserve">
IF(表紙!$X$2="実績報告（１次）",AA28,
IF(AA$19&gt;=1,AA28,0))</f>
        <v>0</v>
      </c>
      <c r="AB5" s="674">
        <f xml:space="preserve">
IF(表紙!$X$2="実績報告（１次）",AB28,
IF(AB$19&gt;=1,AB28,0))</f>
        <v>0</v>
      </c>
      <c r="AC5" s="674">
        <f xml:space="preserve">
IF(表紙!$X$2="実績報告（１次）",AC28,
IF(AC$19&gt;=1,AC28,0))</f>
        <v>0</v>
      </c>
      <c r="AD5" s="674">
        <f xml:space="preserve">
IF(表紙!$X$2="実績報告（１次）",AD28,
IF(AD$19&gt;=1,AD28,0))</f>
        <v>0</v>
      </c>
      <c r="AE5" s="674">
        <f xml:space="preserve">
IF(表紙!$X$2="実績報告（１次）",AE28,
IF(AE$19&gt;=1,AE28,0))</f>
        <v>0</v>
      </c>
      <c r="AF5" s="674">
        <f xml:space="preserve">
IF(表紙!$X$2="実績報告（１次）",AF28,
IF(AF$19&gt;=1,AF28,0))</f>
        <v>0</v>
      </c>
      <c r="AG5" s="674">
        <f xml:space="preserve">
IF(表紙!$X$2="実績報告（１次）",AG28,
IF(AG$19&gt;=1,AG28,0))</f>
        <v>0</v>
      </c>
      <c r="AH5" s="674">
        <f xml:space="preserve">
IF(表紙!$X$2="実績報告（１次）",AH28,
IF(AH$19&gt;=1,AH28,0))</f>
        <v>0</v>
      </c>
      <c r="AI5" s="674">
        <f xml:space="preserve">
IF(表紙!$X$2="実績報告（１次）",AI28,
IF(AI$19&gt;=1,AI28,0))</f>
        <v>0</v>
      </c>
      <c r="AJ5" s="674">
        <f xml:space="preserve">
IF(表紙!$X$2="実績報告（１次）",AJ28,
IF(AJ$19&gt;=1,AJ28,0))</f>
        <v>0</v>
      </c>
      <c r="AK5" s="674">
        <f xml:space="preserve">
IF(表紙!$X$2="実績報告（１次）",AK28,
IF(AK$19&gt;=1,AK28,0))</f>
        <v>0</v>
      </c>
      <c r="AL5" s="674">
        <f xml:space="preserve">
IF(表紙!$X$2="実績報告（１次）",AL28,
IF(AL$19&gt;=1,AL28,0))</f>
        <v>0</v>
      </c>
      <c r="AM5" s="674">
        <f xml:space="preserve">
IF(表紙!$X$2="実績報告（１次）",AM28,
IF(AM$19&gt;=1,AM28,0))</f>
        <v>0</v>
      </c>
      <c r="AN5" s="674">
        <f xml:space="preserve">
IF(表紙!$X$2="実績報告（１次）",AN28,
IF(AN$19&gt;=1,AN28,0))</f>
        <v>0</v>
      </c>
      <c r="AO5" s="674">
        <f xml:space="preserve">
IF(表紙!$X$2="実績報告（１次）",AO28,
IF(AO$19&gt;=1,AO28,0))</f>
        <v>0</v>
      </c>
      <c r="AP5" s="674">
        <f xml:space="preserve">
IF(表紙!$X$2="実績報告（１次）",AP28,
IF(AP$19&gt;=1,AP28,0))</f>
        <v>0</v>
      </c>
      <c r="AQ5" s="674">
        <f xml:space="preserve">
IF(表紙!$X$2="実績報告（１次）",AQ28,
IF(AQ$19&gt;=1,AQ28,0))</f>
        <v>0</v>
      </c>
      <c r="AR5" s="674">
        <f xml:space="preserve">
IF(表紙!$X$2="実績報告（１次）",AR28,
IF(AR$19&gt;=1,AR28,0))</f>
        <v>0</v>
      </c>
      <c r="AS5" s="674">
        <f xml:space="preserve">
IF(表紙!$X$2="実績報告（１次）",AS28,
IF(AS$19&gt;=1,AS28,0))</f>
        <v>0</v>
      </c>
      <c r="AT5" s="674">
        <f xml:space="preserve">
IF(表紙!$X$2="実績報告（１次）",AT28,
IF(AT$19&gt;=1,AT28,0))</f>
        <v>0</v>
      </c>
      <c r="AU5" s="674">
        <f xml:space="preserve">
IF(表紙!$X$2="実績報告（１次）",AU28,
IF(AU$19&gt;=1,AU28,0))</f>
        <v>0</v>
      </c>
      <c r="AV5" s="674">
        <f xml:space="preserve">
IF(表紙!$X$2="実績報告（１次）",AV28,
IF(AV$19&gt;=1,AV28,0))</f>
        <v>0</v>
      </c>
      <c r="AW5" s="674">
        <f xml:space="preserve">
IF(表紙!$X$2="実績報告（１次）",AW28,
IF(AW$19&gt;=1,AW28,0))</f>
        <v>0</v>
      </c>
      <c r="AX5" s="674">
        <f xml:space="preserve">
IF(表紙!$X$2="実績報告（１次）",AX28,
IF(AX$19&gt;=1,AX28,0))</f>
        <v>0</v>
      </c>
      <c r="AY5" s="674">
        <f xml:space="preserve">
IF(表紙!$X$2="実績報告（１次）",AY28,
IF(AY$19&gt;=1,AY28,0))</f>
        <v>0</v>
      </c>
      <c r="AZ5" s="674">
        <f xml:space="preserve">
IF(表紙!$X$2="実績報告（１次）",AZ28,
IF(AZ$19&gt;=1,AZ28,0))</f>
        <v>0</v>
      </c>
      <c r="BA5" s="674">
        <f xml:space="preserve">
IF(表紙!$X$2="実績報告（１次）",BA28,
IF(BA$19&gt;=1,BA28,0))</f>
        <v>0</v>
      </c>
      <c r="BB5" s="674">
        <f xml:space="preserve">
IF(表紙!$X$2="実績報告（１次）",BB28,
IF(BB$19&gt;=1,BB28,0))</f>
        <v>0</v>
      </c>
      <c r="BC5" s="674">
        <f xml:space="preserve">
IF(表紙!$X$2="実績報告（１次）",BC28,
IF(BC$19&gt;=1,BC28,0))</f>
        <v>0</v>
      </c>
      <c r="BD5" s="674">
        <f xml:space="preserve">
IF(表紙!$X$2="実績報告（１次）",BD28,
IF(BD$19&gt;=1,BD28,0))</f>
        <v>0</v>
      </c>
      <c r="BE5" s="674">
        <f xml:space="preserve">
IF(表紙!$X$2="実績報告（１次）",BE28,
IF(BE$19&gt;=1,BE28,0))</f>
        <v>0</v>
      </c>
      <c r="BF5" s="674">
        <f xml:space="preserve">
IF(表紙!$X$2="実績報告（１次）",BF28,
IF(BF$19&gt;=1,BF28,0))</f>
        <v>0</v>
      </c>
      <c r="BG5" s="674">
        <f xml:space="preserve">
IF(表紙!$X$2="実績報告（１次）",BG28,
IF(BG$19&gt;=1,BG28,0))</f>
        <v>0</v>
      </c>
      <c r="BH5" s="674">
        <f xml:space="preserve">
IF(表紙!$X$2="実績報告（１次）",BH28,
IF(BH$19&gt;=1,BH28,0))</f>
        <v>0</v>
      </c>
      <c r="BI5" s="674">
        <f xml:space="preserve">
IF(表紙!$X$2="実績報告（１次）",BI28,
IF(BI$19&gt;=1,BI28,0))</f>
        <v>0</v>
      </c>
      <c r="BJ5" s="674">
        <f xml:space="preserve">
IF(表紙!$X$2="実績報告（１次）",BJ28,
IF(BJ$19&gt;=1,BJ28,0))</f>
        <v>0</v>
      </c>
      <c r="BK5" s="674">
        <f xml:space="preserve">
IF(表紙!$X$2="実績報告（１次）",BK28,
IF(BK$19&gt;=1,BK28,0))</f>
        <v>0</v>
      </c>
      <c r="BL5" s="674">
        <f xml:space="preserve">
IF(表紙!$X$2="実績報告（１次）",BL28,
IF(BL$19&gt;=1,BL28,0))</f>
        <v>0</v>
      </c>
      <c r="BM5" s="674">
        <f xml:space="preserve">
IF(表紙!$X$2="実績報告（１次）",BM28,
IF(BM$19&gt;=1,BM28,0))</f>
        <v>0</v>
      </c>
      <c r="BN5" s="674">
        <f xml:space="preserve">
IF(表紙!$X$2="実績報告（１次）",BN28,
IF(BN$19&gt;=1,BN28,0))</f>
        <v>0</v>
      </c>
      <c r="BO5" s="674">
        <f xml:space="preserve">
IF(表紙!$X$2="実績報告（１次）",BO28,
IF(BO$19&gt;=1,BO28,0))</f>
        <v>0</v>
      </c>
      <c r="BP5" s="674">
        <f xml:space="preserve">
IF(表紙!$X$2="実績報告（１次）",BP28,
IF(BP$19&gt;=1,BP28,0))</f>
        <v>0</v>
      </c>
      <c r="BQ5" s="674">
        <f xml:space="preserve">
IF(表紙!$X$2="実績報告（１次）",BQ28,
IF(BQ$19&gt;=1,BQ28,0))</f>
        <v>0</v>
      </c>
      <c r="BR5" s="674">
        <f xml:space="preserve">
IF(表紙!$X$2="実績報告（１次）",BR28,
IF(BR$19&gt;=1,BR28,0))</f>
        <v>0</v>
      </c>
      <c r="BS5" s="674">
        <f xml:space="preserve">
IF(表紙!$X$2="実績報告（１次）",BS28,
IF(BS$19&gt;=1,BS28,0))</f>
        <v>0</v>
      </c>
      <c r="BT5" s="674">
        <f xml:space="preserve">
IF(表紙!$X$2="実績報告（１次）",BT28,
IF(BT$19&gt;=1,BT28,0))</f>
        <v>0</v>
      </c>
      <c r="BU5" s="674">
        <f xml:space="preserve">
IF(表紙!$X$2="実績報告（１次）",BU28,
IF(BU$19&gt;=1,BU28,0))</f>
        <v>0</v>
      </c>
      <c r="BV5" s="674">
        <f xml:space="preserve">
IF(表紙!$X$2="実績報告（１次）",BV28,
IF(BV$19&gt;=1,BV28,0))</f>
        <v>0</v>
      </c>
      <c r="BW5" s="674">
        <f xml:space="preserve">
IF(表紙!$X$2="実績報告（１次）",BW28,
IF(BW$19&gt;=1,BW28,0))</f>
        <v>0</v>
      </c>
      <c r="BX5" s="674">
        <f xml:space="preserve">
IF(表紙!$X$2="実績報告（１次）",BX28,
IF(BX$19&gt;=1,BX28,0))</f>
        <v>0</v>
      </c>
      <c r="BY5" s="674">
        <f xml:space="preserve">
IF(表紙!$X$2="実績報告（１次）",BY28,
IF(BY$19&gt;=1,BY28,0))</f>
        <v>0</v>
      </c>
      <c r="BZ5" s="674">
        <f xml:space="preserve">
IF(表紙!$X$2="実績報告（１次）",BZ28,
IF(BZ$19&gt;=1,BZ28,0))</f>
        <v>0</v>
      </c>
      <c r="CA5" s="674">
        <f xml:space="preserve">
IF(表紙!$X$2="実績報告（１次）",CA28,
IF(CA$19&gt;=1,CA28,0))</f>
        <v>0</v>
      </c>
      <c r="CB5" s="674">
        <f xml:space="preserve">
IF(表紙!$X$2="実績報告（１次）",CB28,
IF(CB$19&gt;=1,CB28,0))</f>
        <v>0</v>
      </c>
      <c r="CC5" s="674">
        <f xml:space="preserve">
IF(表紙!$X$2="実績報告（１次）",CC28,
IF(CC$19&gt;=1,CC28,0))</f>
        <v>0</v>
      </c>
      <c r="CD5" s="674">
        <f xml:space="preserve">
IF(表紙!$X$2="実績報告（１次）",CD28,
IF(CD$19&gt;=1,CD28,0))</f>
        <v>0</v>
      </c>
      <c r="CE5" s="674">
        <f xml:space="preserve">
IF(表紙!$X$2="実績報告（１次）",CE28,
IF(CE$19&gt;=1,CE28,0))</f>
        <v>0</v>
      </c>
      <c r="CF5" s="674">
        <f xml:space="preserve">
IF(表紙!$X$2="実績報告（１次）",CF28,
IF(CF$19&gt;=1,CF28,0))</f>
        <v>0</v>
      </c>
      <c r="CG5" s="674">
        <f xml:space="preserve">
IF(表紙!$X$2="実績報告（１次）",CG28,
IF(CG$19&gt;=1,CG28,0))</f>
        <v>0</v>
      </c>
      <c r="CH5" s="674">
        <f xml:space="preserve">
IF(表紙!$X$2="実績報告（１次）",CH28,
IF(CH$19&gt;=1,CH28,0))</f>
        <v>0</v>
      </c>
      <c r="CI5" s="674">
        <f xml:space="preserve">
IF(表紙!$X$2="実績報告（１次）",CI28,
IF(CI$19&gt;=1,CI28,0))</f>
        <v>0</v>
      </c>
      <c r="CJ5" s="674">
        <f xml:space="preserve">
IF(表紙!$X$2="実績報告（１次）",CJ28,
IF(CJ$19&gt;=1,CJ28,0))</f>
        <v>0</v>
      </c>
      <c r="CK5" s="674">
        <f xml:space="preserve">
IF(表紙!$X$2="実績報告（１次）",CK28,
IF(CK$19&gt;=1,CK28,0))</f>
        <v>0</v>
      </c>
      <c r="CL5" s="674">
        <f xml:space="preserve">
IF(表紙!$X$2="実績報告（１次）",CL28,
IF(CL$19&gt;=1,CL28,0))</f>
        <v>0</v>
      </c>
      <c r="CM5" s="674">
        <f xml:space="preserve">
IF(表紙!$X$2="実績報告（１次）",CM28,
IF(CM$19&gt;=1,CM28,0))</f>
        <v>0</v>
      </c>
      <c r="CN5" s="674">
        <f xml:space="preserve">
IF(表紙!$X$2="実績報告（１次）",CN28,
IF(CN$19&gt;=1,CN28,0))</f>
        <v>0</v>
      </c>
      <c r="CO5" s="674">
        <f xml:space="preserve">
IF(表紙!$X$2="実績報告（１次）",CO28,
IF(CO$19&gt;=1,CO28,0))</f>
        <v>0</v>
      </c>
      <c r="CP5" s="674">
        <f xml:space="preserve">
IF(表紙!$X$2="実績報告（１次）",CP28,
IF(CP$19&gt;=1,CP28,0))</f>
        <v>0</v>
      </c>
      <c r="CQ5" s="674">
        <f xml:space="preserve">
IF(表紙!$X$2="実績報告（１次）",CQ28,
IF(CQ$19&gt;=1,CQ28,0))</f>
        <v>0</v>
      </c>
      <c r="CR5" s="674">
        <f xml:space="preserve">
IF(表紙!$X$2="実績報告（１次）",CR28,
IF(CR$19&gt;=1,CR28,0))</f>
        <v>0</v>
      </c>
      <c r="CS5" s="674">
        <f xml:space="preserve">
IF(表紙!$X$2="実績報告（１次）",CS28,
IF(CS$19&gt;=1,CS28,0))</f>
        <v>0</v>
      </c>
      <c r="CT5" s="674">
        <f xml:space="preserve">
IF(表紙!$X$2="実績報告（１次）",CT28,
IF(CT$19&gt;=1,CT28,0))</f>
        <v>0</v>
      </c>
      <c r="CU5" s="674">
        <f xml:space="preserve">
IF(表紙!$X$2="実績報告（１次）",CU28,
IF(CU$19&gt;=1,CU28,0))</f>
        <v>0</v>
      </c>
      <c r="CV5" s="674">
        <f xml:space="preserve">
IF(表紙!$X$2="実績報告（１次）",CV28,
IF(CV$19&gt;=1,CV28,0))</f>
        <v>0</v>
      </c>
      <c r="CW5" s="674">
        <f xml:space="preserve">
IF(表紙!$X$2="実績報告（１次）",CW28,
IF(CW$19&gt;=1,CW28,0))</f>
        <v>0</v>
      </c>
      <c r="CX5" s="674">
        <f xml:space="preserve">
IF(表紙!$X$2="実績報告（１次）",CX28,
IF(CX$19&gt;=1,CX28,0))</f>
        <v>0</v>
      </c>
      <c r="CY5" s="674">
        <f xml:space="preserve">
IF(表紙!$X$2="実績報告（１次）",CY28,
IF(CY$19&gt;=1,CY28,0))</f>
        <v>0</v>
      </c>
      <c r="CZ5" s="674">
        <f xml:space="preserve">
IF(表紙!$X$2="実績報告（１次）",CZ28,
IF(CZ$19&gt;=1,CZ28,0))</f>
        <v>0</v>
      </c>
      <c r="DA5" s="674">
        <f xml:space="preserve">
IF(表紙!$X$2="実績報告（１次）",DA28,
IF(DA$19&gt;=1,DA28,0))</f>
        <v>0</v>
      </c>
      <c r="DB5" s="674">
        <f xml:space="preserve">
IF(表紙!$X$2="実績報告（１次）",DB28,
IF(DB$19&gt;=1,DB28,0))</f>
        <v>0</v>
      </c>
      <c r="DC5" s="674">
        <f xml:space="preserve">
IF(表紙!$X$2="実績報告（１次）",DC28,
IF(DC$19&gt;=1,DC28,0))</f>
        <v>0</v>
      </c>
      <c r="DD5" s="674">
        <f xml:space="preserve">
IF(表紙!$X$2="実績報告（１次）",DD28,
IF(DD$19&gt;=1,DD28,0))</f>
        <v>0</v>
      </c>
      <c r="DE5" s="674">
        <f xml:space="preserve">
IF(表紙!$X$2="実績報告（１次）",DE28,
IF(DE$19&gt;=1,DE28,0))</f>
        <v>0</v>
      </c>
      <c r="DF5" s="674">
        <f xml:space="preserve">
IF(表紙!$X$2="実績報告（１次）",DF28,
IF(DF$19&gt;=1,DF28,0))</f>
        <v>0</v>
      </c>
      <c r="DG5" s="674">
        <f xml:space="preserve">
IF(表紙!$X$2="実績報告（１次）",DG28,
IF(DG$19&gt;=1,DG28,0))</f>
        <v>0</v>
      </c>
      <c r="DH5" s="674">
        <f xml:space="preserve">
IF(表紙!$X$2="実績報告（１次）",DH28,
IF(DH$19&gt;=1,DH28,0))</f>
        <v>0</v>
      </c>
      <c r="DI5" s="674">
        <f xml:space="preserve">
IF(表紙!$X$2="実績報告（１次）",DI28,
IF(DI$19&gt;=1,DI28,0))</f>
        <v>0</v>
      </c>
      <c r="DJ5" s="674">
        <f xml:space="preserve">
IF(表紙!$X$2="実績報告（１次）",DJ28,
IF(DJ$19&gt;=1,DJ28,0))</f>
        <v>0</v>
      </c>
      <c r="DK5" s="674">
        <f xml:space="preserve">
IF(表紙!$X$2="実績報告（１次）",DK28,
IF(DK$19&gt;=1,DK28,0))</f>
        <v>0</v>
      </c>
      <c r="DL5" s="674">
        <f xml:space="preserve">
IF(表紙!$X$2="実績報告（１次）",DL28,
IF(DL$19&gt;=1,DL28,0))</f>
        <v>0</v>
      </c>
      <c r="DM5" s="674">
        <f xml:space="preserve">
IF(表紙!$X$2="実績報告（１次）",DM28,
IF(DM$19&gt;=1,DM28,0))</f>
        <v>0</v>
      </c>
      <c r="DN5" s="674">
        <f xml:space="preserve">
IF(表紙!$X$2="実績報告（１次）",DN28,
IF(DN$19&gt;=1,DN28,0))</f>
        <v>0</v>
      </c>
      <c r="DO5" s="674">
        <f xml:space="preserve">
IF(表紙!$X$2="実績報告（１次）",DO28,
IF(DO$19&gt;=1,DO28,0))</f>
        <v>0</v>
      </c>
      <c r="DP5" s="674">
        <f xml:space="preserve">
IF(表紙!$X$2="実績報告（１次）",DP28,
IF(DP$19&gt;=1,DP28,0))</f>
        <v>0</v>
      </c>
      <c r="DQ5" s="674">
        <f xml:space="preserve">
IF(表紙!$X$2="実績報告（１次）",DQ28,
IF(DQ$19&gt;=1,DQ28,0))</f>
        <v>0</v>
      </c>
      <c r="DR5" s="674">
        <f xml:space="preserve">
IF(表紙!$X$2="実績報告（１次）",DR28,
IF(DR$19&gt;=1,DR28,0))</f>
        <v>0</v>
      </c>
      <c r="DS5" s="674">
        <f xml:space="preserve">
IF(表紙!$X$2="実績報告（１次）",DS28,
IF(DS$19&gt;=1,DS28,0))</f>
        <v>0</v>
      </c>
      <c r="DT5" s="674">
        <f xml:space="preserve">
IF(表紙!$X$2="実績報告（１次）",DT28,
IF(DT$19&gt;=1,DT28,0))</f>
        <v>0</v>
      </c>
      <c r="DU5" s="674">
        <f xml:space="preserve">
IF(表紙!$X$2="実績報告（１次）",DU28,
IF(DU$19&gt;=1,DU28,0))</f>
        <v>0</v>
      </c>
      <c r="DV5" s="674">
        <f xml:space="preserve">
IF(表紙!$X$2="実績報告（１次）",DV28,
IF(DV$19&gt;=1,DV28,0))</f>
        <v>0</v>
      </c>
      <c r="DW5" s="674">
        <f xml:space="preserve">
IF(表紙!$X$2="実績報告（１次）",DW28,
IF(DW$19&gt;=1,DW28,0))</f>
        <v>0</v>
      </c>
      <c r="DX5" s="674">
        <f xml:space="preserve">
IF(表紙!$X$2="実績報告（１次）",DX28,
IF(DX$19&gt;=1,DX28,0))</f>
        <v>0</v>
      </c>
      <c r="DY5" s="674">
        <f xml:space="preserve">
IF(表紙!$X$2="実績報告（１次）",DY28,
IF(DY$19&gt;=1,DY28,0))</f>
        <v>0</v>
      </c>
      <c r="DZ5" s="674">
        <f xml:space="preserve">
IF(表紙!$X$2="実績報告（１次）",DZ28,
IF(DZ$19&gt;=1,DZ28,0))</f>
        <v>0</v>
      </c>
      <c r="EA5" s="674">
        <f xml:space="preserve">
IF(表紙!$X$2="実績報告（１次）",EA28,
IF(EA$19&gt;=1,EA28,0))</f>
        <v>0</v>
      </c>
      <c r="EB5" s="674">
        <f xml:space="preserve">
IF(表紙!$X$2="実績報告（１次）",EB28,
IF(EB$19&gt;=1,EB28,0))</f>
        <v>0</v>
      </c>
      <c r="EC5" s="674">
        <f xml:space="preserve">
IF(表紙!$X$2="実績報告（１次）",EC28,
IF(EC$19&gt;=1,EC28,0))</f>
        <v>0</v>
      </c>
      <c r="ED5" s="674">
        <f xml:space="preserve">
IF(表紙!$X$2="実績報告（１次）",ED28,
IF(ED$19&gt;=1,ED28,0))</f>
        <v>0</v>
      </c>
      <c r="EE5" s="674">
        <f xml:space="preserve">
IF(表紙!$X$2="実績報告（１次）",EE28,
IF(EE$19&gt;=1,EE28,0))</f>
        <v>0</v>
      </c>
      <c r="EF5" s="674">
        <f xml:space="preserve">
IF(表紙!$X$2="実績報告（１次）",EF28,
IF(EF$19&gt;=1,EF28,0))</f>
        <v>0</v>
      </c>
      <c r="EG5" s="674">
        <f xml:space="preserve">
IF(表紙!$X$2="実績報告（１次）",EG28,
IF(EG$19&gt;=1,EG28,0))</f>
        <v>0</v>
      </c>
      <c r="EH5" s="674">
        <f xml:space="preserve">
IF(表紙!$X$2="実績報告（１次）",EH28,
IF(EH$19&gt;=1,EH28,0))</f>
        <v>0</v>
      </c>
      <c r="EI5" s="674">
        <f xml:space="preserve">
IF(表紙!$X$2="実績報告（１次）",EI28,
IF(EI$19&gt;=1,EI28,0))</f>
        <v>0</v>
      </c>
      <c r="EJ5" s="674">
        <f xml:space="preserve">
IF(表紙!$X$2="実績報告（１次）",EJ28,
IF(EJ$19&gt;=1,EJ28,0))</f>
        <v>0</v>
      </c>
      <c r="EK5" s="674">
        <f xml:space="preserve">
IF(表紙!$X$2="実績報告（１次）",EK28,
IF(EK$19&gt;=1,EK28,0))</f>
        <v>0</v>
      </c>
      <c r="EL5" s="674">
        <f xml:space="preserve">
IF(表紙!$X$2="実績報告（１次）",EL28,
IF(EL$19&gt;=1,EL28,0))</f>
        <v>0</v>
      </c>
      <c r="EM5" s="674">
        <f xml:space="preserve">
IF(表紙!$X$2="実績報告（１次）",EM28,
IF(EM$19&gt;=1,EM28,0))</f>
        <v>0</v>
      </c>
      <c r="EN5" s="674">
        <f xml:space="preserve">
IF(表紙!$X$2="実績報告（１次）",EN28,
IF(EN$19&gt;=1,EN28,0))</f>
        <v>0</v>
      </c>
      <c r="EO5" s="674">
        <f xml:space="preserve">
IF(表紙!$X$2="実績報告（１次）",EO28,
IF(EO$19&gt;=1,EO28,0))</f>
        <v>0</v>
      </c>
      <c r="EP5" s="674">
        <f xml:space="preserve">
IF(表紙!$X$2="実績報告（１次）",EP28,
IF(EP$19&gt;=1,EP28,0))</f>
        <v>0</v>
      </c>
      <c r="EQ5" s="674">
        <f xml:space="preserve">
IF(表紙!$X$2="実績報告（１次）",EQ28,
IF(EQ$19&gt;=1,EQ28,0))</f>
        <v>0</v>
      </c>
      <c r="ER5" s="674">
        <f xml:space="preserve">
IF(表紙!$X$2="実績報告（１次）",ER28,
IF(ER$19&gt;=1,ER28,0))</f>
        <v>0</v>
      </c>
      <c r="ES5" s="674">
        <f xml:space="preserve">
IF(表紙!$X$2="実績報告（１次）",ES28,
IF(ES$19&gt;=1,ES28,0))</f>
        <v>0</v>
      </c>
      <c r="ET5" s="674">
        <f xml:space="preserve">
IF(表紙!$X$2="実績報告（１次）",ET28,
IF(ET$19&gt;=1,ET28,0))</f>
        <v>0</v>
      </c>
      <c r="EU5" s="674">
        <f xml:space="preserve">
IF(表紙!$X$2="実績報告（１次）",EU28,
IF(EU$19&gt;=1,EU28,0))</f>
        <v>0</v>
      </c>
      <c r="EV5" s="674">
        <f xml:space="preserve">
IF(表紙!$X$2="実績報告（１次）",EV28,
IF(EV$19&gt;=1,EV28,0))</f>
        <v>0</v>
      </c>
      <c r="EW5" s="674">
        <f xml:space="preserve">
IF(表紙!$X$2="実績報告（１次）",EW28,
IF(EW$19&gt;=1,EW28,0))</f>
        <v>0</v>
      </c>
      <c r="EX5" s="674">
        <f xml:space="preserve">
IF(表紙!$X$2="実績報告（１次）",EX28,
IF(EX$19&gt;=1,EX28,0))</f>
        <v>0</v>
      </c>
      <c r="EY5" s="674">
        <f xml:space="preserve">
IF(表紙!$X$2="実績報告（１次）",EY28,
IF(EY$19&gt;=1,EY28,0))</f>
        <v>0</v>
      </c>
      <c r="EZ5" s="674">
        <f xml:space="preserve">
IF(表紙!$X$2="実績報告（１次）",EZ28,
IF(EZ$19&gt;=1,EZ28,0))</f>
        <v>0</v>
      </c>
      <c r="FA5" s="674">
        <f xml:space="preserve">
IF(表紙!$X$2="実績報告（１次）",FA28,
IF(FA$19&gt;=1,FA28,0))</f>
        <v>0</v>
      </c>
      <c r="FB5" s="674">
        <f xml:space="preserve">
IF(表紙!$X$2="実績報告（１次）",FB28,
IF(FB$19&gt;=1,FB28,0))</f>
        <v>0</v>
      </c>
      <c r="FC5" s="674">
        <f xml:space="preserve">
IF(表紙!$X$2="実績報告（１次）",FC28,
IF(FC$19&gt;=1,FC28,0))</f>
        <v>0</v>
      </c>
      <c r="FD5" s="674">
        <f xml:space="preserve">
IF(表紙!$X$2="実績報告（１次）",FD28,
IF(FD$19&gt;=1,FD28,0))</f>
        <v>0</v>
      </c>
      <c r="FE5" s="674">
        <f xml:space="preserve">
IF(表紙!$X$2="実績報告（１次）",FE28,
IF(FE$19&gt;=1,FE28,0))</f>
        <v>0</v>
      </c>
      <c r="FF5" s="674">
        <f xml:space="preserve">
IF(表紙!$X$2="実績報告（１次）",FF28,
IF(FF$19&gt;=1,FF28,0))</f>
        <v>0</v>
      </c>
      <c r="FG5" s="674">
        <f xml:space="preserve">
IF(表紙!$X$2="実績報告（１次）",FG28,
IF(FG$19&gt;=1,FG28,0))</f>
        <v>0</v>
      </c>
      <c r="FH5" s="674">
        <f xml:space="preserve">
IF(表紙!$X$2="実績報告（１次）",FH28,
IF(FH$19&gt;=1,FH28,0))</f>
        <v>0</v>
      </c>
      <c r="FI5" s="674">
        <f xml:space="preserve">
IF(表紙!$X$2="実績報告（１次）",FI28,
IF(FI$19&gt;=1,FI28,0))</f>
        <v>0</v>
      </c>
      <c r="FJ5" s="674">
        <f xml:space="preserve">
IF(表紙!$X$2="実績報告（１次）",FJ28,
IF(FJ$19&gt;=1,FJ28,0))</f>
        <v>0</v>
      </c>
      <c r="FK5" s="674">
        <f xml:space="preserve">
IF(表紙!$X$2="実績報告（１次）",FK28,
IF(FK$19&gt;=1,FK28,0))</f>
        <v>0</v>
      </c>
      <c r="FL5" s="674">
        <f xml:space="preserve">
IF(表紙!$X$2="実績報告（１次）",FL28,
IF(FL$19&gt;=1,FL28,0))</f>
        <v>0</v>
      </c>
      <c r="FM5" s="674">
        <f xml:space="preserve">
IF(表紙!$X$2="実績報告（１次）",FM28,
IF(FM$19&gt;=1,FM28,0))</f>
        <v>0</v>
      </c>
      <c r="FN5" s="674">
        <f xml:space="preserve">
IF(表紙!$X$2="実績報告（１次）",FN28,
IF(FN$19&gt;=1,FN28,0))</f>
        <v>0</v>
      </c>
      <c r="FO5" s="674">
        <f xml:space="preserve">
IF(表紙!$X$2="実績報告（１次）",FO28,
IF(FO$19&gt;=1,FO28,0))</f>
        <v>0</v>
      </c>
      <c r="FP5" s="674">
        <f xml:space="preserve">
IF(表紙!$X$2="実績報告（１次）",FP28,
IF(FP$19&gt;=1,FP28,0))</f>
        <v>0</v>
      </c>
      <c r="FQ5" s="674">
        <f xml:space="preserve">
IF(表紙!$X$2="実績報告（１次）",FQ28,
IF(FQ$19&gt;=1,FQ28,0))</f>
        <v>0</v>
      </c>
      <c r="FR5" s="674">
        <f xml:space="preserve">
IF(表紙!$X$2="実績報告（１次）",FR28,
IF(FR$19&gt;=1,FR28,0))</f>
        <v>0</v>
      </c>
      <c r="FS5" s="674">
        <f xml:space="preserve">
IF(表紙!$X$2="実績報告（１次）",FS28,
IF(FS$19&gt;=1,FS28,0))</f>
        <v>0</v>
      </c>
      <c r="FT5" s="674">
        <f xml:space="preserve">
IF(表紙!$X$2="実績報告（１次）",FT28,
IF(FT$19&gt;=1,FT28,0))</f>
        <v>0</v>
      </c>
      <c r="FU5" s="674">
        <f xml:space="preserve">
IF(表紙!$X$2="実績報告（１次）",FU28,
IF(FU$19&gt;=1,FU28,0))</f>
        <v>0</v>
      </c>
      <c r="FV5" s="674">
        <f xml:space="preserve">
IF(表紙!$X$2="実績報告（１次）",FV28,
IF(FV$19&gt;=1,FV28,0))</f>
        <v>0</v>
      </c>
      <c r="FW5" s="674">
        <f xml:space="preserve">
IF(表紙!$X$2="実績報告（１次）",FW28,
IF(FW$19&gt;=1,FW28,0))</f>
        <v>0</v>
      </c>
      <c r="FX5" s="674">
        <f xml:space="preserve">
IF(表紙!$X$2="実績報告（１次）",FX28,
IF(FX$19&gt;=1,FX28,0))</f>
        <v>0</v>
      </c>
      <c r="FY5" s="674">
        <f xml:space="preserve">
IF(表紙!$X$2="実績報告（１次）",FY28,
IF(FY$19&gt;=1,FY28,0))</f>
        <v>0</v>
      </c>
      <c r="FZ5" s="674">
        <f xml:space="preserve">
IF(表紙!$X$2="実績報告（１次）",FZ28,
IF(FZ$19&gt;=1,FZ28,0))</f>
        <v>0</v>
      </c>
      <c r="GA5" s="674">
        <f xml:space="preserve">
IF(表紙!$X$2="実績報告（１次）",GA28,
IF(GA$19&gt;=1,GA28,0))</f>
        <v>0</v>
      </c>
      <c r="GB5" s="674">
        <f xml:space="preserve">
IF(表紙!$X$2="実績報告（１次）",GB28,
IF(GB$19&gt;=1,GB28,0))</f>
        <v>0</v>
      </c>
      <c r="GC5" s="674">
        <f xml:space="preserve">
IF(表紙!$X$2="実績報告（１次）",GC28,
IF(GC$19&gt;=1,GC28,0))</f>
        <v>0</v>
      </c>
      <c r="GD5" s="674">
        <f xml:space="preserve">
IF(表紙!$X$2="実績報告（１次）",GD28,
IF(GD$19&gt;=1,GD28,0))</f>
        <v>0</v>
      </c>
      <c r="GE5" s="674">
        <f xml:space="preserve">
IF(表紙!$X$2="実績報告（１次）",GE28,
IF(GE$19&gt;=1,GE28,0))</f>
        <v>0</v>
      </c>
      <c r="GF5" s="674">
        <f xml:space="preserve">
IF(表紙!$X$2="実績報告（１次）",GF28,
IF(GF$19&gt;=1,GF28,0))</f>
        <v>0</v>
      </c>
      <c r="GG5" s="674">
        <f xml:space="preserve">
IF(表紙!$X$2="実績報告（１次）",GG28,
IF(GG$19&gt;=1,GG28,0))</f>
        <v>0</v>
      </c>
      <c r="GH5" s="674">
        <f xml:space="preserve">
IF(表紙!$X$2="実績報告（１次）",GH28,
IF(GH$19&gt;=1,GH28,0))</f>
        <v>0</v>
      </c>
      <c r="GI5" s="674">
        <f xml:space="preserve">
IF(表紙!$X$2="実績報告（１次）",GI28,
IF(GI$19&gt;=1,GI28,0))</f>
        <v>0</v>
      </c>
      <c r="GJ5" s="674">
        <f xml:space="preserve">
IF(表紙!$X$2="実績報告（１次）",GJ28,
IF(GJ$19&gt;=1,GJ28,0))</f>
        <v>0</v>
      </c>
    </row>
    <row r="6" spans="2:192" ht="9.75" customHeight="1">
      <c r="B6" s="618"/>
      <c r="C6" s="630" t="s">
        <v>1381</v>
      </c>
      <c r="D6" s="672">
        <f>基礎情報!V131</f>
        <v>0</v>
      </c>
      <c r="E6" s="1941">
        <f t="shared" si="3"/>
        <v>0</v>
      </c>
      <c r="F6" s="1942"/>
      <c r="G6" s="674">
        <f xml:space="preserve">
IF(表紙!$X$2="実績報告（１次）",G31,
IF(G$19&gt;=1,G31,0))</f>
        <v>0</v>
      </c>
      <c r="H6" s="674">
        <f xml:space="preserve">
IF(表紙!$X$2="実績報告（１次）",H31,
IF(H$19&gt;=1,H31,0))</f>
        <v>0</v>
      </c>
      <c r="I6" s="674">
        <f xml:space="preserve">
IF(表紙!$X$2="実績報告（１次）",I31,
IF(I$19&gt;=1,I31,0))</f>
        <v>0</v>
      </c>
      <c r="J6" s="674">
        <f xml:space="preserve">
IF(表紙!$X$2="実績報告（１次）",J31,
IF(J$19&gt;=1,J31,0))</f>
        <v>0</v>
      </c>
      <c r="K6" s="674">
        <f xml:space="preserve">
IF(表紙!$X$2="実績報告（１次）",K31,
IF(K$19&gt;=1,K31,0))</f>
        <v>0</v>
      </c>
      <c r="L6" s="674">
        <f xml:space="preserve">
IF(表紙!$X$2="実績報告（１次）",L31,
IF(L$19&gt;=1,L31,0))</f>
        <v>0</v>
      </c>
      <c r="M6" s="674">
        <f xml:space="preserve">
IF(表紙!$X$2="実績報告（１次）",M31,
IF(M$19&gt;=1,M31,0))</f>
        <v>0</v>
      </c>
      <c r="N6" s="674">
        <f xml:space="preserve">
IF(表紙!$X$2="実績報告（１次）",N31,
IF(N$19&gt;=1,N31,0))</f>
        <v>0</v>
      </c>
      <c r="O6" s="674">
        <f xml:space="preserve">
IF(表紙!$X$2="実績報告（１次）",O31,
IF(O$19&gt;=1,O31,0))</f>
        <v>0</v>
      </c>
      <c r="P6" s="674">
        <f xml:space="preserve">
IF(表紙!$X$2="実績報告（１次）",P31,
IF(P$19&gt;=1,P31,0))</f>
        <v>0</v>
      </c>
      <c r="Q6" s="674">
        <f xml:space="preserve">
IF(表紙!$X$2="実績報告（１次）",Q31,
IF(Q$19&gt;=1,Q31,0))</f>
        <v>0</v>
      </c>
      <c r="R6" s="674">
        <f xml:space="preserve">
IF(表紙!$X$2="実績報告（１次）",R31,
IF(R$19&gt;=1,R31,0))</f>
        <v>0</v>
      </c>
      <c r="S6" s="674">
        <f xml:space="preserve">
IF(表紙!$X$2="実績報告（１次）",S31,
IF(S$19&gt;=1,S31,0))</f>
        <v>0</v>
      </c>
      <c r="T6" s="674">
        <f xml:space="preserve">
IF(表紙!$X$2="実績報告（１次）",T31,
IF(T$19&gt;=1,T31,0))</f>
        <v>0</v>
      </c>
      <c r="U6" s="674">
        <f xml:space="preserve">
IF(表紙!$X$2="実績報告（１次）",U31,
IF(U$19&gt;=1,U31,0))</f>
        <v>0</v>
      </c>
      <c r="V6" s="674">
        <f xml:space="preserve">
IF(表紙!$X$2="実績報告（１次）",V31,
IF(V$19&gt;=1,V31,0))</f>
        <v>0</v>
      </c>
      <c r="W6" s="674">
        <f xml:space="preserve">
IF(表紙!$X$2="実績報告（１次）",W31,
IF(W$19&gt;=1,W31,0))</f>
        <v>0</v>
      </c>
      <c r="X6" s="674">
        <f xml:space="preserve">
IF(表紙!$X$2="実績報告（１次）",X31,
IF(X$19&gt;=1,X31,0))</f>
        <v>0</v>
      </c>
      <c r="Y6" s="674">
        <f xml:space="preserve">
IF(表紙!$X$2="実績報告（１次）",Y31,
IF(Y$19&gt;=1,Y31,0))</f>
        <v>0</v>
      </c>
      <c r="Z6" s="674">
        <f xml:space="preserve">
IF(表紙!$X$2="実績報告（１次）",Z31,
IF(Z$19&gt;=1,Z31,0))</f>
        <v>0</v>
      </c>
      <c r="AA6" s="674">
        <f xml:space="preserve">
IF(表紙!$X$2="実績報告（１次）",AA31,
IF(AA$19&gt;=1,AA31,0))</f>
        <v>0</v>
      </c>
      <c r="AB6" s="674">
        <f xml:space="preserve">
IF(表紙!$X$2="実績報告（１次）",AB31,
IF(AB$19&gt;=1,AB31,0))</f>
        <v>0</v>
      </c>
      <c r="AC6" s="674">
        <f xml:space="preserve">
IF(表紙!$X$2="実績報告（１次）",AC31,
IF(AC$19&gt;=1,AC31,0))</f>
        <v>0</v>
      </c>
      <c r="AD6" s="674">
        <f xml:space="preserve">
IF(表紙!$X$2="実績報告（１次）",AD31,
IF(AD$19&gt;=1,AD31,0))</f>
        <v>0</v>
      </c>
      <c r="AE6" s="674">
        <f xml:space="preserve">
IF(表紙!$X$2="実績報告（１次）",AE31,
IF(AE$19&gt;=1,AE31,0))</f>
        <v>0</v>
      </c>
      <c r="AF6" s="674">
        <f xml:space="preserve">
IF(表紙!$X$2="実績報告（１次）",AF31,
IF(AF$19&gt;=1,AF31,0))</f>
        <v>0</v>
      </c>
      <c r="AG6" s="674">
        <f xml:space="preserve">
IF(表紙!$X$2="実績報告（１次）",AG31,
IF(AG$19&gt;=1,AG31,0))</f>
        <v>0</v>
      </c>
      <c r="AH6" s="674">
        <f xml:space="preserve">
IF(表紙!$X$2="実績報告（１次）",AH31,
IF(AH$19&gt;=1,AH31,0))</f>
        <v>0</v>
      </c>
      <c r="AI6" s="674">
        <f xml:space="preserve">
IF(表紙!$X$2="実績報告（１次）",AI31,
IF(AI$19&gt;=1,AI31,0))</f>
        <v>0</v>
      </c>
      <c r="AJ6" s="674">
        <f xml:space="preserve">
IF(表紙!$X$2="実績報告（１次）",AJ31,
IF(AJ$19&gt;=1,AJ31,0))</f>
        <v>0</v>
      </c>
      <c r="AK6" s="674">
        <f xml:space="preserve">
IF(表紙!$X$2="実績報告（１次）",AK31,
IF(AK$19&gt;=1,AK31,0))</f>
        <v>0</v>
      </c>
      <c r="AL6" s="674">
        <f xml:space="preserve">
IF(表紙!$X$2="実績報告（１次）",AL31,
IF(AL$19&gt;=1,AL31,0))</f>
        <v>0</v>
      </c>
      <c r="AM6" s="674">
        <f xml:space="preserve">
IF(表紙!$X$2="実績報告（１次）",AM31,
IF(AM$19&gt;=1,AM31,0))</f>
        <v>0</v>
      </c>
      <c r="AN6" s="674">
        <f xml:space="preserve">
IF(表紙!$X$2="実績報告（１次）",AN31,
IF(AN$19&gt;=1,AN31,0))</f>
        <v>0</v>
      </c>
      <c r="AO6" s="674">
        <f xml:space="preserve">
IF(表紙!$X$2="実績報告（１次）",AO31,
IF(AO$19&gt;=1,AO31,0))</f>
        <v>0</v>
      </c>
      <c r="AP6" s="674">
        <f xml:space="preserve">
IF(表紙!$X$2="実績報告（１次）",AP31,
IF(AP$19&gt;=1,AP31,0))</f>
        <v>0</v>
      </c>
      <c r="AQ6" s="674">
        <f xml:space="preserve">
IF(表紙!$X$2="実績報告（１次）",AQ31,
IF(AQ$19&gt;=1,AQ31,0))</f>
        <v>0</v>
      </c>
      <c r="AR6" s="674">
        <f xml:space="preserve">
IF(表紙!$X$2="実績報告（１次）",AR31,
IF(AR$19&gt;=1,AR31,0))</f>
        <v>0</v>
      </c>
      <c r="AS6" s="674">
        <f xml:space="preserve">
IF(表紙!$X$2="実績報告（１次）",AS31,
IF(AS$19&gt;=1,AS31,0))</f>
        <v>0</v>
      </c>
      <c r="AT6" s="674">
        <f xml:space="preserve">
IF(表紙!$X$2="実績報告（１次）",AT31,
IF(AT$19&gt;=1,AT31,0))</f>
        <v>0</v>
      </c>
      <c r="AU6" s="674">
        <f xml:space="preserve">
IF(表紙!$X$2="実績報告（１次）",AU31,
IF(AU$19&gt;=1,AU31,0))</f>
        <v>0</v>
      </c>
      <c r="AV6" s="674">
        <f xml:space="preserve">
IF(表紙!$X$2="実績報告（１次）",AV31,
IF(AV$19&gt;=1,AV31,0))</f>
        <v>0</v>
      </c>
      <c r="AW6" s="674">
        <f xml:space="preserve">
IF(表紙!$X$2="実績報告（１次）",AW31,
IF(AW$19&gt;=1,AW31,0))</f>
        <v>0</v>
      </c>
      <c r="AX6" s="674">
        <f xml:space="preserve">
IF(表紙!$X$2="実績報告（１次）",AX31,
IF(AX$19&gt;=1,AX31,0))</f>
        <v>0</v>
      </c>
      <c r="AY6" s="674">
        <f xml:space="preserve">
IF(表紙!$X$2="実績報告（１次）",AY31,
IF(AY$19&gt;=1,AY31,0))</f>
        <v>0</v>
      </c>
      <c r="AZ6" s="674">
        <f xml:space="preserve">
IF(表紙!$X$2="実績報告（１次）",AZ31,
IF(AZ$19&gt;=1,AZ31,0))</f>
        <v>0</v>
      </c>
      <c r="BA6" s="674">
        <f xml:space="preserve">
IF(表紙!$X$2="実績報告（１次）",BA31,
IF(BA$19&gt;=1,BA31,0))</f>
        <v>0</v>
      </c>
      <c r="BB6" s="674">
        <f xml:space="preserve">
IF(表紙!$X$2="実績報告（１次）",BB31,
IF(BB$19&gt;=1,BB31,0))</f>
        <v>0</v>
      </c>
      <c r="BC6" s="674">
        <f xml:space="preserve">
IF(表紙!$X$2="実績報告（１次）",BC31,
IF(BC$19&gt;=1,BC31,0))</f>
        <v>0</v>
      </c>
      <c r="BD6" s="674">
        <f xml:space="preserve">
IF(表紙!$X$2="実績報告（１次）",BD31,
IF(BD$19&gt;=1,BD31,0))</f>
        <v>0</v>
      </c>
      <c r="BE6" s="674">
        <f xml:space="preserve">
IF(表紙!$X$2="実績報告（１次）",BE31,
IF(BE$19&gt;=1,BE31,0))</f>
        <v>0</v>
      </c>
      <c r="BF6" s="674">
        <f xml:space="preserve">
IF(表紙!$X$2="実績報告（１次）",BF31,
IF(BF$19&gt;=1,BF31,0))</f>
        <v>0</v>
      </c>
      <c r="BG6" s="674">
        <f xml:space="preserve">
IF(表紙!$X$2="実績報告（１次）",BG31,
IF(BG$19&gt;=1,BG31,0))</f>
        <v>0</v>
      </c>
      <c r="BH6" s="674">
        <f xml:space="preserve">
IF(表紙!$X$2="実績報告（１次）",BH31,
IF(BH$19&gt;=1,BH31,0))</f>
        <v>0</v>
      </c>
      <c r="BI6" s="674">
        <f xml:space="preserve">
IF(表紙!$X$2="実績報告（１次）",BI31,
IF(BI$19&gt;=1,BI31,0))</f>
        <v>0</v>
      </c>
      <c r="BJ6" s="674">
        <f xml:space="preserve">
IF(表紙!$X$2="実績報告（１次）",BJ31,
IF(BJ$19&gt;=1,BJ31,0))</f>
        <v>0</v>
      </c>
      <c r="BK6" s="674">
        <f xml:space="preserve">
IF(表紙!$X$2="実績報告（１次）",BK31,
IF(BK$19&gt;=1,BK31,0))</f>
        <v>0</v>
      </c>
      <c r="BL6" s="674">
        <f xml:space="preserve">
IF(表紙!$X$2="実績報告（１次）",BL31,
IF(BL$19&gt;=1,BL31,0))</f>
        <v>0</v>
      </c>
      <c r="BM6" s="674">
        <f xml:space="preserve">
IF(表紙!$X$2="実績報告（１次）",BM31,
IF(BM$19&gt;=1,BM31,0))</f>
        <v>0</v>
      </c>
      <c r="BN6" s="674">
        <f xml:space="preserve">
IF(表紙!$X$2="実績報告（１次）",BN31,
IF(BN$19&gt;=1,BN31,0))</f>
        <v>0</v>
      </c>
      <c r="BO6" s="674">
        <f xml:space="preserve">
IF(表紙!$X$2="実績報告（１次）",BO31,
IF(BO$19&gt;=1,BO31,0))</f>
        <v>0</v>
      </c>
      <c r="BP6" s="674">
        <f xml:space="preserve">
IF(表紙!$X$2="実績報告（１次）",BP31,
IF(BP$19&gt;=1,BP31,0))</f>
        <v>0</v>
      </c>
      <c r="BQ6" s="674">
        <f xml:space="preserve">
IF(表紙!$X$2="実績報告（１次）",BQ31,
IF(BQ$19&gt;=1,BQ31,0))</f>
        <v>0</v>
      </c>
      <c r="BR6" s="674">
        <f xml:space="preserve">
IF(表紙!$X$2="実績報告（１次）",BR31,
IF(BR$19&gt;=1,BR31,0))</f>
        <v>0</v>
      </c>
      <c r="BS6" s="674">
        <f xml:space="preserve">
IF(表紙!$X$2="実績報告（１次）",BS31,
IF(BS$19&gt;=1,BS31,0))</f>
        <v>0</v>
      </c>
      <c r="BT6" s="674">
        <f xml:space="preserve">
IF(表紙!$X$2="実績報告（１次）",BT31,
IF(BT$19&gt;=1,BT31,0))</f>
        <v>0</v>
      </c>
      <c r="BU6" s="674">
        <f xml:space="preserve">
IF(表紙!$X$2="実績報告（１次）",BU31,
IF(BU$19&gt;=1,BU31,0))</f>
        <v>0</v>
      </c>
      <c r="BV6" s="674">
        <f xml:space="preserve">
IF(表紙!$X$2="実績報告（１次）",BV31,
IF(BV$19&gt;=1,BV31,0))</f>
        <v>0</v>
      </c>
      <c r="BW6" s="674">
        <f xml:space="preserve">
IF(表紙!$X$2="実績報告（１次）",BW31,
IF(BW$19&gt;=1,BW31,0))</f>
        <v>0</v>
      </c>
      <c r="BX6" s="674">
        <f xml:space="preserve">
IF(表紙!$X$2="実績報告（１次）",BX31,
IF(BX$19&gt;=1,BX31,0))</f>
        <v>0</v>
      </c>
      <c r="BY6" s="674">
        <f xml:space="preserve">
IF(表紙!$X$2="実績報告（１次）",BY31,
IF(BY$19&gt;=1,BY31,0))</f>
        <v>0</v>
      </c>
      <c r="BZ6" s="674">
        <f xml:space="preserve">
IF(表紙!$X$2="実績報告（１次）",BZ31,
IF(BZ$19&gt;=1,BZ31,0))</f>
        <v>0</v>
      </c>
      <c r="CA6" s="674">
        <f xml:space="preserve">
IF(表紙!$X$2="実績報告（１次）",CA31,
IF(CA$19&gt;=1,CA31,0))</f>
        <v>0</v>
      </c>
      <c r="CB6" s="674">
        <f xml:space="preserve">
IF(表紙!$X$2="実績報告（１次）",CB31,
IF(CB$19&gt;=1,CB31,0))</f>
        <v>0</v>
      </c>
      <c r="CC6" s="674">
        <f xml:space="preserve">
IF(表紙!$X$2="実績報告（１次）",CC31,
IF(CC$19&gt;=1,CC31,0))</f>
        <v>0</v>
      </c>
      <c r="CD6" s="674">
        <f xml:space="preserve">
IF(表紙!$X$2="実績報告（１次）",CD31,
IF(CD$19&gt;=1,CD31,0))</f>
        <v>0</v>
      </c>
      <c r="CE6" s="674">
        <f xml:space="preserve">
IF(表紙!$X$2="実績報告（１次）",CE31,
IF(CE$19&gt;=1,CE31,0))</f>
        <v>0</v>
      </c>
      <c r="CF6" s="674">
        <f xml:space="preserve">
IF(表紙!$X$2="実績報告（１次）",CF31,
IF(CF$19&gt;=1,CF31,0))</f>
        <v>0</v>
      </c>
      <c r="CG6" s="674">
        <f xml:space="preserve">
IF(表紙!$X$2="実績報告（１次）",CG31,
IF(CG$19&gt;=1,CG31,0))</f>
        <v>0</v>
      </c>
      <c r="CH6" s="674">
        <f xml:space="preserve">
IF(表紙!$X$2="実績報告（１次）",CH31,
IF(CH$19&gt;=1,CH31,0))</f>
        <v>0</v>
      </c>
      <c r="CI6" s="674">
        <f xml:space="preserve">
IF(表紙!$X$2="実績報告（１次）",CI31,
IF(CI$19&gt;=1,CI31,0))</f>
        <v>0</v>
      </c>
      <c r="CJ6" s="674">
        <f xml:space="preserve">
IF(表紙!$X$2="実績報告（１次）",CJ31,
IF(CJ$19&gt;=1,CJ31,0))</f>
        <v>0</v>
      </c>
      <c r="CK6" s="674">
        <f xml:space="preserve">
IF(表紙!$X$2="実績報告（１次）",CK31,
IF(CK$19&gt;=1,CK31,0))</f>
        <v>0</v>
      </c>
      <c r="CL6" s="674">
        <f xml:space="preserve">
IF(表紙!$X$2="実績報告（１次）",CL31,
IF(CL$19&gt;=1,CL31,0))</f>
        <v>0</v>
      </c>
      <c r="CM6" s="674">
        <f xml:space="preserve">
IF(表紙!$X$2="実績報告（１次）",CM31,
IF(CM$19&gt;=1,CM31,0))</f>
        <v>0</v>
      </c>
      <c r="CN6" s="674">
        <f xml:space="preserve">
IF(表紙!$X$2="実績報告（１次）",CN31,
IF(CN$19&gt;=1,CN31,0))</f>
        <v>0</v>
      </c>
      <c r="CO6" s="674">
        <f xml:space="preserve">
IF(表紙!$X$2="実績報告（１次）",CO31,
IF(CO$19&gt;=1,CO31,0))</f>
        <v>0</v>
      </c>
      <c r="CP6" s="674">
        <f xml:space="preserve">
IF(表紙!$X$2="実績報告（１次）",CP31,
IF(CP$19&gt;=1,CP31,0))</f>
        <v>0</v>
      </c>
      <c r="CQ6" s="674">
        <f xml:space="preserve">
IF(表紙!$X$2="実績報告（１次）",CQ31,
IF(CQ$19&gt;=1,CQ31,0))</f>
        <v>0</v>
      </c>
      <c r="CR6" s="674">
        <f xml:space="preserve">
IF(表紙!$X$2="実績報告（１次）",CR31,
IF(CR$19&gt;=1,CR31,0))</f>
        <v>0</v>
      </c>
      <c r="CS6" s="674">
        <f xml:space="preserve">
IF(表紙!$X$2="実績報告（１次）",CS31,
IF(CS$19&gt;=1,CS31,0))</f>
        <v>0</v>
      </c>
      <c r="CT6" s="674">
        <f xml:space="preserve">
IF(表紙!$X$2="実績報告（１次）",CT31,
IF(CT$19&gt;=1,CT31,0))</f>
        <v>0</v>
      </c>
      <c r="CU6" s="674">
        <f xml:space="preserve">
IF(表紙!$X$2="実績報告（１次）",CU31,
IF(CU$19&gt;=1,CU31,0))</f>
        <v>0</v>
      </c>
      <c r="CV6" s="674">
        <f xml:space="preserve">
IF(表紙!$X$2="実績報告（１次）",CV31,
IF(CV$19&gt;=1,CV31,0))</f>
        <v>0</v>
      </c>
      <c r="CW6" s="674">
        <f xml:space="preserve">
IF(表紙!$X$2="実績報告（１次）",CW31,
IF(CW$19&gt;=1,CW31,0))</f>
        <v>0</v>
      </c>
      <c r="CX6" s="674">
        <f xml:space="preserve">
IF(表紙!$X$2="実績報告（１次）",CX31,
IF(CX$19&gt;=1,CX31,0))</f>
        <v>0</v>
      </c>
      <c r="CY6" s="674">
        <f xml:space="preserve">
IF(表紙!$X$2="実績報告（１次）",CY31,
IF(CY$19&gt;=1,CY31,0))</f>
        <v>0</v>
      </c>
      <c r="CZ6" s="674">
        <f xml:space="preserve">
IF(表紙!$X$2="実績報告（１次）",CZ31,
IF(CZ$19&gt;=1,CZ31,0))</f>
        <v>0</v>
      </c>
      <c r="DA6" s="674">
        <f xml:space="preserve">
IF(表紙!$X$2="実績報告（１次）",DA31,
IF(DA$19&gt;=1,DA31,0))</f>
        <v>0</v>
      </c>
      <c r="DB6" s="674">
        <f xml:space="preserve">
IF(表紙!$X$2="実績報告（１次）",DB31,
IF(DB$19&gt;=1,DB31,0))</f>
        <v>0</v>
      </c>
      <c r="DC6" s="674">
        <f xml:space="preserve">
IF(表紙!$X$2="実績報告（１次）",DC31,
IF(DC$19&gt;=1,DC31,0))</f>
        <v>0</v>
      </c>
      <c r="DD6" s="674">
        <f xml:space="preserve">
IF(表紙!$X$2="実績報告（１次）",DD31,
IF(DD$19&gt;=1,DD31,0))</f>
        <v>0</v>
      </c>
      <c r="DE6" s="674">
        <f xml:space="preserve">
IF(表紙!$X$2="実績報告（１次）",DE31,
IF(DE$19&gt;=1,DE31,0))</f>
        <v>0</v>
      </c>
      <c r="DF6" s="674">
        <f xml:space="preserve">
IF(表紙!$X$2="実績報告（１次）",DF31,
IF(DF$19&gt;=1,DF31,0))</f>
        <v>0</v>
      </c>
      <c r="DG6" s="674">
        <f xml:space="preserve">
IF(表紙!$X$2="実績報告（１次）",DG31,
IF(DG$19&gt;=1,DG31,0))</f>
        <v>0</v>
      </c>
      <c r="DH6" s="674">
        <f xml:space="preserve">
IF(表紙!$X$2="実績報告（１次）",DH31,
IF(DH$19&gt;=1,DH31,0))</f>
        <v>0</v>
      </c>
      <c r="DI6" s="674">
        <f xml:space="preserve">
IF(表紙!$X$2="実績報告（１次）",DI31,
IF(DI$19&gt;=1,DI31,0))</f>
        <v>0</v>
      </c>
      <c r="DJ6" s="674">
        <f xml:space="preserve">
IF(表紙!$X$2="実績報告（１次）",DJ31,
IF(DJ$19&gt;=1,DJ31,0))</f>
        <v>0</v>
      </c>
      <c r="DK6" s="674">
        <f xml:space="preserve">
IF(表紙!$X$2="実績報告（１次）",DK31,
IF(DK$19&gt;=1,DK31,0))</f>
        <v>0</v>
      </c>
      <c r="DL6" s="674">
        <f xml:space="preserve">
IF(表紙!$X$2="実績報告（１次）",DL31,
IF(DL$19&gt;=1,DL31,0))</f>
        <v>0</v>
      </c>
      <c r="DM6" s="674">
        <f xml:space="preserve">
IF(表紙!$X$2="実績報告（１次）",DM31,
IF(DM$19&gt;=1,DM31,0))</f>
        <v>0</v>
      </c>
      <c r="DN6" s="674">
        <f xml:space="preserve">
IF(表紙!$X$2="実績報告（１次）",DN31,
IF(DN$19&gt;=1,DN31,0))</f>
        <v>0</v>
      </c>
      <c r="DO6" s="674">
        <f xml:space="preserve">
IF(表紙!$X$2="実績報告（１次）",DO31,
IF(DO$19&gt;=1,DO31,0))</f>
        <v>0</v>
      </c>
      <c r="DP6" s="674">
        <f xml:space="preserve">
IF(表紙!$X$2="実績報告（１次）",DP31,
IF(DP$19&gt;=1,DP31,0))</f>
        <v>0</v>
      </c>
      <c r="DQ6" s="674">
        <f xml:space="preserve">
IF(表紙!$X$2="実績報告（１次）",DQ31,
IF(DQ$19&gt;=1,DQ31,0))</f>
        <v>0</v>
      </c>
      <c r="DR6" s="674">
        <f xml:space="preserve">
IF(表紙!$X$2="実績報告（１次）",DR31,
IF(DR$19&gt;=1,DR31,0))</f>
        <v>0</v>
      </c>
      <c r="DS6" s="674">
        <f xml:space="preserve">
IF(表紙!$X$2="実績報告（１次）",DS31,
IF(DS$19&gt;=1,DS31,0))</f>
        <v>0</v>
      </c>
      <c r="DT6" s="674">
        <f xml:space="preserve">
IF(表紙!$X$2="実績報告（１次）",DT31,
IF(DT$19&gt;=1,DT31,0))</f>
        <v>0</v>
      </c>
      <c r="DU6" s="674">
        <f xml:space="preserve">
IF(表紙!$X$2="実績報告（１次）",DU31,
IF(DU$19&gt;=1,DU31,0))</f>
        <v>0</v>
      </c>
      <c r="DV6" s="674">
        <f xml:space="preserve">
IF(表紙!$X$2="実績報告（１次）",DV31,
IF(DV$19&gt;=1,DV31,0))</f>
        <v>0</v>
      </c>
      <c r="DW6" s="674">
        <f xml:space="preserve">
IF(表紙!$X$2="実績報告（１次）",DW31,
IF(DW$19&gt;=1,DW31,0))</f>
        <v>0</v>
      </c>
      <c r="DX6" s="674">
        <f xml:space="preserve">
IF(表紙!$X$2="実績報告（１次）",DX31,
IF(DX$19&gt;=1,DX31,0))</f>
        <v>0</v>
      </c>
      <c r="DY6" s="674">
        <f xml:space="preserve">
IF(表紙!$X$2="実績報告（１次）",DY31,
IF(DY$19&gt;=1,DY31,0))</f>
        <v>0</v>
      </c>
      <c r="DZ6" s="674">
        <f xml:space="preserve">
IF(表紙!$X$2="実績報告（１次）",DZ31,
IF(DZ$19&gt;=1,DZ31,0))</f>
        <v>0</v>
      </c>
      <c r="EA6" s="674">
        <f xml:space="preserve">
IF(表紙!$X$2="実績報告（１次）",EA31,
IF(EA$19&gt;=1,EA31,0))</f>
        <v>0</v>
      </c>
      <c r="EB6" s="674">
        <f xml:space="preserve">
IF(表紙!$X$2="実績報告（１次）",EB31,
IF(EB$19&gt;=1,EB31,0))</f>
        <v>0</v>
      </c>
      <c r="EC6" s="674">
        <f xml:space="preserve">
IF(表紙!$X$2="実績報告（１次）",EC31,
IF(EC$19&gt;=1,EC31,0))</f>
        <v>0</v>
      </c>
      <c r="ED6" s="674">
        <f xml:space="preserve">
IF(表紙!$X$2="実績報告（１次）",ED31,
IF(ED$19&gt;=1,ED31,0))</f>
        <v>0</v>
      </c>
      <c r="EE6" s="674">
        <f xml:space="preserve">
IF(表紙!$X$2="実績報告（１次）",EE31,
IF(EE$19&gt;=1,EE31,0))</f>
        <v>0</v>
      </c>
      <c r="EF6" s="674">
        <f xml:space="preserve">
IF(表紙!$X$2="実績報告（１次）",EF31,
IF(EF$19&gt;=1,EF31,0))</f>
        <v>0</v>
      </c>
      <c r="EG6" s="674">
        <f xml:space="preserve">
IF(表紙!$X$2="実績報告（１次）",EG31,
IF(EG$19&gt;=1,EG31,0))</f>
        <v>0</v>
      </c>
      <c r="EH6" s="674">
        <f xml:space="preserve">
IF(表紙!$X$2="実績報告（１次）",EH31,
IF(EH$19&gt;=1,EH31,0))</f>
        <v>0</v>
      </c>
      <c r="EI6" s="674">
        <f xml:space="preserve">
IF(表紙!$X$2="実績報告（１次）",EI31,
IF(EI$19&gt;=1,EI31,0))</f>
        <v>0</v>
      </c>
      <c r="EJ6" s="674">
        <f xml:space="preserve">
IF(表紙!$X$2="実績報告（１次）",EJ31,
IF(EJ$19&gt;=1,EJ31,0))</f>
        <v>0</v>
      </c>
      <c r="EK6" s="674">
        <f xml:space="preserve">
IF(表紙!$X$2="実績報告（１次）",EK31,
IF(EK$19&gt;=1,EK31,0))</f>
        <v>0</v>
      </c>
      <c r="EL6" s="674">
        <f xml:space="preserve">
IF(表紙!$X$2="実績報告（１次）",EL31,
IF(EL$19&gt;=1,EL31,0))</f>
        <v>0</v>
      </c>
      <c r="EM6" s="674">
        <f xml:space="preserve">
IF(表紙!$X$2="実績報告（１次）",EM31,
IF(EM$19&gt;=1,EM31,0))</f>
        <v>0</v>
      </c>
      <c r="EN6" s="674">
        <f xml:space="preserve">
IF(表紙!$X$2="実績報告（１次）",EN31,
IF(EN$19&gt;=1,EN31,0))</f>
        <v>0</v>
      </c>
      <c r="EO6" s="674">
        <f xml:space="preserve">
IF(表紙!$X$2="実績報告（１次）",EO31,
IF(EO$19&gt;=1,EO31,0))</f>
        <v>0</v>
      </c>
      <c r="EP6" s="674">
        <f xml:space="preserve">
IF(表紙!$X$2="実績報告（１次）",EP31,
IF(EP$19&gt;=1,EP31,0))</f>
        <v>0</v>
      </c>
      <c r="EQ6" s="674">
        <f xml:space="preserve">
IF(表紙!$X$2="実績報告（１次）",EQ31,
IF(EQ$19&gt;=1,EQ31,0))</f>
        <v>0</v>
      </c>
      <c r="ER6" s="674">
        <f xml:space="preserve">
IF(表紙!$X$2="実績報告（１次）",ER31,
IF(ER$19&gt;=1,ER31,0))</f>
        <v>0</v>
      </c>
      <c r="ES6" s="674">
        <f xml:space="preserve">
IF(表紙!$X$2="実績報告（１次）",ES31,
IF(ES$19&gt;=1,ES31,0))</f>
        <v>0</v>
      </c>
      <c r="ET6" s="674">
        <f xml:space="preserve">
IF(表紙!$X$2="実績報告（１次）",ET31,
IF(ET$19&gt;=1,ET31,0))</f>
        <v>0</v>
      </c>
      <c r="EU6" s="674">
        <f xml:space="preserve">
IF(表紙!$X$2="実績報告（１次）",EU31,
IF(EU$19&gt;=1,EU31,0))</f>
        <v>0</v>
      </c>
      <c r="EV6" s="674">
        <f xml:space="preserve">
IF(表紙!$X$2="実績報告（１次）",EV31,
IF(EV$19&gt;=1,EV31,0))</f>
        <v>0</v>
      </c>
      <c r="EW6" s="674">
        <f xml:space="preserve">
IF(表紙!$X$2="実績報告（１次）",EW31,
IF(EW$19&gt;=1,EW31,0))</f>
        <v>0</v>
      </c>
      <c r="EX6" s="674">
        <f xml:space="preserve">
IF(表紙!$X$2="実績報告（１次）",EX31,
IF(EX$19&gt;=1,EX31,0))</f>
        <v>0</v>
      </c>
      <c r="EY6" s="674">
        <f xml:space="preserve">
IF(表紙!$X$2="実績報告（１次）",EY31,
IF(EY$19&gt;=1,EY31,0))</f>
        <v>0</v>
      </c>
      <c r="EZ6" s="674">
        <f xml:space="preserve">
IF(表紙!$X$2="実績報告（１次）",EZ31,
IF(EZ$19&gt;=1,EZ31,0))</f>
        <v>0</v>
      </c>
      <c r="FA6" s="674">
        <f xml:space="preserve">
IF(表紙!$X$2="実績報告（１次）",FA31,
IF(FA$19&gt;=1,FA31,0))</f>
        <v>0</v>
      </c>
      <c r="FB6" s="674">
        <f xml:space="preserve">
IF(表紙!$X$2="実績報告（１次）",FB31,
IF(FB$19&gt;=1,FB31,0))</f>
        <v>0</v>
      </c>
      <c r="FC6" s="674">
        <f xml:space="preserve">
IF(表紙!$X$2="実績報告（１次）",FC31,
IF(FC$19&gt;=1,FC31,0))</f>
        <v>0</v>
      </c>
      <c r="FD6" s="674">
        <f xml:space="preserve">
IF(表紙!$X$2="実績報告（１次）",FD31,
IF(FD$19&gt;=1,FD31,0))</f>
        <v>0</v>
      </c>
      <c r="FE6" s="674">
        <f xml:space="preserve">
IF(表紙!$X$2="実績報告（１次）",FE31,
IF(FE$19&gt;=1,FE31,0))</f>
        <v>0</v>
      </c>
      <c r="FF6" s="674">
        <f xml:space="preserve">
IF(表紙!$X$2="実績報告（１次）",FF31,
IF(FF$19&gt;=1,FF31,0))</f>
        <v>0</v>
      </c>
      <c r="FG6" s="674">
        <f xml:space="preserve">
IF(表紙!$X$2="実績報告（１次）",FG31,
IF(FG$19&gt;=1,FG31,0))</f>
        <v>0</v>
      </c>
      <c r="FH6" s="674">
        <f xml:space="preserve">
IF(表紙!$X$2="実績報告（１次）",FH31,
IF(FH$19&gt;=1,FH31,0))</f>
        <v>0</v>
      </c>
      <c r="FI6" s="674">
        <f xml:space="preserve">
IF(表紙!$X$2="実績報告（１次）",FI31,
IF(FI$19&gt;=1,FI31,0))</f>
        <v>0</v>
      </c>
      <c r="FJ6" s="674">
        <f xml:space="preserve">
IF(表紙!$X$2="実績報告（１次）",FJ31,
IF(FJ$19&gt;=1,FJ31,0))</f>
        <v>0</v>
      </c>
      <c r="FK6" s="674">
        <f xml:space="preserve">
IF(表紙!$X$2="実績報告（１次）",FK31,
IF(FK$19&gt;=1,FK31,0))</f>
        <v>0</v>
      </c>
      <c r="FL6" s="674">
        <f xml:space="preserve">
IF(表紙!$X$2="実績報告（１次）",FL31,
IF(FL$19&gt;=1,FL31,0))</f>
        <v>0</v>
      </c>
      <c r="FM6" s="674">
        <f xml:space="preserve">
IF(表紙!$X$2="実績報告（１次）",FM31,
IF(FM$19&gt;=1,FM31,0))</f>
        <v>0</v>
      </c>
      <c r="FN6" s="674">
        <f xml:space="preserve">
IF(表紙!$X$2="実績報告（１次）",FN31,
IF(FN$19&gt;=1,FN31,0))</f>
        <v>0</v>
      </c>
      <c r="FO6" s="674">
        <f xml:space="preserve">
IF(表紙!$X$2="実績報告（１次）",FO31,
IF(FO$19&gt;=1,FO31,0))</f>
        <v>0</v>
      </c>
      <c r="FP6" s="674">
        <f xml:space="preserve">
IF(表紙!$X$2="実績報告（１次）",FP31,
IF(FP$19&gt;=1,FP31,0))</f>
        <v>0</v>
      </c>
      <c r="FQ6" s="674">
        <f xml:space="preserve">
IF(表紙!$X$2="実績報告（１次）",FQ31,
IF(FQ$19&gt;=1,FQ31,0))</f>
        <v>0</v>
      </c>
      <c r="FR6" s="674">
        <f xml:space="preserve">
IF(表紙!$X$2="実績報告（１次）",FR31,
IF(FR$19&gt;=1,FR31,0))</f>
        <v>0</v>
      </c>
      <c r="FS6" s="674">
        <f xml:space="preserve">
IF(表紙!$X$2="実績報告（１次）",FS31,
IF(FS$19&gt;=1,FS31,0))</f>
        <v>0</v>
      </c>
      <c r="FT6" s="674">
        <f xml:space="preserve">
IF(表紙!$X$2="実績報告（１次）",FT31,
IF(FT$19&gt;=1,FT31,0))</f>
        <v>0</v>
      </c>
      <c r="FU6" s="674">
        <f xml:space="preserve">
IF(表紙!$X$2="実績報告（１次）",FU31,
IF(FU$19&gt;=1,FU31,0))</f>
        <v>0</v>
      </c>
      <c r="FV6" s="674">
        <f xml:space="preserve">
IF(表紙!$X$2="実績報告（１次）",FV31,
IF(FV$19&gt;=1,FV31,0))</f>
        <v>0</v>
      </c>
      <c r="FW6" s="674">
        <f xml:space="preserve">
IF(表紙!$X$2="実績報告（１次）",FW31,
IF(FW$19&gt;=1,FW31,0))</f>
        <v>0</v>
      </c>
      <c r="FX6" s="674">
        <f xml:space="preserve">
IF(表紙!$X$2="実績報告（１次）",FX31,
IF(FX$19&gt;=1,FX31,0))</f>
        <v>0</v>
      </c>
      <c r="FY6" s="674">
        <f xml:space="preserve">
IF(表紙!$X$2="実績報告（１次）",FY31,
IF(FY$19&gt;=1,FY31,0))</f>
        <v>0</v>
      </c>
      <c r="FZ6" s="674">
        <f xml:space="preserve">
IF(表紙!$X$2="実績報告（１次）",FZ31,
IF(FZ$19&gt;=1,FZ31,0))</f>
        <v>0</v>
      </c>
      <c r="GA6" s="674">
        <f xml:space="preserve">
IF(表紙!$X$2="実績報告（１次）",GA31,
IF(GA$19&gt;=1,GA31,0))</f>
        <v>0</v>
      </c>
      <c r="GB6" s="674">
        <f xml:space="preserve">
IF(表紙!$X$2="実績報告（１次）",GB31,
IF(GB$19&gt;=1,GB31,0))</f>
        <v>0</v>
      </c>
      <c r="GC6" s="674">
        <f xml:space="preserve">
IF(表紙!$X$2="実績報告（１次）",GC31,
IF(GC$19&gt;=1,GC31,0))</f>
        <v>0</v>
      </c>
      <c r="GD6" s="674">
        <f xml:space="preserve">
IF(表紙!$X$2="実績報告（１次）",GD31,
IF(GD$19&gt;=1,GD31,0))</f>
        <v>0</v>
      </c>
      <c r="GE6" s="674">
        <f xml:space="preserve">
IF(表紙!$X$2="実績報告（１次）",GE31,
IF(GE$19&gt;=1,GE31,0))</f>
        <v>0</v>
      </c>
      <c r="GF6" s="674">
        <f xml:space="preserve">
IF(表紙!$X$2="実績報告（１次）",GF31,
IF(GF$19&gt;=1,GF31,0))</f>
        <v>0</v>
      </c>
      <c r="GG6" s="674">
        <f xml:space="preserve">
IF(表紙!$X$2="実績報告（１次）",GG31,
IF(GG$19&gt;=1,GG31,0))</f>
        <v>0</v>
      </c>
      <c r="GH6" s="674">
        <f xml:space="preserve">
IF(表紙!$X$2="実績報告（１次）",GH31,
IF(GH$19&gt;=1,GH31,0))</f>
        <v>0</v>
      </c>
      <c r="GI6" s="674">
        <f xml:space="preserve">
IF(表紙!$X$2="実績報告（１次）",GI31,
IF(GI$19&gt;=1,GI31,0))</f>
        <v>0</v>
      </c>
      <c r="GJ6" s="674">
        <f xml:space="preserve">
IF(表紙!$X$2="実績報告（１次）",GJ31,
IF(GJ$19&gt;=1,GJ31,0))</f>
        <v>0</v>
      </c>
    </row>
    <row r="7" spans="2:192" ht="9.75" customHeight="1">
      <c r="B7" s="618"/>
      <c r="C7" s="630" t="s">
        <v>1225</v>
      </c>
      <c r="D7" s="672">
        <f>基礎情報!V134</f>
        <v>0</v>
      </c>
      <c r="E7" s="1941">
        <f t="shared" si="3"/>
        <v>0</v>
      </c>
      <c r="F7" s="1942"/>
      <c r="G7" s="674">
        <f xml:space="preserve">
IF(表紙!$X$2="実績報告（１次）",G34,
IF(G$19&gt;=1,G34,0))</f>
        <v>0</v>
      </c>
      <c r="H7" s="674">
        <f xml:space="preserve">
IF(表紙!$X$2="実績報告（１次）",H34,
IF(H$19&gt;=1,H34,0))</f>
        <v>0</v>
      </c>
      <c r="I7" s="674">
        <f xml:space="preserve">
IF(表紙!$X$2="実績報告（１次）",I34,
IF(I$19&gt;=1,I34,0))</f>
        <v>0</v>
      </c>
      <c r="J7" s="674">
        <f xml:space="preserve">
IF(表紙!$X$2="実績報告（１次）",J34,
IF(J$19&gt;=1,J34,0))</f>
        <v>0</v>
      </c>
      <c r="K7" s="674">
        <f xml:space="preserve">
IF(表紙!$X$2="実績報告（１次）",K34,
IF(K$19&gt;=1,K34,0))</f>
        <v>0</v>
      </c>
      <c r="L7" s="674">
        <f xml:space="preserve">
IF(表紙!$X$2="実績報告（１次）",L34,
IF(L$19&gt;=1,L34,0))</f>
        <v>0</v>
      </c>
      <c r="M7" s="674">
        <f xml:space="preserve">
IF(表紙!$X$2="実績報告（１次）",M34,
IF(M$19&gt;=1,M34,0))</f>
        <v>0</v>
      </c>
      <c r="N7" s="674">
        <f xml:space="preserve">
IF(表紙!$X$2="実績報告（１次）",N34,
IF(N$19&gt;=1,N34,0))</f>
        <v>0</v>
      </c>
      <c r="O7" s="674">
        <f xml:space="preserve">
IF(表紙!$X$2="実績報告（１次）",O34,
IF(O$19&gt;=1,O34,0))</f>
        <v>0</v>
      </c>
      <c r="P7" s="674">
        <f xml:space="preserve">
IF(表紙!$X$2="実績報告（１次）",P34,
IF(P$19&gt;=1,P34,0))</f>
        <v>0</v>
      </c>
      <c r="Q7" s="674">
        <f xml:space="preserve">
IF(表紙!$X$2="実績報告（１次）",Q34,
IF(Q$19&gt;=1,Q34,0))</f>
        <v>0</v>
      </c>
      <c r="R7" s="674">
        <f xml:space="preserve">
IF(表紙!$X$2="実績報告（１次）",R34,
IF(R$19&gt;=1,R34,0))</f>
        <v>0</v>
      </c>
      <c r="S7" s="674">
        <f xml:space="preserve">
IF(表紙!$X$2="実績報告（１次）",S34,
IF(S$19&gt;=1,S34,0))</f>
        <v>0</v>
      </c>
      <c r="T7" s="674">
        <f xml:space="preserve">
IF(表紙!$X$2="実績報告（１次）",T34,
IF(T$19&gt;=1,T34,0))</f>
        <v>0</v>
      </c>
      <c r="U7" s="674">
        <f xml:space="preserve">
IF(表紙!$X$2="実績報告（１次）",U34,
IF(U$19&gt;=1,U34,0))</f>
        <v>0</v>
      </c>
      <c r="V7" s="674">
        <f xml:space="preserve">
IF(表紙!$X$2="実績報告（１次）",V34,
IF(V$19&gt;=1,V34,0))</f>
        <v>0</v>
      </c>
      <c r="W7" s="674">
        <f xml:space="preserve">
IF(表紙!$X$2="実績報告（１次）",W34,
IF(W$19&gt;=1,W34,0))</f>
        <v>0</v>
      </c>
      <c r="X7" s="674">
        <f xml:space="preserve">
IF(表紙!$X$2="実績報告（１次）",X34,
IF(X$19&gt;=1,X34,0))</f>
        <v>0</v>
      </c>
      <c r="Y7" s="674">
        <f xml:space="preserve">
IF(表紙!$X$2="実績報告（１次）",Y34,
IF(Y$19&gt;=1,Y34,0))</f>
        <v>0</v>
      </c>
      <c r="Z7" s="674">
        <f xml:space="preserve">
IF(表紙!$X$2="実績報告（１次）",Z34,
IF(Z$19&gt;=1,Z34,0))</f>
        <v>0</v>
      </c>
      <c r="AA7" s="674">
        <f xml:space="preserve">
IF(表紙!$X$2="実績報告（１次）",AA34,
IF(AA$19&gt;=1,AA34,0))</f>
        <v>0</v>
      </c>
      <c r="AB7" s="674">
        <f xml:space="preserve">
IF(表紙!$X$2="実績報告（１次）",AB34,
IF(AB$19&gt;=1,AB34,0))</f>
        <v>0</v>
      </c>
      <c r="AC7" s="674">
        <f xml:space="preserve">
IF(表紙!$X$2="実績報告（１次）",AC34,
IF(AC$19&gt;=1,AC34,0))</f>
        <v>0</v>
      </c>
      <c r="AD7" s="674">
        <f xml:space="preserve">
IF(表紙!$X$2="実績報告（１次）",AD34,
IF(AD$19&gt;=1,AD34,0))</f>
        <v>0</v>
      </c>
      <c r="AE7" s="674">
        <f xml:space="preserve">
IF(表紙!$X$2="実績報告（１次）",AE34,
IF(AE$19&gt;=1,AE34,0))</f>
        <v>0</v>
      </c>
      <c r="AF7" s="674">
        <f xml:space="preserve">
IF(表紙!$X$2="実績報告（１次）",AF34,
IF(AF$19&gt;=1,AF34,0))</f>
        <v>0</v>
      </c>
      <c r="AG7" s="674">
        <f xml:space="preserve">
IF(表紙!$X$2="実績報告（１次）",AG34,
IF(AG$19&gt;=1,AG34,0))</f>
        <v>0</v>
      </c>
      <c r="AH7" s="674">
        <f xml:space="preserve">
IF(表紙!$X$2="実績報告（１次）",AH34,
IF(AH$19&gt;=1,AH34,0))</f>
        <v>0</v>
      </c>
      <c r="AI7" s="674">
        <f xml:space="preserve">
IF(表紙!$X$2="実績報告（１次）",AI34,
IF(AI$19&gt;=1,AI34,0))</f>
        <v>0</v>
      </c>
      <c r="AJ7" s="674">
        <f xml:space="preserve">
IF(表紙!$X$2="実績報告（１次）",AJ34,
IF(AJ$19&gt;=1,AJ34,0))</f>
        <v>0</v>
      </c>
      <c r="AK7" s="674">
        <f xml:space="preserve">
IF(表紙!$X$2="実績報告（１次）",AK34,
IF(AK$19&gt;=1,AK34,0))</f>
        <v>0</v>
      </c>
      <c r="AL7" s="674">
        <f xml:space="preserve">
IF(表紙!$X$2="実績報告（１次）",AL34,
IF(AL$19&gt;=1,AL34,0))</f>
        <v>0</v>
      </c>
      <c r="AM7" s="674">
        <f xml:space="preserve">
IF(表紙!$X$2="実績報告（１次）",AM34,
IF(AM$19&gt;=1,AM34,0))</f>
        <v>0</v>
      </c>
      <c r="AN7" s="674">
        <f xml:space="preserve">
IF(表紙!$X$2="実績報告（１次）",AN34,
IF(AN$19&gt;=1,AN34,0))</f>
        <v>0</v>
      </c>
      <c r="AO7" s="674">
        <f xml:space="preserve">
IF(表紙!$X$2="実績報告（１次）",AO34,
IF(AO$19&gt;=1,AO34,0))</f>
        <v>0</v>
      </c>
      <c r="AP7" s="674">
        <f xml:space="preserve">
IF(表紙!$X$2="実績報告（１次）",AP34,
IF(AP$19&gt;=1,AP34,0))</f>
        <v>0</v>
      </c>
      <c r="AQ7" s="674">
        <f xml:space="preserve">
IF(表紙!$X$2="実績報告（１次）",AQ34,
IF(AQ$19&gt;=1,AQ34,0))</f>
        <v>0</v>
      </c>
      <c r="AR7" s="674">
        <f xml:space="preserve">
IF(表紙!$X$2="実績報告（１次）",AR34,
IF(AR$19&gt;=1,AR34,0))</f>
        <v>0</v>
      </c>
      <c r="AS7" s="674">
        <f xml:space="preserve">
IF(表紙!$X$2="実績報告（１次）",AS34,
IF(AS$19&gt;=1,AS34,0))</f>
        <v>0</v>
      </c>
      <c r="AT7" s="674">
        <f xml:space="preserve">
IF(表紙!$X$2="実績報告（１次）",AT34,
IF(AT$19&gt;=1,AT34,0))</f>
        <v>0</v>
      </c>
      <c r="AU7" s="674">
        <f xml:space="preserve">
IF(表紙!$X$2="実績報告（１次）",AU34,
IF(AU$19&gt;=1,AU34,0))</f>
        <v>0</v>
      </c>
      <c r="AV7" s="674">
        <f xml:space="preserve">
IF(表紙!$X$2="実績報告（１次）",AV34,
IF(AV$19&gt;=1,AV34,0))</f>
        <v>0</v>
      </c>
      <c r="AW7" s="674">
        <f xml:space="preserve">
IF(表紙!$X$2="実績報告（１次）",AW34,
IF(AW$19&gt;=1,AW34,0))</f>
        <v>0</v>
      </c>
      <c r="AX7" s="674">
        <f xml:space="preserve">
IF(表紙!$X$2="実績報告（１次）",AX34,
IF(AX$19&gt;=1,AX34,0))</f>
        <v>0</v>
      </c>
      <c r="AY7" s="674">
        <f xml:space="preserve">
IF(表紙!$X$2="実績報告（１次）",AY34,
IF(AY$19&gt;=1,AY34,0))</f>
        <v>0</v>
      </c>
      <c r="AZ7" s="674">
        <f xml:space="preserve">
IF(表紙!$X$2="実績報告（１次）",AZ34,
IF(AZ$19&gt;=1,AZ34,0))</f>
        <v>0</v>
      </c>
      <c r="BA7" s="674">
        <f xml:space="preserve">
IF(表紙!$X$2="実績報告（１次）",BA34,
IF(BA$19&gt;=1,BA34,0))</f>
        <v>0</v>
      </c>
      <c r="BB7" s="674">
        <f xml:space="preserve">
IF(表紙!$X$2="実績報告（１次）",BB34,
IF(BB$19&gt;=1,BB34,0))</f>
        <v>0</v>
      </c>
      <c r="BC7" s="674">
        <f xml:space="preserve">
IF(表紙!$X$2="実績報告（１次）",BC34,
IF(BC$19&gt;=1,BC34,0))</f>
        <v>0</v>
      </c>
      <c r="BD7" s="674">
        <f xml:space="preserve">
IF(表紙!$X$2="実績報告（１次）",BD34,
IF(BD$19&gt;=1,BD34,0))</f>
        <v>0</v>
      </c>
      <c r="BE7" s="674">
        <f xml:space="preserve">
IF(表紙!$X$2="実績報告（１次）",BE34,
IF(BE$19&gt;=1,BE34,0))</f>
        <v>0</v>
      </c>
      <c r="BF7" s="674">
        <f xml:space="preserve">
IF(表紙!$X$2="実績報告（１次）",BF34,
IF(BF$19&gt;=1,BF34,0))</f>
        <v>0</v>
      </c>
      <c r="BG7" s="674">
        <f xml:space="preserve">
IF(表紙!$X$2="実績報告（１次）",BG34,
IF(BG$19&gt;=1,BG34,0))</f>
        <v>0</v>
      </c>
      <c r="BH7" s="674">
        <f xml:space="preserve">
IF(表紙!$X$2="実績報告（１次）",BH34,
IF(BH$19&gt;=1,BH34,0))</f>
        <v>0</v>
      </c>
      <c r="BI7" s="674">
        <f xml:space="preserve">
IF(表紙!$X$2="実績報告（１次）",BI34,
IF(BI$19&gt;=1,BI34,0))</f>
        <v>0</v>
      </c>
      <c r="BJ7" s="674">
        <f xml:space="preserve">
IF(表紙!$X$2="実績報告（１次）",BJ34,
IF(BJ$19&gt;=1,BJ34,0))</f>
        <v>0</v>
      </c>
      <c r="BK7" s="674">
        <f xml:space="preserve">
IF(表紙!$X$2="実績報告（１次）",BK34,
IF(BK$19&gt;=1,BK34,0))</f>
        <v>0</v>
      </c>
      <c r="BL7" s="674">
        <f xml:space="preserve">
IF(表紙!$X$2="実績報告（１次）",BL34,
IF(BL$19&gt;=1,BL34,0))</f>
        <v>0</v>
      </c>
      <c r="BM7" s="674">
        <f xml:space="preserve">
IF(表紙!$X$2="実績報告（１次）",BM34,
IF(BM$19&gt;=1,BM34,0))</f>
        <v>0</v>
      </c>
      <c r="BN7" s="674">
        <f xml:space="preserve">
IF(表紙!$X$2="実績報告（１次）",BN34,
IF(BN$19&gt;=1,BN34,0))</f>
        <v>0</v>
      </c>
      <c r="BO7" s="674">
        <f xml:space="preserve">
IF(表紙!$X$2="実績報告（１次）",BO34,
IF(BO$19&gt;=1,BO34,0))</f>
        <v>0</v>
      </c>
      <c r="BP7" s="674">
        <f xml:space="preserve">
IF(表紙!$X$2="実績報告（１次）",BP34,
IF(BP$19&gt;=1,BP34,0))</f>
        <v>0</v>
      </c>
      <c r="BQ7" s="674">
        <f xml:space="preserve">
IF(表紙!$X$2="実績報告（１次）",BQ34,
IF(BQ$19&gt;=1,BQ34,0))</f>
        <v>0</v>
      </c>
      <c r="BR7" s="674">
        <f xml:space="preserve">
IF(表紙!$X$2="実績報告（１次）",BR34,
IF(BR$19&gt;=1,BR34,0))</f>
        <v>0</v>
      </c>
      <c r="BS7" s="674">
        <f xml:space="preserve">
IF(表紙!$X$2="実績報告（１次）",BS34,
IF(BS$19&gt;=1,BS34,0))</f>
        <v>0</v>
      </c>
      <c r="BT7" s="674">
        <f xml:space="preserve">
IF(表紙!$X$2="実績報告（１次）",BT34,
IF(BT$19&gt;=1,BT34,0))</f>
        <v>0</v>
      </c>
      <c r="BU7" s="674">
        <f xml:space="preserve">
IF(表紙!$X$2="実績報告（１次）",BU34,
IF(BU$19&gt;=1,BU34,0))</f>
        <v>0</v>
      </c>
      <c r="BV7" s="674">
        <f xml:space="preserve">
IF(表紙!$X$2="実績報告（１次）",BV34,
IF(BV$19&gt;=1,BV34,0))</f>
        <v>0</v>
      </c>
      <c r="BW7" s="674">
        <f xml:space="preserve">
IF(表紙!$X$2="実績報告（１次）",BW34,
IF(BW$19&gt;=1,BW34,0))</f>
        <v>0</v>
      </c>
      <c r="BX7" s="674">
        <f xml:space="preserve">
IF(表紙!$X$2="実績報告（１次）",BX34,
IF(BX$19&gt;=1,BX34,0))</f>
        <v>0</v>
      </c>
      <c r="BY7" s="674">
        <f xml:space="preserve">
IF(表紙!$X$2="実績報告（１次）",BY34,
IF(BY$19&gt;=1,BY34,0))</f>
        <v>0</v>
      </c>
      <c r="BZ7" s="674">
        <f xml:space="preserve">
IF(表紙!$X$2="実績報告（１次）",BZ34,
IF(BZ$19&gt;=1,BZ34,0))</f>
        <v>0</v>
      </c>
      <c r="CA7" s="674">
        <f xml:space="preserve">
IF(表紙!$X$2="実績報告（１次）",CA34,
IF(CA$19&gt;=1,CA34,0))</f>
        <v>0</v>
      </c>
      <c r="CB7" s="674">
        <f xml:space="preserve">
IF(表紙!$X$2="実績報告（１次）",CB34,
IF(CB$19&gt;=1,CB34,0))</f>
        <v>0</v>
      </c>
      <c r="CC7" s="674">
        <f xml:space="preserve">
IF(表紙!$X$2="実績報告（１次）",CC34,
IF(CC$19&gt;=1,CC34,0))</f>
        <v>0</v>
      </c>
      <c r="CD7" s="674">
        <f xml:space="preserve">
IF(表紙!$X$2="実績報告（１次）",CD34,
IF(CD$19&gt;=1,CD34,0))</f>
        <v>0</v>
      </c>
      <c r="CE7" s="674">
        <f xml:space="preserve">
IF(表紙!$X$2="実績報告（１次）",CE34,
IF(CE$19&gt;=1,CE34,0))</f>
        <v>0</v>
      </c>
      <c r="CF7" s="674">
        <f xml:space="preserve">
IF(表紙!$X$2="実績報告（１次）",CF34,
IF(CF$19&gt;=1,CF34,0))</f>
        <v>0</v>
      </c>
      <c r="CG7" s="674">
        <f xml:space="preserve">
IF(表紙!$X$2="実績報告（１次）",CG34,
IF(CG$19&gt;=1,CG34,0))</f>
        <v>0</v>
      </c>
      <c r="CH7" s="674">
        <f xml:space="preserve">
IF(表紙!$X$2="実績報告（１次）",CH34,
IF(CH$19&gt;=1,CH34,0))</f>
        <v>0</v>
      </c>
      <c r="CI7" s="674">
        <f xml:space="preserve">
IF(表紙!$X$2="実績報告（１次）",CI34,
IF(CI$19&gt;=1,CI34,0))</f>
        <v>0</v>
      </c>
      <c r="CJ7" s="674">
        <f xml:space="preserve">
IF(表紙!$X$2="実績報告（１次）",CJ34,
IF(CJ$19&gt;=1,CJ34,0))</f>
        <v>0</v>
      </c>
      <c r="CK7" s="674">
        <f xml:space="preserve">
IF(表紙!$X$2="実績報告（１次）",CK34,
IF(CK$19&gt;=1,CK34,0))</f>
        <v>0</v>
      </c>
      <c r="CL7" s="674">
        <f xml:space="preserve">
IF(表紙!$X$2="実績報告（１次）",CL34,
IF(CL$19&gt;=1,CL34,0))</f>
        <v>0</v>
      </c>
      <c r="CM7" s="674">
        <f xml:space="preserve">
IF(表紙!$X$2="実績報告（１次）",CM34,
IF(CM$19&gt;=1,CM34,0))</f>
        <v>0</v>
      </c>
      <c r="CN7" s="674">
        <f xml:space="preserve">
IF(表紙!$X$2="実績報告（１次）",CN34,
IF(CN$19&gt;=1,CN34,0))</f>
        <v>0</v>
      </c>
      <c r="CO7" s="674">
        <f xml:space="preserve">
IF(表紙!$X$2="実績報告（１次）",CO34,
IF(CO$19&gt;=1,CO34,0))</f>
        <v>0</v>
      </c>
      <c r="CP7" s="674">
        <f xml:space="preserve">
IF(表紙!$X$2="実績報告（１次）",CP34,
IF(CP$19&gt;=1,CP34,0))</f>
        <v>0</v>
      </c>
      <c r="CQ7" s="674">
        <f xml:space="preserve">
IF(表紙!$X$2="実績報告（１次）",CQ34,
IF(CQ$19&gt;=1,CQ34,0))</f>
        <v>0</v>
      </c>
      <c r="CR7" s="674">
        <f xml:space="preserve">
IF(表紙!$X$2="実績報告（１次）",CR34,
IF(CR$19&gt;=1,CR34,0))</f>
        <v>0</v>
      </c>
      <c r="CS7" s="674">
        <f xml:space="preserve">
IF(表紙!$X$2="実績報告（１次）",CS34,
IF(CS$19&gt;=1,CS34,0))</f>
        <v>0</v>
      </c>
      <c r="CT7" s="674">
        <f xml:space="preserve">
IF(表紙!$X$2="実績報告（１次）",CT34,
IF(CT$19&gt;=1,CT34,0))</f>
        <v>0</v>
      </c>
      <c r="CU7" s="674">
        <f xml:space="preserve">
IF(表紙!$X$2="実績報告（１次）",CU34,
IF(CU$19&gt;=1,CU34,0))</f>
        <v>0</v>
      </c>
      <c r="CV7" s="674">
        <f xml:space="preserve">
IF(表紙!$X$2="実績報告（１次）",CV34,
IF(CV$19&gt;=1,CV34,0))</f>
        <v>0</v>
      </c>
      <c r="CW7" s="674">
        <f xml:space="preserve">
IF(表紙!$X$2="実績報告（１次）",CW34,
IF(CW$19&gt;=1,CW34,0))</f>
        <v>0</v>
      </c>
      <c r="CX7" s="674">
        <f xml:space="preserve">
IF(表紙!$X$2="実績報告（１次）",CX34,
IF(CX$19&gt;=1,CX34,0))</f>
        <v>0</v>
      </c>
      <c r="CY7" s="674">
        <f xml:space="preserve">
IF(表紙!$X$2="実績報告（１次）",CY34,
IF(CY$19&gt;=1,CY34,0))</f>
        <v>0</v>
      </c>
      <c r="CZ7" s="674">
        <f xml:space="preserve">
IF(表紙!$X$2="実績報告（１次）",CZ34,
IF(CZ$19&gt;=1,CZ34,0))</f>
        <v>0</v>
      </c>
      <c r="DA7" s="674">
        <f xml:space="preserve">
IF(表紙!$X$2="実績報告（１次）",DA34,
IF(DA$19&gt;=1,DA34,0))</f>
        <v>0</v>
      </c>
      <c r="DB7" s="674">
        <f xml:space="preserve">
IF(表紙!$X$2="実績報告（１次）",DB34,
IF(DB$19&gt;=1,DB34,0))</f>
        <v>0</v>
      </c>
      <c r="DC7" s="674">
        <f xml:space="preserve">
IF(表紙!$X$2="実績報告（１次）",DC34,
IF(DC$19&gt;=1,DC34,0))</f>
        <v>0</v>
      </c>
      <c r="DD7" s="674">
        <f xml:space="preserve">
IF(表紙!$X$2="実績報告（１次）",DD34,
IF(DD$19&gt;=1,DD34,0))</f>
        <v>0</v>
      </c>
      <c r="DE7" s="674">
        <f xml:space="preserve">
IF(表紙!$X$2="実績報告（１次）",DE34,
IF(DE$19&gt;=1,DE34,0))</f>
        <v>0</v>
      </c>
      <c r="DF7" s="674">
        <f xml:space="preserve">
IF(表紙!$X$2="実績報告（１次）",DF34,
IF(DF$19&gt;=1,DF34,0))</f>
        <v>0</v>
      </c>
      <c r="DG7" s="674">
        <f xml:space="preserve">
IF(表紙!$X$2="実績報告（１次）",DG34,
IF(DG$19&gt;=1,DG34,0))</f>
        <v>0</v>
      </c>
      <c r="DH7" s="674">
        <f xml:space="preserve">
IF(表紙!$X$2="実績報告（１次）",DH34,
IF(DH$19&gt;=1,DH34,0))</f>
        <v>0</v>
      </c>
      <c r="DI7" s="674">
        <f xml:space="preserve">
IF(表紙!$X$2="実績報告（１次）",DI34,
IF(DI$19&gt;=1,DI34,0))</f>
        <v>0</v>
      </c>
      <c r="DJ7" s="674">
        <f xml:space="preserve">
IF(表紙!$X$2="実績報告（１次）",DJ34,
IF(DJ$19&gt;=1,DJ34,0))</f>
        <v>0</v>
      </c>
      <c r="DK7" s="674">
        <f xml:space="preserve">
IF(表紙!$X$2="実績報告（１次）",DK34,
IF(DK$19&gt;=1,DK34,0))</f>
        <v>0</v>
      </c>
      <c r="DL7" s="674">
        <f xml:space="preserve">
IF(表紙!$X$2="実績報告（１次）",DL34,
IF(DL$19&gt;=1,DL34,0))</f>
        <v>0</v>
      </c>
      <c r="DM7" s="674">
        <f xml:space="preserve">
IF(表紙!$X$2="実績報告（１次）",DM34,
IF(DM$19&gt;=1,DM34,0))</f>
        <v>0</v>
      </c>
      <c r="DN7" s="674">
        <f xml:space="preserve">
IF(表紙!$X$2="実績報告（１次）",DN34,
IF(DN$19&gt;=1,DN34,0))</f>
        <v>0</v>
      </c>
      <c r="DO7" s="674">
        <f xml:space="preserve">
IF(表紙!$X$2="実績報告（１次）",DO34,
IF(DO$19&gt;=1,DO34,0))</f>
        <v>0</v>
      </c>
      <c r="DP7" s="674">
        <f xml:space="preserve">
IF(表紙!$X$2="実績報告（１次）",DP34,
IF(DP$19&gt;=1,DP34,0))</f>
        <v>0</v>
      </c>
      <c r="DQ7" s="674">
        <f xml:space="preserve">
IF(表紙!$X$2="実績報告（１次）",DQ34,
IF(DQ$19&gt;=1,DQ34,0))</f>
        <v>0</v>
      </c>
      <c r="DR7" s="674">
        <f xml:space="preserve">
IF(表紙!$X$2="実績報告（１次）",DR34,
IF(DR$19&gt;=1,DR34,0))</f>
        <v>0</v>
      </c>
      <c r="DS7" s="674">
        <f xml:space="preserve">
IF(表紙!$X$2="実績報告（１次）",DS34,
IF(DS$19&gt;=1,DS34,0))</f>
        <v>0</v>
      </c>
      <c r="DT7" s="674">
        <f xml:space="preserve">
IF(表紙!$X$2="実績報告（１次）",DT34,
IF(DT$19&gt;=1,DT34,0))</f>
        <v>0</v>
      </c>
      <c r="DU7" s="674">
        <f xml:space="preserve">
IF(表紙!$X$2="実績報告（１次）",DU34,
IF(DU$19&gt;=1,DU34,0))</f>
        <v>0</v>
      </c>
      <c r="DV7" s="674">
        <f xml:space="preserve">
IF(表紙!$X$2="実績報告（１次）",DV34,
IF(DV$19&gt;=1,DV34,0))</f>
        <v>0</v>
      </c>
      <c r="DW7" s="674">
        <f xml:space="preserve">
IF(表紙!$X$2="実績報告（１次）",DW34,
IF(DW$19&gt;=1,DW34,0))</f>
        <v>0</v>
      </c>
      <c r="DX7" s="674">
        <f xml:space="preserve">
IF(表紙!$X$2="実績報告（１次）",DX34,
IF(DX$19&gt;=1,DX34,0))</f>
        <v>0</v>
      </c>
      <c r="DY7" s="674">
        <f xml:space="preserve">
IF(表紙!$X$2="実績報告（１次）",DY34,
IF(DY$19&gt;=1,DY34,0))</f>
        <v>0</v>
      </c>
      <c r="DZ7" s="674">
        <f xml:space="preserve">
IF(表紙!$X$2="実績報告（１次）",DZ34,
IF(DZ$19&gt;=1,DZ34,0))</f>
        <v>0</v>
      </c>
      <c r="EA7" s="674">
        <f xml:space="preserve">
IF(表紙!$X$2="実績報告（１次）",EA34,
IF(EA$19&gt;=1,EA34,0))</f>
        <v>0</v>
      </c>
      <c r="EB7" s="674">
        <f xml:space="preserve">
IF(表紙!$X$2="実績報告（１次）",EB34,
IF(EB$19&gt;=1,EB34,0))</f>
        <v>0</v>
      </c>
      <c r="EC7" s="674">
        <f xml:space="preserve">
IF(表紙!$X$2="実績報告（１次）",EC34,
IF(EC$19&gt;=1,EC34,0))</f>
        <v>0</v>
      </c>
      <c r="ED7" s="674">
        <f xml:space="preserve">
IF(表紙!$X$2="実績報告（１次）",ED34,
IF(ED$19&gt;=1,ED34,0))</f>
        <v>0</v>
      </c>
      <c r="EE7" s="674">
        <f xml:space="preserve">
IF(表紙!$X$2="実績報告（１次）",EE34,
IF(EE$19&gt;=1,EE34,0))</f>
        <v>0</v>
      </c>
      <c r="EF7" s="674">
        <f xml:space="preserve">
IF(表紙!$X$2="実績報告（１次）",EF34,
IF(EF$19&gt;=1,EF34,0))</f>
        <v>0</v>
      </c>
      <c r="EG7" s="674">
        <f xml:space="preserve">
IF(表紙!$X$2="実績報告（１次）",EG34,
IF(EG$19&gt;=1,EG34,0))</f>
        <v>0</v>
      </c>
      <c r="EH7" s="674">
        <f xml:space="preserve">
IF(表紙!$X$2="実績報告（１次）",EH34,
IF(EH$19&gt;=1,EH34,0))</f>
        <v>0</v>
      </c>
      <c r="EI7" s="674">
        <f xml:space="preserve">
IF(表紙!$X$2="実績報告（１次）",EI34,
IF(EI$19&gt;=1,EI34,0))</f>
        <v>0</v>
      </c>
      <c r="EJ7" s="674">
        <f xml:space="preserve">
IF(表紙!$X$2="実績報告（１次）",EJ34,
IF(EJ$19&gt;=1,EJ34,0))</f>
        <v>0</v>
      </c>
      <c r="EK7" s="674">
        <f xml:space="preserve">
IF(表紙!$X$2="実績報告（１次）",EK34,
IF(EK$19&gt;=1,EK34,0))</f>
        <v>0</v>
      </c>
      <c r="EL7" s="674">
        <f xml:space="preserve">
IF(表紙!$X$2="実績報告（１次）",EL34,
IF(EL$19&gt;=1,EL34,0))</f>
        <v>0</v>
      </c>
      <c r="EM7" s="674">
        <f xml:space="preserve">
IF(表紙!$X$2="実績報告（１次）",EM34,
IF(EM$19&gt;=1,EM34,0))</f>
        <v>0</v>
      </c>
      <c r="EN7" s="674">
        <f xml:space="preserve">
IF(表紙!$X$2="実績報告（１次）",EN34,
IF(EN$19&gt;=1,EN34,0))</f>
        <v>0</v>
      </c>
      <c r="EO7" s="674">
        <f xml:space="preserve">
IF(表紙!$X$2="実績報告（１次）",EO34,
IF(EO$19&gt;=1,EO34,0))</f>
        <v>0</v>
      </c>
      <c r="EP7" s="674">
        <f xml:space="preserve">
IF(表紙!$X$2="実績報告（１次）",EP34,
IF(EP$19&gt;=1,EP34,0))</f>
        <v>0</v>
      </c>
      <c r="EQ7" s="674">
        <f xml:space="preserve">
IF(表紙!$X$2="実績報告（１次）",EQ34,
IF(EQ$19&gt;=1,EQ34,0))</f>
        <v>0</v>
      </c>
      <c r="ER7" s="674">
        <f xml:space="preserve">
IF(表紙!$X$2="実績報告（１次）",ER34,
IF(ER$19&gt;=1,ER34,0))</f>
        <v>0</v>
      </c>
      <c r="ES7" s="674">
        <f xml:space="preserve">
IF(表紙!$X$2="実績報告（１次）",ES34,
IF(ES$19&gt;=1,ES34,0))</f>
        <v>0</v>
      </c>
      <c r="ET7" s="674">
        <f xml:space="preserve">
IF(表紙!$X$2="実績報告（１次）",ET34,
IF(ET$19&gt;=1,ET34,0))</f>
        <v>0</v>
      </c>
      <c r="EU7" s="674">
        <f xml:space="preserve">
IF(表紙!$X$2="実績報告（１次）",EU34,
IF(EU$19&gt;=1,EU34,0))</f>
        <v>0</v>
      </c>
      <c r="EV7" s="674">
        <f xml:space="preserve">
IF(表紙!$X$2="実績報告（１次）",EV34,
IF(EV$19&gt;=1,EV34,0))</f>
        <v>0</v>
      </c>
      <c r="EW7" s="674">
        <f xml:space="preserve">
IF(表紙!$X$2="実績報告（１次）",EW34,
IF(EW$19&gt;=1,EW34,0))</f>
        <v>0</v>
      </c>
      <c r="EX7" s="674">
        <f xml:space="preserve">
IF(表紙!$X$2="実績報告（１次）",EX34,
IF(EX$19&gt;=1,EX34,0))</f>
        <v>0</v>
      </c>
      <c r="EY7" s="674">
        <f xml:space="preserve">
IF(表紙!$X$2="実績報告（１次）",EY34,
IF(EY$19&gt;=1,EY34,0))</f>
        <v>0</v>
      </c>
      <c r="EZ7" s="674">
        <f xml:space="preserve">
IF(表紙!$X$2="実績報告（１次）",EZ34,
IF(EZ$19&gt;=1,EZ34,0))</f>
        <v>0</v>
      </c>
      <c r="FA7" s="674">
        <f xml:space="preserve">
IF(表紙!$X$2="実績報告（１次）",FA34,
IF(FA$19&gt;=1,FA34,0))</f>
        <v>0</v>
      </c>
      <c r="FB7" s="674">
        <f xml:space="preserve">
IF(表紙!$X$2="実績報告（１次）",FB34,
IF(FB$19&gt;=1,FB34,0))</f>
        <v>0</v>
      </c>
      <c r="FC7" s="674">
        <f xml:space="preserve">
IF(表紙!$X$2="実績報告（１次）",FC34,
IF(FC$19&gt;=1,FC34,0))</f>
        <v>0</v>
      </c>
      <c r="FD7" s="674">
        <f xml:space="preserve">
IF(表紙!$X$2="実績報告（１次）",FD34,
IF(FD$19&gt;=1,FD34,0))</f>
        <v>0</v>
      </c>
      <c r="FE7" s="674">
        <f xml:space="preserve">
IF(表紙!$X$2="実績報告（１次）",FE34,
IF(FE$19&gt;=1,FE34,0))</f>
        <v>0</v>
      </c>
      <c r="FF7" s="674">
        <f xml:space="preserve">
IF(表紙!$X$2="実績報告（１次）",FF34,
IF(FF$19&gt;=1,FF34,0))</f>
        <v>0</v>
      </c>
      <c r="FG7" s="674">
        <f xml:space="preserve">
IF(表紙!$X$2="実績報告（１次）",FG34,
IF(FG$19&gt;=1,FG34,0))</f>
        <v>0</v>
      </c>
      <c r="FH7" s="674">
        <f xml:space="preserve">
IF(表紙!$X$2="実績報告（１次）",FH34,
IF(FH$19&gt;=1,FH34,0))</f>
        <v>0</v>
      </c>
      <c r="FI7" s="674">
        <f xml:space="preserve">
IF(表紙!$X$2="実績報告（１次）",FI34,
IF(FI$19&gt;=1,FI34,0))</f>
        <v>0</v>
      </c>
      <c r="FJ7" s="674">
        <f xml:space="preserve">
IF(表紙!$X$2="実績報告（１次）",FJ34,
IF(FJ$19&gt;=1,FJ34,0))</f>
        <v>0</v>
      </c>
      <c r="FK7" s="674">
        <f xml:space="preserve">
IF(表紙!$X$2="実績報告（１次）",FK34,
IF(FK$19&gt;=1,FK34,0))</f>
        <v>0</v>
      </c>
      <c r="FL7" s="674">
        <f xml:space="preserve">
IF(表紙!$X$2="実績報告（１次）",FL34,
IF(FL$19&gt;=1,FL34,0))</f>
        <v>0</v>
      </c>
      <c r="FM7" s="674">
        <f xml:space="preserve">
IF(表紙!$X$2="実績報告（１次）",FM34,
IF(FM$19&gt;=1,FM34,0))</f>
        <v>0</v>
      </c>
      <c r="FN7" s="674">
        <f xml:space="preserve">
IF(表紙!$X$2="実績報告（１次）",FN34,
IF(FN$19&gt;=1,FN34,0))</f>
        <v>0</v>
      </c>
      <c r="FO7" s="674">
        <f xml:space="preserve">
IF(表紙!$X$2="実績報告（１次）",FO34,
IF(FO$19&gt;=1,FO34,0))</f>
        <v>0</v>
      </c>
      <c r="FP7" s="674">
        <f xml:space="preserve">
IF(表紙!$X$2="実績報告（１次）",FP34,
IF(FP$19&gt;=1,FP34,0))</f>
        <v>0</v>
      </c>
      <c r="FQ7" s="674">
        <f xml:space="preserve">
IF(表紙!$X$2="実績報告（１次）",FQ34,
IF(FQ$19&gt;=1,FQ34,0))</f>
        <v>0</v>
      </c>
      <c r="FR7" s="674">
        <f xml:space="preserve">
IF(表紙!$X$2="実績報告（１次）",FR34,
IF(FR$19&gt;=1,FR34,0))</f>
        <v>0</v>
      </c>
      <c r="FS7" s="674">
        <f xml:space="preserve">
IF(表紙!$X$2="実績報告（１次）",FS34,
IF(FS$19&gt;=1,FS34,0))</f>
        <v>0</v>
      </c>
      <c r="FT7" s="674">
        <f xml:space="preserve">
IF(表紙!$X$2="実績報告（１次）",FT34,
IF(FT$19&gt;=1,FT34,0))</f>
        <v>0</v>
      </c>
      <c r="FU7" s="674">
        <f xml:space="preserve">
IF(表紙!$X$2="実績報告（１次）",FU34,
IF(FU$19&gt;=1,FU34,0))</f>
        <v>0</v>
      </c>
      <c r="FV7" s="674">
        <f xml:space="preserve">
IF(表紙!$X$2="実績報告（１次）",FV34,
IF(FV$19&gt;=1,FV34,0))</f>
        <v>0</v>
      </c>
      <c r="FW7" s="674">
        <f xml:space="preserve">
IF(表紙!$X$2="実績報告（１次）",FW34,
IF(FW$19&gt;=1,FW34,0))</f>
        <v>0</v>
      </c>
      <c r="FX7" s="674">
        <f xml:space="preserve">
IF(表紙!$X$2="実績報告（１次）",FX34,
IF(FX$19&gt;=1,FX34,0))</f>
        <v>0</v>
      </c>
      <c r="FY7" s="674">
        <f xml:space="preserve">
IF(表紙!$X$2="実績報告（１次）",FY34,
IF(FY$19&gt;=1,FY34,0))</f>
        <v>0</v>
      </c>
      <c r="FZ7" s="674">
        <f xml:space="preserve">
IF(表紙!$X$2="実績報告（１次）",FZ34,
IF(FZ$19&gt;=1,FZ34,0))</f>
        <v>0</v>
      </c>
      <c r="GA7" s="674">
        <f xml:space="preserve">
IF(表紙!$X$2="実績報告（１次）",GA34,
IF(GA$19&gt;=1,GA34,0))</f>
        <v>0</v>
      </c>
      <c r="GB7" s="674">
        <f xml:space="preserve">
IF(表紙!$X$2="実績報告（１次）",GB34,
IF(GB$19&gt;=1,GB34,0))</f>
        <v>0</v>
      </c>
      <c r="GC7" s="674">
        <f xml:space="preserve">
IF(表紙!$X$2="実績報告（１次）",GC34,
IF(GC$19&gt;=1,GC34,0))</f>
        <v>0</v>
      </c>
      <c r="GD7" s="674">
        <f xml:space="preserve">
IF(表紙!$X$2="実績報告（１次）",GD34,
IF(GD$19&gt;=1,GD34,0))</f>
        <v>0</v>
      </c>
      <c r="GE7" s="674">
        <f xml:space="preserve">
IF(表紙!$X$2="実績報告（１次）",GE34,
IF(GE$19&gt;=1,GE34,0))</f>
        <v>0</v>
      </c>
      <c r="GF7" s="674">
        <f xml:space="preserve">
IF(表紙!$X$2="実績報告（１次）",GF34,
IF(GF$19&gt;=1,GF34,0))</f>
        <v>0</v>
      </c>
      <c r="GG7" s="674">
        <f xml:space="preserve">
IF(表紙!$X$2="実績報告（１次）",GG34,
IF(GG$19&gt;=1,GG34,0))</f>
        <v>0</v>
      </c>
      <c r="GH7" s="674">
        <f xml:space="preserve">
IF(表紙!$X$2="実績報告（１次）",GH34,
IF(GH$19&gt;=1,GH34,0))</f>
        <v>0</v>
      </c>
      <c r="GI7" s="674">
        <f xml:space="preserve">
IF(表紙!$X$2="実績報告（１次）",GI34,
IF(GI$19&gt;=1,GI34,0))</f>
        <v>0</v>
      </c>
      <c r="GJ7" s="674">
        <f xml:space="preserve">
IF(表紙!$X$2="実績報告（１次）",GJ34,
IF(GJ$19&gt;=1,GJ34,0))</f>
        <v>0</v>
      </c>
    </row>
    <row r="8" spans="2:192" ht="9.75" customHeight="1">
      <c r="B8" s="618"/>
      <c r="C8" s="630" t="s">
        <v>1226</v>
      </c>
      <c r="D8" s="672">
        <f>基礎情報!V137</f>
        <v>0</v>
      </c>
      <c r="E8" s="1941">
        <f t="shared" si="3"/>
        <v>0</v>
      </c>
      <c r="F8" s="1942"/>
      <c r="G8" s="674">
        <f xml:space="preserve">
IF(表紙!$X$2="実績報告（１次）",G37,
IF(G$19&gt;=1,G37,0))</f>
        <v>0</v>
      </c>
      <c r="H8" s="674">
        <f xml:space="preserve">
IF(表紙!$X$2="実績報告（１次）",H37,
IF(H$19&gt;=1,H37,0))</f>
        <v>0</v>
      </c>
      <c r="I8" s="674">
        <f xml:space="preserve">
IF(表紙!$X$2="実績報告（１次）",I37,
IF(I$19&gt;=1,I37,0))</f>
        <v>0</v>
      </c>
      <c r="J8" s="674">
        <f xml:space="preserve">
IF(表紙!$X$2="実績報告（１次）",J37,
IF(J$19&gt;=1,J37,0))</f>
        <v>0</v>
      </c>
      <c r="K8" s="674">
        <f xml:space="preserve">
IF(表紙!$X$2="実績報告（１次）",K37,
IF(K$19&gt;=1,K37,0))</f>
        <v>0</v>
      </c>
      <c r="L8" s="674">
        <f xml:space="preserve">
IF(表紙!$X$2="実績報告（１次）",L37,
IF(L$19&gt;=1,L37,0))</f>
        <v>0</v>
      </c>
      <c r="M8" s="674">
        <f xml:space="preserve">
IF(表紙!$X$2="実績報告（１次）",M37,
IF(M$19&gt;=1,M37,0))</f>
        <v>0</v>
      </c>
      <c r="N8" s="674">
        <f xml:space="preserve">
IF(表紙!$X$2="実績報告（１次）",N37,
IF(N$19&gt;=1,N37,0))</f>
        <v>0</v>
      </c>
      <c r="O8" s="674">
        <f xml:space="preserve">
IF(表紙!$X$2="実績報告（１次）",O37,
IF(O$19&gt;=1,O37,0))</f>
        <v>0</v>
      </c>
      <c r="P8" s="674">
        <f xml:space="preserve">
IF(表紙!$X$2="実績報告（１次）",P37,
IF(P$19&gt;=1,P37,0))</f>
        <v>0</v>
      </c>
      <c r="Q8" s="674">
        <f xml:space="preserve">
IF(表紙!$X$2="実績報告（１次）",Q37,
IF(Q$19&gt;=1,Q37,0))</f>
        <v>0</v>
      </c>
      <c r="R8" s="674">
        <f xml:space="preserve">
IF(表紙!$X$2="実績報告（１次）",R37,
IF(R$19&gt;=1,R37,0))</f>
        <v>0</v>
      </c>
      <c r="S8" s="674">
        <f xml:space="preserve">
IF(表紙!$X$2="実績報告（１次）",S37,
IF(S$19&gt;=1,S37,0))</f>
        <v>0</v>
      </c>
      <c r="T8" s="674">
        <f xml:space="preserve">
IF(表紙!$X$2="実績報告（１次）",T37,
IF(T$19&gt;=1,T37,0))</f>
        <v>0</v>
      </c>
      <c r="U8" s="674">
        <f xml:space="preserve">
IF(表紙!$X$2="実績報告（１次）",U37,
IF(U$19&gt;=1,U37,0))</f>
        <v>0</v>
      </c>
      <c r="V8" s="674">
        <f xml:space="preserve">
IF(表紙!$X$2="実績報告（１次）",V37,
IF(V$19&gt;=1,V37,0))</f>
        <v>0</v>
      </c>
      <c r="W8" s="674">
        <f xml:space="preserve">
IF(表紙!$X$2="実績報告（１次）",W37,
IF(W$19&gt;=1,W37,0))</f>
        <v>0</v>
      </c>
      <c r="X8" s="674">
        <f xml:space="preserve">
IF(表紙!$X$2="実績報告（１次）",X37,
IF(X$19&gt;=1,X37,0))</f>
        <v>0</v>
      </c>
      <c r="Y8" s="674">
        <f xml:space="preserve">
IF(表紙!$X$2="実績報告（１次）",Y37,
IF(Y$19&gt;=1,Y37,0))</f>
        <v>0</v>
      </c>
      <c r="Z8" s="674">
        <f xml:space="preserve">
IF(表紙!$X$2="実績報告（１次）",Z37,
IF(Z$19&gt;=1,Z37,0))</f>
        <v>0</v>
      </c>
      <c r="AA8" s="674">
        <f xml:space="preserve">
IF(表紙!$X$2="実績報告（１次）",AA37,
IF(AA$19&gt;=1,AA37,0))</f>
        <v>0</v>
      </c>
      <c r="AB8" s="674">
        <f xml:space="preserve">
IF(表紙!$X$2="実績報告（１次）",AB37,
IF(AB$19&gt;=1,AB37,0))</f>
        <v>0</v>
      </c>
      <c r="AC8" s="674">
        <f xml:space="preserve">
IF(表紙!$X$2="実績報告（１次）",AC37,
IF(AC$19&gt;=1,AC37,0))</f>
        <v>0</v>
      </c>
      <c r="AD8" s="674">
        <f xml:space="preserve">
IF(表紙!$X$2="実績報告（１次）",AD37,
IF(AD$19&gt;=1,AD37,0))</f>
        <v>0</v>
      </c>
      <c r="AE8" s="674">
        <f xml:space="preserve">
IF(表紙!$X$2="実績報告（１次）",AE37,
IF(AE$19&gt;=1,AE37,0))</f>
        <v>0</v>
      </c>
      <c r="AF8" s="674">
        <f xml:space="preserve">
IF(表紙!$X$2="実績報告（１次）",AF37,
IF(AF$19&gt;=1,AF37,0))</f>
        <v>0</v>
      </c>
      <c r="AG8" s="674">
        <f xml:space="preserve">
IF(表紙!$X$2="実績報告（１次）",AG37,
IF(AG$19&gt;=1,AG37,0))</f>
        <v>0</v>
      </c>
      <c r="AH8" s="674">
        <f xml:space="preserve">
IF(表紙!$X$2="実績報告（１次）",AH37,
IF(AH$19&gt;=1,AH37,0))</f>
        <v>0</v>
      </c>
      <c r="AI8" s="674">
        <f xml:space="preserve">
IF(表紙!$X$2="実績報告（１次）",AI37,
IF(AI$19&gt;=1,AI37,0))</f>
        <v>0</v>
      </c>
      <c r="AJ8" s="674">
        <f xml:space="preserve">
IF(表紙!$X$2="実績報告（１次）",AJ37,
IF(AJ$19&gt;=1,AJ37,0))</f>
        <v>0</v>
      </c>
      <c r="AK8" s="674">
        <f xml:space="preserve">
IF(表紙!$X$2="実績報告（１次）",AK37,
IF(AK$19&gt;=1,AK37,0))</f>
        <v>0</v>
      </c>
      <c r="AL8" s="674">
        <f xml:space="preserve">
IF(表紙!$X$2="実績報告（１次）",AL37,
IF(AL$19&gt;=1,AL37,0))</f>
        <v>0</v>
      </c>
      <c r="AM8" s="674">
        <f xml:space="preserve">
IF(表紙!$X$2="実績報告（１次）",AM37,
IF(AM$19&gt;=1,AM37,0))</f>
        <v>0</v>
      </c>
      <c r="AN8" s="674">
        <f xml:space="preserve">
IF(表紙!$X$2="実績報告（１次）",AN37,
IF(AN$19&gt;=1,AN37,0))</f>
        <v>0</v>
      </c>
      <c r="AO8" s="674">
        <f xml:space="preserve">
IF(表紙!$X$2="実績報告（１次）",AO37,
IF(AO$19&gt;=1,AO37,0))</f>
        <v>0</v>
      </c>
      <c r="AP8" s="674">
        <f xml:space="preserve">
IF(表紙!$X$2="実績報告（１次）",AP37,
IF(AP$19&gt;=1,AP37,0))</f>
        <v>0</v>
      </c>
      <c r="AQ8" s="674">
        <f xml:space="preserve">
IF(表紙!$X$2="実績報告（１次）",AQ37,
IF(AQ$19&gt;=1,AQ37,0))</f>
        <v>0</v>
      </c>
      <c r="AR8" s="674">
        <f xml:space="preserve">
IF(表紙!$X$2="実績報告（１次）",AR37,
IF(AR$19&gt;=1,AR37,0))</f>
        <v>0</v>
      </c>
      <c r="AS8" s="674">
        <f xml:space="preserve">
IF(表紙!$X$2="実績報告（１次）",AS37,
IF(AS$19&gt;=1,AS37,0))</f>
        <v>0</v>
      </c>
      <c r="AT8" s="674">
        <f xml:space="preserve">
IF(表紙!$X$2="実績報告（１次）",AT37,
IF(AT$19&gt;=1,AT37,0))</f>
        <v>0</v>
      </c>
      <c r="AU8" s="674">
        <f xml:space="preserve">
IF(表紙!$X$2="実績報告（１次）",AU37,
IF(AU$19&gt;=1,AU37,0))</f>
        <v>0</v>
      </c>
      <c r="AV8" s="674">
        <f xml:space="preserve">
IF(表紙!$X$2="実績報告（１次）",AV37,
IF(AV$19&gt;=1,AV37,0))</f>
        <v>0</v>
      </c>
      <c r="AW8" s="674">
        <f xml:space="preserve">
IF(表紙!$X$2="実績報告（１次）",AW37,
IF(AW$19&gt;=1,AW37,0))</f>
        <v>0</v>
      </c>
      <c r="AX8" s="674">
        <f xml:space="preserve">
IF(表紙!$X$2="実績報告（１次）",AX37,
IF(AX$19&gt;=1,AX37,0))</f>
        <v>0</v>
      </c>
      <c r="AY8" s="674">
        <f xml:space="preserve">
IF(表紙!$X$2="実績報告（１次）",AY37,
IF(AY$19&gt;=1,AY37,0))</f>
        <v>0</v>
      </c>
      <c r="AZ8" s="674">
        <f xml:space="preserve">
IF(表紙!$X$2="実績報告（１次）",AZ37,
IF(AZ$19&gt;=1,AZ37,0))</f>
        <v>0</v>
      </c>
      <c r="BA8" s="674">
        <f xml:space="preserve">
IF(表紙!$X$2="実績報告（１次）",BA37,
IF(BA$19&gt;=1,BA37,0))</f>
        <v>0</v>
      </c>
      <c r="BB8" s="674">
        <f xml:space="preserve">
IF(表紙!$X$2="実績報告（１次）",BB37,
IF(BB$19&gt;=1,BB37,0))</f>
        <v>0</v>
      </c>
      <c r="BC8" s="674">
        <f xml:space="preserve">
IF(表紙!$X$2="実績報告（１次）",BC37,
IF(BC$19&gt;=1,BC37,0))</f>
        <v>0</v>
      </c>
      <c r="BD8" s="674">
        <f xml:space="preserve">
IF(表紙!$X$2="実績報告（１次）",BD37,
IF(BD$19&gt;=1,BD37,0))</f>
        <v>0</v>
      </c>
      <c r="BE8" s="674">
        <f xml:space="preserve">
IF(表紙!$X$2="実績報告（１次）",BE37,
IF(BE$19&gt;=1,BE37,0))</f>
        <v>0</v>
      </c>
      <c r="BF8" s="674">
        <f xml:space="preserve">
IF(表紙!$X$2="実績報告（１次）",BF37,
IF(BF$19&gt;=1,BF37,0))</f>
        <v>0</v>
      </c>
      <c r="BG8" s="674">
        <f xml:space="preserve">
IF(表紙!$X$2="実績報告（１次）",BG37,
IF(BG$19&gt;=1,BG37,0))</f>
        <v>0</v>
      </c>
      <c r="BH8" s="674">
        <f xml:space="preserve">
IF(表紙!$X$2="実績報告（１次）",BH37,
IF(BH$19&gt;=1,BH37,0))</f>
        <v>0</v>
      </c>
      <c r="BI8" s="674">
        <f xml:space="preserve">
IF(表紙!$X$2="実績報告（１次）",BI37,
IF(BI$19&gt;=1,BI37,0))</f>
        <v>0</v>
      </c>
      <c r="BJ8" s="674">
        <f xml:space="preserve">
IF(表紙!$X$2="実績報告（１次）",BJ37,
IF(BJ$19&gt;=1,BJ37,0))</f>
        <v>0</v>
      </c>
      <c r="BK8" s="674">
        <f xml:space="preserve">
IF(表紙!$X$2="実績報告（１次）",BK37,
IF(BK$19&gt;=1,BK37,0))</f>
        <v>0</v>
      </c>
      <c r="BL8" s="674">
        <f xml:space="preserve">
IF(表紙!$X$2="実績報告（１次）",BL37,
IF(BL$19&gt;=1,BL37,0))</f>
        <v>0</v>
      </c>
      <c r="BM8" s="674">
        <f xml:space="preserve">
IF(表紙!$X$2="実績報告（１次）",BM37,
IF(BM$19&gt;=1,BM37,0))</f>
        <v>0</v>
      </c>
      <c r="BN8" s="674">
        <f xml:space="preserve">
IF(表紙!$X$2="実績報告（１次）",BN37,
IF(BN$19&gt;=1,BN37,0))</f>
        <v>0</v>
      </c>
      <c r="BO8" s="674">
        <f xml:space="preserve">
IF(表紙!$X$2="実績報告（１次）",BO37,
IF(BO$19&gt;=1,BO37,0))</f>
        <v>0</v>
      </c>
      <c r="BP8" s="674">
        <f xml:space="preserve">
IF(表紙!$X$2="実績報告（１次）",BP37,
IF(BP$19&gt;=1,BP37,0))</f>
        <v>0</v>
      </c>
      <c r="BQ8" s="674">
        <f xml:space="preserve">
IF(表紙!$X$2="実績報告（１次）",BQ37,
IF(BQ$19&gt;=1,BQ37,0))</f>
        <v>0</v>
      </c>
      <c r="BR8" s="674">
        <f xml:space="preserve">
IF(表紙!$X$2="実績報告（１次）",BR37,
IF(BR$19&gt;=1,BR37,0))</f>
        <v>0</v>
      </c>
      <c r="BS8" s="674">
        <f xml:space="preserve">
IF(表紙!$X$2="実績報告（１次）",BS37,
IF(BS$19&gt;=1,BS37,0))</f>
        <v>0</v>
      </c>
      <c r="BT8" s="674">
        <f xml:space="preserve">
IF(表紙!$X$2="実績報告（１次）",BT37,
IF(BT$19&gt;=1,BT37,0))</f>
        <v>0</v>
      </c>
      <c r="BU8" s="674">
        <f xml:space="preserve">
IF(表紙!$X$2="実績報告（１次）",BU37,
IF(BU$19&gt;=1,BU37,0))</f>
        <v>0</v>
      </c>
      <c r="BV8" s="674">
        <f xml:space="preserve">
IF(表紙!$X$2="実績報告（１次）",BV37,
IF(BV$19&gt;=1,BV37,0))</f>
        <v>0</v>
      </c>
      <c r="BW8" s="674">
        <f xml:space="preserve">
IF(表紙!$X$2="実績報告（１次）",BW37,
IF(BW$19&gt;=1,BW37,0))</f>
        <v>0</v>
      </c>
      <c r="BX8" s="674">
        <f xml:space="preserve">
IF(表紙!$X$2="実績報告（１次）",BX37,
IF(BX$19&gt;=1,BX37,0))</f>
        <v>0</v>
      </c>
      <c r="BY8" s="674">
        <f xml:space="preserve">
IF(表紙!$X$2="実績報告（１次）",BY37,
IF(BY$19&gt;=1,BY37,0))</f>
        <v>0</v>
      </c>
      <c r="BZ8" s="674">
        <f xml:space="preserve">
IF(表紙!$X$2="実績報告（１次）",BZ37,
IF(BZ$19&gt;=1,BZ37,0))</f>
        <v>0</v>
      </c>
      <c r="CA8" s="674">
        <f xml:space="preserve">
IF(表紙!$X$2="実績報告（１次）",CA37,
IF(CA$19&gt;=1,CA37,0))</f>
        <v>0</v>
      </c>
      <c r="CB8" s="674">
        <f xml:space="preserve">
IF(表紙!$X$2="実績報告（１次）",CB37,
IF(CB$19&gt;=1,CB37,0))</f>
        <v>0</v>
      </c>
      <c r="CC8" s="674">
        <f xml:space="preserve">
IF(表紙!$X$2="実績報告（１次）",CC37,
IF(CC$19&gt;=1,CC37,0))</f>
        <v>0</v>
      </c>
      <c r="CD8" s="674">
        <f xml:space="preserve">
IF(表紙!$X$2="実績報告（１次）",CD37,
IF(CD$19&gt;=1,CD37,0))</f>
        <v>0</v>
      </c>
      <c r="CE8" s="674">
        <f xml:space="preserve">
IF(表紙!$X$2="実績報告（１次）",CE37,
IF(CE$19&gt;=1,CE37,0))</f>
        <v>0</v>
      </c>
      <c r="CF8" s="674">
        <f xml:space="preserve">
IF(表紙!$X$2="実績報告（１次）",CF37,
IF(CF$19&gt;=1,CF37,0))</f>
        <v>0</v>
      </c>
      <c r="CG8" s="674">
        <f xml:space="preserve">
IF(表紙!$X$2="実績報告（１次）",CG37,
IF(CG$19&gt;=1,CG37,0))</f>
        <v>0</v>
      </c>
      <c r="CH8" s="674">
        <f xml:space="preserve">
IF(表紙!$X$2="実績報告（１次）",CH37,
IF(CH$19&gt;=1,CH37,0))</f>
        <v>0</v>
      </c>
      <c r="CI8" s="674">
        <f xml:space="preserve">
IF(表紙!$X$2="実績報告（１次）",CI37,
IF(CI$19&gt;=1,CI37,0))</f>
        <v>0</v>
      </c>
      <c r="CJ8" s="674">
        <f xml:space="preserve">
IF(表紙!$X$2="実績報告（１次）",CJ37,
IF(CJ$19&gt;=1,CJ37,0))</f>
        <v>0</v>
      </c>
      <c r="CK8" s="674">
        <f xml:space="preserve">
IF(表紙!$X$2="実績報告（１次）",CK37,
IF(CK$19&gt;=1,CK37,0))</f>
        <v>0</v>
      </c>
      <c r="CL8" s="674">
        <f xml:space="preserve">
IF(表紙!$X$2="実績報告（１次）",CL37,
IF(CL$19&gt;=1,CL37,0))</f>
        <v>0</v>
      </c>
      <c r="CM8" s="674">
        <f xml:space="preserve">
IF(表紙!$X$2="実績報告（１次）",CM37,
IF(CM$19&gt;=1,CM37,0))</f>
        <v>0</v>
      </c>
      <c r="CN8" s="674">
        <f xml:space="preserve">
IF(表紙!$X$2="実績報告（１次）",CN37,
IF(CN$19&gt;=1,CN37,0))</f>
        <v>0</v>
      </c>
      <c r="CO8" s="674">
        <f xml:space="preserve">
IF(表紙!$X$2="実績報告（１次）",CO37,
IF(CO$19&gt;=1,CO37,0))</f>
        <v>0</v>
      </c>
      <c r="CP8" s="674">
        <f xml:space="preserve">
IF(表紙!$X$2="実績報告（１次）",CP37,
IF(CP$19&gt;=1,CP37,0))</f>
        <v>0</v>
      </c>
      <c r="CQ8" s="674">
        <f xml:space="preserve">
IF(表紙!$X$2="実績報告（１次）",CQ37,
IF(CQ$19&gt;=1,CQ37,0))</f>
        <v>0</v>
      </c>
      <c r="CR8" s="674">
        <f xml:space="preserve">
IF(表紙!$X$2="実績報告（１次）",CR37,
IF(CR$19&gt;=1,CR37,0))</f>
        <v>0</v>
      </c>
      <c r="CS8" s="674">
        <f xml:space="preserve">
IF(表紙!$X$2="実績報告（１次）",CS37,
IF(CS$19&gt;=1,CS37,0))</f>
        <v>0</v>
      </c>
      <c r="CT8" s="674">
        <f xml:space="preserve">
IF(表紙!$X$2="実績報告（１次）",CT37,
IF(CT$19&gt;=1,CT37,0))</f>
        <v>0</v>
      </c>
      <c r="CU8" s="674">
        <f xml:space="preserve">
IF(表紙!$X$2="実績報告（１次）",CU37,
IF(CU$19&gt;=1,CU37,0))</f>
        <v>0</v>
      </c>
      <c r="CV8" s="674">
        <f xml:space="preserve">
IF(表紙!$X$2="実績報告（１次）",CV37,
IF(CV$19&gt;=1,CV37,0))</f>
        <v>0</v>
      </c>
      <c r="CW8" s="674">
        <f xml:space="preserve">
IF(表紙!$X$2="実績報告（１次）",CW37,
IF(CW$19&gt;=1,CW37,0))</f>
        <v>0</v>
      </c>
      <c r="CX8" s="674">
        <f xml:space="preserve">
IF(表紙!$X$2="実績報告（１次）",CX37,
IF(CX$19&gt;=1,CX37,0))</f>
        <v>0</v>
      </c>
      <c r="CY8" s="674">
        <f xml:space="preserve">
IF(表紙!$X$2="実績報告（１次）",CY37,
IF(CY$19&gt;=1,CY37,0))</f>
        <v>0</v>
      </c>
      <c r="CZ8" s="674">
        <f xml:space="preserve">
IF(表紙!$X$2="実績報告（１次）",CZ37,
IF(CZ$19&gt;=1,CZ37,0))</f>
        <v>0</v>
      </c>
      <c r="DA8" s="674">
        <f xml:space="preserve">
IF(表紙!$X$2="実績報告（１次）",DA37,
IF(DA$19&gt;=1,DA37,0))</f>
        <v>0</v>
      </c>
      <c r="DB8" s="674">
        <f xml:space="preserve">
IF(表紙!$X$2="実績報告（１次）",DB37,
IF(DB$19&gt;=1,DB37,0))</f>
        <v>0</v>
      </c>
      <c r="DC8" s="674">
        <f xml:space="preserve">
IF(表紙!$X$2="実績報告（１次）",DC37,
IF(DC$19&gt;=1,DC37,0))</f>
        <v>0</v>
      </c>
      <c r="DD8" s="674">
        <f xml:space="preserve">
IF(表紙!$X$2="実績報告（１次）",DD37,
IF(DD$19&gt;=1,DD37,0))</f>
        <v>0</v>
      </c>
      <c r="DE8" s="674">
        <f xml:space="preserve">
IF(表紙!$X$2="実績報告（１次）",DE37,
IF(DE$19&gt;=1,DE37,0))</f>
        <v>0</v>
      </c>
      <c r="DF8" s="674">
        <f xml:space="preserve">
IF(表紙!$X$2="実績報告（１次）",DF37,
IF(DF$19&gt;=1,DF37,0))</f>
        <v>0</v>
      </c>
      <c r="DG8" s="674">
        <f xml:space="preserve">
IF(表紙!$X$2="実績報告（１次）",DG37,
IF(DG$19&gt;=1,DG37,0))</f>
        <v>0</v>
      </c>
      <c r="DH8" s="674">
        <f xml:space="preserve">
IF(表紙!$X$2="実績報告（１次）",DH37,
IF(DH$19&gt;=1,DH37,0))</f>
        <v>0</v>
      </c>
      <c r="DI8" s="674">
        <f xml:space="preserve">
IF(表紙!$X$2="実績報告（１次）",DI37,
IF(DI$19&gt;=1,DI37,0))</f>
        <v>0</v>
      </c>
      <c r="DJ8" s="674">
        <f xml:space="preserve">
IF(表紙!$X$2="実績報告（１次）",DJ37,
IF(DJ$19&gt;=1,DJ37,0))</f>
        <v>0</v>
      </c>
      <c r="DK8" s="674">
        <f xml:space="preserve">
IF(表紙!$X$2="実績報告（１次）",DK37,
IF(DK$19&gt;=1,DK37,0))</f>
        <v>0</v>
      </c>
      <c r="DL8" s="674">
        <f xml:space="preserve">
IF(表紙!$X$2="実績報告（１次）",DL37,
IF(DL$19&gt;=1,DL37,0))</f>
        <v>0</v>
      </c>
      <c r="DM8" s="674">
        <f xml:space="preserve">
IF(表紙!$X$2="実績報告（１次）",DM37,
IF(DM$19&gt;=1,DM37,0))</f>
        <v>0</v>
      </c>
      <c r="DN8" s="674">
        <f xml:space="preserve">
IF(表紙!$X$2="実績報告（１次）",DN37,
IF(DN$19&gt;=1,DN37,0))</f>
        <v>0</v>
      </c>
      <c r="DO8" s="674">
        <f xml:space="preserve">
IF(表紙!$X$2="実績報告（１次）",DO37,
IF(DO$19&gt;=1,DO37,0))</f>
        <v>0</v>
      </c>
      <c r="DP8" s="674">
        <f xml:space="preserve">
IF(表紙!$X$2="実績報告（１次）",DP37,
IF(DP$19&gt;=1,DP37,0))</f>
        <v>0</v>
      </c>
      <c r="DQ8" s="674">
        <f xml:space="preserve">
IF(表紙!$X$2="実績報告（１次）",DQ37,
IF(DQ$19&gt;=1,DQ37,0))</f>
        <v>0</v>
      </c>
      <c r="DR8" s="674">
        <f xml:space="preserve">
IF(表紙!$X$2="実績報告（１次）",DR37,
IF(DR$19&gt;=1,DR37,0))</f>
        <v>0</v>
      </c>
      <c r="DS8" s="674">
        <f xml:space="preserve">
IF(表紙!$X$2="実績報告（１次）",DS37,
IF(DS$19&gt;=1,DS37,0))</f>
        <v>0</v>
      </c>
      <c r="DT8" s="674">
        <f xml:space="preserve">
IF(表紙!$X$2="実績報告（１次）",DT37,
IF(DT$19&gt;=1,DT37,0))</f>
        <v>0</v>
      </c>
      <c r="DU8" s="674">
        <f xml:space="preserve">
IF(表紙!$X$2="実績報告（１次）",DU37,
IF(DU$19&gt;=1,DU37,0))</f>
        <v>0</v>
      </c>
      <c r="DV8" s="674">
        <f xml:space="preserve">
IF(表紙!$X$2="実績報告（１次）",DV37,
IF(DV$19&gt;=1,DV37,0))</f>
        <v>0</v>
      </c>
      <c r="DW8" s="674">
        <f xml:space="preserve">
IF(表紙!$X$2="実績報告（１次）",DW37,
IF(DW$19&gt;=1,DW37,0))</f>
        <v>0</v>
      </c>
      <c r="DX8" s="674">
        <f xml:space="preserve">
IF(表紙!$X$2="実績報告（１次）",DX37,
IF(DX$19&gt;=1,DX37,0))</f>
        <v>0</v>
      </c>
      <c r="DY8" s="674">
        <f xml:space="preserve">
IF(表紙!$X$2="実績報告（１次）",DY37,
IF(DY$19&gt;=1,DY37,0))</f>
        <v>0</v>
      </c>
      <c r="DZ8" s="674">
        <f xml:space="preserve">
IF(表紙!$X$2="実績報告（１次）",DZ37,
IF(DZ$19&gt;=1,DZ37,0))</f>
        <v>0</v>
      </c>
      <c r="EA8" s="674">
        <f xml:space="preserve">
IF(表紙!$X$2="実績報告（１次）",EA37,
IF(EA$19&gt;=1,EA37,0))</f>
        <v>0</v>
      </c>
      <c r="EB8" s="674">
        <f xml:space="preserve">
IF(表紙!$X$2="実績報告（１次）",EB37,
IF(EB$19&gt;=1,EB37,0))</f>
        <v>0</v>
      </c>
      <c r="EC8" s="674">
        <f xml:space="preserve">
IF(表紙!$X$2="実績報告（１次）",EC37,
IF(EC$19&gt;=1,EC37,0))</f>
        <v>0</v>
      </c>
      <c r="ED8" s="674">
        <f xml:space="preserve">
IF(表紙!$X$2="実績報告（１次）",ED37,
IF(ED$19&gt;=1,ED37,0))</f>
        <v>0</v>
      </c>
      <c r="EE8" s="674">
        <f xml:space="preserve">
IF(表紙!$X$2="実績報告（１次）",EE37,
IF(EE$19&gt;=1,EE37,0))</f>
        <v>0</v>
      </c>
      <c r="EF8" s="674">
        <f xml:space="preserve">
IF(表紙!$X$2="実績報告（１次）",EF37,
IF(EF$19&gt;=1,EF37,0))</f>
        <v>0</v>
      </c>
      <c r="EG8" s="674">
        <f xml:space="preserve">
IF(表紙!$X$2="実績報告（１次）",EG37,
IF(EG$19&gt;=1,EG37,0))</f>
        <v>0</v>
      </c>
      <c r="EH8" s="674">
        <f xml:space="preserve">
IF(表紙!$X$2="実績報告（１次）",EH37,
IF(EH$19&gt;=1,EH37,0))</f>
        <v>0</v>
      </c>
      <c r="EI8" s="674">
        <f xml:space="preserve">
IF(表紙!$X$2="実績報告（１次）",EI37,
IF(EI$19&gt;=1,EI37,0))</f>
        <v>0</v>
      </c>
      <c r="EJ8" s="674">
        <f xml:space="preserve">
IF(表紙!$X$2="実績報告（１次）",EJ37,
IF(EJ$19&gt;=1,EJ37,0))</f>
        <v>0</v>
      </c>
      <c r="EK8" s="674">
        <f xml:space="preserve">
IF(表紙!$X$2="実績報告（１次）",EK37,
IF(EK$19&gt;=1,EK37,0))</f>
        <v>0</v>
      </c>
      <c r="EL8" s="674">
        <f xml:space="preserve">
IF(表紙!$X$2="実績報告（１次）",EL37,
IF(EL$19&gt;=1,EL37,0))</f>
        <v>0</v>
      </c>
      <c r="EM8" s="674">
        <f xml:space="preserve">
IF(表紙!$X$2="実績報告（１次）",EM37,
IF(EM$19&gt;=1,EM37,0))</f>
        <v>0</v>
      </c>
      <c r="EN8" s="674">
        <f xml:space="preserve">
IF(表紙!$X$2="実績報告（１次）",EN37,
IF(EN$19&gt;=1,EN37,0))</f>
        <v>0</v>
      </c>
      <c r="EO8" s="674">
        <f xml:space="preserve">
IF(表紙!$X$2="実績報告（１次）",EO37,
IF(EO$19&gt;=1,EO37,0))</f>
        <v>0</v>
      </c>
      <c r="EP8" s="674">
        <f xml:space="preserve">
IF(表紙!$X$2="実績報告（１次）",EP37,
IF(EP$19&gt;=1,EP37,0))</f>
        <v>0</v>
      </c>
      <c r="EQ8" s="674">
        <f xml:space="preserve">
IF(表紙!$X$2="実績報告（１次）",EQ37,
IF(EQ$19&gt;=1,EQ37,0))</f>
        <v>0</v>
      </c>
      <c r="ER8" s="674">
        <f xml:space="preserve">
IF(表紙!$X$2="実績報告（１次）",ER37,
IF(ER$19&gt;=1,ER37,0))</f>
        <v>0</v>
      </c>
      <c r="ES8" s="674">
        <f xml:space="preserve">
IF(表紙!$X$2="実績報告（１次）",ES37,
IF(ES$19&gt;=1,ES37,0))</f>
        <v>0</v>
      </c>
      <c r="ET8" s="674">
        <f xml:space="preserve">
IF(表紙!$X$2="実績報告（１次）",ET37,
IF(ET$19&gt;=1,ET37,0))</f>
        <v>0</v>
      </c>
      <c r="EU8" s="674">
        <f xml:space="preserve">
IF(表紙!$X$2="実績報告（１次）",EU37,
IF(EU$19&gt;=1,EU37,0))</f>
        <v>0</v>
      </c>
      <c r="EV8" s="674">
        <f xml:space="preserve">
IF(表紙!$X$2="実績報告（１次）",EV37,
IF(EV$19&gt;=1,EV37,0))</f>
        <v>0</v>
      </c>
      <c r="EW8" s="674">
        <f xml:space="preserve">
IF(表紙!$X$2="実績報告（１次）",EW37,
IF(EW$19&gt;=1,EW37,0))</f>
        <v>0</v>
      </c>
      <c r="EX8" s="674">
        <f xml:space="preserve">
IF(表紙!$X$2="実績報告（１次）",EX37,
IF(EX$19&gt;=1,EX37,0))</f>
        <v>0</v>
      </c>
      <c r="EY8" s="674">
        <f xml:space="preserve">
IF(表紙!$X$2="実績報告（１次）",EY37,
IF(EY$19&gt;=1,EY37,0))</f>
        <v>0</v>
      </c>
      <c r="EZ8" s="674">
        <f xml:space="preserve">
IF(表紙!$X$2="実績報告（１次）",EZ37,
IF(EZ$19&gt;=1,EZ37,0))</f>
        <v>0</v>
      </c>
      <c r="FA8" s="674">
        <f xml:space="preserve">
IF(表紙!$X$2="実績報告（１次）",FA37,
IF(FA$19&gt;=1,FA37,0))</f>
        <v>0</v>
      </c>
      <c r="FB8" s="674">
        <f xml:space="preserve">
IF(表紙!$X$2="実績報告（１次）",FB37,
IF(FB$19&gt;=1,FB37,0))</f>
        <v>0</v>
      </c>
      <c r="FC8" s="674">
        <f xml:space="preserve">
IF(表紙!$X$2="実績報告（１次）",FC37,
IF(FC$19&gt;=1,FC37,0))</f>
        <v>0</v>
      </c>
      <c r="FD8" s="674">
        <f xml:space="preserve">
IF(表紙!$X$2="実績報告（１次）",FD37,
IF(FD$19&gt;=1,FD37,0))</f>
        <v>0</v>
      </c>
      <c r="FE8" s="674">
        <f xml:space="preserve">
IF(表紙!$X$2="実績報告（１次）",FE37,
IF(FE$19&gt;=1,FE37,0))</f>
        <v>0</v>
      </c>
      <c r="FF8" s="674">
        <f xml:space="preserve">
IF(表紙!$X$2="実績報告（１次）",FF37,
IF(FF$19&gt;=1,FF37,0))</f>
        <v>0</v>
      </c>
      <c r="FG8" s="674">
        <f xml:space="preserve">
IF(表紙!$X$2="実績報告（１次）",FG37,
IF(FG$19&gt;=1,FG37,0))</f>
        <v>0</v>
      </c>
      <c r="FH8" s="674">
        <f xml:space="preserve">
IF(表紙!$X$2="実績報告（１次）",FH37,
IF(FH$19&gt;=1,FH37,0))</f>
        <v>0</v>
      </c>
      <c r="FI8" s="674">
        <f xml:space="preserve">
IF(表紙!$X$2="実績報告（１次）",FI37,
IF(FI$19&gt;=1,FI37,0))</f>
        <v>0</v>
      </c>
      <c r="FJ8" s="674">
        <f xml:space="preserve">
IF(表紙!$X$2="実績報告（１次）",FJ37,
IF(FJ$19&gt;=1,FJ37,0))</f>
        <v>0</v>
      </c>
      <c r="FK8" s="674">
        <f xml:space="preserve">
IF(表紙!$X$2="実績報告（１次）",FK37,
IF(FK$19&gt;=1,FK37,0))</f>
        <v>0</v>
      </c>
      <c r="FL8" s="674">
        <f xml:space="preserve">
IF(表紙!$X$2="実績報告（１次）",FL37,
IF(FL$19&gt;=1,FL37,0))</f>
        <v>0</v>
      </c>
      <c r="FM8" s="674">
        <f xml:space="preserve">
IF(表紙!$X$2="実績報告（１次）",FM37,
IF(FM$19&gt;=1,FM37,0))</f>
        <v>0</v>
      </c>
      <c r="FN8" s="674">
        <f xml:space="preserve">
IF(表紙!$X$2="実績報告（１次）",FN37,
IF(FN$19&gt;=1,FN37,0))</f>
        <v>0</v>
      </c>
      <c r="FO8" s="674">
        <f xml:space="preserve">
IF(表紙!$X$2="実績報告（１次）",FO37,
IF(FO$19&gt;=1,FO37,0))</f>
        <v>0</v>
      </c>
      <c r="FP8" s="674">
        <f xml:space="preserve">
IF(表紙!$X$2="実績報告（１次）",FP37,
IF(FP$19&gt;=1,FP37,0))</f>
        <v>0</v>
      </c>
      <c r="FQ8" s="674">
        <f xml:space="preserve">
IF(表紙!$X$2="実績報告（１次）",FQ37,
IF(FQ$19&gt;=1,FQ37,0))</f>
        <v>0</v>
      </c>
      <c r="FR8" s="674">
        <f xml:space="preserve">
IF(表紙!$X$2="実績報告（１次）",FR37,
IF(FR$19&gt;=1,FR37,0))</f>
        <v>0</v>
      </c>
      <c r="FS8" s="674">
        <f xml:space="preserve">
IF(表紙!$X$2="実績報告（１次）",FS37,
IF(FS$19&gt;=1,FS37,0))</f>
        <v>0</v>
      </c>
      <c r="FT8" s="674">
        <f xml:space="preserve">
IF(表紙!$X$2="実績報告（１次）",FT37,
IF(FT$19&gt;=1,FT37,0))</f>
        <v>0</v>
      </c>
      <c r="FU8" s="674">
        <f xml:space="preserve">
IF(表紙!$X$2="実績報告（１次）",FU37,
IF(FU$19&gt;=1,FU37,0))</f>
        <v>0</v>
      </c>
      <c r="FV8" s="674">
        <f xml:space="preserve">
IF(表紙!$X$2="実績報告（１次）",FV37,
IF(FV$19&gt;=1,FV37,0))</f>
        <v>0</v>
      </c>
      <c r="FW8" s="674">
        <f xml:space="preserve">
IF(表紙!$X$2="実績報告（１次）",FW37,
IF(FW$19&gt;=1,FW37,0))</f>
        <v>0</v>
      </c>
      <c r="FX8" s="674">
        <f xml:space="preserve">
IF(表紙!$X$2="実績報告（１次）",FX37,
IF(FX$19&gt;=1,FX37,0))</f>
        <v>0</v>
      </c>
      <c r="FY8" s="674">
        <f xml:space="preserve">
IF(表紙!$X$2="実績報告（１次）",FY37,
IF(FY$19&gt;=1,FY37,0))</f>
        <v>0</v>
      </c>
      <c r="FZ8" s="674">
        <f xml:space="preserve">
IF(表紙!$X$2="実績報告（１次）",FZ37,
IF(FZ$19&gt;=1,FZ37,0))</f>
        <v>0</v>
      </c>
      <c r="GA8" s="674">
        <f xml:space="preserve">
IF(表紙!$X$2="実績報告（１次）",GA37,
IF(GA$19&gt;=1,GA37,0))</f>
        <v>0</v>
      </c>
      <c r="GB8" s="674">
        <f xml:space="preserve">
IF(表紙!$X$2="実績報告（１次）",GB37,
IF(GB$19&gt;=1,GB37,0))</f>
        <v>0</v>
      </c>
      <c r="GC8" s="674">
        <f xml:space="preserve">
IF(表紙!$X$2="実績報告（１次）",GC37,
IF(GC$19&gt;=1,GC37,0))</f>
        <v>0</v>
      </c>
      <c r="GD8" s="674">
        <f xml:space="preserve">
IF(表紙!$X$2="実績報告（１次）",GD37,
IF(GD$19&gt;=1,GD37,0))</f>
        <v>0</v>
      </c>
      <c r="GE8" s="674">
        <f xml:space="preserve">
IF(表紙!$X$2="実績報告（１次）",GE37,
IF(GE$19&gt;=1,GE37,0))</f>
        <v>0</v>
      </c>
      <c r="GF8" s="674">
        <f xml:space="preserve">
IF(表紙!$X$2="実績報告（１次）",GF37,
IF(GF$19&gt;=1,GF37,0))</f>
        <v>0</v>
      </c>
      <c r="GG8" s="674">
        <f xml:space="preserve">
IF(表紙!$X$2="実績報告（１次）",GG37,
IF(GG$19&gt;=1,GG37,0))</f>
        <v>0</v>
      </c>
      <c r="GH8" s="674">
        <f xml:space="preserve">
IF(表紙!$X$2="実績報告（１次）",GH37,
IF(GH$19&gt;=1,GH37,0))</f>
        <v>0</v>
      </c>
      <c r="GI8" s="674">
        <f xml:space="preserve">
IF(表紙!$X$2="実績報告（１次）",GI37,
IF(GI$19&gt;=1,GI37,0))</f>
        <v>0</v>
      </c>
      <c r="GJ8" s="674">
        <f xml:space="preserve">
IF(表紙!$X$2="実績報告（１次）",GJ37,
IF(GJ$19&gt;=1,GJ37,0))</f>
        <v>0</v>
      </c>
    </row>
    <row r="9" spans="2:192" ht="9.75" customHeight="1">
      <c r="B9" s="618"/>
      <c r="C9" s="630" t="s">
        <v>474</v>
      </c>
      <c r="D9" s="672">
        <f>基礎情報!V125</f>
        <v>0</v>
      </c>
      <c r="E9" s="1941">
        <f t="shared" si="3"/>
        <v>0</v>
      </c>
      <c r="F9" s="1942"/>
      <c r="G9" s="674">
        <f xml:space="preserve">
IF(表紙!$X$2="実績報告（１次）",G40,
IF(G$19&gt;=1,G40,0))</f>
        <v>0</v>
      </c>
      <c r="H9" s="674">
        <f xml:space="preserve">
IF(表紙!$X$2="実績報告（１次）",H40,
IF(H$19&gt;=1,H40,0))</f>
        <v>0</v>
      </c>
      <c r="I9" s="674">
        <f xml:space="preserve">
IF(表紙!$X$2="実績報告（１次）",I40,
IF(I$19&gt;=1,I40,0))</f>
        <v>0</v>
      </c>
      <c r="J9" s="674">
        <f xml:space="preserve">
IF(表紙!$X$2="実績報告（１次）",J40,
IF(J$19&gt;=1,J40,0))</f>
        <v>0</v>
      </c>
      <c r="K9" s="674">
        <f xml:space="preserve">
IF(表紙!$X$2="実績報告（１次）",K40,
IF(K$19&gt;=1,K40,0))</f>
        <v>0</v>
      </c>
      <c r="L9" s="674">
        <f xml:space="preserve">
IF(表紙!$X$2="実績報告（１次）",L40,
IF(L$19&gt;=1,L40,0))</f>
        <v>0</v>
      </c>
      <c r="M9" s="674">
        <f xml:space="preserve">
IF(表紙!$X$2="実績報告（１次）",M40,
IF(M$19&gt;=1,M40,0))</f>
        <v>0</v>
      </c>
      <c r="N9" s="674">
        <f xml:space="preserve">
IF(表紙!$X$2="実績報告（１次）",N40,
IF(N$19&gt;=1,N40,0))</f>
        <v>0</v>
      </c>
      <c r="O9" s="674">
        <f xml:space="preserve">
IF(表紙!$X$2="実績報告（１次）",O40,
IF(O$19&gt;=1,O40,0))</f>
        <v>0</v>
      </c>
      <c r="P9" s="674">
        <f xml:space="preserve">
IF(表紙!$X$2="実績報告（１次）",P40,
IF(P$19&gt;=1,P40,0))</f>
        <v>0</v>
      </c>
      <c r="Q9" s="674">
        <f xml:space="preserve">
IF(表紙!$X$2="実績報告（１次）",Q40,
IF(Q$19&gt;=1,Q40,0))</f>
        <v>0</v>
      </c>
      <c r="R9" s="674">
        <f xml:space="preserve">
IF(表紙!$X$2="実績報告（１次）",R40,
IF(R$19&gt;=1,R40,0))</f>
        <v>0</v>
      </c>
      <c r="S9" s="674">
        <f xml:space="preserve">
IF(表紙!$X$2="実績報告（１次）",S40,
IF(S$19&gt;=1,S40,0))</f>
        <v>0</v>
      </c>
      <c r="T9" s="674">
        <f xml:space="preserve">
IF(表紙!$X$2="実績報告（１次）",T40,
IF(T$19&gt;=1,T40,0))</f>
        <v>0</v>
      </c>
      <c r="U9" s="674">
        <f xml:space="preserve">
IF(表紙!$X$2="実績報告（１次）",U40,
IF(U$19&gt;=1,U40,0))</f>
        <v>0</v>
      </c>
      <c r="V9" s="674">
        <f xml:space="preserve">
IF(表紙!$X$2="実績報告（１次）",V40,
IF(V$19&gt;=1,V40,0))</f>
        <v>0</v>
      </c>
      <c r="W9" s="674">
        <f xml:space="preserve">
IF(表紙!$X$2="実績報告（１次）",W40,
IF(W$19&gt;=1,W40,0))</f>
        <v>0</v>
      </c>
      <c r="X9" s="674">
        <f xml:space="preserve">
IF(表紙!$X$2="実績報告（１次）",X40,
IF(X$19&gt;=1,X40,0))</f>
        <v>0</v>
      </c>
      <c r="Y9" s="674">
        <f xml:space="preserve">
IF(表紙!$X$2="実績報告（１次）",Y40,
IF(Y$19&gt;=1,Y40,0))</f>
        <v>0</v>
      </c>
      <c r="Z9" s="674">
        <f xml:space="preserve">
IF(表紙!$X$2="実績報告（１次）",Z40,
IF(Z$19&gt;=1,Z40,0))</f>
        <v>0</v>
      </c>
      <c r="AA9" s="674">
        <f xml:space="preserve">
IF(表紙!$X$2="実績報告（１次）",AA40,
IF(AA$19&gt;=1,AA40,0))</f>
        <v>0</v>
      </c>
      <c r="AB9" s="674">
        <f xml:space="preserve">
IF(表紙!$X$2="実績報告（１次）",AB40,
IF(AB$19&gt;=1,AB40,0))</f>
        <v>0</v>
      </c>
      <c r="AC9" s="674">
        <f xml:space="preserve">
IF(表紙!$X$2="実績報告（１次）",AC40,
IF(AC$19&gt;=1,AC40,0))</f>
        <v>0</v>
      </c>
      <c r="AD9" s="674">
        <f xml:space="preserve">
IF(表紙!$X$2="実績報告（１次）",AD40,
IF(AD$19&gt;=1,AD40,0))</f>
        <v>0</v>
      </c>
      <c r="AE9" s="674">
        <f xml:space="preserve">
IF(表紙!$X$2="実績報告（１次）",AE40,
IF(AE$19&gt;=1,AE40,0))</f>
        <v>0</v>
      </c>
      <c r="AF9" s="674">
        <f xml:space="preserve">
IF(表紙!$X$2="実績報告（１次）",AF40,
IF(AF$19&gt;=1,AF40,0))</f>
        <v>0</v>
      </c>
      <c r="AG9" s="674">
        <f xml:space="preserve">
IF(表紙!$X$2="実績報告（１次）",AG40,
IF(AG$19&gt;=1,AG40,0))</f>
        <v>0</v>
      </c>
      <c r="AH9" s="674">
        <f xml:space="preserve">
IF(表紙!$X$2="実績報告（１次）",AH40,
IF(AH$19&gt;=1,AH40,0))</f>
        <v>0</v>
      </c>
      <c r="AI9" s="674">
        <f xml:space="preserve">
IF(表紙!$X$2="実績報告（１次）",AI40,
IF(AI$19&gt;=1,AI40,0))</f>
        <v>0</v>
      </c>
      <c r="AJ9" s="674">
        <f xml:space="preserve">
IF(表紙!$X$2="実績報告（１次）",AJ40,
IF(AJ$19&gt;=1,AJ40,0))</f>
        <v>0</v>
      </c>
      <c r="AK9" s="674">
        <f xml:space="preserve">
IF(表紙!$X$2="実績報告（１次）",AK40,
IF(AK$19&gt;=1,AK40,0))</f>
        <v>0</v>
      </c>
      <c r="AL9" s="674">
        <f xml:space="preserve">
IF(表紙!$X$2="実績報告（１次）",AL40,
IF(AL$19&gt;=1,AL40,0))</f>
        <v>0</v>
      </c>
      <c r="AM9" s="674">
        <f xml:space="preserve">
IF(表紙!$X$2="実績報告（１次）",AM40,
IF(AM$19&gt;=1,AM40,0))</f>
        <v>0</v>
      </c>
      <c r="AN9" s="674">
        <f xml:space="preserve">
IF(表紙!$X$2="実績報告（１次）",AN40,
IF(AN$19&gt;=1,AN40,0))</f>
        <v>0</v>
      </c>
      <c r="AO9" s="674">
        <f xml:space="preserve">
IF(表紙!$X$2="実績報告（１次）",AO40,
IF(AO$19&gt;=1,AO40,0))</f>
        <v>0</v>
      </c>
      <c r="AP9" s="674">
        <f xml:space="preserve">
IF(表紙!$X$2="実績報告（１次）",AP40,
IF(AP$19&gt;=1,AP40,0))</f>
        <v>0</v>
      </c>
      <c r="AQ9" s="674">
        <f xml:space="preserve">
IF(表紙!$X$2="実績報告（１次）",AQ40,
IF(AQ$19&gt;=1,AQ40,0))</f>
        <v>0</v>
      </c>
      <c r="AR9" s="674">
        <f xml:space="preserve">
IF(表紙!$X$2="実績報告（１次）",AR40,
IF(AR$19&gt;=1,AR40,0))</f>
        <v>0</v>
      </c>
      <c r="AS9" s="674">
        <f xml:space="preserve">
IF(表紙!$X$2="実績報告（１次）",AS40,
IF(AS$19&gt;=1,AS40,0))</f>
        <v>0</v>
      </c>
      <c r="AT9" s="674">
        <f xml:space="preserve">
IF(表紙!$X$2="実績報告（１次）",AT40,
IF(AT$19&gt;=1,AT40,0))</f>
        <v>0</v>
      </c>
      <c r="AU9" s="674">
        <f xml:space="preserve">
IF(表紙!$X$2="実績報告（１次）",AU40,
IF(AU$19&gt;=1,AU40,0))</f>
        <v>0</v>
      </c>
      <c r="AV9" s="674">
        <f xml:space="preserve">
IF(表紙!$X$2="実績報告（１次）",AV40,
IF(AV$19&gt;=1,AV40,0))</f>
        <v>0</v>
      </c>
      <c r="AW9" s="674">
        <f xml:space="preserve">
IF(表紙!$X$2="実績報告（１次）",AW40,
IF(AW$19&gt;=1,AW40,0))</f>
        <v>0</v>
      </c>
      <c r="AX9" s="674">
        <f xml:space="preserve">
IF(表紙!$X$2="実績報告（１次）",AX40,
IF(AX$19&gt;=1,AX40,0))</f>
        <v>0</v>
      </c>
      <c r="AY9" s="674">
        <f xml:space="preserve">
IF(表紙!$X$2="実績報告（１次）",AY40,
IF(AY$19&gt;=1,AY40,0))</f>
        <v>0</v>
      </c>
      <c r="AZ9" s="674">
        <f xml:space="preserve">
IF(表紙!$X$2="実績報告（１次）",AZ40,
IF(AZ$19&gt;=1,AZ40,0))</f>
        <v>0</v>
      </c>
      <c r="BA9" s="674">
        <f xml:space="preserve">
IF(表紙!$X$2="実績報告（１次）",BA40,
IF(BA$19&gt;=1,BA40,0))</f>
        <v>0</v>
      </c>
      <c r="BB9" s="674">
        <f xml:space="preserve">
IF(表紙!$X$2="実績報告（１次）",BB40,
IF(BB$19&gt;=1,BB40,0))</f>
        <v>0</v>
      </c>
      <c r="BC9" s="674">
        <f xml:space="preserve">
IF(表紙!$X$2="実績報告（１次）",BC40,
IF(BC$19&gt;=1,BC40,0))</f>
        <v>0</v>
      </c>
      <c r="BD9" s="674">
        <f xml:space="preserve">
IF(表紙!$X$2="実績報告（１次）",BD40,
IF(BD$19&gt;=1,BD40,0))</f>
        <v>0</v>
      </c>
      <c r="BE9" s="674">
        <f xml:space="preserve">
IF(表紙!$X$2="実績報告（１次）",BE40,
IF(BE$19&gt;=1,BE40,0))</f>
        <v>0</v>
      </c>
      <c r="BF9" s="674">
        <f xml:space="preserve">
IF(表紙!$X$2="実績報告（１次）",BF40,
IF(BF$19&gt;=1,BF40,0))</f>
        <v>0</v>
      </c>
      <c r="BG9" s="674">
        <f xml:space="preserve">
IF(表紙!$X$2="実績報告（１次）",BG40,
IF(BG$19&gt;=1,BG40,0))</f>
        <v>0</v>
      </c>
      <c r="BH9" s="674">
        <f xml:space="preserve">
IF(表紙!$X$2="実績報告（１次）",BH40,
IF(BH$19&gt;=1,BH40,0))</f>
        <v>0</v>
      </c>
      <c r="BI9" s="674">
        <f xml:space="preserve">
IF(表紙!$X$2="実績報告（１次）",BI40,
IF(BI$19&gt;=1,BI40,0))</f>
        <v>0</v>
      </c>
      <c r="BJ9" s="674">
        <f xml:space="preserve">
IF(表紙!$X$2="実績報告（１次）",BJ40,
IF(BJ$19&gt;=1,BJ40,0))</f>
        <v>0</v>
      </c>
      <c r="BK9" s="674">
        <f xml:space="preserve">
IF(表紙!$X$2="実績報告（１次）",BK40,
IF(BK$19&gt;=1,BK40,0))</f>
        <v>0</v>
      </c>
      <c r="BL9" s="674">
        <f xml:space="preserve">
IF(表紙!$X$2="実績報告（１次）",BL40,
IF(BL$19&gt;=1,BL40,0))</f>
        <v>0</v>
      </c>
      <c r="BM9" s="674">
        <f xml:space="preserve">
IF(表紙!$X$2="実績報告（１次）",BM40,
IF(BM$19&gt;=1,BM40,0))</f>
        <v>0</v>
      </c>
      <c r="BN9" s="674">
        <f xml:space="preserve">
IF(表紙!$X$2="実績報告（１次）",BN40,
IF(BN$19&gt;=1,BN40,0))</f>
        <v>0</v>
      </c>
      <c r="BO9" s="674">
        <f xml:space="preserve">
IF(表紙!$X$2="実績報告（１次）",BO40,
IF(BO$19&gt;=1,BO40,0))</f>
        <v>0</v>
      </c>
      <c r="BP9" s="674">
        <f xml:space="preserve">
IF(表紙!$X$2="実績報告（１次）",BP40,
IF(BP$19&gt;=1,BP40,0))</f>
        <v>0</v>
      </c>
      <c r="BQ9" s="674">
        <f xml:space="preserve">
IF(表紙!$X$2="実績報告（１次）",BQ40,
IF(BQ$19&gt;=1,BQ40,0))</f>
        <v>0</v>
      </c>
      <c r="BR9" s="674">
        <f xml:space="preserve">
IF(表紙!$X$2="実績報告（１次）",BR40,
IF(BR$19&gt;=1,BR40,0))</f>
        <v>0</v>
      </c>
      <c r="BS9" s="674">
        <f xml:space="preserve">
IF(表紙!$X$2="実績報告（１次）",BS40,
IF(BS$19&gt;=1,BS40,0))</f>
        <v>0</v>
      </c>
      <c r="BT9" s="674">
        <f xml:space="preserve">
IF(表紙!$X$2="実績報告（１次）",BT40,
IF(BT$19&gt;=1,BT40,0))</f>
        <v>0</v>
      </c>
      <c r="BU9" s="674">
        <f xml:space="preserve">
IF(表紙!$X$2="実績報告（１次）",BU40,
IF(BU$19&gt;=1,BU40,0))</f>
        <v>0</v>
      </c>
      <c r="BV9" s="674">
        <f xml:space="preserve">
IF(表紙!$X$2="実績報告（１次）",BV40,
IF(BV$19&gt;=1,BV40,0))</f>
        <v>0</v>
      </c>
      <c r="BW9" s="674">
        <f xml:space="preserve">
IF(表紙!$X$2="実績報告（１次）",BW40,
IF(BW$19&gt;=1,BW40,0))</f>
        <v>0</v>
      </c>
      <c r="BX9" s="674">
        <f xml:space="preserve">
IF(表紙!$X$2="実績報告（１次）",BX40,
IF(BX$19&gt;=1,BX40,0))</f>
        <v>0</v>
      </c>
      <c r="BY9" s="674">
        <f xml:space="preserve">
IF(表紙!$X$2="実績報告（１次）",BY40,
IF(BY$19&gt;=1,BY40,0))</f>
        <v>0</v>
      </c>
      <c r="BZ9" s="674">
        <f xml:space="preserve">
IF(表紙!$X$2="実績報告（１次）",BZ40,
IF(BZ$19&gt;=1,BZ40,0))</f>
        <v>0</v>
      </c>
      <c r="CA9" s="674">
        <f xml:space="preserve">
IF(表紙!$X$2="実績報告（１次）",CA40,
IF(CA$19&gt;=1,CA40,0))</f>
        <v>0</v>
      </c>
      <c r="CB9" s="674">
        <f xml:space="preserve">
IF(表紙!$X$2="実績報告（１次）",CB40,
IF(CB$19&gt;=1,CB40,0))</f>
        <v>0</v>
      </c>
      <c r="CC9" s="674">
        <f xml:space="preserve">
IF(表紙!$X$2="実績報告（１次）",CC40,
IF(CC$19&gt;=1,CC40,0))</f>
        <v>0</v>
      </c>
      <c r="CD9" s="674">
        <f xml:space="preserve">
IF(表紙!$X$2="実績報告（１次）",CD40,
IF(CD$19&gt;=1,CD40,0))</f>
        <v>0</v>
      </c>
      <c r="CE9" s="674">
        <f xml:space="preserve">
IF(表紙!$X$2="実績報告（１次）",CE40,
IF(CE$19&gt;=1,CE40,0))</f>
        <v>0</v>
      </c>
      <c r="CF9" s="674">
        <f xml:space="preserve">
IF(表紙!$X$2="実績報告（１次）",CF40,
IF(CF$19&gt;=1,CF40,0))</f>
        <v>0</v>
      </c>
      <c r="CG9" s="674">
        <f xml:space="preserve">
IF(表紙!$X$2="実績報告（１次）",CG40,
IF(CG$19&gt;=1,CG40,0))</f>
        <v>0</v>
      </c>
      <c r="CH9" s="674">
        <f xml:space="preserve">
IF(表紙!$X$2="実績報告（１次）",CH40,
IF(CH$19&gt;=1,CH40,0))</f>
        <v>0</v>
      </c>
      <c r="CI9" s="674">
        <f xml:space="preserve">
IF(表紙!$X$2="実績報告（１次）",CI40,
IF(CI$19&gt;=1,CI40,0))</f>
        <v>0</v>
      </c>
      <c r="CJ9" s="674">
        <f xml:space="preserve">
IF(表紙!$X$2="実績報告（１次）",CJ40,
IF(CJ$19&gt;=1,CJ40,0))</f>
        <v>0</v>
      </c>
      <c r="CK9" s="674">
        <f xml:space="preserve">
IF(表紙!$X$2="実績報告（１次）",CK40,
IF(CK$19&gt;=1,CK40,0))</f>
        <v>0</v>
      </c>
      <c r="CL9" s="674">
        <f xml:space="preserve">
IF(表紙!$X$2="実績報告（１次）",CL40,
IF(CL$19&gt;=1,CL40,0))</f>
        <v>0</v>
      </c>
      <c r="CM9" s="674">
        <f xml:space="preserve">
IF(表紙!$X$2="実績報告（１次）",CM40,
IF(CM$19&gt;=1,CM40,0))</f>
        <v>0</v>
      </c>
      <c r="CN9" s="674">
        <f xml:space="preserve">
IF(表紙!$X$2="実績報告（１次）",CN40,
IF(CN$19&gt;=1,CN40,0))</f>
        <v>0</v>
      </c>
      <c r="CO9" s="674">
        <f xml:space="preserve">
IF(表紙!$X$2="実績報告（１次）",CO40,
IF(CO$19&gt;=1,CO40,0))</f>
        <v>0</v>
      </c>
      <c r="CP9" s="674">
        <f xml:space="preserve">
IF(表紙!$X$2="実績報告（１次）",CP40,
IF(CP$19&gt;=1,CP40,0))</f>
        <v>0</v>
      </c>
      <c r="CQ9" s="674">
        <f xml:space="preserve">
IF(表紙!$X$2="実績報告（１次）",CQ40,
IF(CQ$19&gt;=1,CQ40,0))</f>
        <v>0</v>
      </c>
      <c r="CR9" s="674">
        <f xml:space="preserve">
IF(表紙!$X$2="実績報告（１次）",CR40,
IF(CR$19&gt;=1,CR40,0))</f>
        <v>0</v>
      </c>
      <c r="CS9" s="674">
        <f xml:space="preserve">
IF(表紙!$X$2="実績報告（１次）",CS40,
IF(CS$19&gt;=1,CS40,0))</f>
        <v>0</v>
      </c>
      <c r="CT9" s="674">
        <f xml:space="preserve">
IF(表紙!$X$2="実績報告（１次）",CT40,
IF(CT$19&gt;=1,CT40,0))</f>
        <v>0</v>
      </c>
      <c r="CU9" s="674">
        <f xml:space="preserve">
IF(表紙!$X$2="実績報告（１次）",CU40,
IF(CU$19&gt;=1,CU40,0))</f>
        <v>0</v>
      </c>
      <c r="CV9" s="674">
        <f xml:space="preserve">
IF(表紙!$X$2="実績報告（１次）",CV40,
IF(CV$19&gt;=1,CV40,0))</f>
        <v>0</v>
      </c>
      <c r="CW9" s="674">
        <f xml:space="preserve">
IF(表紙!$X$2="実績報告（１次）",CW40,
IF(CW$19&gt;=1,CW40,0))</f>
        <v>0</v>
      </c>
      <c r="CX9" s="674">
        <f xml:space="preserve">
IF(表紙!$X$2="実績報告（１次）",CX40,
IF(CX$19&gt;=1,CX40,0))</f>
        <v>0</v>
      </c>
      <c r="CY9" s="674">
        <f xml:space="preserve">
IF(表紙!$X$2="実績報告（１次）",CY40,
IF(CY$19&gt;=1,CY40,0))</f>
        <v>0</v>
      </c>
      <c r="CZ9" s="674">
        <f xml:space="preserve">
IF(表紙!$X$2="実績報告（１次）",CZ40,
IF(CZ$19&gt;=1,CZ40,0))</f>
        <v>0</v>
      </c>
      <c r="DA9" s="674">
        <f xml:space="preserve">
IF(表紙!$X$2="実績報告（１次）",DA40,
IF(DA$19&gt;=1,DA40,0))</f>
        <v>0</v>
      </c>
      <c r="DB9" s="674">
        <f xml:space="preserve">
IF(表紙!$X$2="実績報告（１次）",DB40,
IF(DB$19&gt;=1,DB40,0))</f>
        <v>0</v>
      </c>
      <c r="DC9" s="674">
        <f xml:space="preserve">
IF(表紙!$X$2="実績報告（１次）",DC40,
IF(DC$19&gt;=1,DC40,0))</f>
        <v>0</v>
      </c>
      <c r="DD9" s="674">
        <f xml:space="preserve">
IF(表紙!$X$2="実績報告（１次）",DD40,
IF(DD$19&gt;=1,DD40,0))</f>
        <v>0</v>
      </c>
      <c r="DE9" s="674">
        <f xml:space="preserve">
IF(表紙!$X$2="実績報告（１次）",DE40,
IF(DE$19&gt;=1,DE40,0))</f>
        <v>0</v>
      </c>
      <c r="DF9" s="674">
        <f xml:space="preserve">
IF(表紙!$X$2="実績報告（１次）",DF40,
IF(DF$19&gt;=1,DF40,0))</f>
        <v>0</v>
      </c>
      <c r="DG9" s="674">
        <f xml:space="preserve">
IF(表紙!$X$2="実績報告（１次）",DG40,
IF(DG$19&gt;=1,DG40,0))</f>
        <v>0</v>
      </c>
      <c r="DH9" s="674">
        <f xml:space="preserve">
IF(表紙!$X$2="実績報告（１次）",DH40,
IF(DH$19&gt;=1,DH40,0))</f>
        <v>0</v>
      </c>
      <c r="DI9" s="674">
        <f xml:space="preserve">
IF(表紙!$X$2="実績報告（１次）",DI40,
IF(DI$19&gt;=1,DI40,0))</f>
        <v>0</v>
      </c>
      <c r="DJ9" s="674">
        <f xml:space="preserve">
IF(表紙!$X$2="実績報告（１次）",DJ40,
IF(DJ$19&gt;=1,DJ40,0))</f>
        <v>0</v>
      </c>
      <c r="DK9" s="674">
        <f xml:space="preserve">
IF(表紙!$X$2="実績報告（１次）",DK40,
IF(DK$19&gt;=1,DK40,0))</f>
        <v>0</v>
      </c>
      <c r="DL9" s="674">
        <f xml:space="preserve">
IF(表紙!$X$2="実績報告（１次）",DL40,
IF(DL$19&gt;=1,DL40,0))</f>
        <v>0</v>
      </c>
      <c r="DM9" s="674">
        <f xml:space="preserve">
IF(表紙!$X$2="実績報告（１次）",DM40,
IF(DM$19&gt;=1,DM40,0))</f>
        <v>0</v>
      </c>
      <c r="DN9" s="674">
        <f xml:space="preserve">
IF(表紙!$X$2="実績報告（１次）",DN40,
IF(DN$19&gt;=1,DN40,0))</f>
        <v>0</v>
      </c>
      <c r="DO9" s="674">
        <f xml:space="preserve">
IF(表紙!$X$2="実績報告（１次）",DO40,
IF(DO$19&gt;=1,DO40,0))</f>
        <v>0</v>
      </c>
      <c r="DP9" s="674">
        <f xml:space="preserve">
IF(表紙!$X$2="実績報告（１次）",DP40,
IF(DP$19&gt;=1,DP40,0))</f>
        <v>0</v>
      </c>
      <c r="DQ9" s="674">
        <f xml:space="preserve">
IF(表紙!$X$2="実績報告（１次）",DQ40,
IF(DQ$19&gt;=1,DQ40,0))</f>
        <v>0</v>
      </c>
      <c r="DR9" s="674">
        <f xml:space="preserve">
IF(表紙!$X$2="実績報告（１次）",DR40,
IF(DR$19&gt;=1,DR40,0))</f>
        <v>0</v>
      </c>
      <c r="DS9" s="674">
        <f xml:space="preserve">
IF(表紙!$X$2="実績報告（１次）",DS40,
IF(DS$19&gt;=1,DS40,0))</f>
        <v>0</v>
      </c>
      <c r="DT9" s="674">
        <f xml:space="preserve">
IF(表紙!$X$2="実績報告（１次）",DT40,
IF(DT$19&gt;=1,DT40,0))</f>
        <v>0</v>
      </c>
      <c r="DU9" s="674">
        <f xml:space="preserve">
IF(表紙!$X$2="実績報告（１次）",DU40,
IF(DU$19&gt;=1,DU40,0))</f>
        <v>0</v>
      </c>
      <c r="DV9" s="674">
        <f xml:space="preserve">
IF(表紙!$X$2="実績報告（１次）",DV40,
IF(DV$19&gt;=1,DV40,0))</f>
        <v>0</v>
      </c>
      <c r="DW9" s="674">
        <f xml:space="preserve">
IF(表紙!$X$2="実績報告（１次）",DW40,
IF(DW$19&gt;=1,DW40,0))</f>
        <v>0</v>
      </c>
      <c r="DX9" s="674">
        <f xml:space="preserve">
IF(表紙!$X$2="実績報告（１次）",DX40,
IF(DX$19&gt;=1,DX40,0))</f>
        <v>0</v>
      </c>
      <c r="DY9" s="674">
        <f xml:space="preserve">
IF(表紙!$X$2="実績報告（１次）",DY40,
IF(DY$19&gt;=1,DY40,0))</f>
        <v>0</v>
      </c>
      <c r="DZ9" s="674">
        <f xml:space="preserve">
IF(表紙!$X$2="実績報告（１次）",DZ40,
IF(DZ$19&gt;=1,DZ40,0))</f>
        <v>0</v>
      </c>
      <c r="EA9" s="674">
        <f xml:space="preserve">
IF(表紙!$X$2="実績報告（１次）",EA40,
IF(EA$19&gt;=1,EA40,0))</f>
        <v>0</v>
      </c>
      <c r="EB9" s="674">
        <f xml:space="preserve">
IF(表紙!$X$2="実績報告（１次）",EB40,
IF(EB$19&gt;=1,EB40,0))</f>
        <v>0</v>
      </c>
      <c r="EC9" s="674">
        <f xml:space="preserve">
IF(表紙!$X$2="実績報告（１次）",EC40,
IF(EC$19&gt;=1,EC40,0))</f>
        <v>0</v>
      </c>
      <c r="ED9" s="674">
        <f xml:space="preserve">
IF(表紙!$X$2="実績報告（１次）",ED40,
IF(ED$19&gt;=1,ED40,0))</f>
        <v>0</v>
      </c>
      <c r="EE9" s="674">
        <f xml:space="preserve">
IF(表紙!$X$2="実績報告（１次）",EE40,
IF(EE$19&gt;=1,EE40,0))</f>
        <v>0</v>
      </c>
      <c r="EF9" s="674">
        <f xml:space="preserve">
IF(表紙!$X$2="実績報告（１次）",EF40,
IF(EF$19&gt;=1,EF40,0))</f>
        <v>0</v>
      </c>
      <c r="EG9" s="674">
        <f xml:space="preserve">
IF(表紙!$X$2="実績報告（１次）",EG40,
IF(EG$19&gt;=1,EG40,0))</f>
        <v>0</v>
      </c>
      <c r="EH9" s="674">
        <f xml:space="preserve">
IF(表紙!$X$2="実績報告（１次）",EH40,
IF(EH$19&gt;=1,EH40,0))</f>
        <v>0</v>
      </c>
      <c r="EI9" s="674">
        <f xml:space="preserve">
IF(表紙!$X$2="実績報告（１次）",EI40,
IF(EI$19&gt;=1,EI40,0))</f>
        <v>0</v>
      </c>
      <c r="EJ9" s="674">
        <f xml:space="preserve">
IF(表紙!$X$2="実績報告（１次）",EJ40,
IF(EJ$19&gt;=1,EJ40,0))</f>
        <v>0</v>
      </c>
      <c r="EK9" s="674">
        <f xml:space="preserve">
IF(表紙!$X$2="実績報告（１次）",EK40,
IF(EK$19&gt;=1,EK40,0))</f>
        <v>0</v>
      </c>
      <c r="EL9" s="674">
        <f xml:space="preserve">
IF(表紙!$X$2="実績報告（１次）",EL40,
IF(EL$19&gt;=1,EL40,0))</f>
        <v>0</v>
      </c>
      <c r="EM9" s="674">
        <f xml:space="preserve">
IF(表紙!$X$2="実績報告（１次）",EM40,
IF(EM$19&gt;=1,EM40,0))</f>
        <v>0</v>
      </c>
      <c r="EN9" s="674">
        <f xml:space="preserve">
IF(表紙!$X$2="実績報告（１次）",EN40,
IF(EN$19&gt;=1,EN40,0))</f>
        <v>0</v>
      </c>
      <c r="EO9" s="674">
        <f xml:space="preserve">
IF(表紙!$X$2="実績報告（１次）",EO40,
IF(EO$19&gt;=1,EO40,0))</f>
        <v>0</v>
      </c>
      <c r="EP9" s="674">
        <f xml:space="preserve">
IF(表紙!$X$2="実績報告（１次）",EP40,
IF(EP$19&gt;=1,EP40,0))</f>
        <v>0</v>
      </c>
      <c r="EQ9" s="674">
        <f xml:space="preserve">
IF(表紙!$X$2="実績報告（１次）",EQ40,
IF(EQ$19&gt;=1,EQ40,0))</f>
        <v>0</v>
      </c>
      <c r="ER9" s="674">
        <f xml:space="preserve">
IF(表紙!$X$2="実績報告（１次）",ER40,
IF(ER$19&gt;=1,ER40,0))</f>
        <v>0</v>
      </c>
      <c r="ES9" s="674">
        <f xml:space="preserve">
IF(表紙!$X$2="実績報告（１次）",ES40,
IF(ES$19&gt;=1,ES40,0))</f>
        <v>0</v>
      </c>
      <c r="ET9" s="674">
        <f xml:space="preserve">
IF(表紙!$X$2="実績報告（１次）",ET40,
IF(ET$19&gt;=1,ET40,0))</f>
        <v>0</v>
      </c>
      <c r="EU9" s="674">
        <f xml:space="preserve">
IF(表紙!$X$2="実績報告（１次）",EU40,
IF(EU$19&gt;=1,EU40,0))</f>
        <v>0</v>
      </c>
      <c r="EV9" s="674">
        <f xml:space="preserve">
IF(表紙!$X$2="実績報告（１次）",EV40,
IF(EV$19&gt;=1,EV40,0))</f>
        <v>0</v>
      </c>
      <c r="EW9" s="674">
        <f xml:space="preserve">
IF(表紙!$X$2="実績報告（１次）",EW40,
IF(EW$19&gt;=1,EW40,0))</f>
        <v>0</v>
      </c>
      <c r="EX9" s="674">
        <f xml:space="preserve">
IF(表紙!$X$2="実績報告（１次）",EX40,
IF(EX$19&gt;=1,EX40,0))</f>
        <v>0</v>
      </c>
      <c r="EY9" s="674">
        <f xml:space="preserve">
IF(表紙!$X$2="実績報告（１次）",EY40,
IF(EY$19&gt;=1,EY40,0))</f>
        <v>0</v>
      </c>
      <c r="EZ9" s="674">
        <f xml:space="preserve">
IF(表紙!$X$2="実績報告（１次）",EZ40,
IF(EZ$19&gt;=1,EZ40,0))</f>
        <v>0</v>
      </c>
      <c r="FA9" s="674">
        <f xml:space="preserve">
IF(表紙!$X$2="実績報告（１次）",FA40,
IF(FA$19&gt;=1,FA40,0))</f>
        <v>0</v>
      </c>
      <c r="FB9" s="674">
        <f xml:space="preserve">
IF(表紙!$X$2="実績報告（１次）",FB40,
IF(FB$19&gt;=1,FB40,0))</f>
        <v>0</v>
      </c>
      <c r="FC9" s="674">
        <f xml:space="preserve">
IF(表紙!$X$2="実績報告（１次）",FC40,
IF(FC$19&gt;=1,FC40,0))</f>
        <v>0</v>
      </c>
      <c r="FD9" s="674">
        <f xml:space="preserve">
IF(表紙!$X$2="実績報告（１次）",FD40,
IF(FD$19&gt;=1,FD40,0))</f>
        <v>0</v>
      </c>
      <c r="FE9" s="674">
        <f xml:space="preserve">
IF(表紙!$X$2="実績報告（１次）",FE40,
IF(FE$19&gt;=1,FE40,0))</f>
        <v>0</v>
      </c>
      <c r="FF9" s="674">
        <f xml:space="preserve">
IF(表紙!$X$2="実績報告（１次）",FF40,
IF(FF$19&gt;=1,FF40,0))</f>
        <v>0</v>
      </c>
      <c r="FG9" s="674">
        <f xml:space="preserve">
IF(表紙!$X$2="実績報告（１次）",FG40,
IF(FG$19&gt;=1,FG40,0))</f>
        <v>0</v>
      </c>
      <c r="FH9" s="674">
        <f xml:space="preserve">
IF(表紙!$X$2="実績報告（１次）",FH40,
IF(FH$19&gt;=1,FH40,0))</f>
        <v>0</v>
      </c>
      <c r="FI9" s="674">
        <f xml:space="preserve">
IF(表紙!$X$2="実績報告（１次）",FI40,
IF(FI$19&gt;=1,FI40,0))</f>
        <v>0</v>
      </c>
      <c r="FJ9" s="674">
        <f xml:space="preserve">
IF(表紙!$X$2="実績報告（１次）",FJ40,
IF(FJ$19&gt;=1,FJ40,0))</f>
        <v>0</v>
      </c>
      <c r="FK9" s="674">
        <f xml:space="preserve">
IF(表紙!$X$2="実績報告（１次）",FK40,
IF(FK$19&gt;=1,FK40,0))</f>
        <v>0</v>
      </c>
      <c r="FL9" s="674">
        <f xml:space="preserve">
IF(表紙!$X$2="実績報告（１次）",FL40,
IF(FL$19&gt;=1,FL40,0))</f>
        <v>0</v>
      </c>
      <c r="FM9" s="674">
        <f xml:space="preserve">
IF(表紙!$X$2="実績報告（１次）",FM40,
IF(FM$19&gt;=1,FM40,0))</f>
        <v>0</v>
      </c>
      <c r="FN9" s="674">
        <f xml:space="preserve">
IF(表紙!$X$2="実績報告（１次）",FN40,
IF(FN$19&gt;=1,FN40,0))</f>
        <v>0</v>
      </c>
      <c r="FO9" s="674">
        <f xml:space="preserve">
IF(表紙!$X$2="実績報告（１次）",FO40,
IF(FO$19&gt;=1,FO40,0))</f>
        <v>0</v>
      </c>
      <c r="FP9" s="674">
        <f xml:space="preserve">
IF(表紙!$X$2="実績報告（１次）",FP40,
IF(FP$19&gt;=1,FP40,0))</f>
        <v>0</v>
      </c>
      <c r="FQ9" s="674">
        <f xml:space="preserve">
IF(表紙!$X$2="実績報告（１次）",FQ40,
IF(FQ$19&gt;=1,FQ40,0))</f>
        <v>0</v>
      </c>
      <c r="FR9" s="674">
        <f xml:space="preserve">
IF(表紙!$X$2="実績報告（１次）",FR40,
IF(FR$19&gt;=1,FR40,0))</f>
        <v>0</v>
      </c>
      <c r="FS9" s="674">
        <f xml:space="preserve">
IF(表紙!$X$2="実績報告（１次）",FS40,
IF(FS$19&gt;=1,FS40,0))</f>
        <v>0</v>
      </c>
      <c r="FT9" s="674">
        <f xml:space="preserve">
IF(表紙!$X$2="実績報告（１次）",FT40,
IF(FT$19&gt;=1,FT40,0))</f>
        <v>0</v>
      </c>
      <c r="FU9" s="674">
        <f xml:space="preserve">
IF(表紙!$X$2="実績報告（１次）",FU40,
IF(FU$19&gt;=1,FU40,0))</f>
        <v>0</v>
      </c>
      <c r="FV9" s="674">
        <f xml:space="preserve">
IF(表紙!$X$2="実績報告（１次）",FV40,
IF(FV$19&gt;=1,FV40,0))</f>
        <v>0</v>
      </c>
      <c r="FW9" s="674">
        <f xml:space="preserve">
IF(表紙!$X$2="実績報告（１次）",FW40,
IF(FW$19&gt;=1,FW40,0))</f>
        <v>0</v>
      </c>
      <c r="FX9" s="674">
        <f xml:space="preserve">
IF(表紙!$X$2="実績報告（１次）",FX40,
IF(FX$19&gt;=1,FX40,0))</f>
        <v>0</v>
      </c>
      <c r="FY9" s="674">
        <f xml:space="preserve">
IF(表紙!$X$2="実績報告（１次）",FY40,
IF(FY$19&gt;=1,FY40,0))</f>
        <v>0</v>
      </c>
      <c r="FZ9" s="674">
        <f xml:space="preserve">
IF(表紙!$X$2="実績報告（１次）",FZ40,
IF(FZ$19&gt;=1,FZ40,0))</f>
        <v>0</v>
      </c>
      <c r="GA9" s="674">
        <f xml:space="preserve">
IF(表紙!$X$2="実績報告（１次）",GA40,
IF(GA$19&gt;=1,GA40,0))</f>
        <v>0</v>
      </c>
      <c r="GB9" s="674">
        <f xml:space="preserve">
IF(表紙!$X$2="実績報告（１次）",GB40,
IF(GB$19&gt;=1,GB40,0))</f>
        <v>0</v>
      </c>
      <c r="GC9" s="674">
        <f xml:space="preserve">
IF(表紙!$X$2="実績報告（１次）",GC40,
IF(GC$19&gt;=1,GC40,0))</f>
        <v>0</v>
      </c>
      <c r="GD9" s="674">
        <f xml:space="preserve">
IF(表紙!$X$2="実績報告（１次）",GD40,
IF(GD$19&gt;=1,GD40,0))</f>
        <v>0</v>
      </c>
      <c r="GE9" s="674">
        <f xml:space="preserve">
IF(表紙!$X$2="実績報告（１次）",GE40,
IF(GE$19&gt;=1,GE40,0))</f>
        <v>0</v>
      </c>
      <c r="GF9" s="674">
        <f xml:space="preserve">
IF(表紙!$X$2="実績報告（１次）",GF40,
IF(GF$19&gt;=1,GF40,0))</f>
        <v>0</v>
      </c>
      <c r="GG9" s="674">
        <f xml:space="preserve">
IF(表紙!$X$2="実績報告（１次）",GG40,
IF(GG$19&gt;=1,GG40,0))</f>
        <v>0</v>
      </c>
      <c r="GH9" s="674">
        <f xml:space="preserve">
IF(表紙!$X$2="実績報告（１次）",GH40,
IF(GH$19&gt;=1,GH40,0))</f>
        <v>0</v>
      </c>
      <c r="GI9" s="674">
        <f xml:space="preserve">
IF(表紙!$X$2="実績報告（１次）",GI40,
IF(GI$19&gt;=1,GI40,0))</f>
        <v>0</v>
      </c>
      <c r="GJ9" s="674">
        <f xml:space="preserve">
IF(表紙!$X$2="実績報告（１次）",GJ40,
IF(GJ$19&gt;=1,GJ40,0))</f>
        <v>0</v>
      </c>
    </row>
    <row r="10" spans="2:192" ht="9.75" customHeight="1">
      <c r="B10" s="618"/>
      <c r="C10" s="630" t="s">
        <v>475</v>
      </c>
      <c r="D10" s="672">
        <f>基礎情報!V128</f>
        <v>0</v>
      </c>
      <c r="E10" s="1941">
        <f t="shared" si="3"/>
        <v>0</v>
      </c>
      <c r="F10" s="1942"/>
      <c r="G10" s="674">
        <f xml:space="preserve">
IF(表紙!$X$2="実績報告（１次）",G43,
IF(G$19&gt;=1,G43,0))</f>
        <v>0</v>
      </c>
      <c r="H10" s="674">
        <f xml:space="preserve">
IF(表紙!$X$2="実績報告（１次）",H43,
IF(H$19&gt;=1,H43,0))</f>
        <v>0</v>
      </c>
      <c r="I10" s="674">
        <f xml:space="preserve">
IF(表紙!$X$2="実績報告（１次）",I43,
IF(I$19&gt;=1,I43,0))</f>
        <v>0</v>
      </c>
      <c r="J10" s="674">
        <f xml:space="preserve">
IF(表紙!$X$2="実績報告（１次）",J43,
IF(J$19&gt;=1,J43,0))</f>
        <v>0</v>
      </c>
      <c r="K10" s="674">
        <f xml:space="preserve">
IF(表紙!$X$2="実績報告（１次）",K43,
IF(K$19&gt;=1,K43,0))</f>
        <v>0</v>
      </c>
      <c r="L10" s="674">
        <f xml:space="preserve">
IF(表紙!$X$2="実績報告（１次）",L43,
IF(L$19&gt;=1,L43,0))</f>
        <v>0</v>
      </c>
      <c r="M10" s="674">
        <f xml:space="preserve">
IF(表紙!$X$2="実績報告（１次）",M43,
IF(M$19&gt;=1,M43,0))</f>
        <v>0</v>
      </c>
      <c r="N10" s="674">
        <f xml:space="preserve">
IF(表紙!$X$2="実績報告（１次）",N43,
IF(N$19&gt;=1,N43,0))</f>
        <v>0</v>
      </c>
      <c r="O10" s="674">
        <f xml:space="preserve">
IF(表紙!$X$2="実績報告（１次）",O43,
IF(O$19&gt;=1,O43,0))</f>
        <v>0</v>
      </c>
      <c r="P10" s="674">
        <f xml:space="preserve">
IF(表紙!$X$2="実績報告（１次）",P43,
IF(P$19&gt;=1,P43,0))</f>
        <v>0</v>
      </c>
      <c r="Q10" s="674">
        <f xml:space="preserve">
IF(表紙!$X$2="実績報告（１次）",Q43,
IF(Q$19&gt;=1,Q43,0))</f>
        <v>0</v>
      </c>
      <c r="R10" s="674">
        <f xml:space="preserve">
IF(表紙!$X$2="実績報告（１次）",R43,
IF(R$19&gt;=1,R43,0))</f>
        <v>0</v>
      </c>
      <c r="S10" s="674">
        <f xml:space="preserve">
IF(表紙!$X$2="実績報告（１次）",S43,
IF(S$19&gt;=1,S43,0))</f>
        <v>0</v>
      </c>
      <c r="T10" s="674">
        <f xml:space="preserve">
IF(表紙!$X$2="実績報告（１次）",T43,
IF(T$19&gt;=1,T43,0))</f>
        <v>0</v>
      </c>
      <c r="U10" s="674">
        <f xml:space="preserve">
IF(表紙!$X$2="実績報告（１次）",U43,
IF(U$19&gt;=1,U43,0))</f>
        <v>0</v>
      </c>
      <c r="V10" s="674">
        <f xml:space="preserve">
IF(表紙!$X$2="実績報告（１次）",V43,
IF(V$19&gt;=1,V43,0))</f>
        <v>0</v>
      </c>
      <c r="W10" s="674">
        <f xml:space="preserve">
IF(表紙!$X$2="実績報告（１次）",W43,
IF(W$19&gt;=1,W43,0))</f>
        <v>0</v>
      </c>
      <c r="X10" s="674">
        <f xml:space="preserve">
IF(表紙!$X$2="実績報告（１次）",X43,
IF(X$19&gt;=1,X43,0))</f>
        <v>0</v>
      </c>
      <c r="Y10" s="674">
        <f xml:space="preserve">
IF(表紙!$X$2="実績報告（１次）",Y43,
IF(Y$19&gt;=1,Y43,0))</f>
        <v>0</v>
      </c>
      <c r="Z10" s="674">
        <f xml:space="preserve">
IF(表紙!$X$2="実績報告（１次）",Z43,
IF(Z$19&gt;=1,Z43,0))</f>
        <v>0</v>
      </c>
      <c r="AA10" s="674">
        <f xml:space="preserve">
IF(表紙!$X$2="実績報告（１次）",AA43,
IF(AA$19&gt;=1,AA43,0))</f>
        <v>0</v>
      </c>
      <c r="AB10" s="674">
        <f xml:space="preserve">
IF(表紙!$X$2="実績報告（１次）",AB43,
IF(AB$19&gt;=1,AB43,0))</f>
        <v>0</v>
      </c>
      <c r="AC10" s="674">
        <f xml:space="preserve">
IF(表紙!$X$2="実績報告（１次）",AC43,
IF(AC$19&gt;=1,AC43,0))</f>
        <v>0</v>
      </c>
      <c r="AD10" s="674">
        <f xml:space="preserve">
IF(表紙!$X$2="実績報告（１次）",AD43,
IF(AD$19&gt;=1,AD43,0))</f>
        <v>0</v>
      </c>
      <c r="AE10" s="674">
        <f xml:space="preserve">
IF(表紙!$X$2="実績報告（１次）",AE43,
IF(AE$19&gt;=1,AE43,0))</f>
        <v>0</v>
      </c>
      <c r="AF10" s="674">
        <f xml:space="preserve">
IF(表紙!$X$2="実績報告（１次）",AF43,
IF(AF$19&gt;=1,AF43,0))</f>
        <v>0</v>
      </c>
      <c r="AG10" s="674">
        <f xml:space="preserve">
IF(表紙!$X$2="実績報告（１次）",AG43,
IF(AG$19&gt;=1,AG43,0))</f>
        <v>0</v>
      </c>
      <c r="AH10" s="674">
        <f xml:space="preserve">
IF(表紙!$X$2="実績報告（１次）",AH43,
IF(AH$19&gt;=1,AH43,0))</f>
        <v>0</v>
      </c>
      <c r="AI10" s="674">
        <f xml:space="preserve">
IF(表紙!$X$2="実績報告（１次）",AI43,
IF(AI$19&gt;=1,AI43,0))</f>
        <v>0</v>
      </c>
      <c r="AJ10" s="674">
        <f xml:space="preserve">
IF(表紙!$X$2="実績報告（１次）",AJ43,
IF(AJ$19&gt;=1,AJ43,0))</f>
        <v>0</v>
      </c>
      <c r="AK10" s="674">
        <f xml:space="preserve">
IF(表紙!$X$2="実績報告（１次）",AK43,
IF(AK$19&gt;=1,AK43,0))</f>
        <v>0</v>
      </c>
      <c r="AL10" s="674">
        <f xml:space="preserve">
IF(表紙!$X$2="実績報告（１次）",AL43,
IF(AL$19&gt;=1,AL43,0))</f>
        <v>0</v>
      </c>
      <c r="AM10" s="674">
        <f xml:space="preserve">
IF(表紙!$X$2="実績報告（１次）",AM43,
IF(AM$19&gt;=1,AM43,0))</f>
        <v>0</v>
      </c>
      <c r="AN10" s="674">
        <f xml:space="preserve">
IF(表紙!$X$2="実績報告（１次）",AN43,
IF(AN$19&gt;=1,AN43,0))</f>
        <v>0</v>
      </c>
      <c r="AO10" s="674">
        <f xml:space="preserve">
IF(表紙!$X$2="実績報告（１次）",AO43,
IF(AO$19&gt;=1,AO43,0))</f>
        <v>0</v>
      </c>
      <c r="AP10" s="674">
        <f xml:space="preserve">
IF(表紙!$X$2="実績報告（１次）",AP43,
IF(AP$19&gt;=1,AP43,0))</f>
        <v>0</v>
      </c>
      <c r="AQ10" s="674">
        <f xml:space="preserve">
IF(表紙!$X$2="実績報告（１次）",AQ43,
IF(AQ$19&gt;=1,AQ43,0))</f>
        <v>0</v>
      </c>
      <c r="AR10" s="674">
        <f xml:space="preserve">
IF(表紙!$X$2="実績報告（１次）",AR43,
IF(AR$19&gt;=1,AR43,0))</f>
        <v>0</v>
      </c>
      <c r="AS10" s="674">
        <f xml:space="preserve">
IF(表紙!$X$2="実績報告（１次）",AS43,
IF(AS$19&gt;=1,AS43,0))</f>
        <v>0</v>
      </c>
      <c r="AT10" s="674">
        <f xml:space="preserve">
IF(表紙!$X$2="実績報告（１次）",AT43,
IF(AT$19&gt;=1,AT43,0))</f>
        <v>0</v>
      </c>
      <c r="AU10" s="674">
        <f xml:space="preserve">
IF(表紙!$X$2="実績報告（１次）",AU43,
IF(AU$19&gt;=1,AU43,0))</f>
        <v>0</v>
      </c>
      <c r="AV10" s="674">
        <f xml:space="preserve">
IF(表紙!$X$2="実績報告（１次）",AV43,
IF(AV$19&gt;=1,AV43,0))</f>
        <v>0</v>
      </c>
      <c r="AW10" s="674">
        <f xml:space="preserve">
IF(表紙!$X$2="実績報告（１次）",AW43,
IF(AW$19&gt;=1,AW43,0))</f>
        <v>0</v>
      </c>
      <c r="AX10" s="674">
        <f xml:space="preserve">
IF(表紙!$X$2="実績報告（１次）",AX43,
IF(AX$19&gt;=1,AX43,0))</f>
        <v>0</v>
      </c>
      <c r="AY10" s="674">
        <f xml:space="preserve">
IF(表紙!$X$2="実績報告（１次）",AY43,
IF(AY$19&gt;=1,AY43,0))</f>
        <v>0</v>
      </c>
      <c r="AZ10" s="674">
        <f xml:space="preserve">
IF(表紙!$X$2="実績報告（１次）",AZ43,
IF(AZ$19&gt;=1,AZ43,0))</f>
        <v>0</v>
      </c>
      <c r="BA10" s="674">
        <f xml:space="preserve">
IF(表紙!$X$2="実績報告（１次）",BA43,
IF(BA$19&gt;=1,BA43,0))</f>
        <v>0</v>
      </c>
      <c r="BB10" s="674">
        <f xml:space="preserve">
IF(表紙!$X$2="実績報告（１次）",BB43,
IF(BB$19&gt;=1,BB43,0))</f>
        <v>0</v>
      </c>
      <c r="BC10" s="674">
        <f xml:space="preserve">
IF(表紙!$X$2="実績報告（１次）",BC43,
IF(BC$19&gt;=1,BC43,0))</f>
        <v>0</v>
      </c>
      <c r="BD10" s="674">
        <f xml:space="preserve">
IF(表紙!$X$2="実績報告（１次）",BD43,
IF(BD$19&gt;=1,BD43,0))</f>
        <v>0</v>
      </c>
      <c r="BE10" s="674">
        <f xml:space="preserve">
IF(表紙!$X$2="実績報告（１次）",BE43,
IF(BE$19&gt;=1,BE43,0))</f>
        <v>0</v>
      </c>
      <c r="BF10" s="674">
        <f xml:space="preserve">
IF(表紙!$X$2="実績報告（１次）",BF43,
IF(BF$19&gt;=1,BF43,0))</f>
        <v>0</v>
      </c>
      <c r="BG10" s="674">
        <f xml:space="preserve">
IF(表紙!$X$2="実績報告（１次）",BG43,
IF(BG$19&gt;=1,BG43,0))</f>
        <v>0</v>
      </c>
      <c r="BH10" s="674">
        <f xml:space="preserve">
IF(表紙!$X$2="実績報告（１次）",BH43,
IF(BH$19&gt;=1,BH43,0))</f>
        <v>0</v>
      </c>
      <c r="BI10" s="674">
        <f xml:space="preserve">
IF(表紙!$X$2="実績報告（１次）",BI43,
IF(BI$19&gt;=1,BI43,0))</f>
        <v>0</v>
      </c>
      <c r="BJ10" s="674">
        <f xml:space="preserve">
IF(表紙!$X$2="実績報告（１次）",BJ43,
IF(BJ$19&gt;=1,BJ43,0))</f>
        <v>0</v>
      </c>
      <c r="BK10" s="674">
        <f xml:space="preserve">
IF(表紙!$X$2="実績報告（１次）",BK43,
IF(BK$19&gt;=1,BK43,0))</f>
        <v>0</v>
      </c>
      <c r="BL10" s="674">
        <f xml:space="preserve">
IF(表紙!$X$2="実績報告（１次）",BL43,
IF(BL$19&gt;=1,BL43,0))</f>
        <v>0</v>
      </c>
      <c r="BM10" s="674">
        <f xml:space="preserve">
IF(表紙!$X$2="実績報告（１次）",BM43,
IF(BM$19&gt;=1,BM43,0))</f>
        <v>0</v>
      </c>
      <c r="BN10" s="674">
        <f xml:space="preserve">
IF(表紙!$X$2="実績報告（１次）",BN43,
IF(BN$19&gt;=1,BN43,0))</f>
        <v>0</v>
      </c>
      <c r="BO10" s="674">
        <f xml:space="preserve">
IF(表紙!$X$2="実績報告（１次）",BO43,
IF(BO$19&gt;=1,BO43,0))</f>
        <v>0</v>
      </c>
      <c r="BP10" s="674">
        <f xml:space="preserve">
IF(表紙!$X$2="実績報告（１次）",BP43,
IF(BP$19&gt;=1,BP43,0))</f>
        <v>0</v>
      </c>
      <c r="BQ10" s="674">
        <f xml:space="preserve">
IF(表紙!$X$2="実績報告（１次）",BQ43,
IF(BQ$19&gt;=1,BQ43,0))</f>
        <v>0</v>
      </c>
      <c r="BR10" s="674">
        <f xml:space="preserve">
IF(表紙!$X$2="実績報告（１次）",BR43,
IF(BR$19&gt;=1,BR43,0))</f>
        <v>0</v>
      </c>
      <c r="BS10" s="674">
        <f xml:space="preserve">
IF(表紙!$X$2="実績報告（１次）",BS43,
IF(BS$19&gt;=1,BS43,0))</f>
        <v>0</v>
      </c>
      <c r="BT10" s="674">
        <f xml:space="preserve">
IF(表紙!$X$2="実績報告（１次）",BT43,
IF(BT$19&gt;=1,BT43,0))</f>
        <v>0</v>
      </c>
      <c r="BU10" s="674">
        <f xml:space="preserve">
IF(表紙!$X$2="実績報告（１次）",BU43,
IF(BU$19&gt;=1,BU43,0))</f>
        <v>0</v>
      </c>
      <c r="BV10" s="674">
        <f xml:space="preserve">
IF(表紙!$X$2="実績報告（１次）",BV43,
IF(BV$19&gt;=1,BV43,0))</f>
        <v>0</v>
      </c>
      <c r="BW10" s="674">
        <f xml:space="preserve">
IF(表紙!$X$2="実績報告（１次）",BW43,
IF(BW$19&gt;=1,BW43,0))</f>
        <v>0</v>
      </c>
      <c r="BX10" s="674">
        <f xml:space="preserve">
IF(表紙!$X$2="実績報告（１次）",BX43,
IF(BX$19&gt;=1,BX43,0))</f>
        <v>0</v>
      </c>
      <c r="BY10" s="674">
        <f xml:space="preserve">
IF(表紙!$X$2="実績報告（１次）",BY43,
IF(BY$19&gt;=1,BY43,0))</f>
        <v>0</v>
      </c>
      <c r="BZ10" s="674">
        <f xml:space="preserve">
IF(表紙!$X$2="実績報告（１次）",BZ43,
IF(BZ$19&gt;=1,BZ43,0))</f>
        <v>0</v>
      </c>
      <c r="CA10" s="674">
        <f xml:space="preserve">
IF(表紙!$X$2="実績報告（１次）",CA43,
IF(CA$19&gt;=1,CA43,0))</f>
        <v>0</v>
      </c>
      <c r="CB10" s="674">
        <f xml:space="preserve">
IF(表紙!$X$2="実績報告（１次）",CB43,
IF(CB$19&gt;=1,CB43,0))</f>
        <v>0</v>
      </c>
      <c r="CC10" s="674">
        <f xml:space="preserve">
IF(表紙!$X$2="実績報告（１次）",CC43,
IF(CC$19&gt;=1,CC43,0))</f>
        <v>0</v>
      </c>
      <c r="CD10" s="674">
        <f xml:space="preserve">
IF(表紙!$X$2="実績報告（１次）",CD43,
IF(CD$19&gt;=1,CD43,0))</f>
        <v>0</v>
      </c>
      <c r="CE10" s="674">
        <f xml:space="preserve">
IF(表紙!$X$2="実績報告（１次）",CE43,
IF(CE$19&gt;=1,CE43,0))</f>
        <v>0</v>
      </c>
      <c r="CF10" s="674">
        <f xml:space="preserve">
IF(表紙!$X$2="実績報告（１次）",CF43,
IF(CF$19&gt;=1,CF43,0))</f>
        <v>0</v>
      </c>
      <c r="CG10" s="674">
        <f xml:space="preserve">
IF(表紙!$X$2="実績報告（１次）",CG43,
IF(CG$19&gt;=1,CG43,0))</f>
        <v>0</v>
      </c>
      <c r="CH10" s="674">
        <f xml:space="preserve">
IF(表紙!$X$2="実績報告（１次）",CH43,
IF(CH$19&gt;=1,CH43,0))</f>
        <v>0</v>
      </c>
      <c r="CI10" s="674">
        <f xml:space="preserve">
IF(表紙!$X$2="実績報告（１次）",CI43,
IF(CI$19&gt;=1,CI43,0))</f>
        <v>0</v>
      </c>
      <c r="CJ10" s="674">
        <f xml:space="preserve">
IF(表紙!$X$2="実績報告（１次）",CJ43,
IF(CJ$19&gt;=1,CJ43,0))</f>
        <v>0</v>
      </c>
      <c r="CK10" s="674">
        <f xml:space="preserve">
IF(表紙!$X$2="実績報告（１次）",CK43,
IF(CK$19&gt;=1,CK43,0))</f>
        <v>0</v>
      </c>
      <c r="CL10" s="674">
        <f xml:space="preserve">
IF(表紙!$X$2="実績報告（１次）",CL43,
IF(CL$19&gt;=1,CL43,0))</f>
        <v>0</v>
      </c>
      <c r="CM10" s="674">
        <f xml:space="preserve">
IF(表紙!$X$2="実績報告（１次）",CM43,
IF(CM$19&gt;=1,CM43,0))</f>
        <v>0</v>
      </c>
      <c r="CN10" s="674">
        <f xml:space="preserve">
IF(表紙!$X$2="実績報告（１次）",CN43,
IF(CN$19&gt;=1,CN43,0))</f>
        <v>0</v>
      </c>
      <c r="CO10" s="674">
        <f xml:space="preserve">
IF(表紙!$X$2="実績報告（１次）",CO43,
IF(CO$19&gt;=1,CO43,0))</f>
        <v>0</v>
      </c>
      <c r="CP10" s="674">
        <f xml:space="preserve">
IF(表紙!$X$2="実績報告（１次）",CP43,
IF(CP$19&gt;=1,CP43,0))</f>
        <v>0</v>
      </c>
      <c r="CQ10" s="674">
        <f xml:space="preserve">
IF(表紙!$X$2="実績報告（１次）",CQ43,
IF(CQ$19&gt;=1,CQ43,0))</f>
        <v>0</v>
      </c>
      <c r="CR10" s="674">
        <f xml:space="preserve">
IF(表紙!$X$2="実績報告（１次）",CR43,
IF(CR$19&gt;=1,CR43,0))</f>
        <v>0</v>
      </c>
      <c r="CS10" s="674">
        <f xml:space="preserve">
IF(表紙!$X$2="実績報告（１次）",CS43,
IF(CS$19&gt;=1,CS43,0))</f>
        <v>0</v>
      </c>
      <c r="CT10" s="674">
        <f xml:space="preserve">
IF(表紙!$X$2="実績報告（１次）",CT43,
IF(CT$19&gt;=1,CT43,0))</f>
        <v>0</v>
      </c>
      <c r="CU10" s="674">
        <f xml:space="preserve">
IF(表紙!$X$2="実績報告（１次）",CU43,
IF(CU$19&gt;=1,CU43,0))</f>
        <v>0</v>
      </c>
      <c r="CV10" s="674">
        <f xml:space="preserve">
IF(表紙!$X$2="実績報告（１次）",CV43,
IF(CV$19&gt;=1,CV43,0))</f>
        <v>0</v>
      </c>
      <c r="CW10" s="674">
        <f xml:space="preserve">
IF(表紙!$X$2="実績報告（１次）",CW43,
IF(CW$19&gt;=1,CW43,0))</f>
        <v>0</v>
      </c>
      <c r="CX10" s="674">
        <f xml:space="preserve">
IF(表紙!$X$2="実績報告（１次）",CX43,
IF(CX$19&gt;=1,CX43,0))</f>
        <v>0</v>
      </c>
      <c r="CY10" s="674">
        <f xml:space="preserve">
IF(表紙!$X$2="実績報告（１次）",CY43,
IF(CY$19&gt;=1,CY43,0))</f>
        <v>0</v>
      </c>
      <c r="CZ10" s="674">
        <f xml:space="preserve">
IF(表紙!$X$2="実績報告（１次）",CZ43,
IF(CZ$19&gt;=1,CZ43,0))</f>
        <v>0</v>
      </c>
      <c r="DA10" s="674">
        <f xml:space="preserve">
IF(表紙!$X$2="実績報告（１次）",DA43,
IF(DA$19&gt;=1,DA43,0))</f>
        <v>0</v>
      </c>
      <c r="DB10" s="674">
        <f xml:space="preserve">
IF(表紙!$X$2="実績報告（１次）",DB43,
IF(DB$19&gt;=1,DB43,0))</f>
        <v>0</v>
      </c>
      <c r="DC10" s="674">
        <f xml:space="preserve">
IF(表紙!$X$2="実績報告（１次）",DC43,
IF(DC$19&gt;=1,DC43,0))</f>
        <v>0</v>
      </c>
      <c r="DD10" s="674">
        <f xml:space="preserve">
IF(表紙!$X$2="実績報告（１次）",DD43,
IF(DD$19&gt;=1,DD43,0))</f>
        <v>0</v>
      </c>
      <c r="DE10" s="674">
        <f xml:space="preserve">
IF(表紙!$X$2="実績報告（１次）",DE43,
IF(DE$19&gt;=1,DE43,0))</f>
        <v>0</v>
      </c>
      <c r="DF10" s="674">
        <f xml:space="preserve">
IF(表紙!$X$2="実績報告（１次）",DF43,
IF(DF$19&gt;=1,DF43,0))</f>
        <v>0</v>
      </c>
      <c r="DG10" s="674">
        <f xml:space="preserve">
IF(表紙!$X$2="実績報告（１次）",DG43,
IF(DG$19&gt;=1,DG43,0))</f>
        <v>0</v>
      </c>
      <c r="DH10" s="674">
        <f xml:space="preserve">
IF(表紙!$X$2="実績報告（１次）",DH43,
IF(DH$19&gt;=1,DH43,0))</f>
        <v>0</v>
      </c>
      <c r="DI10" s="674">
        <f xml:space="preserve">
IF(表紙!$X$2="実績報告（１次）",DI43,
IF(DI$19&gt;=1,DI43,0))</f>
        <v>0</v>
      </c>
      <c r="DJ10" s="674">
        <f xml:space="preserve">
IF(表紙!$X$2="実績報告（１次）",DJ43,
IF(DJ$19&gt;=1,DJ43,0))</f>
        <v>0</v>
      </c>
      <c r="DK10" s="674">
        <f xml:space="preserve">
IF(表紙!$X$2="実績報告（１次）",DK43,
IF(DK$19&gt;=1,DK43,0))</f>
        <v>0</v>
      </c>
      <c r="DL10" s="674">
        <f xml:space="preserve">
IF(表紙!$X$2="実績報告（１次）",DL43,
IF(DL$19&gt;=1,DL43,0))</f>
        <v>0</v>
      </c>
      <c r="DM10" s="674">
        <f xml:space="preserve">
IF(表紙!$X$2="実績報告（１次）",DM43,
IF(DM$19&gt;=1,DM43,0))</f>
        <v>0</v>
      </c>
      <c r="DN10" s="674">
        <f xml:space="preserve">
IF(表紙!$X$2="実績報告（１次）",DN43,
IF(DN$19&gt;=1,DN43,0))</f>
        <v>0</v>
      </c>
      <c r="DO10" s="674">
        <f xml:space="preserve">
IF(表紙!$X$2="実績報告（１次）",DO43,
IF(DO$19&gt;=1,DO43,0))</f>
        <v>0</v>
      </c>
      <c r="DP10" s="674">
        <f xml:space="preserve">
IF(表紙!$X$2="実績報告（１次）",DP43,
IF(DP$19&gt;=1,DP43,0))</f>
        <v>0</v>
      </c>
      <c r="DQ10" s="674">
        <f xml:space="preserve">
IF(表紙!$X$2="実績報告（１次）",DQ43,
IF(DQ$19&gt;=1,DQ43,0))</f>
        <v>0</v>
      </c>
      <c r="DR10" s="674">
        <f xml:space="preserve">
IF(表紙!$X$2="実績報告（１次）",DR43,
IF(DR$19&gt;=1,DR43,0))</f>
        <v>0</v>
      </c>
      <c r="DS10" s="674">
        <f xml:space="preserve">
IF(表紙!$X$2="実績報告（１次）",DS43,
IF(DS$19&gt;=1,DS43,0))</f>
        <v>0</v>
      </c>
      <c r="DT10" s="674">
        <f xml:space="preserve">
IF(表紙!$X$2="実績報告（１次）",DT43,
IF(DT$19&gt;=1,DT43,0))</f>
        <v>0</v>
      </c>
      <c r="DU10" s="674">
        <f xml:space="preserve">
IF(表紙!$X$2="実績報告（１次）",DU43,
IF(DU$19&gt;=1,DU43,0))</f>
        <v>0</v>
      </c>
      <c r="DV10" s="674">
        <f xml:space="preserve">
IF(表紙!$X$2="実績報告（１次）",DV43,
IF(DV$19&gt;=1,DV43,0))</f>
        <v>0</v>
      </c>
      <c r="DW10" s="674">
        <f xml:space="preserve">
IF(表紙!$X$2="実績報告（１次）",DW43,
IF(DW$19&gt;=1,DW43,0))</f>
        <v>0</v>
      </c>
      <c r="DX10" s="674">
        <f xml:space="preserve">
IF(表紙!$X$2="実績報告（１次）",DX43,
IF(DX$19&gt;=1,DX43,0))</f>
        <v>0</v>
      </c>
      <c r="DY10" s="674">
        <f xml:space="preserve">
IF(表紙!$X$2="実績報告（１次）",DY43,
IF(DY$19&gt;=1,DY43,0))</f>
        <v>0</v>
      </c>
      <c r="DZ10" s="674">
        <f xml:space="preserve">
IF(表紙!$X$2="実績報告（１次）",DZ43,
IF(DZ$19&gt;=1,DZ43,0))</f>
        <v>0</v>
      </c>
      <c r="EA10" s="674">
        <f xml:space="preserve">
IF(表紙!$X$2="実績報告（１次）",EA43,
IF(EA$19&gt;=1,EA43,0))</f>
        <v>0</v>
      </c>
      <c r="EB10" s="674">
        <f xml:space="preserve">
IF(表紙!$X$2="実績報告（１次）",EB43,
IF(EB$19&gt;=1,EB43,0))</f>
        <v>0</v>
      </c>
      <c r="EC10" s="674">
        <f xml:space="preserve">
IF(表紙!$X$2="実績報告（１次）",EC43,
IF(EC$19&gt;=1,EC43,0))</f>
        <v>0</v>
      </c>
      <c r="ED10" s="674">
        <f xml:space="preserve">
IF(表紙!$X$2="実績報告（１次）",ED43,
IF(ED$19&gt;=1,ED43,0))</f>
        <v>0</v>
      </c>
      <c r="EE10" s="674">
        <f xml:space="preserve">
IF(表紙!$X$2="実績報告（１次）",EE43,
IF(EE$19&gt;=1,EE43,0))</f>
        <v>0</v>
      </c>
      <c r="EF10" s="674">
        <f xml:space="preserve">
IF(表紙!$X$2="実績報告（１次）",EF43,
IF(EF$19&gt;=1,EF43,0))</f>
        <v>0</v>
      </c>
      <c r="EG10" s="674">
        <f xml:space="preserve">
IF(表紙!$X$2="実績報告（１次）",EG43,
IF(EG$19&gt;=1,EG43,0))</f>
        <v>0</v>
      </c>
      <c r="EH10" s="674">
        <f xml:space="preserve">
IF(表紙!$X$2="実績報告（１次）",EH43,
IF(EH$19&gt;=1,EH43,0))</f>
        <v>0</v>
      </c>
      <c r="EI10" s="674">
        <f xml:space="preserve">
IF(表紙!$X$2="実績報告（１次）",EI43,
IF(EI$19&gt;=1,EI43,0))</f>
        <v>0</v>
      </c>
      <c r="EJ10" s="674">
        <f xml:space="preserve">
IF(表紙!$X$2="実績報告（１次）",EJ43,
IF(EJ$19&gt;=1,EJ43,0))</f>
        <v>0</v>
      </c>
      <c r="EK10" s="674">
        <f xml:space="preserve">
IF(表紙!$X$2="実績報告（１次）",EK43,
IF(EK$19&gt;=1,EK43,0))</f>
        <v>0</v>
      </c>
      <c r="EL10" s="674">
        <f xml:space="preserve">
IF(表紙!$X$2="実績報告（１次）",EL43,
IF(EL$19&gt;=1,EL43,0))</f>
        <v>0</v>
      </c>
      <c r="EM10" s="674">
        <f xml:space="preserve">
IF(表紙!$X$2="実績報告（１次）",EM43,
IF(EM$19&gt;=1,EM43,0))</f>
        <v>0</v>
      </c>
      <c r="EN10" s="674">
        <f xml:space="preserve">
IF(表紙!$X$2="実績報告（１次）",EN43,
IF(EN$19&gt;=1,EN43,0))</f>
        <v>0</v>
      </c>
      <c r="EO10" s="674">
        <f xml:space="preserve">
IF(表紙!$X$2="実績報告（１次）",EO43,
IF(EO$19&gt;=1,EO43,0))</f>
        <v>0</v>
      </c>
      <c r="EP10" s="674">
        <f xml:space="preserve">
IF(表紙!$X$2="実績報告（１次）",EP43,
IF(EP$19&gt;=1,EP43,0))</f>
        <v>0</v>
      </c>
      <c r="EQ10" s="674">
        <f xml:space="preserve">
IF(表紙!$X$2="実績報告（１次）",EQ43,
IF(EQ$19&gt;=1,EQ43,0))</f>
        <v>0</v>
      </c>
      <c r="ER10" s="674">
        <f xml:space="preserve">
IF(表紙!$X$2="実績報告（１次）",ER43,
IF(ER$19&gt;=1,ER43,0))</f>
        <v>0</v>
      </c>
      <c r="ES10" s="674">
        <f xml:space="preserve">
IF(表紙!$X$2="実績報告（１次）",ES43,
IF(ES$19&gt;=1,ES43,0))</f>
        <v>0</v>
      </c>
      <c r="ET10" s="674">
        <f xml:space="preserve">
IF(表紙!$X$2="実績報告（１次）",ET43,
IF(ET$19&gt;=1,ET43,0))</f>
        <v>0</v>
      </c>
      <c r="EU10" s="674">
        <f xml:space="preserve">
IF(表紙!$X$2="実績報告（１次）",EU43,
IF(EU$19&gt;=1,EU43,0))</f>
        <v>0</v>
      </c>
      <c r="EV10" s="674">
        <f xml:space="preserve">
IF(表紙!$X$2="実績報告（１次）",EV43,
IF(EV$19&gt;=1,EV43,0))</f>
        <v>0</v>
      </c>
      <c r="EW10" s="674">
        <f xml:space="preserve">
IF(表紙!$X$2="実績報告（１次）",EW43,
IF(EW$19&gt;=1,EW43,0))</f>
        <v>0</v>
      </c>
      <c r="EX10" s="674">
        <f xml:space="preserve">
IF(表紙!$X$2="実績報告（１次）",EX43,
IF(EX$19&gt;=1,EX43,0))</f>
        <v>0</v>
      </c>
      <c r="EY10" s="674">
        <f xml:space="preserve">
IF(表紙!$X$2="実績報告（１次）",EY43,
IF(EY$19&gt;=1,EY43,0))</f>
        <v>0</v>
      </c>
      <c r="EZ10" s="674">
        <f xml:space="preserve">
IF(表紙!$X$2="実績報告（１次）",EZ43,
IF(EZ$19&gt;=1,EZ43,0))</f>
        <v>0</v>
      </c>
      <c r="FA10" s="674">
        <f xml:space="preserve">
IF(表紙!$X$2="実績報告（１次）",FA43,
IF(FA$19&gt;=1,FA43,0))</f>
        <v>0</v>
      </c>
      <c r="FB10" s="674">
        <f xml:space="preserve">
IF(表紙!$X$2="実績報告（１次）",FB43,
IF(FB$19&gt;=1,FB43,0))</f>
        <v>0</v>
      </c>
      <c r="FC10" s="674">
        <f xml:space="preserve">
IF(表紙!$X$2="実績報告（１次）",FC43,
IF(FC$19&gt;=1,FC43,0))</f>
        <v>0</v>
      </c>
      <c r="FD10" s="674">
        <f xml:space="preserve">
IF(表紙!$X$2="実績報告（１次）",FD43,
IF(FD$19&gt;=1,FD43,0))</f>
        <v>0</v>
      </c>
      <c r="FE10" s="674">
        <f xml:space="preserve">
IF(表紙!$X$2="実績報告（１次）",FE43,
IF(FE$19&gt;=1,FE43,0))</f>
        <v>0</v>
      </c>
      <c r="FF10" s="674">
        <f xml:space="preserve">
IF(表紙!$X$2="実績報告（１次）",FF43,
IF(FF$19&gt;=1,FF43,0))</f>
        <v>0</v>
      </c>
      <c r="FG10" s="674">
        <f xml:space="preserve">
IF(表紙!$X$2="実績報告（１次）",FG43,
IF(FG$19&gt;=1,FG43,0))</f>
        <v>0</v>
      </c>
      <c r="FH10" s="674">
        <f xml:space="preserve">
IF(表紙!$X$2="実績報告（１次）",FH43,
IF(FH$19&gt;=1,FH43,0))</f>
        <v>0</v>
      </c>
      <c r="FI10" s="674">
        <f xml:space="preserve">
IF(表紙!$X$2="実績報告（１次）",FI43,
IF(FI$19&gt;=1,FI43,0))</f>
        <v>0</v>
      </c>
      <c r="FJ10" s="674">
        <f xml:space="preserve">
IF(表紙!$X$2="実績報告（１次）",FJ43,
IF(FJ$19&gt;=1,FJ43,0))</f>
        <v>0</v>
      </c>
      <c r="FK10" s="674">
        <f xml:space="preserve">
IF(表紙!$X$2="実績報告（１次）",FK43,
IF(FK$19&gt;=1,FK43,0))</f>
        <v>0</v>
      </c>
      <c r="FL10" s="674">
        <f xml:space="preserve">
IF(表紙!$X$2="実績報告（１次）",FL43,
IF(FL$19&gt;=1,FL43,0))</f>
        <v>0</v>
      </c>
      <c r="FM10" s="674">
        <f xml:space="preserve">
IF(表紙!$X$2="実績報告（１次）",FM43,
IF(FM$19&gt;=1,FM43,0))</f>
        <v>0</v>
      </c>
      <c r="FN10" s="674">
        <f xml:space="preserve">
IF(表紙!$X$2="実績報告（１次）",FN43,
IF(FN$19&gt;=1,FN43,0))</f>
        <v>0</v>
      </c>
      <c r="FO10" s="674">
        <f xml:space="preserve">
IF(表紙!$X$2="実績報告（１次）",FO43,
IF(FO$19&gt;=1,FO43,0))</f>
        <v>0</v>
      </c>
      <c r="FP10" s="674">
        <f xml:space="preserve">
IF(表紙!$X$2="実績報告（１次）",FP43,
IF(FP$19&gt;=1,FP43,0))</f>
        <v>0</v>
      </c>
      <c r="FQ10" s="674">
        <f xml:space="preserve">
IF(表紙!$X$2="実績報告（１次）",FQ43,
IF(FQ$19&gt;=1,FQ43,0))</f>
        <v>0</v>
      </c>
      <c r="FR10" s="674">
        <f xml:space="preserve">
IF(表紙!$X$2="実績報告（１次）",FR43,
IF(FR$19&gt;=1,FR43,0))</f>
        <v>0</v>
      </c>
      <c r="FS10" s="674">
        <f xml:space="preserve">
IF(表紙!$X$2="実績報告（１次）",FS43,
IF(FS$19&gt;=1,FS43,0))</f>
        <v>0</v>
      </c>
      <c r="FT10" s="674">
        <f xml:space="preserve">
IF(表紙!$X$2="実績報告（１次）",FT43,
IF(FT$19&gt;=1,FT43,0))</f>
        <v>0</v>
      </c>
      <c r="FU10" s="674">
        <f xml:space="preserve">
IF(表紙!$X$2="実績報告（１次）",FU43,
IF(FU$19&gt;=1,FU43,0))</f>
        <v>0</v>
      </c>
      <c r="FV10" s="674">
        <f xml:space="preserve">
IF(表紙!$X$2="実績報告（１次）",FV43,
IF(FV$19&gt;=1,FV43,0))</f>
        <v>0</v>
      </c>
      <c r="FW10" s="674">
        <f xml:space="preserve">
IF(表紙!$X$2="実績報告（１次）",FW43,
IF(FW$19&gt;=1,FW43,0))</f>
        <v>0</v>
      </c>
      <c r="FX10" s="674">
        <f xml:space="preserve">
IF(表紙!$X$2="実績報告（１次）",FX43,
IF(FX$19&gt;=1,FX43,0))</f>
        <v>0</v>
      </c>
      <c r="FY10" s="674">
        <f xml:space="preserve">
IF(表紙!$X$2="実績報告（１次）",FY43,
IF(FY$19&gt;=1,FY43,0))</f>
        <v>0</v>
      </c>
      <c r="FZ10" s="674">
        <f xml:space="preserve">
IF(表紙!$X$2="実績報告（１次）",FZ43,
IF(FZ$19&gt;=1,FZ43,0))</f>
        <v>0</v>
      </c>
      <c r="GA10" s="674">
        <f xml:space="preserve">
IF(表紙!$X$2="実績報告（１次）",GA43,
IF(GA$19&gt;=1,GA43,0))</f>
        <v>0</v>
      </c>
      <c r="GB10" s="674">
        <f xml:space="preserve">
IF(表紙!$X$2="実績報告（１次）",GB43,
IF(GB$19&gt;=1,GB43,0))</f>
        <v>0</v>
      </c>
      <c r="GC10" s="674">
        <f xml:space="preserve">
IF(表紙!$X$2="実績報告（１次）",GC43,
IF(GC$19&gt;=1,GC43,0))</f>
        <v>0</v>
      </c>
      <c r="GD10" s="674">
        <f xml:space="preserve">
IF(表紙!$X$2="実績報告（１次）",GD43,
IF(GD$19&gt;=1,GD43,0))</f>
        <v>0</v>
      </c>
      <c r="GE10" s="674">
        <f xml:space="preserve">
IF(表紙!$X$2="実績報告（１次）",GE43,
IF(GE$19&gt;=1,GE43,0))</f>
        <v>0</v>
      </c>
      <c r="GF10" s="674">
        <f xml:space="preserve">
IF(表紙!$X$2="実績報告（１次）",GF43,
IF(GF$19&gt;=1,GF43,0))</f>
        <v>0</v>
      </c>
      <c r="GG10" s="674">
        <f xml:space="preserve">
IF(表紙!$X$2="実績報告（１次）",GG43,
IF(GG$19&gt;=1,GG43,0))</f>
        <v>0</v>
      </c>
      <c r="GH10" s="674">
        <f xml:space="preserve">
IF(表紙!$X$2="実績報告（１次）",GH43,
IF(GH$19&gt;=1,GH43,0))</f>
        <v>0</v>
      </c>
      <c r="GI10" s="674">
        <f xml:space="preserve">
IF(表紙!$X$2="実績報告（１次）",GI43,
IF(GI$19&gt;=1,GI43,0))</f>
        <v>0</v>
      </c>
      <c r="GJ10" s="674">
        <f xml:space="preserve">
IF(表紙!$X$2="実績報告（１次）",GJ43,
IF(GJ$19&gt;=1,GJ43,0))</f>
        <v>0</v>
      </c>
    </row>
    <row r="11" spans="2:192" ht="9.75" customHeight="1">
      <c r="B11" s="618"/>
      <c r="C11" s="630" t="s">
        <v>1298</v>
      </c>
      <c r="D11" s="672">
        <f>基礎情報!V140</f>
        <v>0</v>
      </c>
      <c r="E11" s="1941">
        <f t="shared" si="3"/>
        <v>0</v>
      </c>
      <c r="F11" s="1942"/>
      <c r="G11" s="674">
        <f xml:space="preserve">
IF(表紙!$X$2="実績報告（１次）",G46,
IF(G$19&gt;=1,G46,0))</f>
        <v>0</v>
      </c>
      <c r="H11" s="674">
        <f xml:space="preserve">
IF(表紙!$X$2="実績報告（１次）",H46,
IF(H$19&gt;=1,H46,0))</f>
        <v>0</v>
      </c>
      <c r="I11" s="674">
        <f xml:space="preserve">
IF(表紙!$X$2="実績報告（１次）",I46,
IF(I$19&gt;=1,I46,0))</f>
        <v>0</v>
      </c>
      <c r="J11" s="674">
        <f xml:space="preserve">
IF(表紙!$X$2="実績報告（１次）",J46,
IF(J$19&gt;=1,J46,0))</f>
        <v>0</v>
      </c>
      <c r="K11" s="674">
        <f xml:space="preserve">
IF(表紙!$X$2="実績報告（１次）",K46,
IF(K$19&gt;=1,K46,0))</f>
        <v>0</v>
      </c>
      <c r="L11" s="674">
        <f xml:space="preserve">
IF(表紙!$X$2="実績報告（１次）",L46,
IF(L$19&gt;=1,L46,0))</f>
        <v>0</v>
      </c>
      <c r="M11" s="674">
        <f xml:space="preserve">
IF(表紙!$X$2="実績報告（１次）",M46,
IF(M$19&gt;=1,M46,0))</f>
        <v>0</v>
      </c>
      <c r="N11" s="674">
        <f xml:space="preserve">
IF(表紙!$X$2="実績報告（１次）",N46,
IF(N$19&gt;=1,N46,0))</f>
        <v>0</v>
      </c>
      <c r="O11" s="674">
        <f xml:space="preserve">
IF(表紙!$X$2="実績報告（１次）",O46,
IF(O$19&gt;=1,O46,0))</f>
        <v>0</v>
      </c>
      <c r="P11" s="674">
        <f xml:space="preserve">
IF(表紙!$X$2="実績報告（１次）",P46,
IF(P$19&gt;=1,P46,0))</f>
        <v>0</v>
      </c>
      <c r="Q11" s="674">
        <f xml:space="preserve">
IF(表紙!$X$2="実績報告（１次）",Q46,
IF(Q$19&gt;=1,Q46,0))</f>
        <v>0</v>
      </c>
      <c r="R11" s="674">
        <f xml:space="preserve">
IF(表紙!$X$2="実績報告（１次）",R46,
IF(R$19&gt;=1,R46,0))</f>
        <v>0</v>
      </c>
      <c r="S11" s="674">
        <f xml:space="preserve">
IF(表紙!$X$2="実績報告（１次）",S46,
IF(S$19&gt;=1,S46,0))</f>
        <v>0</v>
      </c>
      <c r="T11" s="674">
        <f xml:space="preserve">
IF(表紙!$X$2="実績報告（１次）",T46,
IF(T$19&gt;=1,T46,0))</f>
        <v>0</v>
      </c>
      <c r="U11" s="674">
        <f xml:space="preserve">
IF(表紙!$X$2="実績報告（１次）",U46,
IF(U$19&gt;=1,U46,0))</f>
        <v>0</v>
      </c>
      <c r="V11" s="674">
        <f xml:space="preserve">
IF(表紙!$X$2="実績報告（１次）",V46,
IF(V$19&gt;=1,V46,0))</f>
        <v>0</v>
      </c>
      <c r="W11" s="674">
        <f xml:space="preserve">
IF(表紙!$X$2="実績報告（１次）",W46,
IF(W$19&gt;=1,W46,0))</f>
        <v>0</v>
      </c>
      <c r="X11" s="674">
        <f xml:space="preserve">
IF(表紙!$X$2="実績報告（１次）",X46,
IF(X$19&gt;=1,X46,0))</f>
        <v>0</v>
      </c>
      <c r="Y11" s="674">
        <f xml:space="preserve">
IF(表紙!$X$2="実績報告（１次）",Y46,
IF(Y$19&gt;=1,Y46,0))</f>
        <v>0</v>
      </c>
      <c r="Z11" s="674">
        <f xml:space="preserve">
IF(表紙!$X$2="実績報告（１次）",Z46,
IF(Z$19&gt;=1,Z46,0))</f>
        <v>0</v>
      </c>
      <c r="AA11" s="674">
        <f xml:space="preserve">
IF(表紙!$X$2="実績報告（１次）",AA46,
IF(AA$19&gt;=1,AA46,0))</f>
        <v>0</v>
      </c>
      <c r="AB11" s="674">
        <f xml:space="preserve">
IF(表紙!$X$2="実績報告（１次）",AB46,
IF(AB$19&gt;=1,AB46,0))</f>
        <v>0</v>
      </c>
      <c r="AC11" s="674">
        <f xml:space="preserve">
IF(表紙!$X$2="実績報告（１次）",AC46,
IF(AC$19&gt;=1,AC46,0))</f>
        <v>0</v>
      </c>
      <c r="AD11" s="674">
        <f xml:space="preserve">
IF(表紙!$X$2="実績報告（１次）",AD46,
IF(AD$19&gt;=1,AD46,0))</f>
        <v>0</v>
      </c>
      <c r="AE11" s="674">
        <f xml:space="preserve">
IF(表紙!$X$2="実績報告（１次）",AE46,
IF(AE$19&gt;=1,AE46,0))</f>
        <v>0</v>
      </c>
      <c r="AF11" s="674">
        <f xml:space="preserve">
IF(表紙!$X$2="実績報告（１次）",AF46,
IF(AF$19&gt;=1,AF46,0))</f>
        <v>0</v>
      </c>
      <c r="AG11" s="674">
        <f xml:space="preserve">
IF(表紙!$X$2="実績報告（１次）",AG46,
IF(AG$19&gt;=1,AG46,0))</f>
        <v>0</v>
      </c>
      <c r="AH11" s="674">
        <f xml:space="preserve">
IF(表紙!$X$2="実績報告（１次）",AH46,
IF(AH$19&gt;=1,AH46,0))</f>
        <v>0</v>
      </c>
      <c r="AI11" s="674">
        <f xml:space="preserve">
IF(表紙!$X$2="実績報告（１次）",AI46,
IF(AI$19&gt;=1,AI46,0))</f>
        <v>0</v>
      </c>
      <c r="AJ11" s="674">
        <f xml:space="preserve">
IF(表紙!$X$2="実績報告（１次）",AJ46,
IF(AJ$19&gt;=1,AJ46,0))</f>
        <v>0</v>
      </c>
      <c r="AK11" s="674">
        <f xml:space="preserve">
IF(表紙!$X$2="実績報告（１次）",AK46,
IF(AK$19&gt;=1,AK46,0))</f>
        <v>0</v>
      </c>
      <c r="AL11" s="674">
        <f xml:space="preserve">
IF(表紙!$X$2="実績報告（１次）",AL46,
IF(AL$19&gt;=1,AL46,0))</f>
        <v>0</v>
      </c>
      <c r="AM11" s="674">
        <f xml:space="preserve">
IF(表紙!$X$2="実績報告（１次）",AM46,
IF(AM$19&gt;=1,AM46,0))</f>
        <v>0</v>
      </c>
      <c r="AN11" s="674">
        <f xml:space="preserve">
IF(表紙!$X$2="実績報告（１次）",AN46,
IF(AN$19&gt;=1,AN46,0))</f>
        <v>0</v>
      </c>
      <c r="AO11" s="674">
        <f xml:space="preserve">
IF(表紙!$X$2="実績報告（１次）",AO46,
IF(AO$19&gt;=1,AO46,0))</f>
        <v>0</v>
      </c>
      <c r="AP11" s="674">
        <f xml:space="preserve">
IF(表紙!$X$2="実績報告（１次）",AP46,
IF(AP$19&gt;=1,AP46,0))</f>
        <v>0</v>
      </c>
      <c r="AQ11" s="674">
        <f xml:space="preserve">
IF(表紙!$X$2="実績報告（１次）",AQ46,
IF(AQ$19&gt;=1,AQ46,0))</f>
        <v>0</v>
      </c>
      <c r="AR11" s="674">
        <f xml:space="preserve">
IF(表紙!$X$2="実績報告（１次）",AR46,
IF(AR$19&gt;=1,AR46,0))</f>
        <v>0</v>
      </c>
      <c r="AS11" s="674">
        <f xml:space="preserve">
IF(表紙!$X$2="実績報告（１次）",AS46,
IF(AS$19&gt;=1,AS46,0))</f>
        <v>0</v>
      </c>
      <c r="AT11" s="674">
        <f xml:space="preserve">
IF(表紙!$X$2="実績報告（１次）",AT46,
IF(AT$19&gt;=1,AT46,0))</f>
        <v>0</v>
      </c>
      <c r="AU11" s="674">
        <f xml:space="preserve">
IF(表紙!$X$2="実績報告（１次）",AU46,
IF(AU$19&gt;=1,AU46,0))</f>
        <v>0</v>
      </c>
      <c r="AV11" s="674">
        <f xml:space="preserve">
IF(表紙!$X$2="実績報告（１次）",AV46,
IF(AV$19&gt;=1,AV46,0))</f>
        <v>0</v>
      </c>
      <c r="AW11" s="674">
        <f xml:space="preserve">
IF(表紙!$X$2="実績報告（１次）",AW46,
IF(AW$19&gt;=1,AW46,0))</f>
        <v>0</v>
      </c>
      <c r="AX11" s="674">
        <f xml:space="preserve">
IF(表紙!$X$2="実績報告（１次）",AX46,
IF(AX$19&gt;=1,AX46,0))</f>
        <v>0</v>
      </c>
      <c r="AY11" s="674">
        <f xml:space="preserve">
IF(表紙!$X$2="実績報告（１次）",AY46,
IF(AY$19&gt;=1,AY46,0))</f>
        <v>0</v>
      </c>
      <c r="AZ11" s="674">
        <f xml:space="preserve">
IF(表紙!$X$2="実績報告（１次）",AZ46,
IF(AZ$19&gt;=1,AZ46,0))</f>
        <v>0</v>
      </c>
      <c r="BA11" s="674">
        <f xml:space="preserve">
IF(表紙!$X$2="実績報告（１次）",BA46,
IF(BA$19&gt;=1,BA46,0))</f>
        <v>0</v>
      </c>
      <c r="BB11" s="674">
        <f xml:space="preserve">
IF(表紙!$X$2="実績報告（１次）",BB46,
IF(BB$19&gt;=1,BB46,0))</f>
        <v>0</v>
      </c>
      <c r="BC11" s="674">
        <f xml:space="preserve">
IF(表紙!$X$2="実績報告（１次）",BC46,
IF(BC$19&gt;=1,BC46,0))</f>
        <v>0</v>
      </c>
      <c r="BD11" s="674">
        <f xml:space="preserve">
IF(表紙!$X$2="実績報告（１次）",BD46,
IF(BD$19&gt;=1,BD46,0))</f>
        <v>0</v>
      </c>
      <c r="BE11" s="674">
        <f xml:space="preserve">
IF(表紙!$X$2="実績報告（１次）",BE46,
IF(BE$19&gt;=1,BE46,0))</f>
        <v>0</v>
      </c>
      <c r="BF11" s="674">
        <f xml:space="preserve">
IF(表紙!$X$2="実績報告（１次）",BF46,
IF(BF$19&gt;=1,BF46,0))</f>
        <v>0</v>
      </c>
      <c r="BG11" s="674">
        <f xml:space="preserve">
IF(表紙!$X$2="実績報告（１次）",BG46,
IF(BG$19&gt;=1,BG46,0))</f>
        <v>0</v>
      </c>
      <c r="BH11" s="674">
        <f xml:space="preserve">
IF(表紙!$X$2="実績報告（１次）",BH46,
IF(BH$19&gt;=1,BH46,0))</f>
        <v>0</v>
      </c>
      <c r="BI11" s="674">
        <f xml:space="preserve">
IF(表紙!$X$2="実績報告（１次）",BI46,
IF(BI$19&gt;=1,BI46,0))</f>
        <v>0</v>
      </c>
      <c r="BJ11" s="674">
        <f xml:space="preserve">
IF(表紙!$X$2="実績報告（１次）",BJ46,
IF(BJ$19&gt;=1,BJ46,0))</f>
        <v>0</v>
      </c>
      <c r="BK11" s="674">
        <f xml:space="preserve">
IF(表紙!$X$2="実績報告（１次）",BK46,
IF(BK$19&gt;=1,BK46,0))</f>
        <v>0</v>
      </c>
      <c r="BL11" s="674">
        <f xml:space="preserve">
IF(表紙!$X$2="実績報告（１次）",BL46,
IF(BL$19&gt;=1,BL46,0))</f>
        <v>0</v>
      </c>
      <c r="BM11" s="674">
        <f xml:space="preserve">
IF(表紙!$X$2="実績報告（１次）",BM46,
IF(BM$19&gt;=1,BM46,0))</f>
        <v>0</v>
      </c>
      <c r="BN11" s="674">
        <f xml:space="preserve">
IF(表紙!$X$2="実績報告（１次）",BN46,
IF(BN$19&gt;=1,BN46,0))</f>
        <v>0</v>
      </c>
      <c r="BO11" s="674">
        <f xml:space="preserve">
IF(表紙!$X$2="実績報告（１次）",BO46,
IF(BO$19&gt;=1,BO46,0))</f>
        <v>0</v>
      </c>
      <c r="BP11" s="674">
        <f xml:space="preserve">
IF(表紙!$X$2="実績報告（１次）",BP46,
IF(BP$19&gt;=1,BP46,0))</f>
        <v>0</v>
      </c>
      <c r="BQ11" s="674">
        <f xml:space="preserve">
IF(表紙!$X$2="実績報告（１次）",BQ46,
IF(BQ$19&gt;=1,BQ46,0))</f>
        <v>0</v>
      </c>
      <c r="BR11" s="674">
        <f xml:space="preserve">
IF(表紙!$X$2="実績報告（１次）",BR46,
IF(BR$19&gt;=1,BR46,0))</f>
        <v>0</v>
      </c>
      <c r="BS11" s="674">
        <f xml:space="preserve">
IF(表紙!$X$2="実績報告（１次）",BS46,
IF(BS$19&gt;=1,BS46,0))</f>
        <v>0</v>
      </c>
      <c r="BT11" s="674">
        <f xml:space="preserve">
IF(表紙!$X$2="実績報告（１次）",BT46,
IF(BT$19&gt;=1,BT46,0))</f>
        <v>0</v>
      </c>
      <c r="BU11" s="674">
        <f xml:space="preserve">
IF(表紙!$X$2="実績報告（１次）",BU46,
IF(BU$19&gt;=1,BU46,0))</f>
        <v>0</v>
      </c>
      <c r="BV11" s="674">
        <f xml:space="preserve">
IF(表紙!$X$2="実績報告（１次）",BV46,
IF(BV$19&gt;=1,BV46,0))</f>
        <v>0</v>
      </c>
      <c r="BW11" s="674">
        <f xml:space="preserve">
IF(表紙!$X$2="実績報告（１次）",BW46,
IF(BW$19&gt;=1,BW46,0))</f>
        <v>0</v>
      </c>
      <c r="BX11" s="674">
        <f xml:space="preserve">
IF(表紙!$X$2="実績報告（１次）",BX46,
IF(BX$19&gt;=1,BX46,0))</f>
        <v>0</v>
      </c>
      <c r="BY11" s="674">
        <f xml:space="preserve">
IF(表紙!$X$2="実績報告（１次）",BY46,
IF(BY$19&gt;=1,BY46,0))</f>
        <v>0</v>
      </c>
      <c r="BZ11" s="674">
        <f xml:space="preserve">
IF(表紙!$X$2="実績報告（１次）",BZ46,
IF(BZ$19&gt;=1,BZ46,0))</f>
        <v>0</v>
      </c>
      <c r="CA11" s="674">
        <f xml:space="preserve">
IF(表紙!$X$2="実績報告（１次）",CA46,
IF(CA$19&gt;=1,CA46,0))</f>
        <v>0</v>
      </c>
      <c r="CB11" s="674">
        <f xml:space="preserve">
IF(表紙!$X$2="実績報告（１次）",CB46,
IF(CB$19&gt;=1,CB46,0))</f>
        <v>0</v>
      </c>
      <c r="CC11" s="674">
        <f xml:space="preserve">
IF(表紙!$X$2="実績報告（１次）",CC46,
IF(CC$19&gt;=1,CC46,0))</f>
        <v>0</v>
      </c>
      <c r="CD11" s="674">
        <f xml:space="preserve">
IF(表紙!$X$2="実績報告（１次）",CD46,
IF(CD$19&gt;=1,CD46,0))</f>
        <v>0</v>
      </c>
      <c r="CE11" s="674">
        <f xml:space="preserve">
IF(表紙!$X$2="実績報告（１次）",CE46,
IF(CE$19&gt;=1,CE46,0))</f>
        <v>0</v>
      </c>
      <c r="CF11" s="674">
        <f xml:space="preserve">
IF(表紙!$X$2="実績報告（１次）",CF46,
IF(CF$19&gt;=1,CF46,0))</f>
        <v>0</v>
      </c>
      <c r="CG11" s="674">
        <f xml:space="preserve">
IF(表紙!$X$2="実績報告（１次）",CG46,
IF(CG$19&gt;=1,CG46,0))</f>
        <v>0</v>
      </c>
      <c r="CH11" s="674">
        <f xml:space="preserve">
IF(表紙!$X$2="実績報告（１次）",CH46,
IF(CH$19&gt;=1,CH46,0))</f>
        <v>0</v>
      </c>
      <c r="CI11" s="674">
        <f xml:space="preserve">
IF(表紙!$X$2="実績報告（１次）",CI46,
IF(CI$19&gt;=1,CI46,0))</f>
        <v>0</v>
      </c>
      <c r="CJ11" s="674">
        <f xml:space="preserve">
IF(表紙!$X$2="実績報告（１次）",CJ46,
IF(CJ$19&gt;=1,CJ46,0))</f>
        <v>0</v>
      </c>
      <c r="CK11" s="674">
        <f xml:space="preserve">
IF(表紙!$X$2="実績報告（１次）",CK46,
IF(CK$19&gt;=1,CK46,0))</f>
        <v>0</v>
      </c>
      <c r="CL11" s="674">
        <f xml:space="preserve">
IF(表紙!$X$2="実績報告（１次）",CL46,
IF(CL$19&gt;=1,CL46,0))</f>
        <v>0</v>
      </c>
      <c r="CM11" s="674">
        <f xml:space="preserve">
IF(表紙!$X$2="実績報告（１次）",CM46,
IF(CM$19&gt;=1,CM46,0))</f>
        <v>0</v>
      </c>
      <c r="CN11" s="674">
        <f xml:space="preserve">
IF(表紙!$X$2="実績報告（１次）",CN46,
IF(CN$19&gt;=1,CN46,0))</f>
        <v>0</v>
      </c>
      <c r="CO11" s="674">
        <f xml:space="preserve">
IF(表紙!$X$2="実績報告（１次）",CO46,
IF(CO$19&gt;=1,CO46,0))</f>
        <v>0</v>
      </c>
      <c r="CP11" s="674">
        <f xml:space="preserve">
IF(表紙!$X$2="実績報告（１次）",CP46,
IF(CP$19&gt;=1,CP46,0))</f>
        <v>0</v>
      </c>
      <c r="CQ11" s="674">
        <f xml:space="preserve">
IF(表紙!$X$2="実績報告（１次）",CQ46,
IF(CQ$19&gt;=1,CQ46,0))</f>
        <v>0</v>
      </c>
      <c r="CR11" s="674">
        <f xml:space="preserve">
IF(表紙!$X$2="実績報告（１次）",CR46,
IF(CR$19&gt;=1,CR46,0))</f>
        <v>0</v>
      </c>
      <c r="CS11" s="674">
        <f xml:space="preserve">
IF(表紙!$X$2="実績報告（１次）",CS46,
IF(CS$19&gt;=1,CS46,0))</f>
        <v>0</v>
      </c>
      <c r="CT11" s="674">
        <f xml:space="preserve">
IF(表紙!$X$2="実績報告（１次）",CT46,
IF(CT$19&gt;=1,CT46,0))</f>
        <v>0</v>
      </c>
      <c r="CU11" s="674">
        <f xml:space="preserve">
IF(表紙!$X$2="実績報告（１次）",CU46,
IF(CU$19&gt;=1,CU46,0))</f>
        <v>0</v>
      </c>
      <c r="CV11" s="674">
        <f xml:space="preserve">
IF(表紙!$X$2="実績報告（１次）",CV46,
IF(CV$19&gt;=1,CV46,0))</f>
        <v>0</v>
      </c>
      <c r="CW11" s="674">
        <f xml:space="preserve">
IF(表紙!$X$2="実績報告（１次）",CW46,
IF(CW$19&gt;=1,CW46,0))</f>
        <v>0</v>
      </c>
      <c r="CX11" s="674">
        <f xml:space="preserve">
IF(表紙!$X$2="実績報告（１次）",CX46,
IF(CX$19&gt;=1,CX46,0))</f>
        <v>0</v>
      </c>
      <c r="CY11" s="674">
        <f xml:space="preserve">
IF(表紙!$X$2="実績報告（１次）",CY46,
IF(CY$19&gt;=1,CY46,0))</f>
        <v>0</v>
      </c>
      <c r="CZ11" s="674">
        <f xml:space="preserve">
IF(表紙!$X$2="実績報告（１次）",CZ46,
IF(CZ$19&gt;=1,CZ46,0))</f>
        <v>0</v>
      </c>
      <c r="DA11" s="674">
        <f xml:space="preserve">
IF(表紙!$X$2="実績報告（１次）",DA46,
IF(DA$19&gt;=1,DA46,0))</f>
        <v>0</v>
      </c>
      <c r="DB11" s="674">
        <f xml:space="preserve">
IF(表紙!$X$2="実績報告（１次）",DB46,
IF(DB$19&gt;=1,DB46,0))</f>
        <v>0</v>
      </c>
      <c r="DC11" s="674">
        <f xml:space="preserve">
IF(表紙!$X$2="実績報告（１次）",DC46,
IF(DC$19&gt;=1,DC46,0))</f>
        <v>0</v>
      </c>
      <c r="DD11" s="674">
        <f xml:space="preserve">
IF(表紙!$X$2="実績報告（１次）",DD46,
IF(DD$19&gt;=1,DD46,0))</f>
        <v>0</v>
      </c>
      <c r="DE11" s="674">
        <f xml:space="preserve">
IF(表紙!$X$2="実績報告（１次）",DE46,
IF(DE$19&gt;=1,DE46,0))</f>
        <v>0</v>
      </c>
      <c r="DF11" s="674">
        <f xml:space="preserve">
IF(表紙!$X$2="実績報告（１次）",DF46,
IF(DF$19&gt;=1,DF46,0))</f>
        <v>0</v>
      </c>
      <c r="DG11" s="674">
        <f xml:space="preserve">
IF(表紙!$X$2="実績報告（１次）",DG46,
IF(DG$19&gt;=1,DG46,0))</f>
        <v>0</v>
      </c>
      <c r="DH11" s="674">
        <f xml:space="preserve">
IF(表紙!$X$2="実績報告（１次）",DH46,
IF(DH$19&gt;=1,DH46,0))</f>
        <v>0</v>
      </c>
      <c r="DI11" s="674">
        <f xml:space="preserve">
IF(表紙!$X$2="実績報告（１次）",DI46,
IF(DI$19&gt;=1,DI46,0))</f>
        <v>0</v>
      </c>
      <c r="DJ11" s="674">
        <f xml:space="preserve">
IF(表紙!$X$2="実績報告（１次）",DJ46,
IF(DJ$19&gt;=1,DJ46,0))</f>
        <v>0</v>
      </c>
      <c r="DK11" s="674">
        <f xml:space="preserve">
IF(表紙!$X$2="実績報告（１次）",DK46,
IF(DK$19&gt;=1,DK46,0))</f>
        <v>0</v>
      </c>
      <c r="DL11" s="674">
        <f xml:space="preserve">
IF(表紙!$X$2="実績報告（１次）",DL46,
IF(DL$19&gt;=1,DL46,0))</f>
        <v>0</v>
      </c>
      <c r="DM11" s="674">
        <f xml:space="preserve">
IF(表紙!$X$2="実績報告（１次）",DM46,
IF(DM$19&gt;=1,DM46,0))</f>
        <v>0</v>
      </c>
      <c r="DN11" s="674">
        <f xml:space="preserve">
IF(表紙!$X$2="実績報告（１次）",DN46,
IF(DN$19&gt;=1,DN46,0))</f>
        <v>0</v>
      </c>
      <c r="DO11" s="674">
        <f xml:space="preserve">
IF(表紙!$X$2="実績報告（１次）",DO46,
IF(DO$19&gt;=1,DO46,0))</f>
        <v>0</v>
      </c>
      <c r="DP11" s="674">
        <f xml:space="preserve">
IF(表紙!$X$2="実績報告（１次）",DP46,
IF(DP$19&gt;=1,DP46,0))</f>
        <v>0</v>
      </c>
      <c r="DQ11" s="674">
        <f xml:space="preserve">
IF(表紙!$X$2="実績報告（１次）",DQ46,
IF(DQ$19&gt;=1,DQ46,0))</f>
        <v>0</v>
      </c>
      <c r="DR11" s="674">
        <f xml:space="preserve">
IF(表紙!$X$2="実績報告（１次）",DR46,
IF(DR$19&gt;=1,DR46,0))</f>
        <v>0</v>
      </c>
      <c r="DS11" s="674">
        <f xml:space="preserve">
IF(表紙!$X$2="実績報告（１次）",DS46,
IF(DS$19&gt;=1,DS46,0))</f>
        <v>0</v>
      </c>
      <c r="DT11" s="674">
        <f xml:space="preserve">
IF(表紙!$X$2="実績報告（１次）",DT46,
IF(DT$19&gt;=1,DT46,0))</f>
        <v>0</v>
      </c>
      <c r="DU11" s="674">
        <f xml:space="preserve">
IF(表紙!$X$2="実績報告（１次）",DU46,
IF(DU$19&gt;=1,DU46,0))</f>
        <v>0</v>
      </c>
      <c r="DV11" s="674">
        <f xml:space="preserve">
IF(表紙!$X$2="実績報告（１次）",DV46,
IF(DV$19&gt;=1,DV46,0))</f>
        <v>0</v>
      </c>
      <c r="DW11" s="674">
        <f xml:space="preserve">
IF(表紙!$X$2="実績報告（１次）",DW46,
IF(DW$19&gt;=1,DW46,0))</f>
        <v>0</v>
      </c>
      <c r="DX11" s="674">
        <f xml:space="preserve">
IF(表紙!$X$2="実績報告（１次）",DX46,
IF(DX$19&gt;=1,DX46,0))</f>
        <v>0</v>
      </c>
      <c r="DY11" s="674">
        <f xml:space="preserve">
IF(表紙!$X$2="実績報告（１次）",DY46,
IF(DY$19&gt;=1,DY46,0))</f>
        <v>0</v>
      </c>
      <c r="DZ11" s="674">
        <f xml:space="preserve">
IF(表紙!$X$2="実績報告（１次）",DZ46,
IF(DZ$19&gt;=1,DZ46,0))</f>
        <v>0</v>
      </c>
      <c r="EA11" s="674">
        <f xml:space="preserve">
IF(表紙!$X$2="実績報告（１次）",EA46,
IF(EA$19&gt;=1,EA46,0))</f>
        <v>0</v>
      </c>
      <c r="EB11" s="674">
        <f xml:space="preserve">
IF(表紙!$X$2="実績報告（１次）",EB46,
IF(EB$19&gt;=1,EB46,0))</f>
        <v>0</v>
      </c>
      <c r="EC11" s="674">
        <f xml:space="preserve">
IF(表紙!$X$2="実績報告（１次）",EC46,
IF(EC$19&gt;=1,EC46,0))</f>
        <v>0</v>
      </c>
      <c r="ED11" s="674">
        <f xml:space="preserve">
IF(表紙!$X$2="実績報告（１次）",ED46,
IF(ED$19&gt;=1,ED46,0))</f>
        <v>0</v>
      </c>
      <c r="EE11" s="674">
        <f xml:space="preserve">
IF(表紙!$X$2="実績報告（１次）",EE46,
IF(EE$19&gt;=1,EE46,0))</f>
        <v>0</v>
      </c>
      <c r="EF11" s="674">
        <f xml:space="preserve">
IF(表紙!$X$2="実績報告（１次）",EF46,
IF(EF$19&gt;=1,EF46,0))</f>
        <v>0</v>
      </c>
      <c r="EG11" s="674">
        <f xml:space="preserve">
IF(表紙!$X$2="実績報告（１次）",EG46,
IF(EG$19&gt;=1,EG46,0))</f>
        <v>0</v>
      </c>
      <c r="EH11" s="674">
        <f xml:space="preserve">
IF(表紙!$X$2="実績報告（１次）",EH46,
IF(EH$19&gt;=1,EH46,0))</f>
        <v>0</v>
      </c>
      <c r="EI11" s="674">
        <f xml:space="preserve">
IF(表紙!$X$2="実績報告（１次）",EI46,
IF(EI$19&gt;=1,EI46,0))</f>
        <v>0</v>
      </c>
      <c r="EJ11" s="674">
        <f xml:space="preserve">
IF(表紙!$X$2="実績報告（１次）",EJ46,
IF(EJ$19&gt;=1,EJ46,0))</f>
        <v>0</v>
      </c>
      <c r="EK11" s="674">
        <f xml:space="preserve">
IF(表紙!$X$2="実績報告（１次）",EK46,
IF(EK$19&gt;=1,EK46,0))</f>
        <v>0</v>
      </c>
      <c r="EL11" s="674">
        <f xml:space="preserve">
IF(表紙!$X$2="実績報告（１次）",EL46,
IF(EL$19&gt;=1,EL46,0))</f>
        <v>0</v>
      </c>
      <c r="EM11" s="674">
        <f xml:space="preserve">
IF(表紙!$X$2="実績報告（１次）",EM46,
IF(EM$19&gt;=1,EM46,0))</f>
        <v>0</v>
      </c>
      <c r="EN11" s="674">
        <f xml:space="preserve">
IF(表紙!$X$2="実績報告（１次）",EN46,
IF(EN$19&gt;=1,EN46,0))</f>
        <v>0</v>
      </c>
      <c r="EO11" s="674">
        <f xml:space="preserve">
IF(表紙!$X$2="実績報告（１次）",EO46,
IF(EO$19&gt;=1,EO46,0))</f>
        <v>0</v>
      </c>
      <c r="EP11" s="674">
        <f xml:space="preserve">
IF(表紙!$X$2="実績報告（１次）",EP46,
IF(EP$19&gt;=1,EP46,0))</f>
        <v>0</v>
      </c>
      <c r="EQ11" s="674">
        <f xml:space="preserve">
IF(表紙!$X$2="実績報告（１次）",EQ46,
IF(EQ$19&gt;=1,EQ46,0))</f>
        <v>0</v>
      </c>
      <c r="ER11" s="674">
        <f xml:space="preserve">
IF(表紙!$X$2="実績報告（１次）",ER46,
IF(ER$19&gt;=1,ER46,0))</f>
        <v>0</v>
      </c>
      <c r="ES11" s="674">
        <f xml:space="preserve">
IF(表紙!$X$2="実績報告（１次）",ES46,
IF(ES$19&gt;=1,ES46,0))</f>
        <v>0</v>
      </c>
      <c r="ET11" s="674">
        <f xml:space="preserve">
IF(表紙!$X$2="実績報告（１次）",ET46,
IF(ET$19&gt;=1,ET46,0))</f>
        <v>0</v>
      </c>
      <c r="EU11" s="674">
        <f xml:space="preserve">
IF(表紙!$X$2="実績報告（１次）",EU46,
IF(EU$19&gt;=1,EU46,0))</f>
        <v>0</v>
      </c>
      <c r="EV11" s="674">
        <f xml:space="preserve">
IF(表紙!$X$2="実績報告（１次）",EV46,
IF(EV$19&gt;=1,EV46,0))</f>
        <v>0</v>
      </c>
      <c r="EW11" s="674">
        <f xml:space="preserve">
IF(表紙!$X$2="実績報告（１次）",EW46,
IF(EW$19&gt;=1,EW46,0))</f>
        <v>0</v>
      </c>
      <c r="EX11" s="674">
        <f xml:space="preserve">
IF(表紙!$X$2="実績報告（１次）",EX46,
IF(EX$19&gt;=1,EX46,0))</f>
        <v>0</v>
      </c>
      <c r="EY11" s="674">
        <f xml:space="preserve">
IF(表紙!$X$2="実績報告（１次）",EY46,
IF(EY$19&gt;=1,EY46,0))</f>
        <v>0</v>
      </c>
      <c r="EZ11" s="674">
        <f xml:space="preserve">
IF(表紙!$X$2="実績報告（１次）",EZ46,
IF(EZ$19&gt;=1,EZ46,0))</f>
        <v>0</v>
      </c>
      <c r="FA11" s="674">
        <f xml:space="preserve">
IF(表紙!$X$2="実績報告（１次）",FA46,
IF(FA$19&gt;=1,FA46,0))</f>
        <v>0</v>
      </c>
      <c r="FB11" s="674">
        <f xml:space="preserve">
IF(表紙!$X$2="実績報告（１次）",FB46,
IF(FB$19&gt;=1,FB46,0))</f>
        <v>0</v>
      </c>
      <c r="FC11" s="674">
        <f xml:space="preserve">
IF(表紙!$X$2="実績報告（１次）",FC46,
IF(FC$19&gt;=1,FC46,0))</f>
        <v>0</v>
      </c>
      <c r="FD11" s="674">
        <f xml:space="preserve">
IF(表紙!$X$2="実績報告（１次）",FD46,
IF(FD$19&gt;=1,FD46,0))</f>
        <v>0</v>
      </c>
      <c r="FE11" s="674">
        <f xml:space="preserve">
IF(表紙!$X$2="実績報告（１次）",FE46,
IF(FE$19&gt;=1,FE46,0))</f>
        <v>0</v>
      </c>
      <c r="FF11" s="674">
        <f xml:space="preserve">
IF(表紙!$X$2="実績報告（１次）",FF46,
IF(FF$19&gt;=1,FF46,0))</f>
        <v>0</v>
      </c>
      <c r="FG11" s="674">
        <f xml:space="preserve">
IF(表紙!$X$2="実績報告（１次）",FG46,
IF(FG$19&gt;=1,FG46,0))</f>
        <v>0</v>
      </c>
      <c r="FH11" s="674">
        <f xml:space="preserve">
IF(表紙!$X$2="実績報告（１次）",FH46,
IF(FH$19&gt;=1,FH46,0))</f>
        <v>0</v>
      </c>
      <c r="FI11" s="674">
        <f xml:space="preserve">
IF(表紙!$X$2="実績報告（１次）",FI46,
IF(FI$19&gt;=1,FI46,0))</f>
        <v>0</v>
      </c>
      <c r="FJ11" s="674">
        <f xml:space="preserve">
IF(表紙!$X$2="実績報告（１次）",FJ46,
IF(FJ$19&gt;=1,FJ46,0))</f>
        <v>0</v>
      </c>
      <c r="FK11" s="674">
        <f xml:space="preserve">
IF(表紙!$X$2="実績報告（１次）",FK46,
IF(FK$19&gt;=1,FK46,0))</f>
        <v>0</v>
      </c>
      <c r="FL11" s="674">
        <f xml:space="preserve">
IF(表紙!$X$2="実績報告（１次）",FL46,
IF(FL$19&gt;=1,FL46,0))</f>
        <v>0</v>
      </c>
      <c r="FM11" s="674">
        <f xml:space="preserve">
IF(表紙!$X$2="実績報告（１次）",FM46,
IF(FM$19&gt;=1,FM46,0))</f>
        <v>0</v>
      </c>
      <c r="FN11" s="674">
        <f xml:space="preserve">
IF(表紙!$X$2="実績報告（１次）",FN46,
IF(FN$19&gt;=1,FN46,0))</f>
        <v>0</v>
      </c>
      <c r="FO11" s="674">
        <f xml:space="preserve">
IF(表紙!$X$2="実績報告（１次）",FO46,
IF(FO$19&gt;=1,FO46,0))</f>
        <v>0</v>
      </c>
      <c r="FP11" s="674">
        <f xml:space="preserve">
IF(表紙!$X$2="実績報告（１次）",FP46,
IF(FP$19&gt;=1,FP46,0))</f>
        <v>0</v>
      </c>
      <c r="FQ11" s="674">
        <f xml:space="preserve">
IF(表紙!$X$2="実績報告（１次）",FQ46,
IF(FQ$19&gt;=1,FQ46,0))</f>
        <v>0</v>
      </c>
      <c r="FR11" s="674">
        <f xml:space="preserve">
IF(表紙!$X$2="実績報告（１次）",FR46,
IF(FR$19&gt;=1,FR46,0))</f>
        <v>0</v>
      </c>
      <c r="FS11" s="674">
        <f xml:space="preserve">
IF(表紙!$X$2="実績報告（１次）",FS46,
IF(FS$19&gt;=1,FS46,0))</f>
        <v>0</v>
      </c>
      <c r="FT11" s="674">
        <f xml:space="preserve">
IF(表紙!$X$2="実績報告（１次）",FT46,
IF(FT$19&gt;=1,FT46,0))</f>
        <v>0</v>
      </c>
      <c r="FU11" s="674">
        <f xml:space="preserve">
IF(表紙!$X$2="実績報告（１次）",FU46,
IF(FU$19&gt;=1,FU46,0))</f>
        <v>0</v>
      </c>
      <c r="FV11" s="674">
        <f xml:space="preserve">
IF(表紙!$X$2="実績報告（１次）",FV46,
IF(FV$19&gt;=1,FV46,0))</f>
        <v>0</v>
      </c>
      <c r="FW11" s="674">
        <f xml:space="preserve">
IF(表紙!$X$2="実績報告（１次）",FW46,
IF(FW$19&gt;=1,FW46,0))</f>
        <v>0</v>
      </c>
      <c r="FX11" s="674">
        <f xml:space="preserve">
IF(表紙!$X$2="実績報告（１次）",FX46,
IF(FX$19&gt;=1,FX46,0))</f>
        <v>0</v>
      </c>
      <c r="FY11" s="674">
        <f xml:space="preserve">
IF(表紙!$X$2="実績報告（１次）",FY46,
IF(FY$19&gt;=1,FY46,0))</f>
        <v>0</v>
      </c>
      <c r="FZ11" s="674">
        <f xml:space="preserve">
IF(表紙!$X$2="実績報告（１次）",FZ46,
IF(FZ$19&gt;=1,FZ46,0))</f>
        <v>0</v>
      </c>
      <c r="GA11" s="674">
        <f xml:space="preserve">
IF(表紙!$X$2="実績報告（１次）",GA46,
IF(GA$19&gt;=1,GA46,0))</f>
        <v>0</v>
      </c>
      <c r="GB11" s="674">
        <f xml:space="preserve">
IF(表紙!$X$2="実績報告（１次）",GB46,
IF(GB$19&gt;=1,GB46,0))</f>
        <v>0</v>
      </c>
      <c r="GC11" s="674">
        <f xml:space="preserve">
IF(表紙!$X$2="実績報告（１次）",GC46,
IF(GC$19&gt;=1,GC46,0))</f>
        <v>0</v>
      </c>
      <c r="GD11" s="674">
        <f xml:space="preserve">
IF(表紙!$X$2="実績報告（１次）",GD46,
IF(GD$19&gt;=1,GD46,0))</f>
        <v>0</v>
      </c>
      <c r="GE11" s="674">
        <f xml:space="preserve">
IF(表紙!$X$2="実績報告（１次）",GE46,
IF(GE$19&gt;=1,GE46,0))</f>
        <v>0</v>
      </c>
      <c r="GF11" s="674">
        <f xml:space="preserve">
IF(表紙!$X$2="実績報告（１次）",GF46,
IF(GF$19&gt;=1,GF46,0))</f>
        <v>0</v>
      </c>
      <c r="GG11" s="674">
        <f xml:space="preserve">
IF(表紙!$X$2="実績報告（１次）",GG46,
IF(GG$19&gt;=1,GG46,0))</f>
        <v>0</v>
      </c>
      <c r="GH11" s="674">
        <f xml:space="preserve">
IF(表紙!$X$2="実績報告（１次）",GH46,
IF(GH$19&gt;=1,GH46,0))</f>
        <v>0</v>
      </c>
      <c r="GI11" s="674">
        <f xml:space="preserve">
IF(表紙!$X$2="実績報告（１次）",GI46,
IF(GI$19&gt;=1,GI46,0))</f>
        <v>0</v>
      </c>
      <c r="GJ11" s="674">
        <f xml:space="preserve">
IF(表紙!$X$2="実績報告（１次）",GJ46,
IF(GJ$19&gt;=1,GJ46,0))</f>
        <v>0</v>
      </c>
    </row>
    <row r="12" spans="2:192" ht="9.75" customHeight="1">
      <c r="B12" s="618"/>
      <c r="C12" s="630" t="s">
        <v>1232</v>
      </c>
      <c r="D12" s="672">
        <f>基礎情報!V143</f>
        <v>0</v>
      </c>
      <c r="E12" s="1941">
        <f t="shared" si="3"/>
        <v>0</v>
      </c>
      <c r="F12" s="1942"/>
      <c r="G12" s="674">
        <f xml:space="preserve">
IF(表紙!$X$2="実績報告（１次）",G49,
IF(G$19&gt;=1,G49,0))</f>
        <v>0</v>
      </c>
      <c r="H12" s="674">
        <f xml:space="preserve">
IF(表紙!$X$2="実績報告（１次）",H49,
IF(H$19&gt;=1,H49,0))</f>
        <v>0</v>
      </c>
      <c r="I12" s="674">
        <f xml:space="preserve">
IF(表紙!$X$2="実績報告（１次）",I49,
IF(I$19&gt;=1,I49,0))</f>
        <v>0</v>
      </c>
      <c r="J12" s="674">
        <f xml:space="preserve">
IF(表紙!$X$2="実績報告（１次）",J49,
IF(J$19&gt;=1,J49,0))</f>
        <v>0</v>
      </c>
      <c r="K12" s="674">
        <f xml:space="preserve">
IF(表紙!$X$2="実績報告（１次）",K49,
IF(K$19&gt;=1,K49,0))</f>
        <v>0</v>
      </c>
      <c r="L12" s="674">
        <f xml:space="preserve">
IF(表紙!$X$2="実績報告（１次）",L49,
IF(L$19&gt;=1,L49,0))</f>
        <v>0</v>
      </c>
      <c r="M12" s="674">
        <f xml:space="preserve">
IF(表紙!$X$2="実績報告（１次）",M49,
IF(M$19&gt;=1,M49,0))</f>
        <v>0</v>
      </c>
      <c r="N12" s="674">
        <f xml:space="preserve">
IF(表紙!$X$2="実績報告（１次）",N49,
IF(N$19&gt;=1,N49,0))</f>
        <v>0</v>
      </c>
      <c r="O12" s="674">
        <f xml:space="preserve">
IF(表紙!$X$2="実績報告（１次）",O49,
IF(O$19&gt;=1,O49,0))</f>
        <v>0</v>
      </c>
      <c r="P12" s="674">
        <f xml:space="preserve">
IF(表紙!$X$2="実績報告（１次）",P49,
IF(P$19&gt;=1,P49,0))</f>
        <v>0</v>
      </c>
      <c r="Q12" s="674">
        <f xml:space="preserve">
IF(表紙!$X$2="実績報告（１次）",Q49,
IF(Q$19&gt;=1,Q49,0))</f>
        <v>0</v>
      </c>
      <c r="R12" s="674">
        <f xml:space="preserve">
IF(表紙!$X$2="実績報告（１次）",R49,
IF(R$19&gt;=1,R49,0))</f>
        <v>0</v>
      </c>
      <c r="S12" s="674">
        <f xml:space="preserve">
IF(表紙!$X$2="実績報告（１次）",S49,
IF(S$19&gt;=1,S49,0))</f>
        <v>0</v>
      </c>
      <c r="T12" s="674">
        <f xml:space="preserve">
IF(表紙!$X$2="実績報告（１次）",T49,
IF(T$19&gt;=1,T49,0))</f>
        <v>0</v>
      </c>
      <c r="U12" s="674">
        <f xml:space="preserve">
IF(表紙!$X$2="実績報告（１次）",U49,
IF(U$19&gt;=1,U49,0))</f>
        <v>0</v>
      </c>
      <c r="V12" s="674">
        <f xml:space="preserve">
IF(表紙!$X$2="実績報告（１次）",V49,
IF(V$19&gt;=1,V49,0))</f>
        <v>0</v>
      </c>
      <c r="W12" s="674">
        <f xml:space="preserve">
IF(表紙!$X$2="実績報告（１次）",W49,
IF(W$19&gt;=1,W49,0))</f>
        <v>0</v>
      </c>
      <c r="X12" s="674">
        <f xml:space="preserve">
IF(表紙!$X$2="実績報告（１次）",X49,
IF(X$19&gt;=1,X49,0))</f>
        <v>0</v>
      </c>
      <c r="Y12" s="674">
        <f xml:space="preserve">
IF(表紙!$X$2="実績報告（１次）",Y49,
IF(Y$19&gt;=1,Y49,0))</f>
        <v>0</v>
      </c>
      <c r="Z12" s="674">
        <f xml:space="preserve">
IF(表紙!$X$2="実績報告（１次）",Z49,
IF(Z$19&gt;=1,Z49,0))</f>
        <v>0</v>
      </c>
      <c r="AA12" s="674">
        <f xml:space="preserve">
IF(表紙!$X$2="実績報告（１次）",AA49,
IF(AA$19&gt;=1,AA49,0))</f>
        <v>0</v>
      </c>
      <c r="AB12" s="674">
        <f xml:space="preserve">
IF(表紙!$X$2="実績報告（１次）",AB49,
IF(AB$19&gt;=1,AB49,0))</f>
        <v>0</v>
      </c>
      <c r="AC12" s="674">
        <f xml:space="preserve">
IF(表紙!$X$2="実績報告（１次）",AC49,
IF(AC$19&gt;=1,AC49,0))</f>
        <v>0</v>
      </c>
      <c r="AD12" s="674">
        <f xml:space="preserve">
IF(表紙!$X$2="実績報告（１次）",AD49,
IF(AD$19&gt;=1,AD49,0))</f>
        <v>0</v>
      </c>
      <c r="AE12" s="674">
        <f xml:space="preserve">
IF(表紙!$X$2="実績報告（１次）",AE49,
IF(AE$19&gt;=1,AE49,0))</f>
        <v>0</v>
      </c>
      <c r="AF12" s="674">
        <f xml:space="preserve">
IF(表紙!$X$2="実績報告（１次）",AF49,
IF(AF$19&gt;=1,AF49,0))</f>
        <v>0</v>
      </c>
      <c r="AG12" s="674">
        <f xml:space="preserve">
IF(表紙!$X$2="実績報告（１次）",AG49,
IF(AG$19&gt;=1,AG49,0))</f>
        <v>0</v>
      </c>
      <c r="AH12" s="674">
        <f xml:space="preserve">
IF(表紙!$X$2="実績報告（１次）",AH49,
IF(AH$19&gt;=1,AH49,0))</f>
        <v>0</v>
      </c>
      <c r="AI12" s="674">
        <f xml:space="preserve">
IF(表紙!$X$2="実績報告（１次）",AI49,
IF(AI$19&gt;=1,AI49,0))</f>
        <v>0</v>
      </c>
      <c r="AJ12" s="674">
        <f xml:space="preserve">
IF(表紙!$X$2="実績報告（１次）",AJ49,
IF(AJ$19&gt;=1,AJ49,0))</f>
        <v>0</v>
      </c>
      <c r="AK12" s="674">
        <f xml:space="preserve">
IF(表紙!$X$2="実績報告（１次）",AK49,
IF(AK$19&gt;=1,AK49,0))</f>
        <v>0</v>
      </c>
      <c r="AL12" s="674">
        <f xml:space="preserve">
IF(表紙!$X$2="実績報告（１次）",AL49,
IF(AL$19&gt;=1,AL49,0))</f>
        <v>0</v>
      </c>
      <c r="AM12" s="674">
        <f xml:space="preserve">
IF(表紙!$X$2="実績報告（１次）",AM49,
IF(AM$19&gt;=1,AM49,0))</f>
        <v>0</v>
      </c>
      <c r="AN12" s="674">
        <f xml:space="preserve">
IF(表紙!$X$2="実績報告（１次）",AN49,
IF(AN$19&gt;=1,AN49,0))</f>
        <v>0</v>
      </c>
      <c r="AO12" s="674">
        <f xml:space="preserve">
IF(表紙!$X$2="実績報告（１次）",AO49,
IF(AO$19&gt;=1,AO49,0))</f>
        <v>0</v>
      </c>
      <c r="AP12" s="674">
        <f xml:space="preserve">
IF(表紙!$X$2="実績報告（１次）",AP49,
IF(AP$19&gt;=1,AP49,0))</f>
        <v>0</v>
      </c>
      <c r="AQ12" s="674">
        <f xml:space="preserve">
IF(表紙!$X$2="実績報告（１次）",AQ49,
IF(AQ$19&gt;=1,AQ49,0))</f>
        <v>0</v>
      </c>
      <c r="AR12" s="674">
        <f xml:space="preserve">
IF(表紙!$X$2="実績報告（１次）",AR49,
IF(AR$19&gt;=1,AR49,0))</f>
        <v>0</v>
      </c>
      <c r="AS12" s="674">
        <f xml:space="preserve">
IF(表紙!$X$2="実績報告（１次）",AS49,
IF(AS$19&gt;=1,AS49,0))</f>
        <v>0</v>
      </c>
      <c r="AT12" s="674">
        <f xml:space="preserve">
IF(表紙!$X$2="実績報告（１次）",AT49,
IF(AT$19&gt;=1,AT49,0))</f>
        <v>0</v>
      </c>
      <c r="AU12" s="674">
        <f xml:space="preserve">
IF(表紙!$X$2="実績報告（１次）",AU49,
IF(AU$19&gt;=1,AU49,0))</f>
        <v>0</v>
      </c>
      <c r="AV12" s="674">
        <f xml:space="preserve">
IF(表紙!$X$2="実績報告（１次）",AV49,
IF(AV$19&gt;=1,AV49,0))</f>
        <v>0</v>
      </c>
      <c r="AW12" s="674">
        <f xml:space="preserve">
IF(表紙!$X$2="実績報告（１次）",AW49,
IF(AW$19&gt;=1,AW49,0))</f>
        <v>0</v>
      </c>
      <c r="AX12" s="674">
        <f xml:space="preserve">
IF(表紙!$X$2="実績報告（１次）",AX49,
IF(AX$19&gt;=1,AX49,0))</f>
        <v>0</v>
      </c>
      <c r="AY12" s="674">
        <f xml:space="preserve">
IF(表紙!$X$2="実績報告（１次）",AY49,
IF(AY$19&gt;=1,AY49,0))</f>
        <v>0</v>
      </c>
      <c r="AZ12" s="674">
        <f xml:space="preserve">
IF(表紙!$X$2="実績報告（１次）",AZ49,
IF(AZ$19&gt;=1,AZ49,0))</f>
        <v>0</v>
      </c>
      <c r="BA12" s="674">
        <f xml:space="preserve">
IF(表紙!$X$2="実績報告（１次）",BA49,
IF(BA$19&gt;=1,BA49,0))</f>
        <v>0</v>
      </c>
      <c r="BB12" s="674">
        <f xml:space="preserve">
IF(表紙!$X$2="実績報告（１次）",BB49,
IF(BB$19&gt;=1,BB49,0))</f>
        <v>0</v>
      </c>
      <c r="BC12" s="674">
        <f xml:space="preserve">
IF(表紙!$X$2="実績報告（１次）",BC49,
IF(BC$19&gt;=1,BC49,0))</f>
        <v>0</v>
      </c>
      <c r="BD12" s="674">
        <f xml:space="preserve">
IF(表紙!$X$2="実績報告（１次）",BD49,
IF(BD$19&gt;=1,BD49,0))</f>
        <v>0</v>
      </c>
      <c r="BE12" s="674">
        <f xml:space="preserve">
IF(表紙!$X$2="実績報告（１次）",BE49,
IF(BE$19&gt;=1,BE49,0))</f>
        <v>0</v>
      </c>
      <c r="BF12" s="674">
        <f xml:space="preserve">
IF(表紙!$X$2="実績報告（１次）",BF49,
IF(BF$19&gt;=1,BF49,0))</f>
        <v>0</v>
      </c>
      <c r="BG12" s="674">
        <f xml:space="preserve">
IF(表紙!$X$2="実績報告（１次）",BG49,
IF(BG$19&gt;=1,BG49,0))</f>
        <v>0</v>
      </c>
      <c r="BH12" s="674">
        <f xml:space="preserve">
IF(表紙!$X$2="実績報告（１次）",BH49,
IF(BH$19&gt;=1,BH49,0))</f>
        <v>0</v>
      </c>
      <c r="BI12" s="674">
        <f xml:space="preserve">
IF(表紙!$X$2="実績報告（１次）",BI49,
IF(BI$19&gt;=1,BI49,0))</f>
        <v>0</v>
      </c>
      <c r="BJ12" s="674">
        <f xml:space="preserve">
IF(表紙!$X$2="実績報告（１次）",BJ49,
IF(BJ$19&gt;=1,BJ49,0))</f>
        <v>0</v>
      </c>
      <c r="BK12" s="674">
        <f xml:space="preserve">
IF(表紙!$X$2="実績報告（１次）",BK49,
IF(BK$19&gt;=1,BK49,0))</f>
        <v>0</v>
      </c>
      <c r="BL12" s="674">
        <f xml:space="preserve">
IF(表紙!$X$2="実績報告（１次）",BL49,
IF(BL$19&gt;=1,BL49,0))</f>
        <v>0</v>
      </c>
      <c r="BM12" s="674">
        <f xml:space="preserve">
IF(表紙!$X$2="実績報告（１次）",BM49,
IF(BM$19&gt;=1,BM49,0))</f>
        <v>0</v>
      </c>
      <c r="BN12" s="674">
        <f xml:space="preserve">
IF(表紙!$X$2="実績報告（１次）",BN49,
IF(BN$19&gt;=1,BN49,0))</f>
        <v>0</v>
      </c>
      <c r="BO12" s="674">
        <f xml:space="preserve">
IF(表紙!$X$2="実績報告（１次）",BO49,
IF(BO$19&gt;=1,BO49,0))</f>
        <v>0</v>
      </c>
      <c r="BP12" s="674">
        <f xml:space="preserve">
IF(表紙!$X$2="実績報告（１次）",BP49,
IF(BP$19&gt;=1,BP49,0))</f>
        <v>0</v>
      </c>
      <c r="BQ12" s="674">
        <f xml:space="preserve">
IF(表紙!$X$2="実績報告（１次）",BQ49,
IF(BQ$19&gt;=1,BQ49,0))</f>
        <v>0</v>
      </c>
      <c r="BR12" s="674">
        <f xml:space="preserve">
IF(表紙!$X$2="実績報告（１次）",BR49,
IF(BR$19&gt;=1,BR49,0))</f>
        <v>0</v>
      </c>
      <c r="BS12" s="674">
        <f xml:space="preserve">
IF(表紙!$X$2="実績報告（１次）",BS49,
IF(BS$19&gt;=1,BS49,0))</f>
        <v>0</v>
      </c>
      <c r="BT12" s="674">
        <f xml:space="preserve">
IF(表紙!$X$2="実績報告（１次）",BT49,
IF(BT$19&gt;=1,BT49,0))</f>
        <v>0</v>
      </c>
      <c r="BU12" s="674">
        <f xml:space="preserve">
IF(表紙!$X$2="実績報告（１次）",BU49,
IF(BU$19&gt;=1,BU49,0))</f>
        <v>0</v>
      </c>
      <c r="BV12" s="674">
        <f xml:space="preserve">
IF(表紙!$X$2="実績報告（１次）",BV49,
IF(BV$19&gt;=1,BV49,0))</f>
        <v>0</v>
      </c>
      <c r="BW12" s="674">
        <f xml:space="preserve">
IF(表紙!$X$2="実績報告（１次）",BW49,
IF(BW$19&gt;=1,BW49,0))</f>
        <v>0</v>
      </c>
      <c r="BX12" s="674">
        <f xml:space="preserve">
IF(表紙!$X$2="実績報告（１次）",BX49,
IF(BX$19&gt;=1,BX49,0))</f>
        <v>0</v>
      </c>
      <c r="BY12" s="674">
        <f xml:space="preserve">
IF(表紙!$X$2="実績報告（１次）",BY49,
IF(BY$19&gt;=1,BY49,0))</f>
        <v>0</v>
      </c>
      <c r="BZ12" s="674">
        <f xml:space="preserve">
IF(表紙!$X$2="実績報告（１次）",BZ49,
IF(BZ$19&gt;=1,BZ49,0))</f>
        <v>0</v>
      </c>
      <c r="CA12" s="674">
        <f xml:space="preserve">
IF(表紙!$X$2="実績報告（１次）",CA49,
IF(CA$19&gt;=1,CA49,0))</f>
        <v>0</v>
      </c>
      <c r="CB12" s="674">
        <f xml:space="preserve">
IF(表紙!$X$2="実績報告（１次）",CB49,
IF(CB$19&gt;=1,CB49,0))</f>
        <v>0</v>
      </c>
      <c r="CC12" s="674">
        <f xml:space="preserve">
IF(表紙!$X$2="実績報告（１次）",CC49,
IF(CC$19&gt;=1,CC49,0))</f>
        <v>0</v>
      </c>
      <c r="CD12" s="674">
        <f xml:space="preserve">
IF(表紙!$X$2="実績報告（１次）",CD49,
IF(CD$19&gt;=1,CD49,0))</f>
        <v>0</v>
      </c>
      <c r="CE12" s="674">
        <f xml:space="preserve">
IF(表紙!$X$2="実績報告（１次）",CE49,
IF(CE$19&gt;=1,CE49,0))</f>
        <v>0</v>
      </c>
      <c r="CF12" s="674">
        <f xml:space="preserve">
IF(表紙!$X$2="実績報告（１次）",CF49,
IF(CF$19&gt;=1,CF49,0))</f>
        <v>0</v>
      </c>
      <c r="CG12" s="674">
        <f xml:space="preserve">
IF(表紙!$X$2="実績報告（１次）",CG49,
IF(CG$19&gt;=1,CG49,0))</f>
        <v>0</v>
      </c>
      <c r="CH12" s="674">
        <f xml:space="preserve">
IF(表紙!$X$2="実績報告（１次）",CH49,
IF(CH$19&gt;=1,CH49,0))</f>
        <v>0</v>
      </c>
      <c r="CI12" s="674">
        <f xml:space="preserve">
IF(表紙!$X$2="実績報告（１次）",CI49,
IF(CI$19&gt;=1,CI49,0))</f>
        <v>0</v>
      </c>
      <c r="CJ12" s="674">
        <f xml:space="preserve">
IF(表紙!$X$2="実績報告（１次）",CJ49,
IF(CJ$19&gt;=1,CJ49,0))</f>
        <v>0</v>
      </c>
      <c r="CK12" s="674">
        <f xml:space="preserve">
IF(表紙!$X$2="実績報告（１次）",CK49,
IF(CK$19&gt;=1,CK49,0))</f>
        <v>0</v>
      </c>
      <c r="CL12" s="674">
        <f xml:space="preserve">
IF(表紙!$X$2="実績報告（１次）",CL49,
IF(CL$19&gt;=1,CL49,0))</f>
        <v>0</v>
      </c>
      <c r="CM12" s="674">
        <f xml:space="preserve">
IF(表紙!$X$2="実績報告（１次）",CM49,
IF(CM$19&gt;=1,CM49,0))</f>
        <v>0</v>
      </c>
      <c r="CN12" s="674">
        <f xml:space="preserve">
IF(表紙!$X$2="実績報告（１次）",CN49,
IF(CN$19&gt;=1,CN49,0))</f>
        <v>0</v>
      </c>
      <c r="CO12" s="674">
        <f xml:space="preserve">
IF(表紙!$X$2="実績報告（１次）",CO49,
IF(CO$19&gt;=1,CO49,0))</f>
        <v>0</v>
      </c>
      <c r="CP12" s="674">
        <f xml:space="preserve">
IF(表紙!$X$2="実績報告（１次）",CP49,
IF(CP$19&gt;=1,CP49,0))</f>
        <v>0</v>
      </c>
      <c r="CQ12" s="674">
        <f xml:space="preserve">
IF(表紙!$X$2="実績報告（１次）",CQ49,
IF(CQ$19&gt;=1,CQ49,0))</f>
        <v>0</v>
      </c>
      <c r="CR12" s="674">
        <f xml:space="preserve">
IF(表紙!$X$2="実績報告（１次）",CR49,
IF(CR$19&gt;=1,CR49,0))</f>
        <v>0</v>
      </c>
      <c r="CS12" s="674">
        <f xml:space="preserve">
IF(表紙!$X$2="実績報告（１次）",CS49,
IF(CS$19&gt;=1,CS49,0))</f>
        <v>0</v>
      </c>
      <c r="CT12" s="674">
        <f xml:space="preserve">
IF(表紙!$X$2="実績報告（１次）",CT49,
IF(CT$19&gt;=1,CT49,0))</f>
        <v>0</v>
      </c>
      <c r="CU12" s="674">
        <f xml:space="preserve">
IF(表紙!$X$2="実績報告（１次）",CU49,
IF(CU$19&gt;=1,CU49,0))</f>
        <v>0</v>
      </c>
      <c r="CV12" s="674">
        <f xml:space="preserve">
IF(表紙!$X$2="実績報告（１次）",CV49,
IF(CV$19&gt;=1,CV49,0))</f>
        <v>0</v>
      </c>
      <c r="CW12" s="674">
        <f xml:space="preserve">
IF(表紙!$X$2="実績報告（１次）",CW49,
IF(CW$19&gt;=1,CW49,0))</f>
        <v>0</v>
      </c>
      <c r="CX12" s="674">
        <f xml:space="preserve">
IF(表紙!$X$2="実績報告（１次）",CX49,
IF(CX$19&gt;=1,CX49,0))</f>
        <v>0</v>
      </c>
      <c r="CY12" s="674">
        <f xml:space="preserve">
IF(表紙!$X$2="実績報告（１次）",CY49,
IF(CY$19&gt;=1,CY49,0))</f>
        <v>0</v>
      </c>
      <c r="CZ12" s="674">
        <f xml:space="preserve">
IF(表紙!$X$2="実績報告（１次）",CZ49,
IF(CZ$19&gt;=1,CZ49,0))</f>
        <v>0</v>
      </c>
      <c r="DA12" s="674">
        <f xml:space="preserve">
IF(表紙!$X$2="実績報告（１次）",DA49,
IF(DA$19&gt;=1,DA49,0))</f>
        <v>0</v>
      </c>
      <c r="DB12" s="674">
        <f xml:space="preserve">
IF(表紙!$X$2="実績報告（１次）",DB49,
IF(DB$19&gt;=1,DB49,0))</f>
        <v>0</v>
      </c>
      <c r="DC12" s="674">
        <f xml:space="preserve">
IF(表紙!$X$2="実績報告（１次）",DC49,
IF(DC$19&gt;=1,DC49,0))</f>
        <v>0</v>
      </c>
      <c r="DD12" s="674">
        <f xml:space="preserve">
IF(表紙!$X$2="実績報告（１次）",DD49,
IF(DD$19&gt;=1,DD49,0))</f>
        <v>0</v>
      </c>
      <c r="DE12" s="674">
        <f xml:space="preserve">
IF(表紙!$X$2="実績報告（１次）",DE49,
IF(DE$19&gt;=1,DE49,0))</f>
        <v>0</v>
      </c>
      <c r="DF12" s="674">
        <f xml:space="preserve">
IF(表紙!$X$2="実績報告（１次）",DF49,
IF(DF$19&gt;=1,DF49,0))</f>
        <v>0</v>
      </c>
      <c r="DG12" s="674">
        <f xml:space="preserve">
IF(表紙!$X$2="実績報告（１次）",DG49,
IF(DG$19&gt;=1,DG49,0))</f>
        <v>0</v>
      </c>
      <c r="DH12" s="674">
        <f xml:space="preserve">
IF(表紙!$X$2="実績報告（１次）",DH49,
IF(DH$19&gt;=1,DH49,0))</f>
        <v>0</v>
      </c>
      <c r="DI12" s="674">
        <f xml:space="preserve">
IF(表紙!$X$2="実績報告（１次）",DI49,
IF(DI$19&gt;=1,DI49,0))</f>
        <v>0</v>
      </c>
      <c r="DJ12" s="674">
        <f xml:space="preserve">
IF(表紙!$X$2="実績報告（１次）",DJ49,
IF(DJ$19&gt;=1,DJ49,0))</f>
        <v>0</v>
      </c>
      <c r="DK12" s="674">
        <f xml:space="preserve">
IF(表紙!$X$2="実績報告（１次）",DK49,
IF(DK$19&gt;=1,DK49,0))</f>
        <v>0</v>
      </c>
      <c r="DL12" s="674">
        <f xml:space="preserve">
IF(表紙!$X$2="実績報告（１次）",DL49,
IF(DL$19&gt;=1,DL49,0))</f>
        <v>0</v>
      </c>
      <c r="DM12" s="674">
        <f xml:space="preserve">
IF(表紙!$X$2="実績報告（１次）",DM49,
IF(DM$19&gt;=1,DM49,0))</f>
        <v>0</v>
      </c>
      <c r="DN12" s="674">
        <f xml:space="preserve">
IF(表紙!$X$2="実績報告（１次）",DN49,
IF(DN$19&gt;=1,DN49,0))</f>
        <v>0</v>
      </c>
      <c r="DO12" s="674">
        <f xml:space="preserve">
IF(表紙!$X$2="実績報告（１次）",DO49,
IF(DO$19&gt;=1,DO49,0))</f>
        <v>0</v>
      </c>
      <c r="DP12" s="674">
        <f xml:space="preserve">
IF(表紙!$X$2="実績報告（１次）",DP49,
IF(DP$19&gt;=1,DP49,0))</f>
        <v>0</v>
      </c>
      <c r="DQ12" s="674">
        <f xml:space="preserve">
IF(表紙!$X$2="実績報告（１次）",DQ49,
IF(DQ$19&gt;=1,DQ49,0))</f>
        <v>0</v>
      </c>
      <c r="DR12" s="674">
        <f xml:space="preserve">
IF(表紙!$X$2="実績報告（１次）",DR49,
IF(DR$19&gt;=1,DR49,0))</f>
        <v>0</v>
      </c>
      <c r="DS12" s="674">
        <f xml:space="preserve">
IF(表紙!$X$2="実績報告（１次）",DS49,
IF(DS$19&gt;=1,DS49,0))</f>
        <v>0</v>
      </c>
      <c r="DT12" s="674">
        <f xml:space="preserve">
IF(表紙!$X$2="実績報告（１次）",DT49,
IF(DT$19&gt;=1,DT49,0))</f>
        <v>0</v>
      </c>
      <c r="DU12" s="674">
        <f xml:space="preserve">
IF(表紙!$X$2="実績報告（１次）",DU49,
IF(DU$19&gt;=1,DU49,0))</f>
        <v>0</v>
      </c>
      <c r="DV12" s="674">
        <f xml:space="preserve">
IF(表紙!$X$2="実績報告（１次）",DV49,
IF(DV$19&gt;=1,DV49,0))</f>
        <v>0</v>
      </c>
      <c r="DW12" s="674">
        <f xml:space="preserve">
IF(表紙!$X$2="実績報告（１次）",DW49,
IF(DW$19&gt;=1,DW49,0))</f>
        <v>0</v>
      </c>
      <c r="DX12" s="674">
        <f xml:space="preserve">
IF(表紙!$X$2="実績報告（１次）",DX49,
IF(DX$19&gt;=1,DX49,0))</f>
        <v>0</v>
      </c>
      <c r="DY12" s="674">
        <f xml:space="preserve">
IF(表紙!$X$2="実績報告（１次）",DY49,
IF(DY$19&gt;=1,DY49,0))</f>
        <v>0</v>
      </c>
      <c r="DZ12" s="674">
        <f xml:space="preserve">
IF(表紙!$X$2="実績報告（１次）",DZ49,
IF(DZ$19&gt;=1,DZ49,0))</f>
        <v>0</v>
      </c>
      <c r="EA12" s="674">
        <f xml:space="preserve">
IF(表紙!$X$2="実績報告（１次）",EA49,
IF(EA$19&gt;=1,EA49,0))</f>
        <v>0</v>
      </c>
      <c r="EB12" s="674">
        <f xml:space="preserve">
IF(表紙!$X$2="実績報告（１次）",EB49,
IF(EB$19&gt;=1,EB49,0))</f>
        <v>0</v>
      </c>
      <c r="EC12" s="674">
        <f xml:space="preserve">
IF(表紙!$X$2="実績報告（１次）",EC49,
IF(EC$19&gt;=1,EC49,0))</f>
        <v>0</v>
      </c>
      <c r="ED12" s="674">
        <f xml:space="preserve">
IF(表紙!$X$2="実績報告（１次）",ED49,
IF(ED$19&gt;=1,ED49,0))</f>
        <v>0</v>
      </c>
      <c r="EE12" s="674">
        <f xml:space="preserve">
IF(表紙!$X$2="実績報告（１次）",EE49,
IF(EE$19&gt;=1,EE49,0))</f>
        <v>0</v>
      </c>
      <c r="EF12" s="674">
        <f xml:space="preserve">
IF(表紙!$X$2="実績報告（１次）",EF49,
IF(EF$19&gt;=1,EF49,0))</f>
        <v>0</v>
      </c>
      <c r="EG12" s="674">
        <f xml:space="preserve">
IF(表紙!$X$2="実績報告（１次）",EG49,
IF(EG$19&gt;=1,EG49,0))</f>
        <v>0</v>
      </c>
      <c r="EH12" s="674">
        <f xml:space="preserve">
IF(表紙!$X$2="実績報告（１次）",EH49,
IF(EH$19&gt;=1,EH49,0))</f>
        <v>0</v>
      </c>
      <c r="EI12" s="674">
        <f xml:space="preserve">
IF(表紙!$X$2="実績報告（１次）",EI49,
IF(EI$19&gt;=1,EI49,0))</f>
        <v>0</v>
      </c>
      <c r="EJ12" s="674">
        <f xml:space="preserve">
IF(表紙!$X$2="実績報告（１次）",EJ49,
IF(EJ$19&gt;=1,EJ49,0))</f>
        <v>0</v>
      </c>
      <c r="EK12" s="674">
        <f xml:space="preserve">
IF(表紙!$X$2="実績報告（１次）",EK49,
IF(EK$19&gt;=1,EK49,0))</f>
        <v>0</v>
      </c>
      <c r="EL12" s="674">
        <f xml:space="preserve">
IF(表紙!$X$2="実績報告（１次）",EL49,
IF(EL$19&gt;=1,EL49,0))</f>
        <v>0</v>
      </c>
      <c r="EM12" s="674">
        <f xml:space="preserve">
IF(表紙!$X$2="実績報告（１次）",EM49,
IF(EM$19&gt;=1,EM49,0))</f>
        <v>0</v>
      </c>
      <c r="EN12" s="674">
        <f xml:space="preserve">
IF(表紙!$X$2="実績報告（１次）",EN49,
IF(EN$19&gt;=1,EN49,0))</f>
        <v>0</v>
      </c>
      <c r="EO12" s="674">
        <f xml:space="preserve">
IF(表紙!$X$2="実績報告（１次）",EO49,
IF(EO$19&gt;=1,EO49,0))</f>
        <v>0</v>
      </c>
      <c r="EP12" s="674">
        <f xml:space="preserve">
IF(表紙!$X$2="実績報告（１次）",EP49,
IF(EP$19&gt;=1,EP49,0))</f>
        <v>0</v>
      </c>
      <c r="EQ12" s="674">
        <f xml:space="preserve">
IF(表紙!$X$2="実績報告（１次）",EQ49,
IF(EQ$19&gt;=1,EQ49,0))</f>
        <v>0</v>
      </c>
      <c r="ER12" s="674">
        <f xml:space="preserve">
IF(表紙!$X$2="実績報告（１次）",ER49,
IF(ER$19&gt;=1,ER49,0))</f>
        <v>0</v>
      </c>
      <c r="ES12" s="674">
        <f xml:space="preserve">
IF(表紙!$X$2="実績報告（１次）",ES49,
IF(ES$19&gt;=1,ES49,0))</f>
        <v>0</v>
      </c>
      <c r="ET12" s="674">
        <f xml:space="preserve">
IF(表紙!$X$2="実績報告（１次）",ET49,
IF(ET$19&gt;=1,ET49,0))</f>
        <v>0</v>
      </c>
      <c r="EU12" s="674">
        <f xml:space="preserve">
IF(表紙!$X$2="実績報告（１次）",EU49,
IF(EU$19&gt;=1,EU49,0))</f>
        <v>0</v>
      </c>
      <c r="EV12" s="674">
        <f xml:space="preserve">
IF(表紙!$X$2="実績報告（１次）",EV49,
IF(EV$19&gt;=1,EV49,0))</f>
        <v>0</v>
      </c>
      <c r="EW12" s="674">
        <f xml:space="preserve">
IF(表紙!$X$2="実績報告（１次）",EW49,
IF(EW$19&gt;=1,EW49,0))</f>
        <v>0</v>
      </c>
      <c r="EX12" s="674">
        <f xml:space="preserve">
IF(表紙!$X$2="実績報告（１次）",EX49,
IF(EX$19&gt;=1,EX49,0))</f>
        <v>0</v>
      </c>
      <c r="EY12" s="674">
        <f xml:space="preserve">
IF(表紙!$X$2="実績報告（１次）",EY49,
IF(EY$19&gt;=1,EY49,0))</f>
        <v>0</v>
      </c>
      <c r="EZ12" s="674">
        <f xml:space="preserve">
IF(表紙!$X$2="実績報告（１次）",EZ49,
IF(EZ$19&gt;=1,EZ49,0))</f>
        <v>0</v>
      </c>
      <c r="FA12" s="674">
        <f xml:space="preserve">
IF(表紙!$X$2="実績報告（１次）",FA49,
IF(FA$19&gt;=1,FA49,0))</f>
        <v>0</v>
      </c>
      <c r="FB12" s="674">
        <f xml:space="preserve">
IF(表紙!$X$2="実績報告（１次）",FB49,
IF(FB$19&gt;=1,FB49,0))</f>
        <v>0</v>
      </c>
      <c r="FC12" s="674">
        <f xml:space="preserve">
IF(表紙!$X$2="実績報告（１次）",FC49,
IF(FC$19&gt;=1,FC49,0))</f>
        <v>0</v>
      </c>
      <c r="FD12" s="674">
        <f xml:space="preserve">
IF(表紙!$X$2="実績報告（１次）",FD49,
IF(FD$19&gt;=1,FD49,0))</f>
        <v>0</v>
      </c>
      <c r="FE12" s="674">
        <f xml:space="preserve">
IF(表紙!$X$2="実績報告（１次）",FE49,
IF(FE$19&gt;=1,FE49,0))</f>
        <v>0</v>
      </c>
      <c r="FF12" s="674">
        <f xml:space="preserve">
IF(表紙!$X$2="実績報告（１次）",FF49,
IF(FF$19&gt;=1,FF49,0))</f>
        <v>0</v>
      </c>
      <c r="FG12" s="674">
        <f xml:space="preserve">
IF(表紙!$X$2="実績報告（１次）",FG49,
IF(FG$19&gt;=1,FG49,0))</f>
        <v>0</v>
      </c>
      <c r="FH12" s="674">
        <f xml:space="preserve">
IF(表紙!$X$2="実績報告（１次）",FH49,
IF(FH$19&gt;=1,FH49,0))</f>
        <v>0</v>
      </c>
      <c r="FI12" s="674">
        <f xml:space="preserve">
IF(表紙!$X$2="実績報告（１次）",FI49,
IF(FI$19&gt;=1,FI49,0))</f>
        <v>0</v>
      </c>
      <c r="FJ12" s="674">
        <f xml:space="preserve">
IF(表紙!$X$2="実績報告（１次）",FJ49,
IF(FJ$19&gt;=1,FJ49,0))</f>
        <v>0</v>
      </c>
      <c r="FK12" s="674">
        <f xml:space="preserve">
IF(表紙!$X$2="実績報告（１次）",FK49,
IF(FK$19&gt;=1,FK49,0))</f>
        <v>0</v>
      </c>
      <c r="FL12" s="674">
        <f xml:space="preserve">
IF(表紙!$X$2="実績報告（１次）",FL49,
IF(FL$19&gt;=1,FL49,0))</f>
        <v>0</v>
      </c>
      <c r="FM12" s="674">
        <f xml:space="preserve">
IF(表紙!$X$2="実績報告（１次）",FM49,
IF(FM$19&gt;=1,FM49,0))</f>
        <v>0</v>
      </c>
      <c r="FN12" s="674">
        <f xml:space="preserve">
IF(表紙!$X$2="実績報告（１次）",FN49,
IF(FN$19&gt;=1,FN49,0))</f>
        <v>0</v>
      </c>
      <c r="FO12" s="674">
        <f xml:space="preserve">
IF(表紙!$X$2="実績報告（１次）",FO49,
IF(FO$19&gt;=1,FO49,0))</f>
        <v>0</v>
      </c>
      <c r="FP12" s="674">
        <f xml:space="preserve">
IF(表紙!$X$2="実績報告（１次）",FP49,
IF(FP$19&gt;=1,FP49,0))</f>
        <v>0</v>
      </c>
      <c r="FQ12" s="674">
        <f xml:space="preserve">
IF(表紙!$X$2="実績報告（１次）",FQ49,
IF(FQ$19&gt;=1,FQ49,0))</f>
        <v>0</v>
      </c>
      <c r="FR12" s="674">
        <f xml:space="preserve">
IF(表紙!$X$2="実績報告（１次）",FR49,
IF(FR$19&gt;=1,FR49,0))</f>
        <v>0</v>
      </c>
      <c r="FS12" s="674">
        <f xml:space="preserve">
IF(表紙!$X$2="実績報告（１次）",FS49,
IF(FS$19&gt;=1,FS49,0))</f>
        <v>0</v>
      </c>
      <c r="FT12" s="674">
        <f xml:space="preserve">
IF(表紙!$X$2="実績報告（１次）",FT49,
IF(FT$19&gt;=1,FT49,0))</f>
        <v>0</v>
      </c>
      <c r="FU12" s="674">
        <f xml:space="preserve">
IF(表紙!$X$2="実績報告（１次）",FU49,
IF(FU$19&gt;=1,FU49,0))</f>
        <v>0</v>
      </c>
      <c r="FV12" s="674">
        <f xml:space="preserve">
IF(表紙!$X$2="実績報告（１次）",FV49,
IF(FV$19&gt;=1,FV49,0))</f>
        <v>0</v>
      </c>
      <c r="FW12" s="674">
        <f xml:space="preserve">
IF(表紙!$X$2="実績報告（１次）",FW49,
IF(FW$19&gt;=1,FW49,0))</f>
        <v>0</v>
      </c>
      <c r="FX12" s="674">
        <f xml:space="preserve">
IF(表紙!$X$2="実績報告（１次）",FX49,
IF(FX$19&gt;=1,FX49,0))</f>
        <v>0</v>
      </c>
      <c r="FY12" s="674">
        <f xml:space="preserve">
IF(表紙!$X$2="実績報告（１次）",FY49,
IF(FY$19&gt;=1,FY49,0))</f>
        <v>0</v>
      </c>
      <c r="FZ12" s="674">
        <f xml:space="preserve">
IF(表紙!$X$2="実績報告（１次）",FZ49,
IF(FZ$19&gt;=1,FZ49,0))</f>
        <v>0</v>
      </c>
      <c r="GA12" s="674">
        <f xml:space="preserve">
IF(表紙!$X$2="実績報告（１次）",GA49,
IF(GA$19&gt;=1,GA49,0))</f>
        <v>0</v>
      </c>
      <c r="GB12" s="674">
        <f xml:space="preserve">
IF(表紙!$X$2="実績報告（１次）",GB49,
IF(GB$19&gt;=1,GB49,0))</f>
        <v>0</v>
      </c>
      <c r="GC12" s="674">
        <f xml:space="preserve">
IF(表紙!$X$2="実績報告（１次）",GC49,
IF(GC$19&gt;=1,GC49,0))</f>
        <v>0</v>
      </c>
      <c r="GD12" s="674">
        <f xml:space="preserve">
IF(表紙!$X$2="実績報告（１次）",GD49,
IF(GD$19&gt;=1,GD49,0))</f>
        <v>0</v>
      </c>
      <c r="GE12" s="674">
        <f xml:space="preserve">
IF(表紙!$X$2="実績報告（１次）",GE49,
IF(GE$19&gt;=1,GE49,0))</f>
        <v>0</v>
      </c>
      <c r="GF12" s="674">
        <f xml:space="preserve">
IF(表紙!$X$2="実績報告（１次）",GF49,
IF(GF$19&gt;=1,GF49,0))</f>
        <v>0</v>
      </c>
      <c r="GG12" s="674">
        <f xml:space="preserve">
IF(表紙!$X$2="実績報告（１次）",GG49,
IF(GG$19&gt;=1,GG49,0))</f>
        <v>0</v>
      </c>
      <c r="GH12" s="674">
        <f xml:space="preserve">
IF(表紙!$X$2="実績報告（１次）",GH49,
IF(GH$19&gt;=1,GH49,0))</f>
        <v>0</v>
      </c>
      <c r="GI12" s="674">
        <f xml:space="preserve">
IF(表紙!$X$2="実績報告（１次）",GI49,
IF(GI$19&gt;=1,GI49,0))</f>
        <v>0</v>
      </c>
      <c r="GJ12" s="674">
        <f xml:space="preserve">
IF(表紙!$X$2="実績報告（１次）",GJ49,
IF(GJ$19&gt;=1,GJ49,0))</f>
        <v>0</v>
      </c>
    </row>
    <row r="13" spans="2:192" ht="9.75" customHeight="1">
      <c r="B13" s="618"/>
      <c r="C13" s="630" t="s">
        <v>1233</v>
      </c>
      <c r="D13" s="672">
        <f>基礎情報!V146</f>
        <v>0</v>
      </c>
      <c r="E13" s="1941">
        <f t="shared" si="3"/>
        <v>0</v>
      </c>
      <c r="F13" s="1942"/>
      <c r="G13" s="674">
        <f xml:space="preserve">
IF(表紙!$X$2="実績報告（１次）",G52,
IF(G$19&gt;=1,G52,0))</f>
        <v>0</v>
      </c>
      <c r="H13" s="674">
        <f xml:space="preserve">
IF(表紙!$X$2="実績報告（１次）",H52,
IF(H$19&gt;=1,H52,0))</f>
        <v>0</v>
      </c>
      <c r="I13" s="674">
        <f xml:space="preserve">
IF(表紙!$X$2="実績報告（１次）",I52,
IF(I$19&gt;=1,I52,0))</f>
        <v>0</v>
      </c>
      <c r="J13" s="674">
        <f xml:space="preserve">
IF(表紙!$X$2="実績報告（１次）",J52,
IF(J$19&gt;=1,J52,0))</f>
        <v>0</v>
      </c>
      <c r="K13" s="674">
        <f xml:space="preserve">
IF(表紙!$X$2="実績報告（１次）",K52,
IF(K$19&gt;=1,K52,0))</f>
        <v>0</v>
      </c>
      <c r="L13" s="674">
        <f xml:space="preserve">
IF(表紙!$X$2="実績報告（１次）",L52,
IF(L$19&gt;=1,L52,0))</f>
        <v>0</v>
      </c>
      <c r="M13" s="674">
        <f xml:space="preserve">
IF(表紙!$X$2="実績報告（１次）",M52,
IF(M$19&gt;=1,M52,0))</f>
        <v>0</v>
      </c>
      <c r="N13" s="674">
        <f xml:space="preserve">
IF(表紙!$X$2="実績報告（１次）",N52,
IF(N$19&gt;=1,N52,0))</f>
        <v>0</v>
      </c>
      <c r="O13" s="674">
        <f xml:space="preserve">
IF(表紙!$X$2="実績報告（１次）",O52,
IF(O$19&gt;=1,O52,0))</f>
        <v>0</v>
      </c>
      <c r="P13" s="674">
        <f xml:space="preserve">
IF(表紙!$X$2="実績報告（１次）",P52,
IF(P$19&gt;=1,P52,0))</f>
        <v>0</v>
      </c>
      <c r="Q13" s="674">
        <f xml:space="preserve">
IF(表紙!$X$2="実績報告（１次）",Q52,
IF(Q$19&gt;=1,Q52,0))</f>
        <v>0</v>
      </c>
      <c r="R13" s="674">
        <f xml:space="preserve">
IF(表紙!$X$2="実績報告（１次）",R52,
IF(R$19&gt;=1,R52,0))</f>
        <v>0</v>
      </c>
      <c r="S13" s="674">
        <f xml:space="preserve">
IF(表紙!$X$2="実績報告（１次）",S52,
IF(S$19&gt;=1,S52,0))</f>
        <v>0</v>
      </c>
      <c r="T13" s="674">
        <f xml:space="preserve">
IF(表紙!$X$2="実績報告（１次）",T52,
IF(T$19&gt;=1,T52,0))</f>
        <v>0</v>
      </c>
      <c r="U13" s="674">
        <f xml:space="preserve">
IF(表紙!$X$2="実績報告（１次）",U52,
IF(U$19&gt;=1,U52,0))</f>
        <v>0</v>
      </c>
      <c r="V13" s="674">
        <f xml:space="preserve">
IF(表紙!$X$2="実績報告（１次）",V52,
IF(V$19&gt;=1,V52,0))</f>
        <v>0</v>
      </c>
      <c r="W13" s="674">
        <f xml:space="preserve">
IF(表紙!$X$2="実績報告（１次）",W52,
IF(W$19&gt;=1,W52,0))</f>
        <v>0</v>
      </c>
      <c r="X13" s="674">
        <f xml:space="preserve">
IF(表紙!$X$2="実績報告（１次）",X52,
IF(X$19&gt;=1,X52,0))</f>
        <v>0</v>
      </c>
      <c r="Y13" s="674">
        <f xml:space="preserve">
IF(表紙!$X$2="実績報告（１次）",Y52,
IF(Y$19&gt;=1,Y52,0))</f>
        <v>0</v>
      </c>
      <c r="Z13" s="674">
        <f xml:space="preserve">
IF(表紙!$X$2="実績報告（１次）",Z52,
IF(Z$19&gt;=1,Z52,0))</f>
        <v>0</v>
      </c>
      <c r="AA13" s="674">
        <f xml:space="preserve">
IF(表紙!$X$2="実績報告（１次）",AA52,
IF(AA$19&gt;=1,AA52,0))</f>
        <v>0</v>
      </c>
      <c r="AB13" s="674">
        <f xml:space="preserve">
IF(表紙!$X$2="実績報告（１次）",AB52,
IF(AB$19&gt;=1,AB52,0))</f>
        <v>0</v>
      </c>
      <c r="AC13" s="674">
        <f xml:space="preserve">
IF(表紙!$X$2="実績報告（１次）",AC52,
IF(AC$19&gt;=1,AC52,0))</f>
        <v>0</v>
      </c>
      <c r="AD13" s="674">
        <f xml:space="preserve">
IF(表紙!$X$2="実績報告（１次）",AD52,
IF(AD$19&gt;=1,AD52,0))</f>
        <v>0</v>
      </c>
      <c r="AE13" s="674">
        <f xml:space="preserve">
IF(表紙!$X$2="実績報告（１次）",AE52,
IF(AE$19&gt;=1,AE52,0))</f>
        <v>0</v>
      </c>
      <c r="AF13" s="674">
        <f xml:space="preserve">
IF(表紙!$X$2="実績報告（１次）",AF52,
IF(AF$19&gt;=1,AF52,0))</f>
        <v>0</v>
      </c>
      <c r="AG13" s="674">
        <f xml:space="preserve">
IF(表紙!$X$2="実績報告（１次）",AG52,
IF(AG$19&gt;=1,AG52,0))</f>
        <v>0</v>
      </c>
      <c r="AH13" s="674">
        <f xml:space="preserve">
IF(表紙!$X$2="実績報告（１次）",AH52,
IF(AH$19&gt;=1,AH52,0))</f>
        <v>0</v>
      </c>
      <c r="AI13" s="674">
        <f xml:space="preserve">
IF(表紙!$X$2="実績報告（１次）",AI52,
IF(AI$19&gt;=1,AI52,0))</f>
        <v>0</v>
      </c>
      <c r="AJ13" s="674">
        <f xml:space="preserve">
IF(表紙!$X$2="実績報告（１次）",AJ52,
IF(AJ$19&gt;=1,AJ52,0))</f>
        <v>0</v>
      </c>
      <c r="AK13" s="674">
        <f xml:space="preserve">
IF(表紙!$X$2="実績報告（１次）",AK52,
IF(AK$19&gt;=1,AK52,0))</f>
        <v>0</v>
      </c>
      <c r="AL13" s="674">
        <f xml:space="preserve">
IF(表紙!$X$2="実績報告（１次）",AL52,
IF(AL$19&gt;=1,AL52,0))</f>
        <v>0</v>
      </c>
      <c r="AM13" s="674">
        <f xml:space="preserve">
IF(表紙!$X$2="実績報告（１次）",AM52,
IF(AM$19&gt;=1,AM52,0))</f>
        <v>0</v>
      </c>
      <c r="AN13" s="674">
        <f xml:space="preserve">
IF(表紙!$X$2="実績報告（１次）",AN52,
IF(AN$19&gt;=1,AN52,0))</f>
        <v>0</v>
      </c>
      <c r="AO13" s="674">
        <f xml:space="preserve">
IF(表紙!$X$2="実績報告（１次）",AO52,
IF(AO$19&gt;=1,AO52,0))</f>
        <v>0</v>
      </c>
      <c r="AP13" s="674">
        <f xml:space="preserve">
IF(表紙!$X$2="実績報告（１次）",AP52,
IF(AP$19&gt;=1,AP52,0))</f>
        <v>0</v>
      </c>
      <c r="AQ13" s="674">
        <f xml:space="preserve">
IF(表紙!$X$2="実績報告（１次）",AQ52,
IF(AQ$19&gt;=1,AQ52,0))</f>
        <v>0</v>
      </c>
      <c r="AR13" s="674">
        <f xml:space="preserve">
IF(表紙!$X$2="実績報告（１次）",AR52,
IF(AR$19&gt;=1,AR52,0))</f>
        <v>0</v>
      </c>
      <c r="AS13" s="674">
        <f xml:space="preserve">
IF(表紙!$X$2="実績報告（１次）",AS52,
IF(AS$19&gt;=1,AS52,0))</f>
        <v>0</v>
      </c>
      <c r="AT13" s="674">
        <f xml:space="preserve">
IF(表紙!$X$2="実績報告（１次）",AT52,
IF(AT$19&gt;=1,AT52,0))</f>
        <v>0</v>
      </c>
      <c r="AU13" s="674">
        <f xml:space="preserve">
IF(表紙!$X$2="実績報告（１次）",AU52,
IF(AU$19&gt;=1,AU52,0))</f>
        <v>0</v>
      </c>
      <c r="AV13" s="674">
        <f xml:space="preserve">
IF(表紙!$X$2="実績報告（１次）",AV52,
IF(AV$19&gt;=1,AV52,0))</f>
        <v>0</v>
      </c>
      <c r="AW13" s="674">
        <f xml:space="preserve">
IF(表紙!$X$2="実績報告（１次）",AW52,
IF(AW$19&gt;=1,AW52,0))</f>
        <v>0</v>
      </c>
      <c r="AX13" s="674">
        <f xml:space="preserve">
IF(表紙!$X$2="実績報告（１次）",AX52,
IF(AX$19&gt;=1,AX52,0))</f>
        <v>0</v>
      </c>
      <c r="AY13" s="674">
        <f xml:space="preserve">
IF(表紙!$X$2="実績報告（１次）",AY52,
IF(AY$19&gt;=1,AY52,0))</f>
        <v>0</v>
      </c>
      <c r="AZ13" s="674">
        <f xml:space="preserve">
IF(表紙!$X$2="実績報告（１次）",AZ52,
IF(AZ$19&gt;=1,AZ52,0))</f>
        <v>0</v>
      </c>
      <c r="BA13" s="674">
        <f xml:space="preserve">
IF(表紙!$X$2="実績報告（１次）",BA52,
IF(BA$19&gt;=1,BA52,0))</f>
        <v>0</v>
      </c>
      <c r="BB13" s="674">
        <f xml:space="preserve">
IF(表紙!$X$2="実績報告（１次）",BB52,
IF(BB$19&gt;=1,BB52,0))</f>
        <v>0</v>
      </c>
      <c r="BC13" s="674">
        <f xml:space="preserve">
IF(表紙!$X$2="実績報告（１次）",BC52,
IF(BC$19&gt;=1,BC52,0))</f>
        <v>0</v>
      </c>
      <c r="BD13" s="674">
        <f xml:space="preserve">
IF(表紙!$X$2="実績報告（１次）",BD52,
IF(BD$19&gt;=1,BD52,0))</f>
        <v>0</v>
      </c>
      <c r="BE13" s="674">
        <f xml:space="preserve">
IF(表紙!$X$2="実績報告（１次）",BE52,
IF(BE$19&gt;=1,BE52,0))</f>
        <v>0</v>
      </c>
      <c r="BF13" s="674">
        <f xml:space="preserve">
IF(表紙!$X$2="実績報告（１次）",BF52,
IF(BF$19&gt;=1,BF52,0))</f>
        <v>0</v>
      </c>
      <c r="BG13" s="674">
        <f xml:space="preserve">
IF(表紙!$X$2="実績報告（１次）",BG52,
IF(BG$19&gt;=1,BG52,0))</f>
        <v>0</v>
      </c>
      <c r="BH13" s="674">
        <f xml:space="preserve">
IF(表紙!$X$2="実績報告（１次）",BH52,
IF(BH$19&gt;=1,BH52,0))</f>
        <v>0</v>
      </c>
      <c r="BI13" s="674">
        <f xml:space="preserve">
IF(表紙!$X$2="実績報告（１次）",BI52,
IF(BI$19&gt;=1,BI52,0))</f>
        <v>0</v>
      </c>
      <c r="BJ13" s="674">
        <f xml:space="preserve">
IF(表紙!$X$2="実績報告（１次）",BJ52,
IF(BJ$19&gt;=1,BJ52,0))</f>
        <v>0</v>
      </c>
      <c r="BK13" s="674">
        <f xml:space="preserve">
IF(表紙!$X$2="実績報告（１次）",BK52,
IF(BK$19&gt;=1,BK52,0))</f>
        <v>0</v>
      </c>
      <c r="BL13" s="674">
        <f xml:space="preserve">
IF(表紙!$X$2="実績報告（１次）",BL52,
IF(BL$19&gt;=1,BL52,0))</f>
        <v>0</v>
      </c>
      <c r="BM13" s="674">
        <f xml:space="preserve">
IF(表紙!$X$2="実績報告（１次）",BM52,
IF(BM$19&gt;=1,BM52,0))</f>
        <v>0</v>
      </c>
      <c r="BN13" s="674">
        <f xml:space="preserve">
IF(表紙!$X$2="実績報告（１次）",BN52,
IF(BN$19&gt;=1,BN52,0))</f>
        <v>0</v>
      </c>
      <c r="BO13" s="674">
        <f xml:space="preserve">
IF(表紙!$X$2="実績報告（１次）",BO52,
IF(BO$19&gt;=1,BO52,0))</f>
        <v>0</v>
      </c>
      <c r="BP13" s="674">
        <f xml:space="preserve">
IF(表紙!$X$2="実績報告（１次）",BP52,
IF(BP$19&gt;=1,BP52,0))</f>
        <v>0</v>
      </c>
      <c r="BQ13" s="674">
        <f xml:space="preserve">
IF(表紙!$X$2="実績報告（１次）",BQ52,
IF(BQ$19&gt;=1,BQ52,0))</f>
        <v>0</v>
      </c>
      <c r="BR13" s="674">
        <f xml:space="preserve">
IF(表紙!$X$2="実績報告（１次）",BR52,
IF(BR$19&gt;=1,BR52,0))</f>
        <v>0</v>
      </c>
      <c r="BS13" s="674">
        <f xml:space="preserve">
IF(表紙!$X$2="実績報告（１次）",BS52,
IF(BS$19&gt;=1,BS52,0))</f>
        <v>0</v>
      </c>
      <c r="BT13" s="674">
        <f xml:space="preserve">
IF(表紙!$X$2="実績報告（１次）",BT52,
IF(BT$19&gt;=1,BT52,0))</f>
        <v>0</v>
      </c>
      <c r="BU13" s="674">
        <f xml:space="preserve">
IF(表紙!$X$2="実績報告（１次）",BU52,
IF(BU$19&gt;=1,BU52,0))</f>
        <v>0</v>
      </c>
      <c r="BV13" s="674">
        <f xml:space="preserve">
IF(表紙!$X$2="実績報告（１次）",BV52,
IF(BV$19&gt;=1,BV52,0))</f>
        <v>0</v>
      </c>
      <c r="BW13" s="674">
        <f xml:space="preserve">
IF(表紙!$X$2="実績報告（１次）",BW52,
IF(BW$19&gt;=1,BW52,0))</f>
        <v>0</v>
      </c>
      <c r="BX13" s="674">
        <f xml:space="preserve">
IF(表紙!$X$2="実績報告（１次）",BX52,
IF(BX$19&gt;=1,BX52,0))</f>
        <v>0</v>
      </c>
      <c r="BY13" s="674">
        <f xml:space="preserve">
IF(表紙!$X$2="実績報告（１次）",BY52,
IF(BY$19&gt;=1,BY52,0))</f>
        <v>0</v>
      </c>
      <c r="BZ13" s="674">
        <f xml:space="preserve">
IF(表紙!$X$2="実績報告（１次）",BZ52,
IF(BZ$19&gt;=1,BZ52,0))</f>
        <v>0</v>
      </c>
      <c r="CA13" s="674">
        <f xml:space="preserve">
IF(表紙!$X$2="実績報告（１次）",CA52,
IF(CA$19&gt;=1,CA52,0))</f>
        <v>0</v>
      </c>
      <c r="CB13" s="674">
        <f xml:space="preserve">
IF(表紙!$X$2="実績報告（１次）",CB52,
IF(CB$19&gt;=1,CB52,0))</f>
        <v>0</v>
      </c>
      <c r="CC13" s="674">
        <f xml:space="preserve">
IF(表紙!$X$2="実績報告（１次）",CC52,
IF(CC$19&gt;=1,CC52,0))</f>
        <v>0</v>
      </c>
      <c r="CD13" s="674">
        <f xml:space="preserve">
IF(表紙!$X$2="実績報告（１次）",CD52,
IF(CD$19&gt;=1,CD52,0))</f>
        <v>0</v>
      </c>
      <c r="CE13" s="674">
        <f xml:space="preserve">
IF(表紙!$X$2="実績報告（１次）",CE52,
IF(CE$19&gt;=1,CE52,0))</f>
        <v>0</v>
      </c>
      <c r="CF13" s="674">
        <f xml:space="preserve">
IF(表紙!$X$2="実績報告（１次）",CF52,
IF(CF$19&gt;=1,CF52,0))</f>
        <v>0</v>
      </c>
      <c r="CG13" s="674">
        <f xml:space="preserve">
IF(表紙!$X$2="実績報告（１次）",CG52,
IF(CG$19&gt;=1,CG52,0))</f>
        <v>0</v>
      </c>
      <c r="CH13" s="674">
        <f xml:space="preserve">
IF(表紙!$X$2="実績報告（１次）",CH52,
IF(CH$19&gt;=1,CH52,0))</f>
        <v>0</v>
      </c>
      <c r="CI13" s="674">
        <f xml:space="preserve">
IF(表紙!$X$2="実績報告（１次）",CI52,
IF(CI$19&gt;=1,CI52,0))</f>
        <v>0</v>
      </c>
      <c r="CJ13" s="674">
        <f xml:space="preserve">
IF(表紙!$X$2="実績報告（１次）",CJ52,
IF(CJ$19&gt;=1,CJ52,0))</f>
        <v>0</v>
      </c>
      <c r="CK13" s="674">
        <f xml:space="preserve">
IF(表紙!$X$2="実績報告（１次）",CK52,
IF(CK$19&gt;=1,CK52,0))</f>
        <v>0</v>
      </c>
      <c r="CL13" s="674">
        <f xml:space="preserve">
IF(表紙!$X$2="実績報告（１次）",CL52,
IF(CL$19&gt;=1,CL52,0))</f>
        <v>0</v>
      </c>
      <c r="CM13" s="674">
        <f xml:space="preserve">
IF(表紙!$X$2="実績報告（１次）",CM52,
IF(CM$19&gt;=1,CM52,0))</f>
        <v>0</v>
      </c>
      <c r="CN13" s="674">
        <f xml:space="preserve">
IF(表紙!$X$2="実績報告（１次）",CN52,
IF(CN$19&gt;=1,CN52,0))</f>
        <v>0</v>
      </c>
      <c r="CO13" s="674">
        <f xml:space="preserve">
IF(表紙!$X$2="実績報告（１次）",CO52,
IF(CO$19&gt;=1,CO52,0))</f>
        <v>0</v>
      </c>
      <c r="CP13" s="674">
        <f xml:space="preserve">
IF(表紙!$X$2="実績報告（１次）",CP52,
IF(CP$19&gt;=1,CP52,0))</f>
        <v>0</v>
      </c>
      <c r="CQ13" s="674">
        <f xml:space="preserve">
IF(表紙!$X$2="実績報告（１次）",CQ52,
IF(CQ$19&gt;=1,CQ52,0))</f>
        <v>0</v>
      </c>
      <c r="CR13" s="674">
        <f xml:space="preserve">
IF(表紙!$X$2="実績報告（１次）",CR52,
IF(CR$19&gt;=1,CR52,0))</f>
        <v>0</v>
      </c>
      <c r="CS13" s="674">
        <f xml:space="preserve">
IF(表紙!$X$2="実績報告（１次）",CS52,
IF(CS$19&gt;=1,CS52,0))</f>
        <v>0</v>
      </c>
      <c r="CT13" s="674">
        <f xml:space="preserve">
IF(表紙!$X$2="実績報告（１次）",CT52,
IF(CT$19&gt;=1,CT52,0))</f>
        <v>0</v>
      </c>
      <c r="CU13" s="674">
        <f xml:space="preserve">
IF(表紙!$X$2="実績報告（１次）",CU52,
IF(CU$19&gt;=1,CU52,0))</f>
        <v>0</v>
      </c>
      <c r="CV13" s="674">
        <f xml:space="preserve">
IF(表紙!$X$2="実績報告（１次）",CV52,
IF(CV$19&gt;=1,CV52,0))</f>
        <v>0</v>
      </c>
      <c r="CW13" s="674">
        <f xml:space="preserve">
IF(表紙!$X$2="実績報告（１次）",CW52,
IF(CW$19&gt;=1,CW52,0))</f>
        <v>0</v>
      </c>
      <c r="CX13" s="674">
        <f xml:space="preserve">
IF(表紙!$X$2="実績報告（１次）",CX52,
IF(CX$19&gt;=1,CX52,0))</f>
        <v>0</v>
      </c>
      <c r="CY13" s="674">
        <f xml:space="preserve">
IF(表紙!$X$2="実績報告（１次）",CY52,
IF(CY$19&gt;=1,CY52,0))</f>
        <v>0</v>
      </c>
      <c r="CZ13" s="674">
        <f xml:space="preserve">
IF(表紙!$X$2="実績報告（１次）",CZ52,
IF(CZ$19&gt;=1,CZ52,0))</f>
        <v>0</v>
      </c>
      <c r="DA13" s="674">
        <f xml:space="preserve">
IF(表紙!$X$2="実績報告（１次）",DA52,
IF(DA$19&gt;=1,DA52,0))</f>
        <v>0</v>
      </c>
      <c r="DB13" s="674">
        <f xml:space="preserve">
IF(表紙!$X$2="実績報告（１次）",DB52,
IF(DB$19&gt;=1,DB52,0))</f>
        <v>0</v>
      </c>
      <c r="DC13" s="674">
        <f xml:space="preserve">
IF(表紙!$X$2="実績報告（１次）",DC52,
IF(DC$19&gt;=1,DC52,0))</f>
        <v>0</v>
      </c>
      <c r="DD13" s="674">
        <f xml:space="preserve">
IF(表紙!$X$2="実績報告（１次）",DD52,
IF(DD$19&gt;=1,DD52,0))</f>
        <v>0</v>
      </c>
      <c r="DE13" s="674">
        <f xml:space="preserve">
IF(表紙!$X$2="実績報告（１次）",DE52,
IF(DE$19&gt;=1,DE52,0))</f>
        <v>0</v>
      </c>
      <c r="DF13" s="674">
        <f xml:space="preserve">
IF(表紙!$X$2="実績報告（１次）",DF52,
IF(DF$19&gt;=1,DF52,0))</f>
        <v>0</v>
      </c>
      <c r="DG13" s="674">
        <f xml:space="preserve">
IF(表紙!$X$2="実績報告（１次）",DG52,
IF(DG$19&gt;=1,DG52,0))</f>
        <v>0</v>
      </c>
      <c r="DH13" s="674">
        <f xml:space="preserve">
IF(表紙!$X$2="実績報告（１次）",DH52,
IF(DH$19&gt;=1,DH52,0))</f>
        <v>0</v>
      </c>
      <c r="DI13" s="674">
        <f xml:space="preserve">
IF(表紙!$X$2="実績報告（１次）",DI52,
IF(DI$19&gt;=1,DI52,0))</f>
        <v>0</v>
      </c>
      <c r="DJ13" s="674">
        <f xml:space="preserve">
IF(表紙!$X$2="実績報告（１次）",DJ52,
IF(DJ$19&gt;=1,DJ52,0))</f>
        <v>0</v>
      </c>
      <c r="DK13" s="674">
        <f xml:space="preserve">
IF(表紙!$X$2="実績報告（１次）",DK52,
IF(DK$19&gt;=1,DK52,0))</f>
        <v>0</v>
      </c>
      <c r="DL13" s="674">
        <f xml:space="preserve">
IF(表紙!$X$2="実績報告（１次）",DL52,
IF(DL$19&gt;=1,DL52,0))</f>
        <v>0</v>
      </c>
      <c r="DM13" s="674">
        <f xml:space="preserve">
IF(表紙!$X$2="実績報告（１次）",DM52,
IF(DM$19&gt;=1,DM52,0))</f>
        <v>0</v>
      </c>
      <c r="DN13" s="674">
        <f xml:space="preserve">
IF(表紙!$X$2="実績報告（１次）",DN52,
IF(DN$19&gt;=1,DN52,0))</f>
        <v>0</v>
      </c>
      <c r="DO13" s="674">
        <f xml:space="preserve">
IF(表紙!$X$2="実績報告（１次）",DO52,
IF(DO$19&gt;=1,DO52,0))</f>
        <v>0</v>
      </c>
      <c r="DP13" s="674">
        <f xml:space="preserve">
IF(表紙!$X$2="実績報告（１次）",DP52,
IF(DP$19&gt;=1,DP52,0))</f>
        <v>0</v>
      </c>
      <c r="DQ13" s="674">
        <f xml:space="preserve">
IF(表紙!$X$2="実績報告（１次）",DQ52,
IF(DQ$19&gt;=1,DQ52,0))</f>
        <v>0</v>
      </c>
      <c r="DR13" s="674">
        <f xml:space="preserve">
IF(表紙!$X$2="実績報告（１次）",DR52,
IF(DR$19&gt;=1,DR52,0))</f>
        <v>0</v>
      </c>
      <c r="DS13" s="674">
        <f xml:space="preserve">
IF(表紙!$X$2="実績報告（１次）",DS52,
IF(DS$19&gt;=1,DS52,0))</f>
        <v>0</v>
      </c>
      <c r="DT13" s="674">
        <f xml:space="preserve">
IF(表紙!$X$2="実績報告（１次）",DT52,
IF(DT$19&gt;=1,DT52,0))</f>
        <v>0</v>
      </c>
      <c r="DU13" s="674">
        <f xml:space="preserve">
IF(表紙!$X$2="実績報告（１次）",DU52,
IF(DU$19&gt;=1,DU52,0))</f>
        <v>0</v>
      </c>
      <c r="DV13" s="674">
        <f xml:space="preserve">
IF(表紙!$X$2="実績報告（１次）",DV52,
IF(DV$19&gt;=1,DV52,0))</f>
        <v>0</v>
      </c>
      <c r="DW13" s="674">
        <f xml:space="preserve">
IF(表紙!$X$2="実績報告（１次）",DW52,
IF(DW$19&gt;=1,DW52,0))</f>
        <v>0</v>
      </c>
      <c r="DX13" s="674">
        <f xml:space="preserve">
IF(表紙!$X$2="実績報告（１次）",DX52,
IF(DX$19&gt;=1,DX52,0))</f>
        <v>0</v>
      </c>
      <c r="DY13" s="674">
        <f xml:space="preserve">
IF(表紙!$X$2="実績報告（１次）",DY52,
IF(DY$19&gt;=1,DY52,0))</f>
        <v>0</v>
      </c>
      <c r="DZ13" s="674">
        <f xml:space="preserve">
IF(表紙!$X$2="実績報告（１次）",DZ52,
IF(DZ$19&gt;=1,DZ52,0))</f>
        <v>0</v>
      </c>
      <c r="EA13" s="674">
        <f xml:space="preserve">
IF(表紙!$X$2="実績報告（１次）",EA52,
IF(EA$19&gt;=1,EA52,0))</f>
        <v>0</v>
      </c>
      <c r="EB13" s="674">
        <f xml:space="preserve">
IF(表紙!$X$2="実績報告（１次）",EB52,
IF(EB$19&gt;=1,EB52,0))</f>
        <v>0</v>
      </c>
      <c r="EC13" s="674">
        <f xml:space="preserve">
IF(表紙!$X$2="実績報告（１次）",EC52,
IF(EC$19&gt;=1,EC52,0))</f>
        <v>0</v>
      </c>
      <c r="ED13" s="674">
        <f xml:space="preserve">
IF(表紙!$X$2="実績報告（１次）",ED52,
IF(ED$19&gt;=1,ED52,0))</f>
        <v>0</v>
      </c>
      <c r="EE13" s="674">
        <f xml:space="preserve">
IF(表紙!$X$2="実績報告（１次）",EE52,
IF(EE$19&gt;=1,EE52,0))</f>
        <v>0</v>
      </c>
      <c r="EF13" s="674">
        <f xml:space="preserve">
IF(表紙!$X$2="実績報告（１次）",EF52,
IF(EF$19&gt;=1,EF52,0))</f>
        <v>0</v>
      </c>
      <c r="EG13" s="674">
        <f xml:space="preserve">
IF(表紙!$X$2="実績報告（１次）",EG52,
IF(EG$19&gt;=1,EG52,0))</f>
        <v>0</v>
      </c>
      <c r="EH13" s="674">
        <f xml:space="preserve">
IF(表紙!$X$2="実績報告（１次）",EH52,
IF(EH$19&gt;=1,EH52,0))</f>
        <v>0</v>
      </c>
      <c r="EI13" s="674">
        <f xml:space="preserve">
IF(表紙!$X$2="実績報告（１次）",EI52,
IF(EI$19&gt;=1,EI52,0))</f>
        <v>0</v>
      </c>
      <c r="EJ13" s="674">
        <f xml:space="preserve">
IF(表紙!$X$2="実績報告（１次）",EJ52,
IF(EJ$19&gt;=1,EJ52,0))</f>
        <v>0</v>
      </c>
      <c r="EK13" s="674">
        <f xml:space="preserve">
IF(表紙!$X$2="実績報告（１次）",EK52,
IF(EK$19&gt;=1,EK52,0))</f>
        <v>0</v>
      </c>
      <c r="EL13" s="674">
        <f xml:space="preserve">
IF(表紙!$X$2="実績報告（１次）",EL52,
IF(EL$19&gt;=1,EL52,0))</f>
        <v>0</v>
      </c>
      <c r="EM13" s="674">
        <f xml:space="preserve">
IF(表紙!$X$2="実績報告（１次）",EM52,
IF(EM$19&gt;=1,EM52,0))</f>
        <v>0</v>
      </c>
      <c r="EN13" s="674">
        <f xml:space="preserve">
IF(表紙!$X$2="実績報告（１次）",EN52,
IF(EN$19&gt;=1,EN52,0))</f>
        <v>0</v>
      </c>
      <c r="EO13" s="674">
        <f xml:space="preserve">
IF(表紙!$X$2="実績報告（１次）",EO52,
IF(EO$19&gt;=1,EO52,0))</f>
        <v>0</v>
      </c>
      <c r="EP13" s="674">
        <f xml:space="preserve">
IF(表紙!$X$2="実績報告（１次）",EP52,
IF(EP$19&gt;=1,EP52,0))</f>
        <v>0</v>
      </c>
      <c r="EQ13" s="674">
        <f xml:space="preserve">
IF(表紙!$X$2="実績報告（１次）",EQ52,
IF(EQ$19&gt;=1,EQ52,0))</f>
        <v>0</v>
      </c>
      <c r="ER13" s="674">
        <f xml:space="preserve">
IF(表紙!$X$2="実績報告（１次）",ER52,
IF(ER$19&gt;=1,ER52,0))</f>
        <v>0</v>
      </c>
      <c r="ES13" s="674">
        <f xml:space="preserve">
IF(表紙!$X$2="実績報告（１次）",ES52,
IF(ES$19&gt;=1,ES52,0))</f>
        <v>0</v>
      </c>
      <c r="ET13" s="674">
        <f xml:space="preserve">
IF(表紙!$X$2="実績報告（１次）",ET52,
IF(ET$19&gt;=1,ET52,0))</f>
        <v>0</v>
      </c>
      <c r="EU13" s="674">
        <f xml:space="preserve">
IF(表紙!$X$2="実績報告（１次）",EU52,
IF(EU$19&gt;=1,EU52,0))</f>
        <v>0</v>
      </c>
      <c r="EV13" s="674">
        <f xml:space="preserve">
IF(表紙!$X$2="実績報告（１次）",EV52,
IF(EV$19&gt;=1,EV52,0))</f>
        <v>0</v>
      </c>
      <c r="EW13" s="674">
        <f xml:space="preserve">
IF(表紙!$X$2="実績報告（１次）",EW52,
IF(EW$19&gt;=1,EW52,0))</f>
        <v>0</v>
      </c>
      <c r="EX13" s="674">
        <f xml:space="preserve">
IF(表紙!$X$2="実績報告（１次）",EX52,
IF(EX$19&gt;=1,EX52,0))</f>
        <v>0</v>
      </c>
      <c r="EY13" s="674">
        <f xml:space="preserve">
IF(表紙!$X$2="実績報告（１次）",EY52,
IF(EY$19&gt;=1,EY52,0))</f>
        <v>0</v>
      </c>
      <c r="EZ13" s="674">
        <f xml:space="preserve">
IF(表紙!$X$2="実績報告（１次）",EZ52,
IF(EZ$19&gt;=1,EZ52,0))</f>
        <v>0</v>
      </c>
      <c r="FA13" s="674">
        <f xml:space="preserve">
IF(表紙!$X$2="実績報告（１次）",FA52,
IF(FA$19&gt;=1,FA52,0))</f>
        <v>0</v>
      </c>
      <c r="FB13" s="674">
        <f xml:space="preserve">
IF(表紙!$X$2="実績報告（１次）",FB52,
IF(FB$19&gt;=1,FB52,0))</f>
        <v>0</v>
      </c>
      <c r="FC13" s="674">
        <f xml:space="preserve">
IF(表紙!$X$2="実績報告（１次）",FC52,
IF(FC$19&gt;=1,FC52,0))</f>
        <v>0</v>
      </c>
      <c r="FD13" s="674">
        <f xml:space="preserve">
IF(表紙!$X$2="実績報告（１次）",FD52,
IF(FD$19&gt;=1,FD52,0))</f>
        <v>0</v>
      </c>
      <c r="FE13" s="674">
        <f xml:space="preserve">
IF(表紙!$X$2="実績報告（１次）",FE52,
IF(FE$19&gt;=1,FE52,0))</f>
        <v>0</v>
      </c>
      <c r="FF13" s="674">
        <f xml:space="preserve">
IF(表紙!$X$2="実績報告（１次）",FF52,
IF(FF$19&gt;=1,FF52,0))</f>
        <v>0</v>
      </c>
      <c r="FG13" s="674">
        <f xml:space="preserve">
IF(表紙!$X$2="実績報告（１次）",FG52,
IF(FG$19&gt;=1,FG52,0))</f>
        <v>0</v>
      </c>
      <c r="FH13" s="674">
        <f xml:space="preserve">
IF(表紙!$X$2="実績報告（１次）",FH52,
IF(FH$19&gt;=1,FH52,0))</f>
        <v>0</v>
      </c>
      <c r="FI13" s="674">
        <f xml:space="preserve">
IF(表紙!$X$2="実績報告（１次）",FI52,
IF(FI$19&gt;=1,FI52,0))</f>
        <v>0</v>
      </c>
      <c r="FJ13" s="674">
        <f xml:space="preserve">
IF(表紙!$X$2="実績報告（１次）",FJ52,
IF(FJ$19&gt;=1,FJ52,0))</f>
        <v>0</v>
      </c>
      <c r="FK13" s="674">
        <f xml:space="preserve">
IF(表紙!$X$2="実績報告（１次）",FK52,
IF(FK$19&gt;=1,FK52,0))</f>
        <v>0</v>
      </c>
      <c r="FL13" s="674">
        <f xml:space="preserve">
IF(表紙!$X$2="実績報告（１次）",FL52,
IF(FL$19&gt;=1,FL52,0))</f>
        <v>0</v>
      </c>
      <c r="FM13" s="674">
        <f xml:space="preserve">
IF(表紙!$X$2="実績報告（１次）",FM52,
IF(FM$19&gt;=1,FM52,0))</f>
        <v>0</v>
      </c>
      <c r="FN13" s="674">
        <f xml:space="preserve">
IF(表紙!$X$2="実績報告（１次）",FN52,
IF(FN$19&gt;=1,FN52,0))</f>
        <v>0</v>
      </c>
      <c r="FO13" s="674">
        <f xml:space="preserve">
IF(表紙!$X$2="実績報告（１次）",FO52,
IF(FO$19&gt;=1,FO52,0))</f>
        <v>0</v>
      </c>
      <c r="FP13" s="674">
        <f xml:space="preserve">
IF(表紙!$X$2="実績報告（１次）",FP52,
IF(FP$19&gt;=1,FP52,0))</f>
        <v>0</v>
      </c>
      <c r="FQ13" s="674">
        <f xml:space="preserve">
IF(表紙!$X$2="実績報告（１次）",FQ52,
IF(FQ$19&gt;=1,FQ52,0))</f>
        <v>0</v>
      </c>
      <c r="FR13" s="674">
        <f xml:space="preserve">
IF(表紙!$X$2="実績報告（１次）",FR52,
IF(FR$19&gt;=1,FR52,0))</f>
        <v>0</v>
      </c>
      <c r="FS13" s="674">
        <f xml:space="preserve">
IF(表紙!$X$2="実績報告（１次）",FS52,
IF(FS$19&gt;=1,FS52,0))</f>
        <v>0</v>
      </c>
      <c r="FT13" s="674">
        <f xml:space="preserve">
IF(表紙!$X$2="実績報告（１次）",FT52,
IF(FT$19&gt;=1,FT52,0))</f>
        <v>0</v>
      </c>
      <c r="FU13" s="674">
        <f xml:space="preserve">
IF(表紙!$X$2="実績報告（１次）",FU52,
IF(FU$19&gt;=1,FU52,0))</f>
        <v>0</v>
      </c>
      <c r="FV13" s="674">
        <f xml:space="preserve">
IF(表紙!$X$2="実績報告（１次）",FV52,
IF(FV$19&gt;=1,FV52,0))</f>
        <v>0</v>
      </c>
      <c r="FW13" s="674">
        <f xml:space="preserve">
IF(表紙!$X$2="実績報告（１次）",FW52,
IF(FW$19&gt;=1,FW52,0))</f>
        <v>0</v>
      </c>
      <c r="FX13" s="674">
        <f xml:space="preserve">
IF(表紙!$X$2="実績報告（１次）",FX52,
IF(FX$19&gt;=1,FX52,0))</f>
        <v>0</v>
      </c>
      <c r="FY13" s="674">
        <f xml:space="preserve">
IF(表紙!$X$2="実績報告（１次）",FY52,
IF(FY$19&gt;=1,FY52,0))</f>
        <v>0</v>
      </c>
      <c r="FZ13" s="674">
        <f xml:space="preserve">
IF(表紙!$X$2="実績報告（１次）",FZ52,
IF(FZ$19&gt;=1,FZ52,0))</f>
        <v>0</v>
      </c>
      <c r="GA13" s="674">
        <f xml:space="preserve">
IF(表紙!$X$2="実績報告（１次）",GA52,
IF(GA$19&gt;=1,GA52,0))</f>
        <v>0</v>
      </c>
      <c r="GB13" s="674">
        <f xml:space="preserve">
IF(表紙!$X$2="実績報告（１次）",GB52,
IF(GB$19&gt;=1,GB52,0))</f>
        <v>0</v>
      </c>
      <c r="GC13" s="674">
        <f xml:space="preserve">
IF(表紙!$X$2="実績報告（１次）",GC52,
IF(GC$19&gt;=1,GC52,0))</f>
        <v>0</v>
      </c>
      <c r="GD13" s="674">
        <f xml:space="preserve">
IF(表紙!$X$2="実績報告（１次）",GD52,
IF(GD$19&gt;=1,GD52,0))</f>
        <v>0</v>
      </c>
      <c r="GE13" s="674">
        <f xml:space="preserve">
IF(表紙!$X$2="実績報告（１次）",GE52,
IF(GE$19&gt;=1,GE52,0))</f>
        <v>0</v>
      </c>
      <c r="GF13" s="674">
        <f xml:space="preserve">
IF(表紙!$X$2="実績報告（１次）",GF52,
IF(GF$19&gt;=1,GF52,0))</f>
        <v>0</v>
      </c>
      <c r="GG13" s="674">
        <f xml:space="preserve">
IF(表紙!$X$2="実績報告（１次）",GG52,
IF(GG$19&gt;=1,GG52,0))</f>
        <v>0</v>
      </c>
      <c r="GH13" s="674">
        <f xml:space="preserve">
IF(表紙!$X$2="実績報告（１次）",GH52,
IF(GH$19&gt;=1,GH52,0))</f>
        <v>0</v>
      </c>
      <c r="GI13" s="674">
        <f xml:space="preserve">
IF(表紙!$X$2="実績報告（１次）",GI52,
IF(GI$19&gt;=1,GI52,0))</f>
        <v>0</v>
      </c>
      <c r="GJ13" s="674">
        <f xml:space="preserve">
IF(表紙!$X$2="実績報告（１次）",GJ52,
IF(GJ$19&gt;=1,GJ52,0))</f>
        <v>0</v>
      </c>
    </row>
    <row r="14" spans="2:192" ht="9.75" customHeight="1">
      <c r="B14" s="618"/>
      <c r="C14" s="630" t="s">
        <v>1070</v>
      </c>
      <c r="D14" s="672">
        <f>基礎情報!V149</f>
        <v>0</v>
      </c>
      <c r="E14" s="1941">
        <f t="shared" si="3"/>
        <v>0</v>
      </c>
      <c r="F14" s="1942"/>
      <c r="G14" s="674">
        <f xml:space="preserve">
IF(表紙!$X$2="実績報告（１次）",G55,
IF(G$19&gt;=1,G55,0))</f>
        <v>0</v>
      </c>
      <c r="H14" s="674">
        <f xml:space="preserve">
IF(表紙!$X$2="実績報告（１次）",H55,
IF(H$19&gt;=1,H55,0))</f>
        <v>0</v>
      </c>
      <c r="I14" s="674">
        <f xml:space="preserve">
IF(表紙!$X$2="実績報告（１次）",I55,
IF(I$19&gt;=1,I55,0))</f>
        <v>0</v>
      </c>
      <c r="J14" s="674">
        <f xml:space="preserve">
IF(表紙!$X$2="実績報告（１次）",J55,
IF(J$19&gt;=1,J55,0))</f>
        <v>0</v>
      </c>
      <c r="K14" s="674">
        <f xml:space="preserve">
IF(表紙!$X$2="実績報告（１次）",K55,
IF(K$19&gt;=1,K55,0))</f>
        <v>0</v>
      </c>
      <c r="L14" s="674">
        <f xml:space="preserve">
IF(表紙!$X$2="実績報告（１次）",L55,
IF(L$19&gt;=1,L55,0))</f>
        <v>0</v>
      </c>
      <c r="M14" s="674">
        <f xml:space="preserve">
IF(表紙!$X$2="実績報告（１次）",M55,
IF(M$19&gt;=1,M55,0))</f>
        <v>0</v>
      </c>
      <c r="N14" s="674">
        <f xml:space="preserve">
IF(表紙!$X$2="実績報告（１次）",N55,
IF(N$19&gt;=1,N55,0))</f>
        <v>0</v>
      </c>
      <c r="O14" s="674">
        <f xml:space="preserve">
IF(表紙!$X$2="実績報告（１次）",O55,
IF(O$19&gt;=1,O55,0))</f>
        <v>0</v>
      </c>
      <c r="P14" s="674">
        <f xml:space="preserve">
IF(表紙!$X$2="実績報告（１次）",P55,
IF(P$19&gt;=1,P55,0))</f>
        <v>0</v>
      </c>
      <c r="Q14" s="674">
        <f xml:space="preserve">
IF(表紙!$X$2="実績報告（１次）",Q55,
IF(Q$19&gt;=1,Q55,0))</f>
        <v>0</v>
      </c>
      <c r="R14" s="674">
        <f xml:space="preserve">
IF(表紙!$X$2="実績報告（１次）",R55,
IF(R$19&gt;=1,R55,0))</f>
        <v>0</v>
      </c>
      <c r="S14" s="674">
        <f xml:space="preserve">
IF(表紙!$X$2="実績報告（１次）",S55,
IF(S$19&gt;=1,S55,0))</f>
        <v>0</v>
      </c>
      <c r="T14" s="674">
        <f xml:space="preserve">
IF(表紙!$X$2="実績報告（１次）",T55,
IF(T$19&gt;=1,T55,0))</f>
        <v>0</v>
      </c>
      <c r="U14" s="674">
        <f xml:space="preserve">
IF(表紙!$X$2="実績報告（１次）",U55,
IF(U$19&gt;=1,U55,0))</f>
        <v>0</v>
      </c>
      <c r="V14" s="674">
        <f xml:space="preserve">
IF(表紙!$X$2="実績報告（１次）",V55,
IF(V$19&gt;=1,V55,0))</f>
        <v>0</v>
      </c>
      <c r="W14" s="674">
        <f xml:space="preserve">
IF(表紙!$X$2="実績報告（１次）",W55,
IF(W$19&gt;=1,W55,0))</f>
        <v>0</v>
      </c>
      <c r="X14" s="674">
        <f xml:space="preserve">
IF(表紙!$X$2="実績報告（１次）",X55,
IF(X$19&gt;=1,X55,0))</f>
        <v>0</v>
      </c>
      <c r="Y14" s="674">
        <f xml:space="preserve">
IF(表紙!$X$2="実績報告（１次）",Y55,
IF(Y$19&gt;=1,Y55,0))</f>
        <v>0</v>
      </c>
      <c r="Z14" s="674">
        <f xml:space="preserve">
IF(表紙!$X$2="実績報告（１次）",Z55,
IF(Z$19&gt;=1,Z55,0))</f>
        <v>0</v>
      </c>
      <c r="AA14" s="674">
        <f xml:space="preserve">
IF(表紙!$X$2="実績報告（１次）",AA55,
IF(AA$19&gt;=1,AA55,0))</f>
        <v>0</v>
      </c>
      <c r="AB14" s="674">
        <f xml:space="preserve">
IF(表紙!$X$2="実績報告（１次）",AB55,
IF(AB$19&gt;=1,AB55,0))</f>
        <v>0</v>
      </c>
      <c r="AC14" s="674">
        <f xml:space="preserve">
IF(表紙!$X$2="実績報告（１次）",AC55,
IF(AC$19&gt;=1,AC55,0))</f>
        <v>0</v>
      </c>
      <c r="AD14" s="674">
        <f xml:space="preserve">
IF(表紙!$X$2="実績報告（１次）",AD55,
IF(AD$19&gt;=1,AD55,0))</f>
        <v>0</v>
      </c>
      <c r="AE14" s="674">
        <f xml:space="preserve">
IF(表紙!$X$2="実績報告（１次）",AE55,
IF(AE$19&gt;=1,AE55,0))</f>
        <v>0</v>
      </c>
      <c r="AF14" s="674">
        <f xml:space="preserve">
IF(表紙!$X$2="実績報告（１次）",AF55,
IF(AF$19&gt;=1,AF55,0))</f>
        <v>0</v>
      </c>
      <c r="AG14" s="674">
        <f xml:space="preserve">
IF(表紙!$X$2="実績報告（１次）",AG55,
IF(AG$19&gt;=1,AG55,0))</f>
        <v>0</v>
      </c>
      <c r="AH14" s="674">
        <f xml:space="preserve">
IF(表紙!$X$2="実績報告（１次）",AH55,
IF(AH$19&gt;=1,AH55,0))</f>
        <v>0</v>
      </c>
      <c r="AI14" s="674">
        <f xml:space="preserve">
IF(表紙!$X$2="実績報告（１次）",AI55,
IF(AI$19&gt;=1,AI55,0))</f>
        <v>0</v>
      </c>
      <c r="AJ14" s="674">
        <f xml:space="preserve">
IF(表紙!$X$2="実績報告（１次）",AJ55,
IF(AJ$19&gt;=1,AJ55,0))</f>
        <v>0</v>
      </c>
      <c r="AK14" s="674">
        <f xml:space="preserve">
IF(表紙!$X$2="実績報告（１次）",AK55,
IF(AK$19&gt;=1,AK55,0))</f>
        <v>0</v>
      </c>
      <c r="AL14" s="674">
        <f xml:space="preserve">
IF(表紙!$X$2="実績報告（１次）",AL55,
IF(AL$19&gt;=1,AL55,0))</f>
        <v>0</v>
      </c>
      <c r="AM14" s="674">
        <f xml:space="preserve">
IF(表紙!$X$2="実績報告（１次）",AM55,
IF(AM$19&gt;=1,AM55,0))</f>
        <v>0</v>
      </c>
      <c r="AN14" s="674">
        <f xml:space="preserve">
IF(表紙!$X$2="実績報告（１次）",AN55,
IF(AN$19&gt;=1,AN55,0))</f>
        <v>0</v>
      </c>
      <c r="AO14" s="674">
        <f xml:space="preserve">
IF(表紙!$X$2="実績報告（１次）",AO55,
IF(AO$19&gt;=1,AO55,0))</f>
        <v>0</v>
      </c>
      <c r="AP14" s="674">
        <f xml:space="preserve">
IF(表紙!$X$2="実績報告（１次）",AP55,
IF(AP$19&gt;=1,AP55,0))</f>
        <v>0</v>
      </c>
      <c r="AQ14" s="674">
        <f xml:space="preserve">
IF(表紙!$X$2="実績報告（１次）",AQ55,
IF(AQ$19&gt;=1,AQ55,0))</f>
        <v>0</v>
      </c>
      <c r="AR14" s="674">
        <f xml:space="preserve">
IF(表紙!$X$2="実績報告（１次）",AR55,
IF(AR$19&gt;=1,AR55,0))</f>
        <v>0</v>
      </c>
      <c r="AS14" s="674">
        <f xml:space="preserve">
IF(表紙!$X$2="実績報告（１次）",AS55,
IF(AS$19&gt;=1,AS55,0))</f>
        <v>0</v>
      </c>
      <c r="AT14" s="674">
        <f xml:space="preserve">
IF(表紙!$X$2="実績報告（１次）",AT55,
IF(AT$19&gt;=1,AT55,0))</f>
        <v>0</v>
      </c>
      <c r="AU14" s="674">
        <f xml:space="preserve">
IF(表紙!$X$2="実績報告（１次）",AU55,
IF(AU$19&gt;=1,AU55,0))</f>
        <v>0</v>
      </c>
      <c r="AV14" s="674">
        <f xml:space="preserve">
IF(表紙!$X$2="実績報告（１次）",AV55,
IF(AV$19&gt;=1,AV55,0))</f>
        <v>0</v>
      </c>
      <c r="AW14" s="674">
        <f xml:space="preserve">
IF(表紙!$X$2="実績報告（１次）",AW55,
IF(AW$19&gt;=1,AW55,0))</f>
        <v>0</v>
      </c>
      <c r="AX14" s="674">
        <f xml:space="preserve">
IF(表紙!$X$2="実績報告（１次）",AX55,
IF(AX$19&gt;=1,AX55,0))</f>
        <v>0</v>
      </c>
      <c r="AY14" s="674">
        <f xml:space="preserve">
IF(表紙!$X$2="実績報告（１次）",AY55,
IF(AY$19&gt;=1,AY55,0))</f>
        <v>0</v>
      </c>
      <c r="AZ14" s="674">
        <f xml:space="preserve">
IF(表紙!$X$2="実績報告（１次）",AZ55,
IF(AZ$19&gt;=1,AZ55,0))</f>
        <v>0</v>
      </c>
      <c r="BA14" s="674">
        <f xml:space="preserve">
IF(表紙!$X$2="実績報告（１次）",BA55,
IF(BA$19&gt;=1,BA55,0))</f>
        <v>0</v>
      </c>
      <c r="BB14" s="674">
        <f xml:space="preserve">
IF(表紙!$X$2="実績報告（１次）",BB55,
IF(BB$19&gt;=1,BB55,0))</f>
        <v>0</v>
      </c>
      <c r="BC14" s="674">
        <f xml:space="preserve">
IF(表紙!$X$2="実績報告（１次）",BC55,
IF(BC$19&gt;=1,BC55,0))</f>
        <v>0</v>
      </c>
      <c r="BD14" s="674">
        <f xml:space="preserve">
IF(表紙!$X$2="実績報告（１次）",BD55,
IF(BD$19&gt;=1,BD55,0))</f>
        <v>0</v>
      </c>
      <c r="BE14" s="674">
        <f xml:space="preserve">
IF(表紙!$X$2="実績報告（１次）",BE55,
IF(BE$19&gt;=1,BE55,0))</f>
        <v>0</v>
      </c>
      <c r="BF14" s="674">
        <f xml:space="preserve">
IF(表紙!$X$2="実績報告（１次）",BF55,
IF(BF$19&gt;=1,BF55,0))</f>
        <v>0</v>
      </c>
      <c r="BG14" s="674">
        <f xml:space="preserve">
IF(表紙!$X$2="実績報告（１次）",BG55,
IF(BG$19&gt;=1,BG55,0))</f>
        <v>0</v>
      </c>
      <c r="BH14" s="674">
        <f xml:space="preserve">
IF(表紙!$X$2="実績報告（１次）",BH55,
IF(BH$19&gt;=1,BH55,0))</f>
        <v>0</v>
      </c>
      <c r="BI14" s="674">
        <f xml:space="preserve">
IF(表紙!$X$2="実績報告（１次）",BI55,
IF(BI$19&gt;=1,BI55,0))</f>
        <v>0</v>
      </c>
      <c r="BJ14" s="674">
        <f xml:space="preserve">
IF(表紙!$X$2="実績報告（１次）",BJ55,
IF(BJ$19&gt;=1,BJ55,0))</f>
        <v>0</v>
      </c>
      <c r="BK14" s="674">
        <f xml:space="preserve">
IF(表紙!$X$2="実績報告（１次）",BK55,
IF(BK$19&gt;=1,BK55,0))</f>
        <v>0</v>
      </c>
      <c r="BL14" s="674">
        <f xml:space="preserve">
IF(表紙!$X$2="実績報告（１次）",BL55,
IF(BL$19&gt;=1,BL55,0))</f>
        <v>0</v>
      </c>
      <c r="BM14" s="674">
        <f xml:space="preserve">
IF(表紙!$X$2="実績報告（１次）",BM55,
IF(BM$19&gt;=1,BM55,0))</f>
        <v>0</v>
      </c>
      <c r="BN14" s="674">
        <f xml:space="preserve">
IF(表紙!$X$2="実績報告（１次）",BN55,
IF(BN$19&gt;=1,BN55,0))</f>
        <v>0</v>
      </c>
      <c r="BO14" s="674">
        <f xml:space="preserve">
IF(表紙!$X$2="実績報告（１次）",BO55,
IF(BO$19&gt;=1,BO55,0))</f>
        <v>0</v>
      </c>
      <c r="BP14" s="674">
        <f xml:space="preserve">
IF(表紙!$X$2="実績報告（１次）",BP55,
IF(BP$19&gt;=1,BP55,0))</f>
        <v>0</v>
      </c>
      <c r="BQ14" s="674">
        <f xml:space="preserve">
IF(表紙!$X$2="実績報告（１次）",BQ55,
IF(BQ$19&gt;=1,BQ55,0))</f>
        <v>0</v>
      </c>
      <c r="BR14" s="674">
        <f xml:space="preserve">
IF(表紙!$X$2="実績報告（１次）",BR55,
IF(BR$19&gt;=1,BR55,0))</f>
        <v>0</v>
      </c>
      <c r="BS14" s="674">
        <f xml:space="preserve">
IF(表紙!$X$2="実績報告（１次）",BS55,
IF(BS$19&gt;=1,BS55,0))</f>
        <v>0</v>
      </c>
      <c r="BT14" s="674">
        <f xml:space="preserve">
IF(表紙!$X$2="実績報告（１次）",BT55,
IF(BT$19&gt;=1,BT55,0))</f>
        <v>0</v>
      </c>
      <c r="BU14" s="674">
        <f xml:space="preserve">
IF(表紙!$X$2="実績報告（１次）",BU55,
IF(BU$19&gt;=1,BU55,0))</f>
        <v>0</v>
      </c>
      <c r="BV14" s="674">
        <f xml:space="preserve">
IF(表紙!$X$2="実績報告（１次）",BV55,
IF(BV$19&gt;=1,BV55,0))</f>
        <v>0</v>
      </c>
      <c r="BW14" s="674">
        <f xml:space="preserve">
IF(表紙!$X$2="実績報告（１次）",BW55,
IF(BW$19&gt;=1,BW55,0))</f>
        <v>0</v>
      </c>
      <c r="BX14" s="674">
        <f xml:space="preserve">
IF(表紙!$X$2="実績報告（１次）",BX55,
IF(BX$19&gt;=1,BX55,0))</f>
        <v>0</v>
      </c>
      <c r="BY14" s="674">
        <f xml:space="preserve">
IF(表紙!$X$2="実績報告（１次）",BY55,
IF(BY$19&gt;=1,BY55,0))</f>
        <v>0</v>
      </c>
      <c r="BZ14" s="674">
        <f xml:space="preserve">
IF(表紙!$X$2="実績報告（１次）",BZ55,
IF(BZ$19&gt;=1,BZ55,0))</f>
        <v>0</v>
      </c>
      <c r="CA14" s="674">
        <f xml:space="preserve">
IF(表紙!$X$2="実績報告（１次）",CA55,
IF(CA$19&gt;=1,CA55,0))</f>
        <v>0</v>
      </c>
      <c r="CB14" s="674">
        <f xml:space="preserve">
IF(表紙!$X$2="実績報告（１次）",CB55,
IF(CB$19&gt;=1,CB55,0))</f>
        <v>0</v>
      </c>
      <c r="CC14" s="674">
        <f xml:space="preserve">
IF(表紙!$X$2="実績報告（１次）",CC55,
IF(CC$19&gt;=1,CC55,0))</f>
        <v>0</v>
      </c>
      <c r="CD14" s="674">
        <f xml:space="preserve">
IF(表紙!$X$2="実績報告（１次）",CD55,
IF(CD$19&gt;=1,CD55,0))</f>
        <v>0</v>
      </c>
      <c r="CE14" s="674">
        <f xml:space="preserve">
IF(表紙!$X$2="実績報告（１次）",CE55,
IF(CE$19&gt;=1,CE55,0))</f>
        <v>0</v>
      </c>
      <c r="CF14" s="674">
        <f xml:space="preserve">
IF(表紙!$X$2="実績報告（１次）",CF55,
IF(CF$19&gt;=1,CF55,0))</f>
        <v>0</v>
      </c>
      <c r="CG14" s="674">
        <f xml:space="preserve">
IF(表紙!$X$2="実績報告（１次）",CG55,
IF(CG$19&gt;=1,CG55,0))</f>
        <v>0</v>
      </c>
      <c r="CH14" s="674">
        <f xml:space="preserve">
IF(表紙!$X$2="実績報告（１次）",CH55,
IF(CH$19&gt;=1,CH55,0))</f>
        <v>0</v>
      </c>
      <c r="CI14" s="674">
        <f xml:space="preserve">
IF(表紙!$X$2="実績報告（１次）",CI55,
IF(CI$19&gt;=1,CI55,0))</f>
        <v>0</v>
      </c>
      <c r="CJ14" s="674">
        <f xml:space="preserve">
IF(表紙!$X$2="実績報告（１次）",CJ55,
IF(CJ$19&gt;=1,CJ55,0))</f>
        <v>0</v>
      </c>
      <c r="CK14" s="674">
        <f xml:space="preserve">
IF(表紙!$X$2="実績報告（１次）",CK55,
IF(CK$19&gt;=1,CK55,0))</f>
        <v>0</v>
      </c>
      <c r="CL14" s="674">
        <f xml:space="preserve">
IF(表紙!$X$2="実績報告（１次）",CL55,
IF(CL$19&gt;=1,CL55,0))</f>
        <v>0</v>
      </c>
      <c r="CM14" s="674">
        <f xml:space="preserve">
IF(表紙!$X$2="実績報告（１次）",CM55,
IF(CM$19&gt;=1,CM55,0))</f>
        <v>0</v>
      </c>
      <c r="CN14" s="674">
        <f xml:space="preserve">
IF(表紙!$X$2="実績報告（１次）",CN55,
IF(CN$19&gt;=1,CN55,0))</f>
        <v>0</v>
      </c>
      <c r="CO14" s="674">
        <f xml:space="preserve">
IF(表紙!$X$2="実績報告（１次）",CO55,
IF(CO$19&gt;=1,CO55,0))</f>
        <v>0</v>
      </c>
      <c r="CP14" s="674">
        <f xml:space="preserve">
IF(表紙!$X$2="実績報告（１次）",CP55,
IF(CP$19&gt;=1,CP55,0))</f>
        <v>0</v>
      </c>
      <c r="CQ14" s="674">
        <f xml:space="preserve">
IF(表紙!$X$2="実績報告（１次）",CQ55,
IF(CQ$19&gt;=1,CQ55,0))</f>
        <v>0</v>
      </c>
      <c r="CR14" s="674">
        <f xml:space="preserve">
IF(表紙!$X$2="実績報告（１次）",CR55,
IF(CR$19&gt;=1,CR55,0))</f>
        <v>0</v>
      </c>
      <c r="CS14" s="674">
        <f xml:space="preserve">
IF(表紙!$X$2="実績報告（１次）",CS55,
IF(CS$19&gt;=1,CS55,0))</f>
        <v>0</v>
      </c>
      <c r="CT14" s="674">
        <f xml:space="preserve">
IF(表紙!$X$2="実績報告（１次）",CT55,
IF(CT$19&gt;=1,CT55,0))</f>
        <v>0</v>
      </c>
      <c r="CU14" s="674">
        <f xml:space="preserve">
IF(表紙!$X$2="実績報告（１次）",CU55,
IF(CU$19&gt;=1,CU55,0))</f>
        <v>0</v>
      </c>
      <c r="CV14" s="674">
        <f xml:space="preserve">
IF(表紙!$X$2="実績報告（１次）",CV55,
IF(CV$19&gt;=1,CV55,0))</f>
        <v>0</v>
      </c>
      <c r="CW14" s="674">
        <f xml:space="preserve">
IF(表紙!$X$2="実績報告（１次）",CW55,
IF(CW$19&gt;=1,CW55,0))</f>
        <v>0</v>
      </c>
      <c r="CX14" s="674">
        <f xml:space="preserve">
IF(表紙!$X$2="実績報告（１次）",CX55,
IF(CX$19&gt;=1,CX55,0))</f>
        <v>0</v>
      </c>
      <c r="CY14" s="674">
        <f xml:space="preserve">
IF(表紙!$X$2="実績報告（１次）",CY55,
IF(CY$19&gt;=1,CY55,0))</f>
        <v>0</v>
      </c>
      <c r="CZ14" s="674">
        <f xml:space="preserve">
IF(表紙!$X$2="実績報告（１次）",CZ55,
IF(CZ$19&gt;=1,CZ55,0))</f>
        <v>0</v>
      </c>
      <c r="DA14" s="674">
        <f xml:space="preserve">
IF(表紙!$X$2="実績報告（１次）",DA55,
IF(DA$19&gt;=1,DA55,0))</f>
        <v>0</v>
      </c>
      <c r="DB14" s="674">
        <f xml:space="preserve">
IF(表紙!$X$2="実績報告（１次）",DB55,
IF(DB$19&gt;=1,DB55,0))</f>
        <v>0</v>
      </c>
      <c r="DC14" s="674">
        <f xml:space="preserve">
IF(表紙!$X$2="実績報告（１次）",DC55,
IF(DC$19&gt;=1,DC55,0))</f>
        <v>0</v>
      </c>
      <c r="DD14" s="674">
        <f xml:space="preserve">
IF(表紙!$X$2="実績報告（１次）",DD55,
IF(DD$19&gt;=1,DD55,0))</f>
        <v>0</v>
      </c>
      <c r="DE14" s="674">
        <f xml:space="preserve">
IF(表紙!$X$2="実績報告（１次）",DE55,
IF(DE$19&gt;=1,DE55,0))</f>
        <v>0</v>
      </c>
      <c r="DF14" s="674">
        <f xml:space="preserve">
IF(表紙!$X$2="実績報告（１次）",DF55,
IF(DF$19&gt;=1,DF55,0))</f>
        <v>0</v>
      </c>
      <c r="DG14" s="674">
        <f xml:space="preserve">
IF(表紙!$X$2="実績報告（１次）",DG55,
IF(DG$19&gt;=1,DG55,0))</f>
        <v>0</v>
      </c>
      <c r="DH14" s="674">
        <f xml:space="preserve">
IF(表紙!$X$2="実績報告（１次）",DH55,
IF(DH$19&gt;=1,DH55,0))</f>
        <v>0</v>
      </c>
      <c r="DI14" s="674">
        <f xml:space="preserve">
IF(表紙!$X$2="実績報告（１次）",DI55,
IF(DI$19&gt;=1,DI55,0))</f>
        <v>0</v>
      </c>
      <c r="DJ14" s="674">
        <f xml:space="preserve">
IF(表紙!$X$2="実績報告（１次）",DJ55,
IF(DJ$19&gt;=1,DJ55,0))</f>
        <v>0</v>
      </c>
      <c r="DK14" s="674">
        <f xml:space="preserve">
IF(表紙!$X$2="実績報告（１次）",DK55,
IF(DK$19&gt;=1,DK55,0))</f>
        <v>0</v>
      </c>
      <c r="DL14" s="674">
        <f xml:space="preserve">
IF(表紙!$X$2="実績報告（１次）",DL55,
IF(DL$19&gt;=1,DL55,0))</f>
        <v>0</v>
      </c>
      <c r="DM14" s="674">
        <f xml:space="preserve">
IF(表紙!$X$2="実績報告（１次）",DM55,
IF(DM$19&gt;=1,DM55,0))</f>
        <v>0</v>
      </c>
      <c r="DN14" s="674">
        <f xml:space="preserve">
IF(表紙!$X$2="実績報告（１次）",DN55,
IF(DN$19&gt;=1,DN55,0))</f>
        <v>0</v>
      </c>
      <c r="DO14" s="674">
        <f xml:space="preserve">
IF(表紙!$X$2="実績報告（１次）",DO55,
IF(DO$19&gt;=1,DO55,0))</f>
        <v>0</v>
      </c>
      <c r="DP14" s="674">
        <f xml:space="preserve">
IF(表紙!$X$2="実績報告（１次）",DP55,
IF(DP$19&gt;=1,DP55,0))</f>
        <v>0</v>
      </c>
      <c r="DQ14" s="674">
        <f xml:space="preserve">
IF(表紙!$X$2="実績報告（１次）",DQ55,
IF(DQ$19&gt;=1,DQ55,0))</f>
        <v>0</v>
      </c>
      <c r="DR14" s="674">
        <f xml:space="preserve">
IF(表紙!$X$2="実績報告（１次）",DR55,
IF(DR$19&gt;=1,DR55,0))</f>
        <v>0</v>
      </c>
      <c r="DS14" s="674">
        <f xml:space="preserve">
IF(表紙!$X$2="実績報告（１次）",DS55,
IF(DS$19&gt;=1,DS55,0))</f>
        <v>0</v>
      </c>
      <c r="DT14" s="674">
        <f xml:space="preserve">
IF(表紙!$X$2="実績報告（１次）",DT55,
IF(DT$19&gt;=1,DT55,0))</f>
        <v>0</v>
      </c>
      <c r="DU14" s="674">
        <f xml:space="preserve">
IF(表紙!$X$2="実績報告（１次）",DU55,
IF(DU$19&gt;=1,DU55,0))</f>
        <v>0</v>
      </c>
      <c r="DV14" s="674">
        <f xml:space="preserve">
IF(表紙!$X$2="実績報告（１次）",DV55,
IF(DV$19&gt;=1,DV55,0))</f>
        <v>0</v>
      </c>
      <c r="DW14" s="674">
        <f xml:space="preserve">
IF(表紙!$X$2="実績報告（１次）",DW55,
IF(DW$19&gt;=1,DW55,0))</f>
        <v>0</v>
      </c>
      <c r="DX14" s="674">
        <f xml:space="preserve">
IF(表紙!$X$2="実績報告（１次）",DX55,
IF(DX$19&gt;=1,DX55,0))</f>
        <v>0</v>
      </c>
      <c r="DY14" s="674">
        <f xml:space="preserve">
IF(表紙!$X$2="実績報告（１次）",DY55,
IF(DY$19&gt;=1,DY55,0))</f>
        <v>0</v>
      </c>
      <c r="DZ14" s="674">
        <f xml:space="preserve">
IF(表紙!$X$2="実績報告（１次）",DZ55,
IF(DZ$19&gt;=1,DZ55,0))</f>
        <v>0</v>
      </c>
      <c r="EA14" s="674">
        <f xml:space="preserve">
IF(表紙!$X$2="実績報告（１次）",EA55,
IF(EA$19&gt;=1,EA55,0))</f>
        <v>0</v>
      </c>
      <c r="EB14" s="674">
        <f xml:space="preserve">
IF(表紙!$X$2="実績報告（１次）",EB55,
IF(EB$19&gt;=1,EB55,0))</f>
        <v>0</v>
      </c>
      <c r="EC14" s="674">
        <f xml:space="preserve">
IF(表紙!$X$2="実績報告（１次）",EC55,
IF(EC$19&gt;=1,EC55,0))</f>
        <v>0</v>
      </c>
      <c r="ED14" s="674">
        <f xml:space="preserve">
IF(表紙!$X$2="実績報告（１次）",ED55,
IF(ED$19&gt;=1,ED55,0))</f>
        <v>0</v>
      </c>
      <c r="EE14" s="674">
        <f xml:space="preserve">
IF(表紙!$X$2="実績報告（１次）",EE55,
IF(EE$19&gt;=1,EE55,0))</f>
        <v>0</v>
      </c>
      <c r="EF14" s="674">
        <f xml:space="preserve">
IF(表紙!$X$2="実績報告（１次）",EF55,
IF(EF$19&gt;=1,EF55,0))</f>
        <v>0</v>
      </c>
      <c r="EG14" s="674">
        <f xml:space="preserve">
IF(表紙!$X$2="実績報告（１次）",EG55,
IF(EG$19&gt;=1,EG55,0))</f>
        <v>0</v>
      </c>
      <c r="EH14" s="674">
        <f xml:space="preserve">
IF(表紙!$X$2="実績報告（１次）",EH55,
IF(EH$19&gt;=1,EH55,0))</f>
        <v>0</v>
      </c>
      <c r="EI14" s="674">
        <f xml:space="preserve">
IF(表紙!$X$2="実績報告（１次）",EI55,
IF(EI$19&gt;=1,EI55,0))</f>
        <v>0</v>
      </c>
      <c r="EJ14" s="674">
        <f xml:space="preserve">
IF(表紙!$X$2="実績報告（１次）",EJ55,
IF(EJ$19&gt;=1,EJ55,0))</f>
        <v>0</v>
      </c>
      <c r="EK14" s="674">
        <f xml:space="preserve">
IF(表紙!$X$2="実績報告（１次）",EK55,
IF(EK$19&gt;=1,EK55,0))</f>
        <v>0</v>
      </c>
      <c r="EL14" s="674">
        <f xml:space="preserve">
IF(表紙!$X$2="実績報告（１次）",EL55,
IF(EL$19&gt;=1,EL55,0))</f>
        <v>0</v>
      </c>
      <c r="EM14" s="674">
        <f xml:space="preserve">
IF(表紙!$X$2="実績報告（１次）",EM55,
IF(EM$19&gt;=1,EM55,0))</f>
        <v>0</v>
      </c>
      <c r="EN14" s="674">
        <f xml:space="preserve">
IF(表紙!$X$2="実績報告（１次）",EN55,
IF(EN$19&gt;=1,EN55,0))</f>
        <v>0</v>
      </c>
      <c r="EO14" s="674">
        <f xml:space="preserve">
IF(表紙!$X$2="実績報告（１次）",EO55,
IF(EO$19&gt;=1,EO55,0))</f>
        <v>0</v>
      </c>
      <c r="EP14" s="674">
        <f xml:space="preserve">
IF(表紙!$X$2="実績報告（１次）",EP55,
IF(EP$19&gt;=1,EP55,0))</f>
        <v>0</v>
      </c>
      <c r="EQ14" s="674">
        <f xml:space="preserve">
IF(表紙!$X$2="実績報告（１次）",EQ55,
IF(EQ$19&gt;=1,EQ55,0))</f>
        <v>0</v>
      </c>
      <c r="ER14" s="674">
        <f xml:space="preserve">
IF(表紙!$X$2="実績報告（１次）",ER55,
IF(ER$19&gt;=1,ER55,0))</f>
        <v>0</v>
      </c>
      <c r="ES14" s="674">
        <f xml:space="preserve">
IF(表紙!$X$2="実績報告（１次）",ES55,
IF(ES$19&gt;=1,ES55,0))</f>
        <v>0</v>
      </c>
      <c r="ET14" s="674">
        <f xml:space="preserve">
IF(表紙!$X$2="実績報告（１次）",ET55,
IF(ET$19&gt;=1,ET55,0))</f>
        <v>0</v>
      </c>
      <c r="EU14" s="674">
        <f xml:space="preserve">
IF(表紙!$X$2="実績報告（１次）",EU55,
IF(EU$19&gt;=1,EU55,0))</f>
        <v>0</v>
      </c>
      <c r="EV14" s="674">
        <f xml:space="preserve">
IF(表紙!$X$2="実績報告（１次）",EV55,
IF(EV$19&gt;=1,EV55,0))</f>
        <v>0</v>
      </c>
      <c r="EW14" s="674">
        <f xml:space="preserve">
IF(表紙!$X$2="実績報告（１次）",EW55,
IF(EW$19&gt;=1,EW55,0))</f>
        <v>0</v>
      </c>
      <c r="EX14" s="674">
        <f xml:space="preserve">
IF(表紙!$X$2="実績報告（１次）",EX55,
IF(EX$19&gt;=1,EX55,0))</f>
        <v>0</v>
      </c>
      <c r="EY14" s="674">
        <f xml:space="preserve">
IF(表紙!$X$2="実績報告（１次）",EY55,
IF(EY$19&gt;=1,EY55,0))</f>
        <v>0</v>
      </c>
      <c r="EZ14" s="674">
        <f xml:space="preserve">
IF(表紙!$X$2="実績報告（１次）",EZ55,
IF(EZ$19&gt;=1,EZ55,0))</f>
        <v>0</v>
      </c>
      <c r="FA14" s="674">
        <f xml:space="preserve">
IF(表紙!$X$2="実績報告（１次）",FA55,
IF(FA$19&gt;=1,FA55,0))</f>
        <v>0</v>
      </c>
      <c r="FB14" s="674">
        <f xml:space="preserve">
IF(表紙!$X$2="実績報告（１次）",FB55,
IF(FB$19&gt;=1,FB55,0))</f>
        <v>0</v>
      </c>
      <c r="FC14" s="674">
        <f xml:space="preserve">
IF(表紙!$X$2="実績報告（１次）",FC55,
IF(FC$19&gt;=1,FC55,0))</f>
        <v>0</v>
      </c>
      <c r="FD14" s="674">
        <f xml:space="preserve">
IF(表紙!$X$2="実績報告（１次）",FD55,
IF(FD$19&gt;=1,FD55,0))</f>
        <v>0</v>
      </c>
      <c r="FE14" s="674">
        <f xml:space="preserve">
IF(表紙!$X$2="実績報告（１次）",FE55,
IF(FE$19&gt;=1,FE55,0))</f>
        <v>0</v>
      </c>
      <c r="FF14" s="674">
        <f xml:space="preserve">
IF(表紙!$X$2="実績報告（１次）",FF55,
IF(FF$19&gt;=1,FF55,0))</f>
        <v>0</v>
      </c>
      <c r="FG14" s="674">
        <f xml:space="preserve">
IF(表紙!$X$2="実績報告（１次）",FG55,
IF(FG$19&gt;=1,FG55,0))</f>
        <v>0</v>
      </c>
      <c r="FH14" s="674">
        <f xml:space="preserve">
IF(表紙!$X$2="実績報告（１次）",FH55,
IF(FH$19&gt;=1,FH55,0))</f>
        <v>0</v>
      </c>
      <c r="FI14" s="674">
        <f xml:space="preserve">
IF(表紙!$X$2="実績報告（１次）",FI55,
IF(FI$19&gt;=1,FI55,0))</f>
        <v>0</v>
      </c>
      <c r="FJ14" s="674">
        <f xml:space="preserve">
IF(表紙!$X$2="実績報告（１次）",FJ55,
IF(FJ$19&gt;=1,FJ55,0))</f>
        <v>0</v>
      </c>
      <c r="FK14" s="674">
        <f xml:space="preserve">
IF(表紙!$X$2="実績報告（１次）",FK55,
IF(FK$19&gt;=1,FK55,0))</f>
        <v>0</v>
      </c>
      <c r="FL14" s="674">
        <f xml:space="preserve">
IF(表紙!$X$2="実績報告（１次）",FL55,
IF(FL$19&gt;=1,FL55,0))</f>
        <v>0</v>
      </c>
      <c r="FM14" s="674">
        <f xml:space="preserve">
IF(表紙!$X$2="実績報告（１次）",FM55,
IF(FM$19&gt;=1,FM55,0))</f>
        <v>0</v>
      </c>
      <c r="FN14" s="674">
        <f xml:space="preserve">
IF(表紙!$X$2="実績報告（１次）",FN55,
IF(FN$19&gt;=1,FN55,0))</f>
        <v>0</v>
      </c>
      <c r="FO14" s="674">
        <f xml:space="preserve">
IF(表紙!$X$2="実績報告（１次）",FO55,
IF(FO$19&gt;=1,FO55,0))</f>
        <v>0</v>
      </c>
      <c r="FP14" s="674">
        <f xml:space="preserve">
IF(表紙!$X$2="実績報告（１次）",FP55,
IF(FP$19&gt;=1,FP55,0))</f>
        <v>0</v>
      </c>
      <c r="FQ14" s="674">
        <f xml:space="preserve">
IF(表紙!$X$2="実績報告（１次）",FQ55,
IF(FQ$19&gt;=1,FQ55,0))</f>
        <v>0</v>
      </c>
      <c r="FR14" s="674">
        <f xml:space="preserve">
IF(表紙!$X$2="実績報告（１次）",FR55,
IF(FR$19&gt;=1,FR55,0))</f>
        <v>0</v>
      </c>
      <c r="FS14" s="674">
        <f xml:space="preserve">
IF(表紙!$X$2="実績報告（１次）",FS55,
IF(FS$19&gt;=1,FS55,0))</f>
        <v>0</v>
      </c>
      <c r="FT14" s="674">
        <f xml:space="preserve">
IF(表紙!$X$2="実績報告（１次）",FT55,
IF(FT$19&gt;=1,FT55,0))</f>
        <v>0</v>
      </c>
      <c r="FU14" s="674">
        <f xml:space="preserve">
IF(表紙!$X$2="実績報告（１次）",FU55,
IF(FU$19&gt;=1,FU55,0))</f>
        <v>0</v>
      </c>
      <c r="FV14" s="674">
        <f xml:space="preserve">
IF(表紙!$X$2="実績報告（１次）",FV55,
IF(FV$19&gt;=1,FV55,0))</f>
        <v>0</v>
      </c>
      <c r="FW14" s="674">
        <f xml:space="preserve">
IF(表紙!$X$2="実績報告（１次）",FW55,
IF(FW$19&gt;=1,FW55,0))</f>
        <v>0</v>
      </c>
      <c r="FX14" s="674">
        <f xml:space="preserve">
IF(表紙!$X$2="実績報告（１次）",FX55,
IF(FX$19&gt;=1,FX55,0))</f>
        <v>0</v>
      </c>
      <c r="FY14" s="674">
        <f xml:space="preserve">
IF(表紙!$X$2="実績報告（１次）",FY55,
IF(FY$19&gt;=1,FY55,0))</f>
        <v>0</v>
      </c>
      <c r="FZ14" s="674">
        <f xml:space="preserve">
IF(表紙!$X$2="実績報告（１次）",FZ55,
IF(FZ$19&gt;=1,FZ55,0))</f>
        <v>0</v>
      </c>
      <c r="GA14" s="674">
        <f xml:space="preserve">
IF(表紙!$X$2="実績報告（１次）",GA55,
IF(GA$19&gt;=1,GA55,0))</f>
        <v>0</v>
      </c>
      <c r="GB14" s="674">
        <f xml:space="preserve">
IF(表紙!$X$2="実績報告（１次）",GB55,
IF(GB$19&gt;=1,GB55,0))</f>
        <v>0</v>
      </c>
      <c r="GC14" s="674">
        <f xml:space="preserve">
IF(表紙!$X$2="実績報告（１次）",GC55,
IF(GC$19&gt;=1,GC55,0))</f>
        <v>0</v>
      </c>
      <c r="GD14" s="674">
        <f xml:space="preserve">
IF(表紙!$X$2="実績報告（１次）",GD55,
IF(GD$19&gt;=1,GD55,0))</f>
        <v>0</v>
      </c>
      <c r="GE14" s="674">
        <f xml:space="preserve">
IF(表紙!$X$2="実績報告（１次）",GE55,
IF(GE$19&gt;=1,GE55,0))</f>
        <v>0</v>
      </c>
      <c r="GF14" s="674">
        <f xml:space="preserve">
IF(表紙!$X$2="実績報告（１次）",GF55,
IF(GF$19&gt;=1,GF55,0))</f>
        <v>0</v>
      </c>
      <c r="GG14" s="674">
        <f xml:space="preserve">
IF(表紙!$X$2="実績報告（１次）",GG55,
IF(GG$19&gt;=1,GG55,0))</f>
        <v>0</v>
      </c>
      <c r="GH14" s="674">
        <f xml:space="preserve">
IF(表紙!$X$2="実績報告（１次）",GH55,
IF(GH$19&gt;=1,GH55,0))</f>
        <v>0</v>
      </c>
      <c r="GI14" s="674">
        <f xml:space="preserve">
IF(表紙!$X$2="実績報告（１次）",GI55,
IF(GI$19&gt;=1,GI55,0))</f>
        <v>0</v>
      </c>
      <c r="GJ14" s="674">
        <f xml:space="preserve">
IF(表紙!$X$2="実績報告（１次）",GJ55,
IF(GJ$19&gt;=1,GJ55,0))</f>
        <v>0</v>
      </c>
    </row>
    <row r="15" spans="2:192" ht="9.75" customHeight="1">
      <c r="B15" s="618"/>
      <c r="C15" s="630" t="s">
        <v>1375</v>
      </c>
      <c r="D15" s="672">
        <f>基礎情報!V152</f>
        <v>0</v>
      </c>
      <c r="E15" s="1941">
        <f t="shared" si="3"/>
        <v>0</v>
      </c>
      <c r="F15" s="1942"/>
      <c r="G15" s="674">
        <f xml:space="preserve">
IF(表紙!$X$2="実績報告（１次）",G58,
IF(G$19&gt;=1,G58,0))</f>
        <v>0</v>
      </c>
      <c r="H15" s="674">
        <f xml:space="preserve">
IF(表紙!$X$2="実績報告（１次）",H58,
IF(H$19&gt;=1,H58,0))</f>
        <v>0</v>
      </c>
      <c r="I15" s="674">
        <f xml:space="preserve">
IF(表紙!$X$2="実績報告（１次）",I58,
IF(I$19&gt;=1,I58,0))</f>
        <v>0</v>
      </c>
      <c r="J15" s="674">
        <f xml:space="preserve">
IF(表紙!$X$2="実績報告（１次）",J58,
IF(J$19&gt;=1,J58,0))</f>
        <v>0</v>
      </c>
      <c r="K15" s="674">
        <f xml:space="preserve">
IF(表紙!$X$2="実績報告（１次）",K58,
IF(K$19&gt;=1,K58,0))</f>
        <v>0</v>
      </c>
      <c r="L15" s="674">
        <f xml:space="preserve">
IF(表紙!$X$2="実績報告（１次）",L58,
IF(L$19&gt;=1,L58,0))</f>
        <v>0</v>
      </c>
      <c r="M15" s="674">
        <f xml:space="preserve">
IF(表紙!$X$2="実績報告（１次）",M58,
IF(M$19&gt;=1,M58,0))</f>
        <v>0</v>
      </c>
      <c r="N15" s="674">
        <f xml:space="preserve">
IF(表紙!$X$2="実績報告（１次）",N58,
IF(N$19&gt;=1,N58,0))</f>
        <v>0</v>
      </c>
      <c r="O15" s="674">
        <f xml:space="preserve">
IF(表紙!$X$2="実績報告（１次）",O58,
IF(O$19&gt;=1,O58,0))</f>
        <v>0</v>
      </c>
      <c r="P15" s="674">
        <f xml:space="preserve">
IF(表紙!$X$2="実績報告（１次）",P58,
IF(P$19&gt;=1,P58,0))</f>
        <v>0</v>
      </c>
      <c r="Q15" s="674">
        <f xml:space="preserve">
IF(表紙!$X$2="実績報告（１次）",Q58,
IF(Q$19&gt;=1,Q58,0))</f>
        <v>0</v>
      </c>
      <c r="R15" s="674">
        <f xml:space="preserve">
IF(表紙!$X$2="実績報告（１次）",R58,
IF(R$19&gt;=1,R58,0))</f>
        <v>0</v>
      </c>
      <c r="S15" s="674">
        <f xml:space="preserve">
IF(表紙!$X$2="実績報告（１次）",S58,
IF(S$19&gt;=1,S58,0))</f>
        <v>0</v>
      </c>
      <c r="T15" s="674">
        <f xml:space="preserve">
IF(表紙!$X$2="実績報告（１次）",T58,
IF(T$19&gt;=1,T58,0))</f>
        <v>0</v>
      </c>
      <c r="U15" s="674">
        <f xml:space="preserve">
IF(表紙!$X$2="実績報告（１次）",U58,
IF(U$19&gt;=1,U58,0))</f>
        <v>0</v>
      </c>
      <c r="V15" s="674">
        <f xml:space="preserve">
IF(表紙!$X$2="実績報告（１次）",V58,
IF(V$19&gt;=1,V58,0))</f>
        <v>0</v>
      </c>
      <c r="W15" s="674">
        <f xml:space="preserve">
IF(表紙!$X$2="実績報告（１次）",W58,
IF(W$19&gt;=1,W58,0))</f>
        <v>0</v>
      </c>
      <c r="X15" s="674">
        <f xml:space="preserve">
IF(表紙!$X$2="実績報告（１次）",X58,
IF(X$19&gt;=1,X58,0))</f>
        <v>0</v>
      </c>
      <c r="Y15" s="674">
        <f xml:space="preserve">
IF(表紙!$X$2="実績報告（１次）",Y58,
IF(Y$19&gt;=1,Y58,0))</f>
        <v>0</v>
      </c>
      <c r="Z15" s="674">
        <f xml:space="preserve">
IF(表紙!$X$2="実績報告（１次）",Z58,
IF(Z$19&gt;=1,Z58,0))</f>
        <v>0</v>
      </c>
      <c r="AA15" s="674">
        <f xml:space="preserve">
IF(表紙!$X$2="実績報告（１次）",AA58,
IF(AA$19&gt;=1,AA58,0))</f>
        <v>0</v>
      </c>
      <c r="AB15" s="674">
        <f xml:space="preserve">
IF(表紙!$X$2="実績報告（１次）",AB58,
IF(AB$19&gt;=1,AB58,0))</f>
        <v>0</v>
      </c>
      <c r="AC15" s="674">
        <f xml:space="preserve">
IF(表紙!$X$2="実績報告（１次）",AC58,
IF(AC$19&gt;=1,AC58,0))</f>
        <v>0</v>
      </c>
      <c r="AD15" s="674">
        <f xml:space="preserve">
IF(表紙!$X$2="実績報告（１次）",AD58,
IF(AD$19&gt;=1,AD58,0))</f>
        <v>0</v>
      </c>
      <c r="AE15" s="674">
        <f xml:space="preserve">
IF(表紙!$X$2="実績報告（１次）",AE58,
IF(AE$19&gt;=1,AE58,0))</f>
        <v>0</v>
      </c>
      <c r="AF15" s="674">
        <f xml:space="preserve">
IF(表紙!$X$2="実績報告（１次）",AF58,
IF(AF$19&gt;=1,AF58,0))</f>
        <v>0</v>
      </c>
      <c r="AG15" s="674">
        <f xml:space="preserve">
IF(表紙!$X$2="実績報告（１次）",AG58,
IF(AG$19&gt;=1,AG58,0))</f>
        <v>0</v>
      </c>
      <c r="AH15" s="674">
        <f xml:space="preserve">
IF(表紙!$X$2="実績報告（１次）",AH58,
IF(AH$19&gt;=1,AH58,0))</f>
        <v>0</v>
      </c>
      <c r="AI15" s="674">
        <f xml:space="preserve">
IF(表紙!$X$2="実績報告（１次）",AI58,
IF(AI$19&gt;=1,AI58,0))</f>
        <v>0</v>
      </c>
      <c r="AJ15" s="674">
        <f xml:space="preserve">
IF(表紙!$X$2="実績報告（１次）",AJ58,
IF(AJ$19&gt;=1,AJ58,0))</f>
        <v>0</v>
      </c>
      <c r="AK15" s="674">
        <f xml:space="preserve">
IF(表紙!$X$2="実績報告（１次）",AK58,
IF(AK$19&gt;=1,AK58,0))</f>
        <v>0</v>
      </c>
      <c r="AL15" s="674">
        <f xml:space="preserve">
IF(表紙!$X$2="実績報告（１次）",AL58,
IF(AL$19&gt;=1,AL58,0))</f>
        <v>0</v>
      </c>
      <c r="AM15" s="674">
        <f xml:space="preserve">
IF(表紙!$X$2="実績報告（１次）",AM58,
IF(AM$19&gt;=1,AM58,0))</f>
        <v>0</v>
      </c>
      <c r="AN15" s="674">
        <f xml:space="preserve">
IF(表紙!$X$2="実績報告（１次）",AN58,
IF(AN$19&gt;=1,AN58,0))</f>
        <v>0</v>
      </c>
      <c r="AO15" s="674">
        <f xml:space="preserve">
IF(表紙!$X$2="実績報告（１次）",AO58,
IF(AO$19&gt;=1,AO58,0))</f>
        <v>0</v>
      </c>
      <c r="AP15" s="674">
        <f xml:space="preserve">
IF(表紙!$X$2="実績報告（１次）",AP58,
IF(AP$19&gt;=1,AP58,0))</f>
        <v>0</v>
      </c>
      <c r="AQ15" s="674">
        <f xml:space="preserve">
IF(表紙!$X$2="実績報告（１次）",AQ58,
IF(AQ$19&gt;=1,AQ58,0))</f>
        <v>0</v>
      </c>
      <c r="AR15" s="674">
        <f xml:space="preserve">
IF(表紙!$X$2="実績報告（１次）",AR58,
IF(AR$19&gt;=1,AR58,0))</f>
        <v>0</v>
      </c>
      <c r="AS15" s="674">
        <f xml:space="preserve">
IF(表紙!$X$2="実績報告（１次）",AS58,
IF(AS$19&gt;=1,AS58,0))</f>
        <v>0</v>
      </c>
      <c r="AT15" s="674">
        <f xml:space="preserve">
IF(表紙!$X$2="実績報告（１次）",AT58,
IF(AT$19&gt;=1,AT58,0))</f>
        <v>0</v>
      </c>
      <c r="AU15" s="674">
        <f xml:space="preserve">
IF(表紙!$X$2="実績報告（１次）",AU58,
IF(AU$19&gt;=1,AU58,0))</f>
        <v>0</v>
      </c>
      <c r="AV15" s="674">
        <f xml:space="preserve">
IF(表紙!$X$2="実績報告（１次）",AV58,
IF(AV$19&gt;=1,AV58,0))</f>
        <v>0</v>
      </c>
      <c r="AW15" s="674">
        <f xml:space="preserve">
IF(表紙!$X$2="実績報告（１次）",AW58,
IF(AW$19&gt;=1,AW58,0))</f>
        <v>0</v>
      </c>
      <c r="AX15" s="674">
        <f xml:space="preserve">
IF(表紙!$X$2="実績報告（１次）",AX58,
IF(AX$19&gt;=1,AX58,0))</f>
        <v>0</v>
      </c>
      <c r="AY15" s="674">
        <f xml:space="preserve">
IF(表紙!$X$2="実績報告（１次）",AY58,
IF(AY$19&gt;=1,AY58,0))</f>
        <v>0</v>
      </c>
      <c r="AZ15" s="674">
        <f xml:space="preserve">
IF(表紙!$X$2="実績報告（１次）",AZ58,
IF(AZ$19&gt;=1,AZ58,0))</f>
        <v>0</v>
      </c>
      <c r="BA15" s="674">
        <f xml:space="preserve">
IF(表紙!$X$2="実績報告（１次）",BA58,
IF(BA$19&gt;=1,BA58,0))</f>
        <v>0</v>
      </c>
      <c r="BB15" s="674">
        <f xml:space="preserve">
IF(表紙!$X$2="実績報告（１次）",BB58,
IF(BB$19&gt;=1,BB58,0))</f>
        <v>0</v>
      </c>
      <c r="BC15" s="674">
        <f xml:space="preserve">
IF(表紙!$X$2="実績報告（１次）",BC58,
IF(BC$19&gt;=1,BC58,0))</f>
        <v>0</v>
      </c>
      <c r="BD15" s="674">
        <f xml:space="preserve">
IF(表紙!$X$2="実績報告（１次）",BD58,
IF(BD$19&gt;=1,BD58,0))</f>
        <v>0</v>
      </c>
      <c r="BE15" s="674">
        <f xml:space="preserve">
IF(表紙!$X$2="実績報告（１次）",BE58,
IF(BE$19&gt;=1,BE58,0))</f>
        <v>0</v>
      </c>
      <c r="BF15" s="674">
        <f xml:space="preserve">
IF(表紙!$X$2="実績報告（１次）",BF58,
IF(BF$19&gt;=1,BF58,0))</f>
        <v>0</v>
      </c>
      <c r="BG15" s="674">
        <f xml:space="preserve">
IF(表紙!$X$2="実績報告（１次）",BG58,
IF(BG$19&gt;=1,BG58,0))</f>
        <v>0</v>
      </c>
      <c r="BH15" s="674">
        <f xml:space="preserve">
IF(表紙!$X$2="実績報告（１次）",BH58,
IF(BH$19&gt;=1,BH58,0))</f>
        <v>0</v>
      </c>
      <c r="BI15" s="674">
        <f xml:space="preserve">
IF(表紙!$X$2="実績報告（１次）",BI58,
IF(BI$19&gt;=1,BI58,0))</f>
        <v>0</v>
      </c>
      <c r="BJ15" s="674">
        <f xml:space="preserve">
IF(表紙!$X$2="実績報告（１次）",BJ58,
IF(BJ$19&gt;=1,BJ58,0))</f>
        <v>0</v>
      </c>
      <c r="BK15" s="674">
        <f xml:space="preserve">
IF(表紙!$X$2="実績報告（１次）",BK58,
IF(BK$19&gt;=1,BK58,0))</f>
        <v>0</v>
      </c>
      <c r="BL15" s="674">
        <f xml:space="preserve">
IF(表紙!$X$2="実績報告（１次）",BL58,
IF(BL$19&gt;=1,BL58,0))</f>
        <v>0</v>
      </c>
      <c r="BM15" s="674">
        <f xml:space="preserve">
IF(表紙!$X$2="実績報告（１次）",BM58,
IF(BM$19&gt;=1,BM58,0))</f>
        <v>0</v>
      </c>
      <c r="BN15" s="674">
        <f xml:space="preserve">
IF(表紙!$X$2="実績報告（１次）",BN58,
IF(BN$19&gt;=1,BN58,0))</f>
        <v>0</v>
      </c>
      <c r="BO15" s="674">
        <f xml:space="preserve">
IF(表紙!$X$2="実績報告（１次）",BO58,
IF(BO$19&gt;=1,BO58,0))</f>
        <v>0</v>
      </c>
      <c r="BP15" s="674">
        <f xml:space="preserve">
IF(表紙!$X$2="実績報告（１次）",BP58,
IF(BP$19&gt;=1,BP58,0))</f>
        <v>0</v>
      </c>
      <c r="BQ15" s="674">
        <f xml:space="preserve">
IF(表紙!$X$2="実績報告（１次）",BQ58,
IF(BQ$19&gt;=1,BQ58,0))</f>
        <v>0</v>
      </c>
      <c r="BR15" s="674">
        <f xml:space="preserve">
IF(表紙!$X$2="実績報告（１次）",BR58,
IF(BR$19&gt;=1,BR58,0))</f>
        <v>0</v>
      </c>
      <c r="BS15" s="674">
        <f xml:space="preserve">
IF(表紙!$X$2="実績報告（１次）",BS58,
IF(BS$19&gt;=1,BS58,0))</f>
        <v>0</v>
      </c>
      <c r="BT15" s="674">
        <f xml:space="preserve">
IF(表紙!$X$2="実績報告（１次）",BT58,
IF(BT$19&gt;=1,BT58,0))</f>
        <v>0</v>
      </c>
      <c r="BU15" s="674">
        <f xml:space="preserve">
IF(表紙!$X$2="実績報告（１次）",BU58,
IF(BU$19&gt;=1,BU58,0))</f>
        <v>0</v>
      </c>
      <c r="BV15" s="674">
        <f xml:space="preserve">
IF(表紙!$X$2="実績報告（１次）",BV58,
IF(BV$19&gt;=1,BV58,0))</f>
        <v>0</v>
      </c>
      <c r="BW15" s="674">
        <f xml:space="preserve">
IF(表紙!$X$2="実績報告（１次）",BW58,
IF(BW$19&gt;=1,BW58,0))</f>
        <v>0</v>
      </c>
      <c r="BX15" s="674">
        <f xml:space="preserve">
IF(表紙!$X$2="実績報告（１次）",BX58,
IF(BX$19&gt;=1,BX58,0))</f>
        <v>0</v>
      </c>
      <c r="BY15" s="674">
        <f xml:space="preserve">
IF(表紙!$X$2="実績報告（１次）",BY58,
IF(BY$19&gt;=1,BY58,0))</f>
        <v>0</v>
      </c>
      <c r="BZ15" s="674">
        <f xml:space="preserve">
IF(表紙!$X$2="実績報告（１次）",BZ58,
IF(BZ$19&gt;=1,BZ58,0))</f>
        <v>0</v>
      </c>
      <c r="CA15" s="674">
        <f xml:space="preserve">
IF(表紙!$X$2="実績報告（１次）",CA58,
IF(CA$19&gt;=1,CA58,0))</f>
        <v>0</v>
      </c>
      <c r="CB15" s="674">
        <f xml:space="preserve">
IF(表紙!$X$2="実績報告（１次）",CB58,
IF(CB$19&gt;=1,CB58,0))</f>
        <v>0</v>
      </c>
      <c r="CC15" s="674">
        <f xml:space="preserve">
IF(表紙!$X$2="実績報告（１次）",CC58,
IF(CC$19&gt;=1,CC58,0))</f>
        <v>0</v>
      </c>
      <c r="CD15" s="674">
        <f xml:space="preserve">
IF(表紙!$X$2="実績報告（１次）",CD58,
IF(CD$19&gt;=1,CD58,0))</f>
        <v>0</v>
      </c>
      <c r="CE15" s="674">
        <f xml:space="preserve">
IF(表紙!$X$2="実績報告（１次）",CE58,
IF(CE$19&gt;=1,CE58,0))</f>
        <v>0</v>
      </c>
      <c r="CF15" s="674">
        <f xml:space="preserve">
IF(表紙!$X$2="実績報告（１次）",CF58,
IF(CF$19&gt;=1,CF58,0))</f>
        <v>0</v>
      </c>
      <c r="CG15" s="674">
        <f xml:space="preserve">
IF(表紙!$X$2="実績報告（１次）",CG58,
IF(CG$19&gt;=1,CG58,0))</f>
        <v>0</v>
      </c>
      <c r="CH15" s="674">
        <f xml:space="preserve">
IF(表紙!$X$2="実績報告（１次）",CH58,
IF(CH$19&gt;=1,CH58,0))</f>
        <v>0</v>
      </c>
      <c r="CI15" s="674">
        <f xml:space="preserve">
IF(表紙!$X$2="実績報告（１次）",CI58,
IF(CI$19&gt;=1,CI58,0))</f>
        <v>0</v>
      </c>
      <c r="CJ15" s="674">
        <f xml:space="preserve">
IF(表紙!$X$2="実績報告（１次）",CJ58,
IF(CJ$19&gt;=1,CJ58,0))</f>
        <v>0</v>
      </c>
      <c r="CK15" s="674">
        <f xml:space="preserve">
IF(表紙!$X$2="実績報告（１次）",CK58,
IF(CK$19&gt;=1,CK58,0))</f>
        <v>0</v>
      </c>
      <c r="CL15" s="674">
        <f xml:space="preserve">
IF(表紙!$X$2="実績報告（１次）",CL58,
IF(CL$19&gt;=1,CL58,0))</f>
        <v>0</v>
      </c>
      <c r="CM15" s="674">
        <f xml:space="preserve">
IF(表紙!$X$2="実績報告（１次）",CM58,
IF(CM$19&gt;=1,CM58,0))</f>
        <v>0</v>
      </c>
      <c r="CN15" s="674">
        <f xml:space="preserve">
IF(表紙!$X$2="実績報告（１次）",CN58,
IF(CN$19&gt;=1,CN58,0))</f>
        <v>0</v>
      </c>
      <c r="CO15" s="674">
        <f xml:space="preserve">
IF(表紙!$X$2="実績報告（１次）",CO58,
IF(CO$19&gt;=1,CO58,0))</f>
        <v>0</v>
      </c>
      <c r="CP15" s="674">
        <f xml:space="preserve">
IF(表紙!$X$2="実績報告（１次）",CP58,
IF(CP$19&gt;=1,CP58,0))</f>
        <v>0</v>
      </c>
      <c r="CQ15" s="674">
        <f xml:space="preserve">
IF(表紙!$X$2="実績報告（１次）",CQ58,
IF(CQ$19&gt;=1,CQ58,0))</f>
        <v>0</v>
      </c>
      <c r="CR15" s="674">
        <f xml:space="preserve">
IF(表紙!$X$2="実績報告（１次）",CR58,
IF(CR$19&gt;=1,CR58,0))</f>
        <v>0</v>
      </c>
      <c r="CS15" s="674">
        <f xml:space="preserve">
IF(表紙!$X$2="実績報告（１次）",CS58,
IF(CS$19&gt;=1,CS58,0))</f>
        <v>0</v>
      </c>
      <c r="CT15" s="674">
        <f xml:space="preserve">
IF(表紙!$X$2="実績報告（１次）",CT58,
IF(CT$19&gt;=1,CT58,0))</f>
        <v>0</v>
      </c>
      <c r="CU15" s="674">
        <f xml:space="preserve">
IF(表紙!$X$2="実績報告（１次）",CU58,
IF(CU$19&gt;=1,CU58,0))</f>
        <v>0</v>
      </c>
      <c r="CV15" s="674">
        <f xml:space="preserve">
IF(表紙!$X$2="実績報告（１次）",CV58,
IF(CV$19&gt;=1,CV58,0))</f>
        <v>0</v>
      </c>
      <c r="CW15" s="674">
        <f xml:space="preserve">
IF(表紙!$X$2="実績報告（１次）",CW58,
IF(CW$19&gt;=1,CW58,0))</f>
        <v>0</v>
      </c>
      <c r="CX15" s="674">
        <f xml:space="preserve">
IF(表紙!$X$2="実績報告（１次）",CX58,
IF(CX$19&gt;=1,CX58,0))</f>
        <v>0</v>
      </c>
      <c r="CY15" s="674">
        <f xml:space="preserve">
IF(表紙!$X$2="実績報告（１次）",CY58,
IF(CY$19&gt;=1,CY58,0))</f>
        <v>0</v>
      </c>
      <c r="CZ15" s="674">
        <f xml:space="preserve">
IF(表紙!$X$2="実績報告（１次）",CZ58,
IF(CZ$19&gt;=1,CZ58,0))</f>
        <v>0</v>
      </c>
      <c r="DA15" s="674">
        <f xml:space="preserve">
IF(表紙!$X$2="実績報告（１次）",DA58,
IF(DA$19&gt;=1,DA58,0))</f>
        <v>0</v>
      </c>
      <c r="DB15" s="674">
        <f xml:space="preserve">
IF(表紙!$X$2="実績報告（１次）",DB58,
IF(DB$19&gt;=1,DB58,0))</f>
        <v>0</v>
      </c>
      <c r="DC15" s="674">
        <f xml:space="preserve">
IF(表紙!$X$2="実績報告（１次）",DC58,
IF(DC$19&gt;=1,DC58,0))</f>
        <v>0</v>
      </c>
      <c r="DD15" s="674">
        <f xml:space="preserve">
IF(表紙!$X$2="実績報告（１次）",DD58,
IF(DD$19&gt;=1,DD58,0))</f>
        <v>0</v>
      </c>
      <c r="DE15" s="674">
        <f xml:space="preserve">
IF(表紙!$X$2="実績報告（１次）",DE58,
IF(DE$19&gt;=1,DE58,0))</f>
        <v>0</v>
      </c>
      <c r="DF15" s="674">
        <f xml:space="preserve">
IF(表紙!$X$2="実績報告（１次）",DF58,
IF(DF$19&gt;=1,DF58,0))</f>
        <v>0</v>
      </c>
      <c r="DG15" s="674">
        <f xml:space="preserve">
IF(表紙!$X$2="実績報告（１次）",DG58,
IF(DG$19&gt;=1,DG58,0))</f>
        <v>0</v>
      </c>
      <c r="DH15" s="674">
        <f xml:space="preserve">
IF(表紙!$X$2="実績報告（１次）",DH58,
IF(DH$19&gt;=1,DH58,0))</f>
        <v>0</v>
      </c>
      <c r="DI15" s="674">
        <f xml:space="preserve">
IF(表紙!$X$2="実績報告（１次）",DI58,
IF(DI$19&gt;=1,DI58,0))</f>
        <v>0</v>
      </c>
      <c r="DJ15" s="674">
        <f xml:space="preserve">
IF(表紙!$X$2="実績報告（１次）",DJ58,
IF(DJ$19&gt;=1,DJ58,0))</f>
        <v>0</v>
      </c>
      <c r="DK15" s="674">
        <f xml:space="preserve">
IF(表紙!$X$2="実績報告（１次）",DK58,
IF(DK$19&gt;=1,DK58,0))</f>
        <v>0</v>
      </c>
      <c r="DL15" s="674">
        <f xml:space="preserve">
IF(表紙!$X$2="実績報告（１次）",DL58,
IF(DL$19&gt;=1,DL58,0))</f>
        <v>0</v>
      </c>
      <c r="DM15" s="674">
        <f xml:space="preserve">
IF(表紙!$X$2="実績報告（１次）",DM58,
IF(DM$19&gt;=1,DM58,0))</f>
        <v>0</v>
      </c>
      <c r="DN15" s="674">
        <f xml:space="preserve">
IF(表紙!$X$2="実績報告（１次）",DN58,
IF(DN$19&gt;=1,DN58,0))</f>
        <v>0</v>
      </c>
      <c r="DO15" s="674">
        <f xml:space="preserve">
IF(表紙!$X$2="実績報告（１次）",DO58,
IF(DO$19&gt;=1,DO58,0))</f>
        <v>0</v>
      </c>
      <c r="DP15" s="674">
        <f xml:space="preserve">
IF(表紙!$X$2="実績報告（１次）",DP58,
IF(DP$19&gt;=1,DP58,0))</f>
        <v>0</v>
      </c>
      <c r="DQ15" s="674">
        <f xml:space="preserve">
IF(表紙!$X$2="実績報告（１次）",DQ58,
IF(DQ$19&gt;=1,DQ58,0))</f>
        <v>0</v>
      </c>
      <c r="DR15" s="674">
        <f xml:space="preserve">
IF(表紙!$X$2="実績報告（１次）",DR58,
IF(DR$19&gt;=1,DR58,0))</f>
        <v>0</v>
      </c>
      <c r="DS15" s="674">
        <f xml:space="preserve">
IF(表紙!$X$2="実績報告（１次）",DS58,
IF(DS$19&gt;=1,DS58,0))</f>
        <v>0</v>
      </c>
      <c r="DT15" s="674">
        <f xml:space="preserve">
IF(表紙!$X$2="実績報告（１次）",DT58,
IF(DT$19&gt;=1,DT58,0))</f>
        <v>0</v>
      </c>
      <c r="DU15" s="674">
        <f xml:space="preserve">
IF(表紙!$X$2="実績報告（１次）",DU58,
IF(DU$19&gt;=1,DU58,0))</f>
        <v>0</v>
      </c>
      <c r="DV15" s="674">
        <f xml:space="preserve">
IF(表紙!$X$2="実績報告（１次）",DV58,
IF(DV$19&gt;=1,DV58,0))</f>
        <v>0</v>
      </c>
      <c r="DW15" s="674">
        <f xml:space="preserve">
IF(表紙!$X$2="実績報告（１次）",DW58,
IF(DW$19&gt;=1,DW58,0))</f>
        <v>0</v>
      </c>
      <c r="DX15" s="674">
        <f xml:space="preserve">
IF(表紙!$X$2="実績報告（１次）",DX58,
IF(DX$19&gt;=1,DX58,0))</f>
        <v>0</v>
      </c>
      <c r="DY15" s="674">
        <f xml:space="preserve">
IF(表紙!$X$2="実績報告（１次）",DY58,
IF(DY$19&gt;=1,DY58,0))</f>
        <v>0</v>
      </c>
      <c r="DZ15" s="674">
        <f xml:space="preserve">
IF(表紙!$X$2="実績報告（１次）",DZ58,
IF(DZ$19&gt;=1,DZ58,0))</f>
        <v>0</v>
      </c>
      <c r="EA15" s="674">
        <f xml:space="preserve">
IF(表紙!$X$2="実績報告（１次）",EA58,
IF(EA$19&gt;=1,EA58,0))</f>
        <v>0</v>
      </c>
      <c r="EB15" s="674">
        <f xml:space="preserve">
IF(表紙!$X$2="実績報告（１次）",EB58,
IF(EB$19&gt;=1,EB58,0))</f>
        <v>0</v>
      </c>
      <c r="EC15" s="674">
        <f xml:space="preserve">
IF(表紙!$X$2="実績報告（１次）",EC58,
IF(EC$19&gt;=1,EC58,0))</f>
        <v>0</v>
      </c>
      <c r="ED15" s="674">
        <f xml:space="preserve">
IF(表紙!$X$2="実績報告（１次）",ED58,
IF(ED$19&gt;=1,ED58,0))</f>
        <v>0</v>
      </c>
      <c r="EE15" s="674">
        <f xml:space="preserve">
IF(表紙!$X$2="実績報告（１次）",EE58,
IF(EE$19&gt;=1,EE58,0))</f>
        <v>0</v>
      </c>
      <c r="EF15" s="674">
        <f xml:space="preserve">
IF(表紙!$X$2="実績報告（１次）",EF58,
IF(EF$19&gt;=1,EF58,0))</f>
        <v>0</v>
      </c>
      <c r="EG15" s="674">
        <f xml:space="preserve">
IF(表紙!$X$2="実績報告（１次）",EG58,
IF(EG$19&gt;=1,EG58,0))</f>
        <v>0</v>
      </c>
      <c r="EH15" s="674">
        <f xml:space="preserve">
IF(表紙!$X$2="実績報告（１次）",EH58,
IF(EH$19&gt;=1,EH58,0))</f>
        <v>0</v>
      </c>
      <c r="EI15" s="674">
        <f xml:space="preserve">
IF(表紙!$X$2="実績報告（１次）",EI58,
IF(EI$19&gt;=1,EI58,0))</f>
        <v>0</v>
      </c>
      <c r="EJ15" s="674">
        <f xml:space="preserve">
IF(表紙!$X$2="実績報告（１次）",EJ58,
IF(EJ$19&gt;=1,EJ58,0))</f>
        <v>0</v>
      </c>
      <c r="EK15" s="674">
        <f xml:space="preserve">
IF(表紙!$X$2="実績報告（１次）",EK58,
IF(EK$19&gt;=1,EK58,0))</f>
        <v>0</v>
      </c>
      <c r="EL15" s="674">
        <f xml:space="preserve">
IF(表紙!$X$2="実績報告（１次）",EL58,
IF(EL$19&gt;=1,EL58,0))</f>
        <v>0</v>
      </c>
      <c r="EM15" s="674">
        <f xml:space="preserve">
IF(表紙!$X$2="実績報告（１次）",EM58,
IF(EM$19&gt;=1,EM58,0))</f>
        <v>0</v>
      </c>
      <c r="EN15" s="674">
        <f xml:space="preserve">
IF(表紙!$X$2="実績報告（１次）",EN58,
IF(EN$19&gt;=1,EN58,0))</f>
        <v>0</v>
      </c>
      <c r="EO15" s="674">
        <f xml:space="preserve">
IF(表紙!$X$2="実績報告（１次）",EO58,
IF(EO$19&gt;=1,EO58,0))</f>
        <v>0</v>
      </c>
      <c r="EP15" s="674">
        <f xml:space="preserve">
IF(表紙!$X$2="実績報告（１次）",EP58,
IF(EP$19&gt;=1,EP58,0))</f>
        <v>0</v>
      </c>
      <c r="EQ15" s="674">
        <f xml:space="preserve">
IF(表紙!$X$2="実績報告（１次）",EQ58,
IF(EQ$19&gt;=1,EQ58,0))</f>
        <v>0</v>
      </c>
      <c r="ER15" s="674">
        <f xml:space="preserve">
IF(表紙!$X$2="実績報告（１次）",ER58,
IF(ER$19&gt;=1,ER58,0))</f>
        <v>0</v>
      </c>
      <c r="ES15" s="674">
        <f xml:space="preserve">
IF(表紙!$X$2="実績報告（１次）",ES58,
IF(ES$19&gt;=1,ES58,0))</f>
        <v>0</v>
      </c>
      <c r="ET15" s="674">
        <f xml:space="preserve">
IF(表紙!$X$2="実績報告（１次）",ET58,
IF(ET$19&gt;=1,ET58,0))</f>
        <v>0</v>
      </c>
      <c r="EU15" s="674">
        <f xml:space="preserve">
IF(表紙!$X$2="実績報告（１次）",EU58,
IF(EU$19&gt;=1,EU58,0))</f>
        <v>0</v>
      </c>
      <c r="EV15" s="674">
        <f xml:space="preserve">
IF(表紙!$X$2="実績報告（１次）",EV58,
IF(EV$19&gt;=1,EV58,0))</f>
        <v>0</v>
      </c>
      <c r="EW15" s="674">
        <f xml:space="preserve">
IF(表紙!$X$2="実績報告（１次）",EW58,
IF(EW$19&gt;=1,EW58,0))</f>
        <v>0</v>
      </c>
      <c r="EX15" s="674">
        <f xml:space="preserve">
IF(表紙!$X$2="実績報告（１次）",EX58,
IF(EX$19&gt;=1,EX58,0))</f>
        <v>0</v>
      </c>
      <c r="EY15" s="674">
        <f xml:space="preserve">
IF(表紙!$X$2="実績報告（１次）",EY58,
IF(EY$19&gt;=1,EY58,0))</f>
        <v>0</v>
      </c>
      <c r="EZ15" s="674">
        <f xml:space="preserve">
IF(表紙!$X$2="実績報告（１次）",EZ58,
IF(EZ$19&gt;=1,EZ58,0))</f>
        <v>0</v>
      </c>
      <c r="FA15" s="674">
        <f xml:space="preserve">
IF(表紙!$X$2="実績報告（１次）",FA58,
IF(FA$19&gt;=1,FA58,0))</f>
        <v>0</v>
      </c>
      <c r="FB15" s="674">
        <f xml:space="preserve">
IF(表紙!$X$2="実績報告（１次）",FB58,
IF(FB$19&gt;=1,FB58,0))</f>
        <v>0</v>
      </c>
      <c r="FC15" s="674">
        <f xml:space="preserve">
IF(表紙!$X$2="実績報告（１次）",FC58,
IF(FC$19&gt;=1,FC58,0))</f>
        <v>0</v>
      </c>
      <c r="FD15" s="674">
        <f xml:space="preserve">
IF(表紙!$X$2="実績報告（１次）",FD58,
IF(FD$19&gt;=1,FD58,0))</f>
        <v>0</v>
      </c>
      <c r="FE15" s="674">
        <f xml:space="preserve">
IF(表紙!$X$2="実績報告（１次）",FE58,
IF(FE$19&gt;=1,FE58,0))</f>
        <v>0</v>
      </c>
      <c r="FF15" s="674">
        <f xml:space="preserve">
IF(表紙!$X$2="実績報告（１次）",FF58,
IF(FF$19&gt;=1,FF58,0))</f>
        <v>0</v>
      </c>
      <c r="FG15" s="674">
        <f xml:space="preserve">
IF(表紙!$X$2="実績報告（１次）",FG58,
IF(FG$19&gt;=1,FG58,0))</f>
        <v>0</v>
      </c>
      <c r="FH15" s="674">
        <f xml:space="preserve">
IF(表紙!$X$2="実績報告（１次）",FH58,
IF(FH$19&gt;=1,FH58,0))</f>
        <v>0</v>
      </c>
      <c r="FI15" s="674">
        <f xml:space="preserve">
IF(表紙!$X$2="実績報告（１次）",FI58,
IF(FI$19&gt;=1,FI58,0))</f>
        <v>0</v>
      </c>
      <c r="FJ15" s="674">
        <f xml:space="preserve">
IF(表紙!$X$2="実績報告（１次）",FJ58,
IF(FJ$19&gt;=1,FJ58,0))</f>
        <v>0</v>
      </c>
      <c r="FK15" s="674">
        <f xml:space="preserve">
IF(表紙!$X$2="実績報告（１次）",FK58,
IF(FK$19&gt;=1,FK58,0))</f>
        <v>0</v>
      </c>
      <c r="FL15" s="674">
        <f xml:space="preserve">
IF(表紙!$X$2="実績報告（１次）",FL58,
IF(FL$19&gt;=1,FL58,0))</f>
        <v>0</v>
      </c>
      <c r="FM15" s="674">
        <f xml:space="preserve">
IF(表紙!$X$2="実績報告（１次）",FM58,
IF(FM$19&gt;=1,FM58,0))</f>
        <v>0</v>
      </c>
      <c r="FN15" s="674">
        <f xml:space="preserve">
IF(表紙!$X$2="実績報告（１次）",FN58,
IF(FN$19&gt;=1,FN58,0))</f>
        <v>0</v>
      </c>
      <c r="FO15" s="674">
        <f xml:space="preserve">
IF(表紙!$X$2="実績報告（１次）",FO58,
IF(FO$19&gt;=1,FO58,0))</f>
        <v>0</v>
      </c>
      <c r="FP15" s="674">
        <f xml:space="preserve">
IF(表紙!$X$2="実績報告（１次）",FP58,
IF(FP$19&gt;=1,FP58,0))</f>
        <v>0</v>
      </c>
      <c r="FQ15" s="674">
        <f xml:space="preserve">
IF(表紙!$X$2="実績報告（１次）",FQ58,
IF(FQ$19&gt;=1,FQ58,0))</f>
        <v>0</v>
      </c>
      <c r="FR15" s="674">
        <f xml:space="preserve">
IF(表紙!$X$2="実績報告（１次）",FR58,
IF(FR$19&gt;=1,FR58,0))</f>
        <v>0</v>
      </c>
      <c r="FS15" s="674">
        <f xml:space="preserve">
IF(表紙!$X$2="実績報告（１次）",FS58,
IF(FS$19&gt;=1,FS58,0))</f>
        <v>0</v>
      </c>
      <c r="FT15" s="674">
        <f xml:space="preserve">
IF(表紙!$X$2="実績報告（１次）",FT58,
IF(FT$19&gt;=1,FT58,0))</f>
        <v>0</v>
      </c>
      <c r="FU15" s="674">
        <f xml:space="preserve">
IF(表紙!$X$2="実績報告（１次）",FU58,
IF(FU$19&gt;=1,FU58,0))</f>
        <v>0</v>
      </c>
      <c r="FV15" s="674">
        <f xml:space="preserve">
IF(表紙!$X$2="実績報告（１次）",FV58,
IF(FV$19&gt;=1,FV58,0))</f>
        <v>0</v>
      </c>
      <c r="FW15" s="674">
        <f xml:space="preserve">
IF(表紙!$X$2="実績報告（１次）",FW58,
IF(FW$19&gt;=1,FW58,0))</f>
        <v>0</v>
      </c>
      <c r="FX15" s="674">
        <f xml:space="preserve">
IF(表紙!$X$2="実績報告（１次）",FX58,
IF(FX$19&gt;=1,FX58,0))</f>
        <v>0</v>
      </c>
      <c r="FY15" s="674">
        <f xml:space="preserve">
IF(表紙!$X$2="実績報告（１次）",FY58,
IF(FY$19&gt;=1,FY58,0))</f>
        <v>0</v>
      </c>
      <c r="FZ15" s="674">
        <f xml:space="preserve">
IF(表紙!$X$2="実績報告（１次）",FZ58,
IF(FZ$19&gt;=1,FZ58,0))</f>
        <v>0</v>
      </c>
      <c r="GA15" s="674">
        <f xml:space="preserve">
IF(表紙!$X$2="実績報告（１次）",GA58,
IF(GA$19&gt;=1,GA58,0))</f>
        <v>0</v>
      </c>
      <c r="GB15" s="674">
        <f xml:space="preserve">
IF(表紙!$X$2="実績報告（１次）",GB58,
IF(GB$19&gt;=1,GB58,0))</f>
        <v>0</v>
      </c>
      <c r="GC15" s="674">
        <f xml:space="preserve">
IF(表紙!$X$2="実績報告（１次）",GC58,
IF(GC$19&gt;=1,GC58,0))</f>
        <v>0</v>
      </c>
      <c r="GD15" s="674">
        <f xml:space="preserve">
IF(表紙!$X$2="実績報告（１次）",GD58,
IF(GD$19&gt;=1,GD58,0))</f>
        <v>0</v>
      </c>
      <c r="GE15" s="674">
        <f xml:space="preserve">
IF(表紙!$X$2="実績報告（１次）",GE58,
IF(GE$19&gt;=1,GE58,0))</f>
        <v>0</v>
      </c>
      <c r="GF15" s="674">
        <f xml:space="preserve">
IF(表紙!$X$2="実績報告（１次）",GF58,
IF(GF$19&gt;=1,GF58,0))</f>
        <v>0</v>
      </c>
      <c r="GG15" s="674">
        <f xml:space="preserve">
IF(表紙!$X$2="実績報告（１次）",GG58,
IF(GG$19&gt;=1,GG58,0))</f>
        <v>0</v>
      </c>
      <c r="GH15" s="674">
        <f xml:space="preserve">
IF(表紙!$X$2="実績報告（１次）",GH58,
IF(GH$19&gt;=1,GH58,0))</f>
        <v>0</v>
      </c>
      <c r="GI15" s="674">
        <f xml:space="preserve">
IF(表紙!$X$2="実績報告（１次）",GI58,
IF(GI$19&gt;=1,GI58,0))</f>
        <v>0</v>
      </c>
      <c r="GJ15" s="674">
        <f xml:space="preserve">
IF(表紙!$X$2="実績報告（１次）",GJ58,
IF(GJ$19&gt;=1,GJ58,0))</f>
        <v>0</v>
      </c>
    </row>
    <row r="16" spans="2:192">
      <c r="B16" s="618"/>
      <c r="C16" s="618"/>
      <c r="D16" s="618"/>
      <c r="E16" s="618"/>
      <c r="F16" s="618"/>
      <c r="G16" s="619"/>
      <c r="H16" s="619"/>
      <c r="I16" s="619"/>
      <c r="J16" s="619"/>
      <c r="K16" s="619"/>
    </row>
    <row r="17" spans="2:192">
      <c r="B17" s="620"/>
      <c r="C17" s="1932" t="s">
        <v>1478</v>
      </c>
      <c r="D17" s="1936" t="s">
        <v>1378</v>
      </c>
      <c r="E17" s="1937"/>
      <c r="F17" s="981"/>
      <c r="G17" s="621">
        <f>基礎情報!J22</f>
        <v>45200</v>
      </c>
      <c r="H17" s="621">
        <f>基礎情報!K22</f>
        <v>45201</v>
      </c>
      <c r="I17" s="621">
        <f>基礎情報!L22</f>
        <v>45202</v>
      </c>
      <c r="J17" s="621">
        <f>基礎情報!M22</f>
        <v>45203</v>
      </c>
      <c r="K17" s="621">
        <f>基礎情報!N22</f>
        <v>45204</v>
      </c>
      <c r="L17" s="621">
        <f>基礎情報!O22</f>
        <v>45205</v>
      </c>
      <c r="M17" s="621">
        <f>基礎情報!P22</f>
        <v>45206</v>
      </c>
      <c r="N17" s="621">
        <f>基礎情報!Q22</f>
        <v>45207</v>
      </c>
      <c r="O17" s="621">
        <f>基礎情報!R22</f>
        <v>45208</v>
      </c>
      <c r="P17" s="621">
        <f>基礎情報!S22</f>
        <v>45209</v>
      </c>
      <c r="Q17" s="621">
        <f>基礎情報!T22</f>
        <v>45210</v>
      </c>
      <c r="R17" s="621">
        <f>基礎情報!U22</f>
        <v>45211</v>
      </c>
      <c r="S17" s="621">
        <f>基礎情報!V22</f>
        <v>45212</v>
      </c>
      <c r="T17" s="621">
        <f>基礎情報!W22</f>
        <v>45213</v>
      </c>
      <c r="U17" s="621">
        <f>基礎情報!X22</f>
        <v>45214</v>
      </c>
      <c r="V17" s="621">
        <f>基礎情報!Y22</f>
        <v>45215</v>
      </c>
      <c r="W17" s="621">
        <f>基礎情報!Z22</f>
        <v>45216</v>
      </c>
      <c r="X17" s="621">
        <f>基礎情報!AA22</f>
        <v>45217</v>
      </c>
      <c r="Y17" s="621">
        <f>基礎情報!AB22</f>
        <v>45218</v>
      </c>
      <c r="Z17" s="621">
        <f>基礎情報!AC22</f>
        <v>45219</v>
      </c>
      <c r="AA17" s="621">
        <f>基礎情報!AD22</f>
        <v>45220</v>
      </c>
      <c r="AB17" s="621">
        <f>基礎情報!AE22</f>
        <v>45221</v>
      </c>
      <c r="AC17" s="621">
        <f>基礎情報!AF22</f>
        <v>45222</v>
      </c>
      <c r="AD17" s="621">
        <f>基礎情報!AG22</f>
        <v>45223</v>
      </c>
      <c r="AE17" s="621">
        <f>基礎情報!AH22</f>
        <v>45224</v>
      </c>
      <c r="AF17" s="621">
        <f>基礎情報!AI22</f>
        <v>45225</v>
      </c>
      <c r="AG17" s="621">
        <f>基礎情報!AJ22</f>
        <v>45226</v>
      </c>
      <c r="AH17" s="621">
        <f>基礎情報!AK22</f>
        <v>45227</v>
      </c>
      <c r="AI17" s="621">
        <f>基礎情報!AL22</f>
        <v>45228</v>
      </c>
      <c r="AJ17" s="621">
        <f>基礎情報!AM22</f>
        <v>45229</v>
      </c>
      <c r="AK17" s="621">
        <f>基礎情報!AN22</f>
        <v>45230</v>
      </c>
      <c r="AL17" s="621">
        <f>基礎情報!J29</f>
        <v>45231</v>
      </c>
      <c r="AM17" s="621">
        <f>基礎情報!K29</f>
        <v>45232</v>
      </c>
      <c r="AN17" s="621">
        <f>基礎情報!L29</f>
        <v>45233</v>
      </c>
      <c r="AO17" s="621">
        <f>基礎情報!M29</f>
        <v>45234</v>
      </c>
      <c r="AP17" s="621">
        <f>基礎情報!N29</f>
        <v>45235</v>
      </c>
      <c r="AQ17" s="621">
        <f>基礎情報!O29</f>
        <v>45236</v>
      </c>
      <c r="AR17" s="621">
        <f>基礎情報!P29</f>
        <v>45237</v>
      </c>
      <c r="AS17" s="621">
        <f>基礎情報!Q29</f>
        <v>45238</v>
      </c>
      <c r="AT17" s="621">
        <f>基礎情報!R29</f>
        <v>45239</v>
      </c>
      <c r="AU17" s="621">
        <f>基礎情報!S29</f>
        <v>45240</v>
      </c>
      <c r="AV17" s="621">
        <f>基礎情報!T29</f>
        <v>45241</v>
      </c>
      <c r="AW17" s="621">
        <f>基礎情報!U29</f>
        <v>45242</v>
      </c>
      <c r="AX17" s="621">
        <f>基礎情報!V29</f>
        <v>45243</v>
      </c>
      <c r="AY17" s="621">
        <f>基礎情報!W29</f>
        <v>45244</v>
      </c>
      <c r="AZ17" s="621">
        <f>基礎情報!X29</f>
        <v>45245</v>
      </c>
      <c r="BA17" s="621">
        <f>基礎情報!Y29</f>
        <v>45246</v>
      </c>
      <c r="BB17" s="621">
        <f>基礎情報!Z29</f>
        <v>45247</v>
      </c>
      <c r="BC17" s="621">
        <f>基礎情報!AA29</f>
        <v>45248</v>
      </c>
      <c r="BD17" s="621">
        <f>基礎情報!AB29</f>
        <v>45249</v>
      </c>
      <c r="BE17" s="621">
        <f>基礎情報!AC29</f>
        <v>45250</v>
      </c>
      <c r="BF17" s="621">
        <f>基礎情報!AD29</f>
        <v>45251</v>
      </c>
      <c r="BG17" s="621">
        <f>基礎情報!AE29</f>
        <v>45252</v>
      </c>
      <c r="BH17" s="621">
        <f>基礎情報!AF29</f>
        <v>45253</v>
      </c>
      <c r="BI17" s="621">
        <f>基礎情報!AG29</f>
        <v>45254</v>
      </c>
      <c r="BJ17" s="621">
        <f>基礎情報!AH29</f>
        <v>45255</v>
      </c>
      <c r="BK17" s="621">
        <f>基礎情報!AI29</f>
        <v>45256</v>
      </c>
      <c r="BL17" s="621">
        <f>基礎情報!AJ29</f>
        <v>45257</v>
      </c>
      <c r="BM17" s="621">
        <f>基礎情報!AK29</f>
        <v>45258</v>
      </c>
      <c r="BN17" s="621">
        <f>基礎情報!AL29</f>
        <v>45259</v>
      </c>
      <c r="BO17" s="621">
        <f>基礎情報!AM29</f>
        <v>45260</v>
      </c>
      <c r="BP17" s="621" t="str">
        <f>基礎情報!AN29</f>
        <v/>
      </c>
      <c r="BQ17" s="621">
        <f>基礎情報!J36</f>
        <v>45261</v>
      </c>
      <c r="BR17" s="621">
        <f>基礎情報!K36</f>
        <v>45262</v>
      </c>
      <c r="BS17" s="621">
        <f>基礎情報!L36</f>
        <v>45263</v>
      </c>
      <c r="BT17" s="621">
        <f>基礎情報!M36</f>
        <v>45264</v>
      </c>
      <c r="BU17" s="621">
        <f>基礎情報!N36</f>
        <v>45265</v>
      </c>
      <c r="BV17" s="621">
        <f>基礎情報!O36</f>
        <v>45266</v>
      </c>
      <c r="BW17" s="621">
        <f>基礎情報!P36</f>
        <v>45267</v>
      </c>
      <c r="BX17" s="621">
        <f>基礎情報!Q36</f>
        <v>45268</v>
      </c>
      <c r="BY17" s="621">
        <f>基礎情報!R36</f>
        <v>45269</v>
      </c>
      <c r="BZ17" s="621">
        <f>基礎情報!S36</f>
        <v>45270</v>
      </c>
      <c r="CA17" s="621">
        <f>基礎情報!T36</f>
        <v>45271</v>
      </c>
      <c r="CB17" s="621">
        <f>基礎情報!U36</f>
        <v>45272</v>
      </c>
      <c r="CC17" s="621">
        <f>基礎情報!V36</f>
        <v>45273</v>
      </c>
      <c r="CD17" s="621">
        <f>基礎情報!W36</f>
        <v>45274</v>
      </c>
      <c r="CE17" s="621">
        <f>基礎情報!X36</f>
        <v>45275</v>
      </c>
      <c r="CF17" s="621">
        <f>基礎情報!Y36</f>
        <v>45276</v>
      </c>
      <c r="CG17" s="621">
        <f>基礎情報!Z36</f>
        <v>45277</v>
      </c>
      <c r="CH17" s="621">
        <f>基礎情報!AA36</f>
        <v>45278</v>
      </c>
      <c r="CI17" s="621">
        <f>基礎情報!AB36</f>
        <v>45279</v>
      </c>
      <c r="CJ17" s="621">
        <f>基礎情報!AC36</f>
        <v>45280</v>
      </c>
      <c r="CK17" s="621">
        <f>基礎情報!AD36</f>
        <v>45281</v>
      </c>
      <c r="CL17" s="621">
        <f>基礎情報!AE36</f>
        <v>45282</v>
      </c>
      <c r="CM17" s="621">
        <f>基礎情報!AF36</f>
        <v>45283</v>
      </c>
      <c r="CN17" s="621">
        <f>基礎情報!AG36</f>
        <v>45284</v>
      </c>
      <c r="CO17" s="621">
        <f>基礎情報!AH36</f>
        <v>45285</v>
      </c>
      <c r="CP17" s="621">
        <f>基礎情報!AI36</f>
        <v>45286</v>
      </c>
      <c r="CQ17" s="621">
        <f>基礎情報!AJ36</f>
        <v>45287</v>
      </c>
      <c r="CR17" s="621">
        <f>基礎情報!AK36</f>
        <v>45288</v>
      </c>
      <c r="CS17" s="621">
        <f>基礎情報!AL36</f>
        <v>45289</v>
      </c>
      <c r="CT17" s="621">
        <f>基礎情報!AM36</f>
        <v>45290</v>
      </c>
      <c r="CU17" s="621">
        <f>基礎情報!AN36</f>
        <v>45291</v>
      </c>
      <c r="CV17" s="621">
        <f>基礎情報!J43</f>
        <v>45292</v>
      </c>
      <c r="CW17" s="621">
        <f>基礎情報!K43</f>
        <v>45293</v>
      </c>
      <c r="CX17" s="621">
        <f>基礎情報!L43</f>
        <v>45294</v>
      </c>
      <c r="CY17" s="621">
        <f>基礎情報!M43</f>
        <v>45295</v>
      </c>
      <c r="CZ17" s="621">
        <f>基礎情報!N43</f>
        <v>45296</v>
      </c>
      <c r="DA17" s="621">
        <f>基礎情報!O43</f>
        <v>45297</v>
      </c>
      <c r="DB17" s="621">
        <f>基礎情報!P43</f>
        <v>45298</v>
      </c>
      <c r="DC17" s="621">
        <f>基礎情報!Q43</f>
        <v>45299</v>
      </c>
      <c r="DD17" s="621">
        <f>基礎情報!R43</f>
        <v>45300</v>
      </c>
      <c r="DE17" s="621">
        <f>基礎情報!S43</f>
        <v>45301</v>
      </c>
      <c r="DF17" s="621">
        <f>基礎情報!T43</f>
        <v>45302</v>
      </c>
      <c r="DG17" s="621">
        <f>基礎情報!U43</f>
        <v>45303</v>
      </c>
      <c r="DH17" s="621">
        <f>基礎情報!V43</f>
        <v>45304</v>
      </c>
      <c r="DI17" s="621">
        <f>基礎情報!W43</f>
        <v>45305</v>
      </c>
      <c r="DJ17" s="621">
        <f>基礎情報!X43</f>
        <v>45306</v>
      </c>
      <c r="DK17" s="621">
        <f>基礎情報!Y43</f>
        <v>45307</v>
      </c>
      <c r="DL17" s="621">
        <f>基礎情報!Z43</f>
        <v>45308</v>
      </c>
      <c r="DM17" s="621">
        <f>基礎情報!AA43</f>
        <v>45309</v>
      </c>
      <c r="DN17" s="621">
        <f>基礎情報!AB43</f>
        <v>45310</v>
      </c>
      <c r="DO17" s="621">
        <f>基礎情報!AC43</f>
        <v>45311</v>
      </c>
      <c r="DP17" s="621">
        <f>基礎情報!AD43</f>
        <v>45312</v>
      </c>
      <c r="DQ17" s="621">
        <f>基礎情報!AE43</f>
        <v>45313</v>
      </c>
      <c r="DR17" s="621">
        <f>基礎情報!AF43</f>
        <v>45314</v>
      </c>
      <c r="DS17" s="621">
        <f>基礎情報!AG43</f>
        <v>45315</v>
      </c>
      <c r="DT17" s="621">
        <f>基礎情報!AH43</f>
        <v>45316</v>
      </c>
      <c r="DU17" s="621">
        <f>基礎情報!AI43</f>
        <v>45317</v>
      </c>
      <c r="DV17" s="621">
        <f>基礎情報!AJ43</f>
        <v>45318</v>
      </c>
      <c r="DW17" s="621">
        <f>基礎情報!AK43</f>
        <v>45319</v>
      </c>
      <c r="DX17" s="621">
        <f>基礎情報!AL43</f>
        <v>45320</v>
      </c>
      <c r="DY17" s="621">
        <f>基礎情報!AM43</f>
        <v>45321</v>
      </c>
      <c r="DZ17" s="621">
        <f>基礎情報!AN43</f>
        <v>45322</v>
      </c>
      <c r="EA17" s="621">
        <f>基礎情報!J50</f>
        <v>45323</v>
      </c>
      <c r="EB17" s="621">
        <f>基礎情報!K50</f>
        <v>45324</v>
      </c>
      <c r="EC17" s="621">
        <f>基礎情報!L50</f>
        <v>45325</v>
      </c>
      <c r="ED17" s="621">
        <f>基礎情報!M50</f>
        <v>45326</v>
      </c>
      <c r="EE17" s="621">
        <f>基礎情報!N50</f>
        <v>45327</v>
      </c>
      <c r="EF17" s="621">
        <f>基礎情報!O50</f>
        <v>45328</v>
      </c>
      <c r="EG17" s="621">
        <f>基礎情報!P50</f>
        <v>45329</v>
      </c>
      <c r="EH17" s="621">
        <f>基礎情報!Q50</f>
        <v>45330</v>
      </c>
      <c r="EI17" s="621">
        <f>基礎情報!R50</f>
        <v>45331</v>
      </c>
      <c r="EJ17" s="621">
        <f>基礎情報!S50</f>
        <v>45332</v>
      </c>
      <c r="EK17" s="621">
        <f>基礎情報!T50</f>
        <v>45333</v>
      </c>
      <c r="EL17" s="621">
        <f>基礎情報!U50</f>
        <v>45334</v>
      </c>
      <c r="EM17" s="621">
        <f>基礎情報!V50</f>
        <v>45335</v>
      </c>
      <c r="EN17" s="621">
        <f>基礎情報!W50</f>
        <v>45336</v>
      </c>
      <c r="EO17" s="621">
        <f>基礎情報!X50</f>
        <v>45337</v>
      </c>
      <c r="EP17" s="621">
        <f>基礎情報!Y50</f>
        <v>45338</v>
      </c>
      <c r="EQ17" s="621">
        <f>基礎情報!Z50</f>
        <v>45339</v>
      </c>
      <c r="ER17" s="621">
        <f>基礎情報!AA50</f>
        <v>45340</v>
      </c>
      <c r="ES17" s="621">
        <f>基礎情報!AB50</f>
        <v>45341</v>
      </c>
      <c r="ET17" s="621">
        <f>基礎情報!AC50</f>
        <v>45342</v>
      </c>
      <c r="EU17" s="621">
        <f>基礎情報!AD50</f>
        <v>45343</v>
      </c>
      <c r="EV17" s="621">
        <f>基礎情報!AE50</f>
        <v>45344</v>
      </c>
      <c r="EW17" s="621">
        <f>基礎情報!AF50</f>
        <v>45345</v>
      </c>
      <c r="EX17" s="621">
        <f>基礎情報!AG50</f>
        <v>45346</v>
      </c>
      <c r="EY17" s="621">
        <f>基礎情報!AH50</f>
        <v>45347</v>
      </c>
      <c r="EZ17" s="621">
        <f>基礎情報!AI50</f>
        <v>45348</v>
      </c>
      <c r="FA17" s="621">
        <f>基礎情報!AJ50</f>
        <v>45349</v>
      </c>
      <c r="FB17" s="621">
        <f>基礎情報!AK50</f>
        <v>45350</v>
      </c>
      <c r="FC17" s="621">
        <f>基礎情報!AL50</f>
        <v>45351</v>
      </c>
      <c r="FD17" s="621" t="str">
        <f>基礎情報!AM50</f>
        <v/>
      </c>
      <c r="FE17" s="621" t="str">
        <f>基礎情報!AN50</f>
        <v/>
      </c>
      <c r="FF17" s="621">
        <f>基礎情報!J57</f>
        <v>45352</v>
      </c>
      <c r="FG17" s="621">
        <f>基礎情報!K57</f>
        <v>45353</v>
      </c>
      <c r="FH17" s="621">
        <f>基礎情報!L57</f>
        <v>45354</v>
      </c>
      <c r="FI17" s="621">
        <f>基礎情報!M57</f>
        <v>45355</v>
      </c>
      <c r="FJ17" s="621">
        <f>基礎情報!N57</f>
        <v>45356</v>
      </c>
      <c r="FK17" s="621">
        <f>基礎情報!O57</f>
        <v>45357</v>
      </c>
      <c r="FL17" s="621">
        <f>基礎情報!P57</f>
        <v>45358</v>
      </c>
      <c r="FM17" s="621">
        <f>基礎情報!Q57</f>
        <v>45359</v>
      </c>
      <c r="FN17" s="621">
        <f>基礎情報!R57</f>
        <v>45360</v>
      </c>
      <c r="FO17" s="621">
        <f>基礎情報!S57</f>
        <v>45361</v>
      </c>
      <c r="FP17" s="621">
        <f>基礎情報!T57</f>
        <v>45362</v>
      </c>
      <c r="FQ17" s="621">
        <f>基礎情報!U57</f>
        <v>45363</v>
      </c>
      <c r="FR17" s="621">
        <f>基礎情報!V57</f>
        <v>45364</v>
      </c>
      <c r="FS17" s="621">
        <f>基礎情報!W57</f>
        <v>45365</v>
      </c>
      <c r="FT17" s="621">
        <f>基礎情報!X57</f>
        <v>45366</v>
      </c>
      <c r="FU17" s="621">
        <f>基礎情報!Y57</f>
        <v>45367</v>
      </c>
      <c r="FV17" s="621">
        <f>基礎情報!Z57</f>
        <v>45368</v>
      </c>
      <c r="FW17" s="621">
        <f>基礎情報!AA57</f>
        <v>45369</v>
      </c>
      <c r="FX17" s="621">
        <f>基礎情報!AB57</f>
        <v>45370</v>
      </c>
      <c r="FY17" s="621">
        <f>基礎情報!AC57</f>
        <v>45371</v>
      </c>
      <c r="FZ17" s="621">
        <f>基礎情報!AD57</f>
        <v>45372</v>
      </c>
      <c r="GA17" s="621">
        <f>基礎情報!AE57</f>
        <v>45373</v>
      </c>
      <c r="GB17" s="621">
        <f>基礎情報!AF57</f>
        <v>45374</v>
      </c>
      <c r="GC17" s="621">
        <f>基礎情報!AG57</f>
        <v>45375</v>
      </c>
      <c r="GD17" s="621">
        <f>基礎情報!AH57</f>
        <v>45376</v>
      </c>
      <c r="GE17" s="621">
        <f>基礎情報!AI57</f>
        <v>45377</v>
      </c>
      <c r="GF17" s="621">
        <f>基礎情報!AJ57</f>
        <v>45378</v>
      </c>
      <c r="GG17" s="621">
        <f>基礎情報!AK57</f>
        <v>45379</v>
      </c>
      <c r="GH17" s="621">
        <f>基礎情報!AL57</f>
        <v>45380</v>
      </c>
      <c r="GI17" s="621">
        <f>基礎情報!AM57</f>
        <v>45381</v>
      </c>
      <c r="GJ17" s="621">
        <f>基礎情報!AN57</f>
        <v>45382</v>
      </c>
    </row>
    <row r="18" spans="2:192">
      <c r="B18" s="620"/>
      <c r="C18" s="1933"/>
      <c r="D18" s="1938"/>
      <c r="E18" s="1939"/>
      <c r="F18" s="1940"/>
      <c r="G18" s="621" t="str">
        <f>TEXT(G17,"aaaa")</f>
        <v>日曜日</v>
      </c>
      <c r="H18" s="621" t="str">
        <f t="shared" ref="H18:AQ18" si="4">TEXT(H17,"aaaa")</f>
        <v>月曜日</v>
      </c>
      <c r="I18" s="621" t="str">
        <f t="shared" si="4"/>
        <v>火曜日</v>
      </c>
      <c r="J18" s="621" t="str">
        <f t="shared" si="4"/>
        <v>水曜日</v>
      </c>
      <c r="K18" s="621" t="str">
        <f t="shared" si="4"/>
        <v>木曜日</v>
      </c>
      <c r="L18" s="621" t="str">
        <f t="shared" si="4"/>
        <v>金曜日</v>
      </c>
      <c r="M18" s="621" t="str">
        <f t="shared" si="4"/>
        <v>土曜日</v>
      </c>
      <c r="N18" s="621" t="str">
        <f t="shared" si="4"/>
        <v>日曜日</v>
      </c>
      <c r="O18" s="621" t="str">
        <f t="shared" si="4"/>
        <v>月曜日</v>
      </c>
      <c r="P18" s="621" t="str">
        <f t="shared" si="4"/>
        <v>火曜日</v>
      </c>
      <c r="Q18" s="621" t="str">
        <f t="shared" si="4"/>
        <v>水曜日</v>
      </c>
      <c r="R18" s="621" t="str">
        <f t="shared" si="4"/>
        <v>木曜日</v>
      </c>
      <c r="S18" s="621" t="str">
        <f t="shared" si="4"/>
        <v>金曜日</v>
      </c>
      <c r="T18" s="621" t="str">
        <f t="shared" si="4"/>
        <v>土曜日</v>
      </c>
      <c r="U18" s="621" t="str">
        <f t="shared" si="4"/>
        <v>日曜日</v>
      </c>
      <c r="V18" s="621" t="str">
        <f t="shared" si="4"/>
        <v>月曜日</v>
      </c>
      <c r="W18" s="621" t="str">
        <f t="shared" si="4"/>
        <v>火曜日</v>
      </c>
      <c r="X18" s="621" t="str">
        <f t="shared" si="4"/>
        <v>水曜日</v>
      </c>
      <c r="Y18" s="621" t="str">
        <f t="shared" si="4"/>
        <v>木曜日</v>
      </c>
      <c r="Z18" s="621" t="str">
        <f t="shared" si="4"/>
        <v>金曜日</v>
      </c>
      <c r="AA18" s="621" t="str">
        <f t="shared" si="4"/>
        <v>土曜日</v>
      </c>
      <c r="AB18" s="621" t="str">
        <f t="shared" si="4"/>
        <v>日曜日</v>
      </c>
      <c r="AC18" s="621" t="str">
        <f t="shared" si="4"/>
        <v>月曜日</v>
      </c>
      <c r="AD18" s="621" t="str">
        <f t="shared" si="4"/>
        <v>火曜日</v>
      </c>
      <c r="AE18" s="621" t="str">
        <f t="shared" si="4"/>
        <v>水曜日</v>
      </c>
      <c r="AF18" s="621" t="str">
        <f t="shared" si="4"/>
        <v>木曜日</v>
      </c>
      <c r="AG18" s="621" t="str">
        <f t="shared" si="4"/>
        <v>金曜日</v>
      </c>
      <c r="AH18" s="621" t="str">
        <f t="shared" si="4"/>
        <v>土曜日</v>
      </c>
      <c r="AI18" s="621" t="str">
        <f t="shared" si="4"/>
        <v>日曜日</v>
      </c>
      <c r="AJ18" s="621" t="str">
        <f t="shared" si="4"/>
        <v>月曜日</v>
      </c>
      <c r="AK18" s="621" t="str">
        <f t="shared" si="4"/>
        <v>火曜日</v>
      </c>
      <c r="AL18" s="621" t="str">
        <f t="shared" si="4"/>
        <v>水曜日</v>
      </c>
      <c r="AM18" s="621" t="str">
        <f t="shared" si="4"/>
        <v>木曜日</v>
      </c>
      <c r="AN18" s="621" t="str">
        <f t="shared" si="4"/>
        <v>金曜日</v>
      </c>
      <c r="AO18" s="621" t="str">
        <f t="shared" si="4"/>
        <v>土曜日</v>
      </c>
      <c r="AP18" s="621" t="str">
        <f t="shared" si="4"/>
        <v>日曜日</v>
      </c>
      <c r="AQ18" s="621" t="str">
        <f t="shared" si="4"/>
        <v>月曜日</v>
      </c>
      <c r="AR18" s="621" t="str">
        <f t="shared" ref="AR18:BO18" si="5">TEXT(AR17,"aaaa")</f>
        <v>火曜日</v>
      </c>
      <c r="AS18" s="621" t="str">
        <f t="shared" si="5"/>
        <v>水曜日</v>
      </c>
      <c r="AT18" s="621" t="str">
        <f t="shared" si="5"/>
        <v>木曜日</v>
      </c>
      <c r="AU18" s="621" t="str">
        <f t="shared" si="5"/>
        <v>金曜日</v>
      </c>
      <c r="AV18" s="621" t="str">
        <f t="shared" si="5"/>
        <v>土曜日</v>
      </c>
      <c r="AW18" s="621" t="str">
        <f t="shared" si="5"/>
        <v>日曜日</v>
      </c>
      <c r="AX18" s="621" t="str">
        <f t="shared" si="5"/>
        <v>月曜日</v>
      </c>
      <c r="AY18" s="621" t="str">
        <f t="shared" si="5"/>
        <v>火曜日</v>
      </c>
      <c r="AZ18" s="621" t="str">
        <f t="shared" si="5"/>
        <v>水曜日</v>
      </c>
      <c r="BA18" s="621" t="str">
        <f t="shared" si="5"/>
        <v>木曜日</v>
      </c>
      <c r="BB18" s="621" t="str">
        <f t="shared" si="5"/>
        <v>金曜日</v>
      </c>
      <c r="BC18" s="621" t="str">
        <f t="shared" si="5"/>
        <v>土曜日</v>
      </c>
      <c r="BD18" s="621" t="str">
        <f t="shared" si="5"/>
        <v>日曜日</v>
      </c>
      <c r="BE18" s="621" t="str">
        <f t="shared" si="5"/>
        <v>月曜日</v>
      </c>
      <c r="BF18" s="621" t="str">
        <f t="shared" si="5"/>
        <v>火曜日</v>
      </c>
      <c r="BG18" s="621" t="str">
        <f t="shared" si="5"/>
        <v>水曜日</v>
      </c>
      <c r="BH18" s="621" t="str">
        <f t="shared" si="5"/>
        <v>木曜日</v>
      </c>
      <c r="BI18" s="621" t="str">
        <f t="shared" si="5"/>
        <v>金曜日</v>
      </c>
      <c r="BJ18" s="621" t="str">
        <f t="shared" si="5"/>
        <v>土曜日</v>
      </c>
      <c r="BK18" s="621" t="str">
        <f t="shared" si="5"/>
        <v>日曜日</v>
      </c>
      <c r="BL18" s="621" t="str">
        <f t="shared" si="5"/>
        <v>月曜日</v>
      </c>
      <c r="BM18" s="621" t="str">
        <f t="shared" si="5"/>
        <v>火曜日</v>
      </c>
      <c r="BN18" s="621" t="str">
        <f t="shared" si="5"/>
        <v>水曜日</v>
      </c>
      <c r="BO18" s="621" t="str">
        <f t="shared" si="5"/>
        <v>木曜日</v>
      </c>
      <c r="BP18" s="621" t="str">
        <f t="shared" ref="BP18" si="6">TEXT(BP17,"aaaa")</f>
        <v/>
      </c>
      <c r="BQ18" s="621" t="str">
        <f>TEXT(BQ17,"aaaa")</f>
        <v>金曜日</v>
      </c>
      <c r="BR18" s="621" t="str">
        <f t="shared" ref="BR18:BY18" si="7">TEXT(BR17,"aaaa")</f>
        <v>土曜日</v>
      </c>
      <c r="BS18" s="621" t="str">
        <f t="shared" si="7"/>
        <v>日曜日</v>
      </c>
      <c r="BT18" s="621" t="str">
        <f t="shared" si="7"/>
        <v>月曜日</v>
      </c>
      <c r="BU18" s="621" t="str">
        <f t="shared" si="7"/>
        <v>火曜日</v>
      </c>
      <c r="BV18" s="621" t="str">
        <f t="shared" si="7"/>
        <v>水曜日</v>
      </c>
      <c r="BW18" s="621" t="str">
        <f t="shared" si="7"/>
        <v>木曜日</v>
      </c>
      <c r="BX18" s="621" t="str">
        <f t="shared" si="7"/>
        <v>金曜日</v>
      </c>
      <c r="BY18" s="621" t="str">
        <f t="shared" si="7"/>
        <v>土曜日</v>
      </c>
      <c r="BZ18" s="621" t="str">
        <f t="shared" ref="BZ18" si="8">TEXT(BZ17,"aaaa")</f>
        <v>日曜日</v>
      </c>
      <c r="CA18" s="621" t="str">
        <f t="shared" ref="CA18" si="9">TEXT(CA17,"aaaa")</f>
        <v>月曜日</v>
      </c>
      <c r="CB18" s="621" t="str">
        <f t="shared" ref="CB18" si="10">TEXT(CB17,"aaaa")</f>
        <v>火曜日</v>
      </c>
      <c r="CC18" s="621" t="str">
        <f t="shared" ref="CC18" si="11">TEXT(CC17,"aaaa")</f>
        <v>水曜日</v>
      </c>
      <c r="CD18" s="621" t="str">
        <f t="shared" ref="CD18" si="12">TEXT(CD17,"aaaa")</f>
        <v>木曜日</v>
      </c>
      <c r="CE18" s="621" t="str">
        <f t="shared" ref="CE18" si="13">TEXT(CE17,"aaaa")</f>
        <v>金曜日</v>
      </c>
      <c r="CF18" s="621" t="str">
        <f t="shared" ref="CF18" si="14">TEXT(CF17,"aaaa")</f>
        <v>土曜日</v>
      </c>
      <c r="CG18" s="621" t="str">
        <f t="shared" ref="CG18" si="15">TEXT(CG17,"aaaa")</f>
        <v>日曜日</v>
      </c>
      <c r="CH18" s="621" t="str">
        <f t="shared" ref="CH18" si="16">TEXT(CH17,"aaaa")</f>
        <v>月曜日</v>
      </c>
      <c r="CI18" s="621" t="str">
        <f t="shared" ref="CI18" si="17">TEXT(CI17,"aaaa")</f>
        <v>火曜日</v>
      </c>
      <c r="CJ18" s="621" t="str">
        <f t="shared" ref="CJ18" si="18">TEXT(CJ17,"aaaa")</f>
        <v>水曜日</v>
      </c>
      <c r="CK18" s="621" t="str">
        <f t="shared" ref="CK18" si="19">TEXT(CK17,"aaaa")</f>
        <v>木曜日</v>
      </c>
      <c r="CL18" s="621" t="str">
        <f t="shared" ref="CL18" si="20">TEXT(CL17,"aaaa")</f>
        <v>金曜日</v>
      </c>
      <c r="CM18" s="621" t="str">
        <f t="shared" ref="CM18" si="21">TEXT(CM17,"aaaa")</f>
        <v>土曜日</v>
      </c>
      <c r="CN18" s="621" t="str">
        <f t="shared" ref="CN18" si="22">TEXT(CN17,"aaaa")</f>
        <v>日曜日</v>
      </c>
      <c r="CO18" s="621" t="str">
        <f t="shared" ref="CO18" si="23">TEXT(CO17,"aaaa")</f>
        <v>月曜日</v>
      </c>
      <c r="CP18" s="621" t="str">
        <f t="shared" ref="CP18" si="24">TEXT(CP17,"aaaa")</f>
        <v>火曜日</v>
      </c>
      <c r="CQ18" s="621" t="str">
        <f t="shared" ref="CQ18" si="25">TEXT(CQ17,"aaaa")</f>
        <v>水曜日</v>
      </c>
      <c r="CR18" s="621" t="str">
        <f t="shared" ref="CR18" si="26">TEXT(CR17,"aaaa")</f>
        <v>木曜日</v>
      </c>
      <c r="CS18" s="621" t="str">
        <f t="shared" ref="CS18" si="27">TEXT(CS17,"aaaa")</f>
        <v>金曜日</v>
      </c>
      <c r="CT18" s="621" t="str">
        <f t="shared" ref="CT18:CU18" si="28">TEXT(CT17,"aaaa")</f>
        <v>土曜日</v>
      </c>
      <c r="CU18" s="621" t="str">
        <f t="shared" si="28"/>
        <v>日曜日</v>
      </c>
      <c r="CV18" s="621" t="str">
        <f t="shared" ref="CV18" si="29">TEXT(CV17,"aaaa")</f>
        <v>月曜日</v>
      </c>
      <c r="CW18" s="621" t="str">
        <f t="shared" ref="CW18" si="30">TEXT(CW17,"aaaa")</f>
        <v>火曜日</v>
      </c>
      <c r="CX18" s="621" t="str">
        <f t="shared" ref="CX18" si="31">TEXT(CX17,"aaaa")</f>
        <v>水曜日</v>
      </c>
      <c r="CY18" s="621" t="str">
        <f t="shared" ref="CY18" si="32">TEXT(CY17,"aaaa")</f>
        <v>木曜日</v>
      </c>
      <c r="CZ18" s="621" t="str">
        <f t="shared" ref="CZ18" si="33">TEXT(CZ17,"aaaa")</f>
        <v>金曜日</v>
      </c>
      <c r="DA18" s="621" t="str">
        <f t="shared" ref="DA18" si="34">TEXT(DA17,"aaaa")</f>
        <v>土曜日</v>
      </c>
      <c r="DB18" s="621" t="str">
        <f t="shared" ref="DB18" si="35">TEXT(DB17,"aaaa")</f>
        <v>日曜日</v>
      </c>
      <c r="DC18" s="621" t="str">
        <f t="shared" ref="DC18" si="36">TEXT(DC17,"aaaa")</f>
        <v>月曜日</v>
      </c>
      <c r="DD18" s="621" t="str">
        <f t="shared" ref="DD18" si="37">TEXT(DD17,"aaaa")</f>
        <v>火曜日</v>
      </c>
      <c r="DE18" s="621" t="str">
        <f t="shared" ref="DE18" si="38">TEXT(DE17,"aaaa")</f>
        <v>水曜日</v>
      </c>
      <c r="DF18" s="621" t="str">
        <f t="shared" ref="DF18" si="39">TEXT(DF17,"aaaa")</f>
        <v>木曜日</v>
      </c>
      <c r="DG18" s="621" t="str">
        <f t="shared" ref="DG18" si="40">TEXT(DG17,"aaaa")</f>
        <v>金曜日</v>
      </c>
      <c r="DH18" s="621" t="str">
        <f t="shared" ref="DH18" si="41">TEXT(DH17,"aaaa")</f>
        <v>土曜日</v>
      </c>
      <c r="DI18" s="621" t="str">
        <f t="shared" ref="DI18" si="42">TEXT(DI17,"aaaa")</f>
        <v>日曜日</v>
      </c>
      <c r="DJ18" s="621" t="str">
        <f t="shared" ref="DJ18" si="43">TEXT(DJ17,"aaaa")</f>
        <v>月曜日</v>
      </c>
      <c r="DK18" s="621" t="str">
        <f t="shared" ref="DK18" si="44">TEXT(DK17,"aaaa")</f>
        <v>火曜日</v>
      </c>
      <c r="DL18" s="621" t="str">
        <f t="shared" ref="DL18" si="45">TEXT(DL17,"aaaa")</f>
        <v>水曜日</v>
      </c>
      <c r="DM18" s="621" t="str">
        <f t="shared" ref="DM18" si="46">TEXT(DM17,"aaaa")</f>
        <v>木曜日</v>
      </c>
      <c r="DN18" s="621" t="str">
        <f t="shared" ref="DN18" si="47">TEXT(DN17,"aaaa")</f>
        <v>金曜日</v>
      </c>
      <c r="DO18" s="621" t="str">
        <f t="shared" ref="DO18" si="48">TEXT(DO17,"aaaa")</f>
        <v>土曜日</v>
      </c>
      <c r="DP18" s="621" t="str">
        <f t="shared" ref="DP18" si="49">TEXT(DP17,"aaaa")</f>
        <v>日曜日</v>
      </c>
      <c r="DQ18" s="621" t="str">
        <f t="shared" ref="DQ18" si="50">TEXT(DQ17,"aaaa")</f>
        <v>月曜日</v>
      </c>
      <c r="DR18" s="621" t="str">
        <f t="shared" ref="DR18" si="51">TEXT(DR17,"aaaa")</f>
        <v>火曜日</v>
      </c>
      <c r="DS18" s="621" t="str">
        <f t="shared" ref="DS18" si="52">TEXT(DS17,"aaaa")</f>
        <v>水曜日</v>
      </c>
      <c r="DT18" s="621" t="str">
        <f t="shared" ref="DT18" si="53">TEXT(DT17,"aaaa")</f>
        <v>木曜日</v>
      </c>
      <c r="DU18" s="621" t="str">
        <f t="shared" ref="DU18" si="54">TEXT(DU17,"aaaa")</f>
        <v>金曜日</v>
      </c>
      <c r="DV18" s="621" t="str">
        <f t="shared" ref="DV18" si="55">TEXT(DV17,"aaaa")</f>
        <v>土曜日</v>
      </c>
      <c r="DW18" s="621" t="str">
        <f t="shared" ref="DW18" si="56">TEXT(DW17,"aaaa")</f>
        <v>日曜日</v>
      </c>
      <c r="DX18" s="621" t="str">
        <f t="shared" ref="DX18" si="57">TEXT(DX17,"aaaa")</f>
        <v>月曜日</v>
      </c>
      <c r="DY18" s="621" t="str">
        <f t="shared" ref="DY18" si="58">TEXT(DY17,"aaaa")</f>
        <v>火曜日</v>
      </c>
      <c r="DZ18" s="621" t="str">
        <f t="shared" ref="DZ18" si="59">TEXT(DZ17,"aaaa")</f>
        <v>水曜日</v>
      </c>
      <c r="EA18" s="621" t="str">
        <f t="shared" ref="EA18" si="60">TEXT(EA17,"aaaa")</f>
        <v>木曜日</v>
      </c>
      <c r="EB18" s="621" t="str">
        <f t="shared" ref="EB18" si="61">TEXT(EB17,"aaaa")</f>
        <v>金曜日</v>
      </c>
      <c r="EC18" s="621" t="str">
        <f t="shared" ref="EC18" si="62">TEXT(EC17,"aaaa")</f>
        <v>土曜日</v>
      </c>
      <c r="ED18" s="621" t="str">
        <f t="shared" ref="ED18" si="63">TEXT(ED17,"aaaa")</f>
        <v>日曜日</v>
      </c>
      <c r="EE18" s="621" t="str">
        <f t="shared" ref="EE18" si="64">TEXT(EE17,"aaaa")</f>
        <v>月曜日</v>
      </c>
      <c r="EF18" s="621" t="str">
        <f t="shared" ref="EF18" si="65">TEXT(EF17,"aaaa")</f>
        <v>火曜日</v>
      </c>
      <c r="EG18" s="621" t="str">
        <f t="shared" ref="EG18" si="66">TEXT(EG17,"aaaa")</f>
        <v>水曜日</v>
      </c>
      <c r="EH18" s="621" t="str">
        <f t="shared" ref="EH18" si="67">TEXT(EH17,"aaaa")</f>
        <v>木曜日</v>
      </c>
      <c r="EI18" s="621" t="str">
        <f t="shared" ref="EI18" si="68">TEXT(EI17,"aaaa")</f>
        <v>金曜日</v>
      </c>
      <c r="EJ18" s="621" t="str">
        <f t="shared" ref="EJ18" si="69">TEXT(EJ17,"aaaa")</f>
        <v>土曜日</v>
      </c>
      <c r="EK18" s="621" t="str">
        <f t="shared" ref="EK18" si="70">TEXT(EK17,"aaaa")</f>
        <v>日曜日</v>
      </c>
      <c r="EL18" s="621" t="str">
        <f t="shared" ref="EL18" si="71">TEXT(EL17,"aaaa")</f>
        <v>月曜日</v>
      </c>
      <c r="EM18" s="621" t="str">
        <f t="shared" ref="EM18" si="72">TEXT(EM17,"aaaa")</f>
        <v>火曜日</v>
      </c>
      <c r="EN18" s="621" t="str">
        <f t="shared" ref="EN18" si="73">TEXT(EN17,"aaaa")</f>
        <v>水曜日</v>
      </c>
      <c r="EO18" s="621" t="str">
        <f t="shared" ref="EO18" si="74">TEXT(EO17,"aaaa")</f>
        <v>木曜日</v>
      </c>
      <c r="EP18" s="621" t="str">
        <f t="shared" ref="EP18" si="75">TEXT(EP17,"aaaa")</f>
        <v>金曜日</v>
      </c>
      <c r="EQ18" s="621" t="str">
        <f t="shared" ref="EQ18" si="76">TEXT(EQ17,"aaaa")</f>
        <v>土曜日</v>
      </c>
      <c r="ER18" s="621" t="str">
        <f t="shared" ref="ER18" si="77">TEXT(ER17,"aaaa")</f>
        <v>日曜日</v>
      </c>
      <c r="ES18" s="621" t="str">
        <f t="shared" ref="ES18" si="78">TEXT(ES17,"aaaa")</f>
        <v>月曜日</v>
      </c>
      <c r="ET18" s="621" t="str">
        <f t="shared" ref="ET18" si="79">TEXT(ET17,"aaaa")</f>
        <v>火曜日</v>
      </c>
      <c r="EU18" s="621" t="str">
        <f t="shared" ref="EU18" si="80">TEXT(EU17,"aaaa")</f>
        <v>水曜日</v>
      </c>
      <c r="EV18" s="621" t="str">
        <f t="shared" ref="EV18" si="81">TEXT(EV17,"aaaa")</f>
        <v>木曜日</v>
      </c>
      <c r="EW18" s="621" t="str">
        <f t="shared" ref="EW18" si="82">TEXT(EW17,"aaaa")</f>
        <v>金曜日</v>
      </c>
      <c r="EX18" s="621" t="str">
        <f t="shared" ref="EX18" si="83">TEXT(EX17,"aaaa")</f>
        <v>土曜日</v>
      </c>
      <c r="EY18" s="621" t="str">
        <f t="shared" ref="EY18" si="84">TEXT(EY17,"aaaa")</f>
        <v>日曜日</v>
      </c>
      <c r="EZ18" s="621" t="str">
        <f t="shared" ref="EZ18" si="85">TEXT(EZ17,"aaaa")</f>
        <v>月曜日</v>
      </c>
      <c r="FA18" s="621" t="str">
        <f t="shared" ref="FA18" si="86">TEXT(FA17,"aaaa")</f>
        <v>火曜日</v>
      </c>
      <c r="FB18" s="621" t="str">
        <f t="shared" ref="FB18" si="87">TEXT(FB17,"aaaa")</f>
        <v>水曜日</v>
      </c>
      <c r="FC18" s="621" t="str">
        <f t="shared" ref="FC18" si="88">TEXT(FC17,"aaaa")</f>
        <v>木曜日</v>
      </c>
      <c r="FD18" s="621" t="str">
        <f t="shared" ref="FD18" si="89">TEXT(FD17,"aaaa")</f>
        <v/>
      </c>
      <c r="FE18" s="621" t="str">
        <f t="shared" ref="FE18" si="90">TEXT(FE17,"aaaa")</f>
        <v/>
      </c>
      <c r="FF18" s="621" t="str">
        <f t="shared" ref="FF18" si="91">TEXT(FF17,"aaaa")</f>
        <v>金曜日</v>
      </c>
      <c r="FG18" s="621" t="str">
        <f t="shared" ref="FG18" si="92">TEXT(FG17,"aaaa")</f>
        <v>土曜日</v>
      </c>
      <c r="FH18" s="621" t="str">
        <f t="shared" ref="FH18" si="93">TEXT(FH17,"aaaa")</f>
        <v>日曜日</v>
      </c>
      <c r="FI18" s="621" t="str">
        <f t="shared" ref="FI18" si="94">TEXT(FI17,"aaaa")</f>
        <v>月曜日</v>
      </c>
      <c r="FJ18" s="621" t="str">
        <f t="shared" ref="FJ18" si="95">TEXT(FJ17,"aaaa")</f>
        <v>火曜日</v>
      </c>
      <c r="FK18" s="621" t="str">
        <f t="shared" ref="FK18" si="96">TEXT(FK17,"aaaa")</f>
        <v>水曜日</v>
      </c>
      <c r="FL18" s="621" t="str">
        <f t="shared" ref="FL18" si="97">TEXT(FL17,"aaaa")</f>
        <v>木曜日</v>
      </c>
      <c r="FM18" s="621" t="str">
        <f t="shared" ref="FM18" si="98">TEXT(FM17,"aaaa")</f>
        <v>金曜日</v>
      </c>
      <c r="FN18" s="621" t="str">
        <f t="shared" ref="FN18" si="99">TEXT(FN17,"aaaa")</f>
        <v>土曜日</v>
      </c>
      <c r="FO18" s="621" t="str">
        <f t="shared" ref="FO18" si="100">TEXT(FO17,"aaaa")</f>
        <v>日曜日</v>
      </c>
      <c r="FP18" s="621" t="str">
        <f t="shared" ref="FP18" si="101">TEXT(FP17,"aaaa")</f>
        <v>月曜日</v>
      </c>
      <c r="FQ18" s="621" t="str">
        <f t="shared" ref="FQ18" si="102">TEXT(FQ17,"aaaa")</f>
        <v>火曜日</v>
      </c>
      <c r="FR18" s="621" t="str">
        <f t="shared" ref="FR18" si="103">TEXT(FR17,"aaaa")</f>
        <v>水曜日</v>
      </c>
      <c r="FS18" s="621" t="str">
        <f t="shared" ref="FS18" si="104">TEXT(FS17,"aaaa")</f>
        <v>木曜日</v>
      </c>
      <c r="FT18" s="621" t="str">
        <f t="shared" ref="FT18" si="105">TEXT(FT17,"aaaa")</f>
        <v>金曜日</v>
      </c>
      <c r="FU18" s="621" t="str">
        <f t="shared" ref="FU18" si="106">TEXT(FU17,"aaaa")</f>
        <v>土曜日</v>
      </c>
      <c r="FV18" s="621" t="str">
        <f t="shared" ref="FV18" si="107">TEXT(FV17,"aaaa")</f>
        <v>日曜日</v>
      </c>
      <c r="FW18" s="621" t="str">
        <f t="shared" ref="FW18" si="108">TEXT(FW17,"aaaa")</f>
        <v>月曜日</v>
      </c>
      <c r="FX18" s="621" t="str">
        <f t="shared" ref="FX18" si="109">TEXT(FX17,"aaaa")</f>
        <v>火曜日</v>
      </c>
      <c r="FY18" s="621" t="str">
        <f t="shared" ref="FY18" si="110">TEXT(FY17,"aaaa")</f>
        <v>水曜日</v>
      </c>
      <c r="FZ18" s="621" t="str">
        <f t="shared" ref="FZ18" si="111">TEXT(FZ17,"aaaa")</f>
        <v>木曜日</v>
      </c>
      <c r="GA18" s="621" t="str">
        <f t="shared" ref="GA18" si="112">TEXT(GA17,"aaaa")</f>
        <v>金曜日</v>
      </c>
      <c r="GB18" s="621" t="str">
        <f t="shared" ref="GB18" si="113">TEXT(GB17,"aaaa")</f>
        <v>土曜日</v>
      </c>
      <c r="GC18" s="621" t="str">
        <f t="shared" ref="GC18" si="114">TEXT(GC17,"aaaa")</f>
        <v>日曜日</v>
      </c>
      <c r="GD18" s="621" t="str">
        <f t="shared" ref="GD18" si="115">TEXT(GD17,"aaaa")</f>
        <v>月曜日</v>
      </c>
      <c r="GE18" s="621" t="str">
        <f t="shared" ref="GE18" si="116">TEXT(GE17,"aaaa")</f>
        <v>火曜日</v>
      </c>
      <c r="GF18" s="621" t="str">
        <f t="shared" ref="GF18" si="117">TEXT(GF17,"aaaa")</f>
        <v>水曜日</v>
      </c>
      <c r="GG18" s="621" t="str">
        <f t="shared" ref="GG18" si="118">TEXT(GG17,"aaaa")</f>
        <v>木曜日</v>
      </c>
      <c r="GH18" s="621" t="str">
        <f t="shared" ref="GH18" si="119">TEXT(GH17,"aaaa")</f>
        <v>金曜日</v>
      </c>
      <c r="GI18" s="621" t="str">
        <f t="shared" ref="GI18" si="120">TEXT(GI17,"aaaa")</f>
        <v>土曜日</v>
      </c>
      <c r="GJ18" s="621" t="str">
        <f t="shared" ref="GJ18" si="121">TEXT(GJ17,"aaaa")</f>
        <v>日曜日</v>
      </c>
    </row>
    <row r="19" spans="2:192">
      <c r="B19" s="620"/>
      <c r="C19" s="1933"/>
      <c r="D19" s="1938"/>
      <c r="E19" s="1939"/>
      <c r="F19" s="1940"/>
      <c r="G19" s="670">
        <f>基礎情報!J24</f>
        <v>0</v>
      </c>
      <c r="H19" s="670">
        <f>基礎情報!K24</f>
        <v>0</v>
      </c>
      <c r="I19" s="670">
        <f>基礎情報!L24</f>
        <v>0</v>
      </c>
      <c r="J19" s="670">
        <f>基礎情報!M24</f>
        <v>0</v>
      </c>
      <c r="K19" s="670">
        <f>基礎情報!N24</f>
        <v>0</v>
      </c>
      <c r="L19" s="670">
        <f>基礎情報!O24</f>
        <v>0</v>
      </c>
      <c r="M19" s="670">
        <f>基礎情報!P24</f>
        <v>0</v>
      </c>
      <c r="N19" s="670">
        <f>基礎情報!Q24</f>
        <v>0</v>
      </c>
      <c r="O19" s="670">
        <f>基礎情報!R24</f>
        <v>0</v>
      </c>
      <c r="P19" s="670">
        <f>基礎情報!S24</f>
        <v>0</v>
      </c>
      <c r="Q19" s="670">
        <f>基礎情報!T24</f>
        <v>0</v>
      </c>
      <c r="R19" s="670">
        <f>基礎情報!U24</f>
        <v>0</v>
      </c>
      <c r="S19" s="670">
        <f>基礎情報!V24</f>
        <v>0</v>
      </c>
      <c r="T19" s="670">
        <f>基礎情報!W24</f>
        <v>0</v>
      </c>
      <c r="U19" s="670">
        <f>基礎情報!X24</f>
        <v>0</v>
      </c>
      <c r="V19" s="670">
        <f>基礎情報!Y24</f>
        <v>0</v>
      </c>
      <c r="W19" s="670">
        <f>基礎情報!Z24</f>
        <v>0</v>
      </c>
      <c r="X19" s="670">
        <f>基礎情報!AA24</f>
        <v>0</v>
      </c>
      <c r="Y19" s="670">
        <f>基礎情報!AB24</f>
        <v>0</v>
      </c>
      <c r="Z19" s="670">
        <f>基礎情報!AC24</f>
        <v>0</v>
      </c>
      <c r="AA19" s="670">
        <f>基礎情報!AD24</f>
        <v>0</v>
      </c>
      <c r="AB19" s="670">
        <f>基礎情報!AE24</f>
        <v>0</v>
      </c>
      <c r="AC19" s="670">
        <f>基礎情報!AF24</f>
        <v>0</v>
      </c>
      <c r="AD19" s="670">
        <f>基礎情報!AG24</f>
        <v>0</v>
      </c>
      <c r="AE19" s="670">
        <f>基礎情報!AH24</f>
        <v>0</v>
      </c>
      <c r="AF19" s="670">
        <f>基礎情報!AI24</f>
        <v>0</v>
      </c>
      <c r="AG19" s="670">
        <f>基礎情報!AJ24</f>
        <v>0</v>
      </c>
      <c r="AH19" s="670">
        <f>基礎情報!AK24</f>
        <v>0</v>
      </c>
      <c r="AI19" s="670">
        <f>基礎情報!AL24</f>
        <v>0</v>
      </c>
      <c r="AJ19" s="670">
        <f>基礎情報!AM24</f>
        <v>0</v>
      </c>
      <c r="AK19" s="670">
        <f>基礎情報!AN24</f>
        <v>0</v>
      </c>
      <c r="AL19" s="670">
        <f>基礎情報!J31</f>
        <v>0</v>
      </c>
      <c r="AM19" s="670">
        <f>基礎情報!K31</f>
        <v>0</v>
      </c>
      <c r="AN19" s="670">
        <f>基礎情報!L31</f>
        <v>0</v>
      </c>
      <c r="AO19" s="670">
        <f>基礎情報!M31</f>
        <v>0</v>
      </c>
      <c r="AP19" s="670">
        <f>基礎情報!N31</f>
        <v>0</v>
      </c>
      <c r="AQ19" s="670">
        <f>基礎情報!O31</f>
        <v>0</v>
      </c>
      <c r="AR19" s="670">
        <f>基礎情報!P31</f>
        <v>0</v>
      </c>
      <c r="AS19" s="670">
        <f>基礎情報!Q31</f>
        <v>0</v>
      </c>
      <c r="AT19" s="670">
        <f>基礎情報!R31</f>
        <v>0</v>
      </c>
      <c r="AU19" s="670">
        <f>基礎情報!S31</f>
        <v>0</v>
      </c>
      <c r="AV19" s="670">
        <f>基礎情報!T31</f>
        <v>0</v>
      </c>
      <c r="AW19" s="670">
        <f>基礎情報!U31</f>
        <v>0</v>
      </c>
      <c r="AX19" s="670">
        <f>基礎情報!V31</f>
        <v>0</v>
      </c>
      <c r="AY19" s="670">
        <f>基礎情報!W31</f>
        <v>0</v>
      </c>
      <c r="AZ19" s="670">
        <f>基礎情報!X31</f>
        <v>0</v>
      </c>
      <c r="BA19" s="670">
        <f>基礎情報!Y31</f>
        <v>0</v>
      </c>
      <c r="BB19" s="670">
        <f>基礎情報!Z31</f>
        <v>0</v>
      </c>
      <c r="BC19" s="670">
        <f>基礎情報!AA31</f>
        <v>0</v>
      </c>
      <c r="BD19" s="670">
        <f>基礎情報!AB31</f>
        <v>0</v>
      </c>
      <c r="BE19" s="670">
        <f>基礎情報!AC31</f>
        <v>0</v>
      </c>
      <c r="BF19" s="670">
        <f>基礎情報!AD31</f>
        <v>0</v>
      </c>
      <c r="BG19" s="670">
        <f>基礎情報!AE31</f>
        <v>0</v>
      </c>
      <c r="BH19" s="670">
        <f>基礎情報!AF31</f>
        <v>0</v>
      </c>
      <c r="BI19" s="670">
        <f>基礎情報!AG31</f>
        <v>0</v>
      </c>
      <c r="BJ19" s="670">
        <f>基礎情報!AH31</f>
        <v>0</v>
      </c>
      <c r="BK19" s="670">
        <f>基礎情報!AI31</f>
        <v>0</v>
      </c>
      <c r="BL19" s="670">
        <f>基礎情報!AJ31</f>
        <v>0</v>
      </c>
      <c r="BM19" s="670">
        <f>基礎情報!AK31</f>
        <v>0</v>
      </c>
      <c r="BN19" s="670">
        <f>基礎情報!AL31</f>
        <v>0</v>
      </c>
      <c r="BO19" s="670">
        <f>基礎情報!AM31</f>
        <v>0</v>
      </c>
      <c r="BP19" s="670">
        <f>基礎情報!AN31</f>
        <v>0</v>
      </c>
      <c r="BQ19" s="670">
        <f>基礎情報!J38</f>
        <v>0</v>
      </c>
      <c r="BR19" s="670">
        <f>基礎情報!K38</f>
        <v>0</v>
      </c>
      <c r="BS19" s="670">
        <f>基礎情報!L38</f>
        <v>0</v>
      </c>
      <c r="BT19" s="670">
        <f>基礎情報!M38</f>
        <v>0</v>
      </c>
      <c r="BU19" s="670">
        <f>基礎情報!N38</f>
        <v>0</v>
      </c>
      <c r="BV19" s="670">
        <f>基礎情報!O38</f>
        <v>0</v>
      </c>
      <c r="BW19" s="670">
        <f>基礎情報!P38</f>
        <v>0</v>
      </c>
      <c r="BX19" s="670">
        <f>基礎情報!Q38</f>
        <v>0</v>
      </c>
      <c r="BY19" s="670">
        <f>基礎情報!R38</f>
        <v>0</v>
      </c>
      <c r="BZ19" s="670">
        <f>基礎情報!S38</f>
        <v>0</v>
      </c>
      <c r="CA19" s="670">
        <f>基礎情報!T38</f>
        <v>0</v>
      </c>
      <c r="CB19" s="670">
        <f>基礎情報!U38</f>
        <v>0</v>
      </c>
      <c r="CC19" s="670">
        <f>基礎情報!V38</f>
        <v>0</v>
      </c>
      <c r="CD19" s="670">
        <f>基礎情報!W38</f>
        <v>0</v>
      </c>
      <c r="CE19" s="670">
        <f>基礎情報!X38</f>
        <v>0</v>
      </c>
      <c r="CF19" s="670">
        <f>基礎情報!Y38</f>
        <v>0</v>
      </c>
      <c r="CG19" s="670">
        <f>基礎情報!Z38</f>
        <v>0</v>
      </c>
      <c r="CH19" s="670">
        <f>基礎情報!AA38</f>
        <v>0</v>
      </c>
      <c r="CI19" s="670">
        <f>基礎情報!AB38</f>
        <v>0</v>
      </c>
      <c r="CJ19" s="670">
        <f>基礎情報!AC38</f>
        <v>0</v>
      </c>
      <c r="CK19" s="670">
        <f>基礎情報!AD38</f>
        <v>0</v>
      </c>
      <c r="CL19" s="670">
        <f>基礎情報!AE38</f>
        <v>0</v>
      </c>
      <c r="CM19" s="670">
        <f>基礎情報!AF38</f>
        <v>0</v>
      </c>
      <c r="CN19" s="670">
        <f>基礎情報!AG38</f>
        <v>0</v>
      </c>
      <c r="CO19" s="670">
        <f>基礎情報!AH38</f>
        <v>0</v>
      </c>
      <c r="CP19" s="670">
        <f>基礎情報!AI38</f>
        <v>0</v>
      </c>
      <c r="CQ19" s="670">
        <f>基礎情報!AJ38</f>
        <v>0</v>
      </c>
      <c r="CR19" s="670">
        <f>基礎情報!AK38</f>
        <v>0</v>
      </c>
      <c r="CS19" s="670">
        <f>基礎情報!AL38</f>
        <v>0</v>
      </c>
      <c r="CT19" s="670">
        <f>基礎情報!AM38</f>
        <v>0</v>
      </c>
      <c r="CU19" s="670">
        <f>基礎情報!AN38</f>
        <v>0</v>
      </c>
      <c r="CV19" s="670">
        <f>基礎情報!J45</f>
        <v>0</v>
      </c>
      <c r="CW19" s="670">
        <f>基礎情報!K45</f>
        <v>0</v>
      </c>
      <c r="CX19" s="670">
        <f>基礎情報!L45</f>
        <v>0</v>
      </c>
      <c r="CY19" s="670">
        <f>基礎情報!M45</f>
        <v>0</v>
      </c>
      <c r="CZ19" s="670">
        <f>基礎情報!N45</f>
        <v>0</v>
      </c>
      <c r="DA19" s="670">
        <f>基礎情報!O45</f>
        <v>0</v>
      </c>
      <c r="DB19" s="670">
        <f>基礎情報!P45</f>
        <v>0</v>
      </c>
      <c r="DC19" s="670">
        <f>基礎情報!Q45</f>
        <v>0</v>
      </c>
      <c r="DD19" s="670">
        <f>基礎情報!R45</f>
        <v>0</v>
      </c>
      <c r="DE19" s="670">
        <f>基礎情報!S45</f>
        <v>0</v>
      </c>
      <c r="DF19" s="670">
        <f>基礎情報!T45</f>
        <v>0</v>
      </c>
      <c r="DG19" s="670">
        <f>基礎情報!U45</f>
        <v>0</v>
      </c>
      <c r="DH19" s="670">
        <f>基礎情報!V45</f>
        <v>0</v>
      </c>
      <c r="DI19" s="670">
        <f>基礎情報!W45</f>
        <v>0</v>
      </c>
      <c r="DJ19" s="670">
        <f>基礎情報!X45</f>
        <v>0</v>
      </c>
      <c r="DK19" s="670">
        <f>基礎情報!Y45</f>
        <v>0</v>
      </c>
      <c r="DL19" s="670">
        <f>基礎情報!Z45</f>
        <v>0</v>
      </c>
      <c r="DM19" s="670">
        <f>基礎情報!AA45</f>
        <v>0</v>
      </c>
      <c r="DN19" s="670">
        <f>基礎情報!AB45</f>
        <v>0</v>
      </c>
      <c r="DO19" s="670">
        <f>基礎情報!AC45</f>
        <v>0</v>
      </c>
      <c r="DP19" s="670">
        <f>基礎情報!AD45</f>
        <v>0</v>
      </c>
      <c r="DQ19" s="670">
        <f>基礎情報!AE45</f>
        <v>0</v>
      </c>
      <c r="DR19" s="670">
        <f>基礎情報!AF45</f>
        <v>0</v>
      </c>
      <c r="DS19" s="670">
        <f>基礎情報!AG45</f>
        <v>1</v>
      </c>
      <c r="DT19" s="670">
        <f>基礎情報!AH45</f>
        <v>1</v>
      </c>
      <c r="DU19" s="670">
        <f>基礎情報!AI45</f>
        <v>1</v>
      </c>
      <c r="DV19" s="670">
        <f>基礎情報!AJ45</f>
        <v>1</v>
      </c>
      <c r="DW19" s="670">
        <f>基礎情報!AK45</f>
        <v>1</v>
      </c>
      <c r="DX19" s="670">
        <f>基礎情報!AL45</f>
        <v>1</v>
      </c>
      <c r="DY19" s="670">
        <f>基礎情報!AM45</f>
        <v>1</v>
      </c>
      <c r="DZ19" s="670">
        <f>基礎情報!AN45</f>
        <v>1</v>
      </c>
      <c r="EA19" s="670">
        <f>基礎情報!J52</f>
        <v>1</v>
      </c>
      <c r="EB19" s="670">
        <f>基礎情報!K52</f>
        <v>1</v>
      </c>
      <c r="EC19" s="670">
        <f>基礎情報!L52</f>
        <v>1</v>
      </c>
      <c r="ED19" s="670">
        <f>基礎情報!M52</f>
        <v>1</v>
      </c>
      <c r="EE19" s="670">
        <f>基礎情報!N52</f>
        <v>1</v>
      </c>
      <c r="EF19" s="670">
        <f>基礎情報!O52</f>
        <v>1</v>
      </c>
      <c r="EG19" s="670">
        <f>基礎情報!P52</f>
        <v>1</v>
      </c>
      <c r="EH19" s="670">
        <f>基礎情報!Q52</f>
        <v>1</v>
      </c>
      <c r="EI19" s="670">
        <f>基礎情報!R52</f>
        <v>1</v>
      </c>
      <c r="EJ19" s="670">
        <f>基礎情報!S52</f>
        <v>1</v>
      </c>
      <c r="EK19" s="670">
        <f>基礎情報!T52</f>
        <v>1</v>
      </c>
      <c r="EL19" s="670">
        <f>基礎情報!U52</f>
        <v>1</v>
      </c>
      <c r="EM19" s="670">
        <f>基礎情報!V52</f>
        <v>1</v>
      </c>
      <c r="EN19" s="670">
        <f>基礎情報!W52</f>
        <v>1</v>
      </c>
      <c r="EO19" s="670">
        <f>基礎情報!X52</f>
        <v>1</v>
      </c>
      <c r="EP19" s="670">
        <f>基礎情報!Y52</f>
        <v>1</v>
      </c>
      <c r="EQ19" s="670">
        <f>基礎情報!Z52</f>
        <v>1</v>
      </c>
      <c r="ER19" s="670">
        <f>基礎情報!AA52</f>
        <v>1</v>
      </c>
      <c r="ES19" s="670">
        <f>基礎情報!AB52</f>
        <v>1</v>
      </c>
      <c r="ET19" s="670">
        <f>基礎情報!AC52</f>
        <v>1</v>
      </c>
      <c r="EU19" s="670">
        <f>基礎情報!AD52</f>
        <v>1</v>
      </c>
      <c r="EV19" s="670">
        <f>基礎情報!AE52</f>
        <v>1</v>
      </c>
      <c r="EW19" s="670">
        <f>基礎情報!AF52</f>
        <v>1</v>
      </c>
      <c r="EX19" s="670">
        <f>基礎情報!AG52</f>
        <v>1</v>
      </c>
      <c r="EY19" s="670">
        <f>基礎情報!AH52</f>
        <v>1</v>
      </c>
      <c r="EZ19" s="670">
        <f>基礎情報!AI52</f>
        <v>1</v>
      </c>
      <c r="FA19" s="670">
        <f>基礎情報!AJ52</f>
        <v>1</v>
      </c>
      <c r="FB19" s="670">
        <f>基礎情報!AK52</f>
        <v>1</v>
      </c>
      <c r="FC19" s="670">
        <f>基礎情報!AL52</f>
        <v>1</v>
      </c>
      <c r="FD19" s="670">
        <f>基礎情報!AM52</f>
        <v>0</v>
      </c>
      <c r="FE19" s="670">
        <f>基礎情報!AN52</f>
        <v>0</v>
      </c>
      <c r="FF19" s="670">
        <f>基礎情報!J59</f>
        <v>1</v>
      </c>
      <c r="FG19" s="670">
        <f>基礎情報!K59</f>
        <v>1</v>
      </c>
      <c r="FH19" s="670">
        <f>基礎情報!L59</f>
        <v>1</v>
      </c>
      <c r="FI19" s="670">
        <f>基礎情報!M59</f>
        <v>1</v>
      </c>
      <c r="FJ19" s="670">
        <f>基礎情報!N59</f>
        <v>1</v>
      </c>
      <c r="FK19" s="670">
        <f>基礎情報!O59</f>
        <v>1</v>
      </c>
      <c r="FL19" s="670">
        <f>基礎情報!P59</f>
        <v>1</v>
      </c>
      <c r="FM19" s="670">
        <f>基礎情報!Q59</f>
        <v>1</v>
      </c>
      <c r="FN19" s="670">
        <f>基礎情報!R59</f>
        <v>1</v>
      </c>
      <c r="FO19" s="670">
        <f>基礎情報!S59</f>
        <v>1</v>
      </c>
      <c r="FP19" s="670">
        <f>基礎情報!T59</f>
        <v>1</v>
      </c>
      <c r="FQ19" s="670">
        <f>基礎情報!U59</f>
        <v>1</v>
      </c>
      <c r="FR19" s="670">
        <f>基礎情報!V59</f>
        <v>0</v>
      </c>
      <c r="FS19" s="670">
        <f>基礎情報!W59</f>
        <v>0</v>
      </c>
      <c r="FT19" s="670">
        <f>基礎情報!X59</f>
        <v>0</v>
      </c>
      <c r="FU19" s="670">
        <f>基礎情報!Y59</f>
        <v>0</v>
      </c>
      <c r="FV19" s="670">
        <f>基礎情報!Z59</f>
        <v>0</v>
      </c>
      <c r="FW19" s="670">
        <f>基礎情報!AA59</f>
        <v>0</v>
      </c>
      <c r="FX19" s="670">
        <f>基礎情報!AB59</f>
        <v>0</v>
      </c>
      <c r="FY19" s="670">
        <f>基礎情報!AC59</f>
        <v>0</v>
      </c>
      <c r="FZ19" s="670">
        <f>基礎情報!AD59</f>
        <v>0</v>
      </c>
      <c r="GA19" s="670">
        <f>基礎情報!AE59</f>
        <v>0</v>
      </c>
      <c r="GB19" s="670">
        <f>基礎情報!AF59</f>
        <v>0</v>
      </c>
      <c r="GC19" s="670">
        <f>基礎情報!AG59</f>
        <v>0</v>
      </c>
      <c r="GD19" s="670">
        <f>基礎情報!AH59</f>
        <v>0</v>
      </c>
      <c r="GE19" s="670">
        <f>基礎情報!AI59</f>
        <v>0</v>
      </c>
      <c r="GF19" s="670">
        <f>基礎情報!AJ59</f>
        <v>0</v>
      </c>
      <c r="GG19" s="670">
        <f>基礎情報!AK59</f>
        <v>0</v>
      </c>
      <c r="GH19" s="670">
        <f>基礎情報!AL59</f>
        <v>0</v>
      </c>
      <c r="GI19" s="670">
        <f>基礎情報!AM59</f>
        <v>0</v>
      </c>
      <c r="GJ19" s="670">
        <f>基礎情報!AN59</f>
        <v>0</v>
      </c>
    </row>
    <row r="20" spans="2:192">
      <c r="B20" s="622"/>
      <c r="C20" s="623" t="s">
        <v>1379</v>
      </c>
      <c r="D20" s="1934">
        <f>SUM(G20:GG20)</f>
        <v>0</v>
      </c>
      <c r="E20" s="1935"/>
      <c r="F20" s="704"/>
      <c r="G20" s="624">
        <f xml:space="preserve">
IF(AND(表紙!$X$2="実績報告（１次）",G$17&lt;DATE(2023,5,8)),0,
IF(G$17="",0,基礎情報!J25))</f>
        <v>0</v>
      </c>
      <c r="H20" s="624">
        <f xml:space="preserve">
IF(AND(表紙!$X$2="実績報告（１次）",H$17&lt;DATE(2023,5,8)),0,
IF(H$17="",0,基礎情報!K25))</f>
        <v>0</v>
      </c>
      <c r="I20" s="624">
        <f xml:space="preserve">
IF(AND(表紙!$X$2="実績報告（１次）",I$17&lt;DATE(2023,5,8)),0,
IF(I$17="",0,基礎情報!L25))</f>
        <v>0</v>
      </c>
      <c r="J20" s="624">
        <f xml:space="preserve">
IF(AND(表紙!$X$2="実績報告（１次）",J$17&lt;DATE(2023,5,8)),0,
IF(J$17="",0,基礎情報!M25))</f>
        <v>0</v>
      </c>
      <c r="K20" s="624">
        <f xml:space="preserve">
IF(AND(表紙!$X$2="実績報告（１次）",K$17&lt;DATE(2023,5,8)),0,
IF(K$17="",0,基礎情報!N25))</f>
        <v>0</v>
      </c>
      <c r="L20" s="624">
        <f xml:space="preserve">
IF(AND(表紙!$X$2="実績報告（１次）",L$17&lt;DATE(2023,5,8)),0,
IF(L$17="",0,基礎情報!O25))</f>
        <v>0</v>
      </c>
      <c r="M20" s="624">
        <f xml:space="preserve">
IF(AND(表紙!$X$2="実績報告（１次）",M$17&lt;DATE(2023,5,8)),0,
IF(M$17="",0,基礎情報!P25))</f>
        <v>0</v>
      </c>
      <c r="N20" s="624">
        <f xml:space="preserve">
IF(AND(表紙!$X$2="実績報告（１次）",N$17&lt;DATE(2023,5,8)),0,
IF(N$17="",0,基礎情報!Q25))</f>
        <v>0</v>
      </c>
      <c r="O20" s="624">
        <f xml:space="preserve">
IF(AND(表紙!$X$2="実績報告（１次）",O$17&lt;DATE(2023,5,8)),0,
IF(O$17="",0,基礎情報!R25))</f>
        <v>0</v>
      </c>
      <c r="P20" s="624">
        <f xml:space="preserve">
IF(AND(表紙!$X$2="実績報告（１次）",P$17&lt;DATE(2023,5,8)),0,
IF(P$17="",0,基礎情報!S25))</f>
        <v>0</v>
      </c>
      <c r="Q20" s="624">
        <f xml:space="preserve">
IF(AND(表紙!$X$2="実績報告（１次）",Q$17&lt;DATE(2023,5,8)),0,
IF(Q$17="",0,基礎情報!T25))</f>
        <v>0</v>
      </c>
      <c r="R20" s="624">
        <f xml:space="preserve">
IF(AND(表紙!$X$2="実績報告（１次）",R$17&lt;DATE(2023,5,8)),0,
IF(R$17="",0,基礎情報!U25))</f>
        <v>0</v>
      </c>
      <c r="S20" s="624">
        <f xml:space="preserve">
IF(AND(表紙!$X$2="実績報告（１次）",S$17&lt;DATE(2023,5,8)),0,
IF(S$17="",0,基礎情報!V25))</f>
        <v>0</v>
      </c>
      <c r="T20" s="624">
        <f xml:space="preserve">
IF(AND(表紙!$X$2="実績報告（１次）",T$17&lt;DATE(2023,5,8)),0,
IF(T$17="",0,基礎情報!W25))</f>
        <v>0</v>
      </c>
      <c r="U20" s="624">
        <f xml:space="preserve">
IF(AND(表紙!$X$2="実績報告（１次）",U$17&lt;DATE(2023,5,8)),0,
IF(U$17="",0,基礎情報!X25))</f>
        <v>0</v>
      </c>
      <c r="V20" s="624">
        <f xml:space="preserve">
IF(AND(表紙!$X$2="実績報告（１次）",V$17&lt;DATE(2023,5,8)),0,
IF(V$17="",0,基礎情報!Y25))</f>
        <v>0</v>
      </c>
      <c r="W20" s="624">
        <f xml:space="preserve">
IF(AND(表紙!$X$2="実績報告（１次）",W$17&lt;DATE(2023,5,8)),0,
IF(W$17="",0,基礎情報!Z25))</f>
        <v>0</v>
      </c>
      <c r="X20" s="624">
        <f xml:space="preserve">
IF(AND(表紙!$X$2="実績報告（１次）",X$17&lt;DATE(2023,5,8)),0,
IF(X$17="",0,基礎情報!AA25))</f>
        <v>0</v>
      </c>
      <c r="Y20" s="624">
        <f xml:space="preserve">
IF(AND(表紙!$X$2="実績報告（１次）",Y$17&lt;DATE(2023,5,8)),0,
IF(Y$17="",0,基礎情報!AB25))</f>
        <v>0</v>
      </c>
      <c r="Z20" s="624">
        <f xml:space="preserve">
IF(AND(表紙!$X$2="実績報告（１次）",Z$17&lt;DATE(2023,5,8)),0,
IF(Z$17="",0,基礎情報!AC25))</f>
        <v>0</v>
      </c>
      <c r="AA20" s="624">
        <f xml:space="preserve">
IF(AND(表紙!$X$2="実績報告（１次）",AA$17&lt;DATE(2023,5,8)),0,
IF(AA$17="",0,基礎情報!AD25))</f>
        <v>0</v>
      </c>
      <c r="AB20" s="624">
        <f xml:space="preserve">
IF(AND(表紙!$X$2="実績報告（１次）",AB$17&lt;DATE(2023,5,8)),0,
IF(AB$17="",0,基礎情報!AE25))</f>
        <v>0</v>
      </c>
      <c r="AC20" s="624">
        <f xml:space="preserve">
IF(AND(表紙!$X$2="実績報告（１次）",AC$17&lt;DATE(2023,5,8)),0,
IF(AC$17="",0,基礎情報!AF25))</f>
        <v>0</v>
      </c>
      <c r="AD20" s="624">
        <f xml:space="preserve">
IF(AND(表紙!$X$2="実績報告（１次）",AD$17&lt;DATE(2023,5,8)),0,
IF(AD$17="",0,基礎情報!AG25))</f>
        <v>0</v>
      </c>
      <c r="AE20" s="624">
        <f xml:space="preserve">
IF(AND(表紙!$X$2="実績報告（１次）",AE$17&lt;DATE(2023,5,8)),0,
IF(AE$17="",0,基礎情報!AH25))</f>
        <v>0</v>
      </c>
      <c r="AF20" s="624">
        <f xml:space="preserve">
IF(AND(表紙!$X$2="実績報告（１次）",AF$17&lt;DATE(2023,5,8)),0,
IF(AF$17="",0,基礎情報!AI25))</f>
        <v>0</v>
      </c>
      <c r="AG20" s="624">
        <f xml:space="preserve">
IF(AND(表紙!$X$2="実績報告（１次）",AG$17&lt;DATE(2023,5,8)),0,
IF(AG$17="",0,基礎情報!AJ25))</f>
        <v>0</v>
      </c>
      <c r="AH20" s="624">
        <f xml:space="preserve">
IF(AND(表紙!$X$2="実績報告（１次）",AH$17&lt;DATE(2023,5,8)),0,
IF(AH$17="",0,基礎情報!AK25))</f>
        <v>0</v>
      </c>
      <c r="AI20" s="624">
        <f xml:space="preserve">
IF(AND(表紙!$X$2="実績報告（１次）",AI$17&lt;DATE(2023,5,8)),0,
IF(AI$17="",0,基礎情報!AL25))</f>
        <v>0</v>
      </c>
      <c r="AJ20" s="624">
        <f xml:space="preserve">
IF(AND(表紙!$X$2="実績報告（１次）",AJ$17&lt;DATE(2023,5,8)),0,
IF(AJ$17="",0,基礎情報!AM25))</f>
        <v>0</v>
      </c>
      <c r="AK20" s="624">
        <f xml:space="preserve">
IF(AND(表紙!$X$2="実績報告（１次）",AK$17&lt;DATE(2023,5,8)),0,
IF(AK$17="",0,基礎情報!AN25))</f>
        <v>0</v>
      </c>
      <c r="AL20" s="624">
        <f xml:space="preserve">
IF(AND(表紙!$X$2="実績報告（１次）",AL$17&lt;DATE(2023,5,8)),0,
IF(AL$17="",0,基礎情報!J32))</f>
        <v>0</v>
      </c>
      <c r="AM20" s="624">
        <f xml:space="preserve">
IF(AND(表紙!$X$2="実績報告（１次）",AM$17&lt;DATE(2023,5,8)),0,
IF(AM$17="",0,基礎情報!K32))</f>
        <v>0</v>
      </c>
      <c r="AN20" s="624">
        <f xml:space="preserve">
IF(AND(表紙!$X$2="実績報告（１次）",AN$17&lt;DATE(2023,5,8)),0,
IF(AN$17="",0,基礎情報!L32))</f>
        <v>0</v>
      </c>
      <c r="AO20" s="624">
        <f xml:space="preserve">
IF(AND(表紙!$X$2="実績報告（１次）",AO$17&lt;DATE(2023,5,8)),0,
IF(AO$17="",0,基礎情報!M32))</f>
        <v>0</v>
      </c>
      <c r="AP20" s="624">
        <f xml:space="preserve">
IF(AND(表紙!$X$2="実績報告（１次）",AP$17&lt;DATE(2023,5,8)),0,
IF(AP$17="",0,基礎情報!N32))</f>
        <v>0</v>
      </c>
      <c r="AQ20" s="624">
        <f xml:space="preserve">
IF(AND(表紙!$X$2="実績報告（１次）",AQ$17&lt;DATE(2023,5,8)),0,
IF(AQ$17="",0,基礎情報!O32))</f>
        <v>0</v>
      </c>
      <c r="AR20" s="624">
        <f xml:space="preserve">
IF(AND(表紙!$X$2="実績報告（１次）",AR$17&lt;DATE(2023,5,8)),0,
IF(AR$17="",0,基礎情報!P32))</f>
        <v>0</v>
      </c>
      <c r="AS20" s="624">
        <f xml:space="preserve">
IF(AND(表紙!$X$2="実績報告（１次）",AS$17&lt;DATE(2023,5,8)),0,
IF(AS$17="",0,基礎情報!Q32))</f>
        <v>0</v>
      </c>
      <c r="AT20" s="624">
        <f xml:space="preserve">
IF(AND(表紙!$X$2="実績報告（１次）",AT$17&lt;DATE(2023,5,8)),0,
IF(AT$17="",0,基礎情報!R32))</f>
        <v>0</v>
      </c>
      <c r="AU20" s="624">
        <f xml:space="preserve">
IF(AND(表紙!$X$2="実績報告（１次）",AU$17&lt;DATE(2023,5,8)),0,
IF(AU$17="",0,基礎情報!S32))</f>
        <v>0</v>
      </c>
      <c r="AV20" s="624">
        <f xml:space="preserve">
IF(AND(表紙!$X$2="実績報告（１次）",AV$17&lt;DATE(2023,5,8)),0,
IF(AV$17="",0,基礎情報!T32))</f>
        <v>0</v>
      </c>
      <c r="AW20" s="624">
        <f xml:space="preserve">
IF(AND(表紙!$X$2="実績報告（１次）",AW$17&lt;DATE(2023,5,8)),0,
IF(AW$17="",0,基礎情報!U32))</f>
        <v>0</v>
      </c>
      <c r="AX20" s="624">
        <f xml:space="preserve">
IF(AND(表紙!$X$2="実績報告（１次）",AX$17&lt;DATE(2023,5,8)),0,
IF(AX$17="",0,基礎情報!V32))</f>
        <v>0</v>
      </c>
      <c r="AY20" s="624">
        <f xml:space="preserve">
IF(AND(表紙!$X$2="実績報告（１次）",AY$17&lt;DATE(2023,5,8)),0,
IF(AY$17="",0,基礎情報!W32))</f>
        <v>0</v>
      </c>
      <c r="AZ20" s="624">
        <f xml:space="preserve">
IF(AND(表紙!$X$2="実績報告（１次）",AZ$17&lt;DATE(2023,5,8)),0,
IF(AZ$17="",0,基礎情報!X32))</f>
        <v>0</v>
      </c>
      <c r="BA20" s="624">
        <f xml:space="preserve">
IF(AND(表紙!$X$2="実績報告（１次）",BA$17&lt;DATE(2023,5,8)),0,
IF(BA$17="",0,基礎情報!Y32))</f>
        <v>0</v>
      </c>
      <c r="BB20" s="624">
        <f xml:space="preserve">
IF(AND(表紙!$X$2="実績報告（１次）",BB$17&lt;DATE(2023,5,8)),0,
IF(BB$17="",0,基礎情報!Z32))</f>
        <v>0</v>
      </c>
      <c r="BC20" s="624">
        <f xml:space="preserve">
IF(AND(表紙!$X$2="実績報告（１次）",BC$17&lt;DATE(2023,5,8)),0,
IF(BC$17="",0,基礎情報!AA32))</f>
        <v>0</v>
      </c>
      <c r="BD20" s="624">
        <f xml:space="preserve">
IF(AND(表紙!$X$2="実績報告（１次）",BD$17&lt;DATE(2023,5,8)),0,
IF(BD$17="",0,基礎情報!AB32))</f>
        <v>0</v>
      </c>
      <c r="BE20" s="624">
        <f xml:space="preserve">
IF(AND(表紙!$X$2="実績報告（１次）",BE$17&lt;DATE(2023,5,8)),0,
IF(BE$17="",0,基礎情報!AC32))</f>
        <v>0</v>
      </c>
      <c r="BF20" s="624">
        <f xml:space="preserve">
IF(AND(表紙!$X$2="実績報告（１次）",BF$17&lt;DATE(2023,5,8)),0,
IF(BF$17="",0,基礎情報!AD32))</f>
        <v>0</v>
      </c>
      <c r="BG20" s="624">
        <f xml:space="preserve">
IF(AND(表紙!$X$2="実績報告（１次）",BG$17&lt;DATE(2023,5,8)),0,
IF(BG$17="",0,基礎情報!AE32))</f>
        <v>0</v>
      </c>
      <c r="BH20" s="624">
        <f xml:space="preserve">
IF(AND(表紙!$X$2="実績報告（１次）",BH$17&lt;DATE(2023,5,8)),0,
IF(BH$17="",0,基礎情報!AF32))</f>
        <v>0</v>
      </c>
      <c r="BI20" s="624">
        <f xml:space="preserve">
IF(AND(表紙!$X$2="実績報告（１次）",BI$17&lt;DATE(2023,5,8)),0,
IF(BI$17="",0,基礎情報!AG32))</f>
        <v>0</v>
      </c>
      <c r="BJ20" s="624">
        <f xml:space="preserve">
IF(AND(表紙!$X$2="実績報告（１次）",BJ$17&lt;DATE(2023,5,8)),0,
IF(BJ$17="",0,基礎情報!AH32))</f>
        <v>0</v>
      </c>
      <c r="BK20" s="624">
        <f xml:space="preserve">
IF(AND(表紙!$X$2="実績報告（１次）",BK$17&lt;DATE(2023,5,8)),0,
IF(BK$17="",0,基礎情報!AI32))</f>
        <v>0</v>
      </c>
      <c r="BL20" s="624">
        <f xml:space="preserve">
IF(AND(表紙!$X$2="実績報告（１次）",BL$17&lt;DATE(2023,5,8)),0,
IF(BL$17="",0,基礎情報!AJ32))</f>
        <v>0</v>
      </c>
      <c r="BM20" s="624">
        <f xml:space="preserve">
IF(AND(表紙!$X$2="実績報告（１次）",BM$17&lt;DATE(2023,5,8)),0,
IF(BM$17="",0,基礎情報!AK32))</f>
        <v>0</v>
      </c>
      <c r="BN20" s="624">
        <f xml:space="preserve">
IF(AND(表紙!$X$2="実績報告（１次）",BN$17&lt;DATE(2023,5,8)),0,
IF(BN$17="",0,基礎情報!AL32))</f>
        <v>0</v>
      </c>
      <c r="BO20" s="624">
        <f xml:space="preserve">
IF(AND(表紙!$X$2="実績報告（１次）",BO$17&lt;DATE(2023,5,8)),0,
IF(BO$17="",0,基礎情報!AM32))</f>
        <v>0</v>
      </c>
      <c r="BP20" s="624">
        <f xml:space="preserve">
IF(AND(表紙!$X$2="実績報告（１次）",BP$17&lt;DATE(2023,5,8)),0,
IF(BP$17="",0,基礎情報!AN32))</f>
        <v>0</v>
      </c>
      <c r="BQ20" s="624">
        <f xml:space="preserve">
IF(AND(表紙!$X$2="実績報告（１次）",BQ$17&lt;DATE(2023,5,8)),0,
IF(BQ$17="",0,基礎情報!J39))</f>
        <v>0</v>
      </c>
      <c r="BR20" s="624">
        <f xml:space="preserve">
IF(AND(表紙!$X$2="実績報告（１次）",BR$17&lt;DATE(2023,5,8)),0,
IF(BR$17="",0,基礎情報!K39))</f>
        <v>0</v>
      </c>
      <c r="BS20" s="624">
        <f xml:space="preserve">
IF(AND(表紙!$X$2="実績報告（１次）",BS$17&lt;DATE(2023,5,8)),0,
IF(BS$17="",0,基礎情報!L39))</f>
        <v>0</v>
      </c>
      <c r="BT20" s="624">
        <f xml:space="preserve">
IF(AND(表紙!$X$2="実績報告（１次）",BT$17&lt;DATE(2023,5,8)),0,
IF(BT$17="",0,基礎情報!M39))</f>
        <v>0</v>
      </c>
      <c r="BU20" s="624">
        <f xml:space="preserve">
IF(AND(表紙!$X$2="実績報告（１次）",BU$17&lt;DATE(2023,5,8)),0,
IF(BU$17="",0,基礎情報!N39))</f>
        <v>0</v>
      </c>
      <c r="BV20" s="624">
        <f xml:space="preserve">
IF(AND(表紙!$X$2="実績報告（１次）",BV$17&lt;DATE(2023,5,8)),0,
IF(BV$17="",0,基礎情報!O39))</f>
        <v>0</v>
      </c>
      <c r="BW20" s="624">
        <f xml:space="preserve">
IF(AND(表紙!$X$2="実績報告（１次）",BW$17&lt;DATE(2023,5,8)),0,
IF(BW$17="",0,基礎情報!P39))</f>
        <v>0</v>
      </c>
      <c r="BX20" s="624">
        <f xml:space="preserve">
IF(AND(表紙!$X$2="実績報告（１次）",BX$17&lt;DATE(2023,5,8)),0,
IF(BX$17="",0,基礎情報!Q39))</f>
        <v>0</v>
      </c>
      <c r="BY20" s="624">
        <f xml:space="preserve">
IF(AND(表紙!$X$2="実績報告（１次）",BY$17&lt;DATE(2023,5,8)),0,
IF(BY$17="",0,基礎情報!R39))</f>
        <v>0</v>
      </c>
      <c r="BZ20" s="624">
        <f xml:space="preserve">
IF(AND(表紙!$X$2="実績報告（１次）",BZ$17&lt;DATE(2023,5,8)),0,
IF(BZ$17="",0,基礎情報!S39))</f>
        <v>0</v>
      </c>
      <c r="CA20" s="624">
        <f xml:space="preserve">
IF(AND(表紙!$X$2="実績報告（１次）",CA$17&lt;DATE(2023,5,8)),0,
IF(CA$17="",0,基礎情報!T39))</f>
        <v>0</v>
      </c>
      <c r="CB20" s="624">
        <f xml:space="preserve">
IF(AND(表紙!$X$2="実績報告（１次）",CB$17&lt;DATE(2023,5,8)),0,
IF(CB$17="",0,基礎情報!U39))</f>
        <v>0</v>
      </c>
      <c r="CC20" s="624">
        <f xml:space="preserve">
IF(AND(表紙!$X$2="実績報告（１次）",CC$17&lt;DATE(2023,5,8)),0,
IF(CC$17="",0,基礎情報!V39))</f>
        <v>0</v>
      </c>
      <c r="CD20" s="624">
        <f xml:space="preserve">
IF(AND(表紙!$X$2="実績報告（１次）",CD$17&lt;DATE(2023,5,8)),0,
IF(CD$17="",0,基礎情報!W39))</f>
        <v>0</v>
      </c>
      <c r="CE20" s="624">
        <f xml:space="preserve">
IF(AND(表紙!$X$2="実績報告（１次）",CE$17&lt;DATE(2023,5,8)),0,
IF(CE$17="",0,基礎情報!X39))</f>
        <v>0</v>
      </c>
      <c r="CF20" s="624">
        <f xml:space="preserve">
IF(AND(表紙!$X$2="実績報告（１次）",CF$17&lt;DATE(2023,5,8)),0,
IF(CF$17="",0,基礎情報!Y39))</f>
        <v>0</v>
      </c>
      <c r="CG20" s="624">
        <f xml:space="preserve">
IF(AND(表紙!$X$2="実績報告（１次）",CG$17&lt;DATE(2023,5,8)),0,
IF(CG$17="",0,基礎情報!Z39))</f>
        <v>0</v>
      </c>
      <c r="CH20" s="624">
        <f xml:space="preserve">
IF(AND(表紙!$X$2="実績報告（１次）",CH$17&lt;DATE(2023,5,8)),0,
IF(CH$17="",0,基礎情報!AA39))</f>
        <v>0</v>
      </c>
      <c r="CI20" s="624">
        <f xml:space="preserve">
IF(AND(表紙!$X$2="実績報告（１次）",CI$17&lt;DATE(2023,5,8)),0,
IF(CI$17="",0,基礎情報!AB39))</f>
        <v>0</v>
      </c>
      <c r="CJ20" s="624">
        <f xml:space="preserve">
IF(AND(表紙!$X$2="実績報告（１次）",CJ$17&lt;DATE(2023,5,8)),0,
IF(CJ$17="",0,基礎情報!AC39))</f>
        <v>0</v>
      </c>
      <c r="CK20" s="624">
        <f xml:space="preserve">
IF(AND(表紙!$X$2="実績報告（１次）",CK$17&lt;DATE(2023,5,8)),0,
IF(CK$17="",0,基礎情報!AD39))</f>
        <v>0</v>
      </c>
      <c r="CL20" s="624">
        <f xml:space="preserve">
IF(AND(表紙!$X$2="実績報告（１次）",CL$17&lt;DATE(2023,5,8)),0,
IF(CL$17="",0,基礎情報!AE39))</f>
        <v>0</v>
      </c>
      <c r="CM20" s="624">
        <f xml:space="preserve">
IF(AND(表紙!$X$2="実績報告（１次）",CM$17&lt;DATE(2023,5,8)),0,
IF(CM$17="",0,基礎情報!AF39))</f>
        <v>0</v>
      </c>
      <c r="CN20" s="624">
        <f xml:space="preserve">
IF(AND(表紙!$X$2="実績報告（１次）",CN$17&lt;DATE(2023,5,8)),0,
IF(CN$17="",0,基礎情報!AG39))</f>
        <v>0</v>
      </c>
      <c r="CO20" s="624">
        <f xml:space="preserve">
IF(AND(表紙!$X$2="実績報告（１次）",CO$17&lt;DATE(2023,5,8)),0,
IF(CO$17="",0,基礎情報!AH39))</f>
        <v>0</v>
      </c>
      <c r="CP20" s="624">
        <f xml:space="preserve">
IF(AND(表紙!$X$2="実績報告（１次）",CP$17&lt;DATE(2023,5,8)),0,
IF(CP$17="",0,基礎情報!AI39))</f>
        <v>0</v>
      </c>
      <c r="CQ20" s="624">
        <f xml:space="preserve">
IF(AND(表紙!$X$2="実績報告（１次）",CQ$17&lt;DATE(2023,5,8)),0,
IF(CQ$17="",0,基礎情報!AJ39))</f>
        <v>0</v>
      </c>
      <c r="CR20" s="624">
        <f xml:space="preserve">
IF(AND(表紙!$X$2="実績報告（１次）",CR$17&lt;DATE(2023,5,8)),0,
IF(CR$17="",0,基礎情報!AK39))</f>
        <v>0</v>
      </c>
      <c r="CS20" s="624">
        <f xml:space="preserve">
IF(AND(表紙!$X$2="実績報告（１次）",CS$17&lt;DATE(2023,5,8)),0,
IF(CS$17="",0,基礎情報!AL39))</f>
        <v>0</v>
      </c>
      <c r="CT20" s="624">
        <f xml:space="preserve">
IF(AND(表紙!$X$2="実績報告（１次）",CT$17&lt;DATE(2023,5,8)),0,
IF(CT$17="",0,基礎情報!AM39))</f>
        <v>0</v>
      </c>
      <c r="CU20" s="624">
        <f xml:space="preserve">
IF(AND(表紙!$X$2="実績報告（１次）",CU$17&lt;DATE(2023,5,8)),0,
IF(CU$17="",0,基礎情報!AN39))</f>
        <v>0</v>
      </c>
      <c r="CV20" s="624">
        <f xml:space="preserve">
IF(AND(表紙!$X$2="実績報告（１次）",CV$17&lt;DATE(2023,5,8)),0,
IF(CV$17="",0,基礎情報!J46))</f>
        <v>0</v>
      </c>
      <c r="CW20" s="624">
        <f xml:space="preserve">
IF(AND(表紙!$X$2="実績報告（１次）",CW$17&lt;DATE(2023,5,8)),0,
IF(CW$17="",0,基礎情報!K46))</f>
        <v>0</v>
      </c>
      <c r="CX20" s="624">
        <f xml:space="preserve">
IF(AND(表紙!$X$2="実績報告（１次）",CX$17&lt;DATE(2023,5,8)),0,
IF(CX$17="",0,基礎情報!L46))</f>
        <v>0</v>
      </c>
      <c r="CY20" s="624">
        <f xml:space="preserve">
IF(AND(表紙!$X$2="実績報告（１次）",CY$17&lt;DATE(2023,5,8)),0,
IF(CY$17="",0,基礎情報!M46))</f>
        <v>0</v>
      </c>
      <c r="CZ20" s="624">
        <f xml:space="preserve">
IF(AND(表紙!$X$2="実績報告（１次）",CZ$17&lt;DATE(2023,5,8)),0,
IF(CZ$17="",0,基礎情報!N46))</f>
        <v>0</v>
      </c>
      <c r="DA20" s="624">
        <f xml:space="preserve">
IF(AND(表紙!$X$2="実績報告（１次）",DA$17&lt;DATE(2023,5,8)),0,
IF(DA$17="",0,基礎情報!O46))</f>
        <v>0</v>
      </c>
      <c r="DB20" s="624">
        <f xml:space="preserve">
IF(AND(表紙!$X$2="実績報告（１次）",DB$17&lt;DATE(2023,5,8)),0,
IF(DB$17="",0,基礎情報!P46))</f>
        <v>0</v>
      </c>
      <c r="DC20" s="624">
        <f xml:space="preserve">
IF(AND(表紙!$X$2="実績報告（１次）",DC$17&lt;DATE(2023,5,8)),0,
IF(DC$17="",0,基礎情報!Q46))</f>
        <v>0</v>
      </c>
      <c r="DD20" s="624">
        <f xml:space="preserve">
IF(AND(表紙!$X$2="実績報告（１次）",DD$17&lt;DATE(2023,5,8)),0,
IF(DD$17="",0,基礎情報!R46))</f>
        <v>0</v>
      </c>
      <c r="DE20" s="624">
        <f xml:space="preserve">
IF(AND(表紙!$X$2="実績報告（１次）",DE$17&lt;DATE(2023,5,8)),0,
IF(DE$17="",0,基礎情報!S46))</f>
        <v>0</v>
      </c>
      <c r="DF20" s="624">
        <f xml:space="preserve">
IF(AND(表紙!$X$2="実績報告（１次）",DF$17&lt;DATE(2023,5,8)),0,
IF(DF$17="",0,基礎情報!T46))</f>
        <v>0</v>
      </c>
      <c r="DG20" s="624">
        <f xml:space="preserve">
IF(AND(表紙!$X$2="実績報告（１次）",DG$17&lt;DATE(2023,5,8)),0,
IF(DG$17="",0,基礎情報!U46))</f>
        <v>0</v>
      </c>
      <c r="DH20" s="624">
        <f xml:space="preserve">
IF(AND(表紙!$X$2="実績報告（１次）",DH$17&lt;DATE(2023,5,8)),0,
IF(DH$17="",0,基礎情報!V46))</f>
        <v>0</v>
      </c>
      <c r="DI20" s="624">
        <f xml:space="preserve">
IF(AND(表紙!$X$2="実績報告（１次）",DI$17&lt;DATE(2023,5,8)),0,
IF(DI$17="",0,基礎情報!W46))</f>
        <v>0</v>
      </c>
      <c r="DJ20" s="624">
        <f xml:space="preserve">
IF(AND(表紙!$X$2="実績報告（１次）",DJ$17&lt;DATE(2023,5,8)),0,
IF(DJ$17="",0,基礎情報!X46))</f>
        <v>0</v>
      </c>
      <c r="DK20" s="624">
        <f xml:space="preserve">
IF(AND(表紙!$X$2="実績報告（１次）",DK$17&lt;DATE(2023,5,8)),0,
IF(DK$17="",0,基礎情報!Y46))</f>
        <v>0</v>
      </c>
      <c r="DL20" s="624">
        <f xml:space="preserve">
IF(AND(表紙!$X$2="実績報告（１次）",DL$17&lt;DATE(2023,5,8)),0,
IF(DL$17="",0,基礎情報!Z46))</f>
        <v>0</v>
      </c>
      <c r="DM20" s="624">
        <f xml:space="preserve">
IF(AND(表紙!$X$2="実績報告（１次）",DM$17&lt;DATE(2023,5,8)),0,
IF(DM$17="",0,基礎情報!AA46))</f>
        <v>0</v>
      </c>
      <c r="DN20" s="624">
        <f xml:space="preserve">
IF(AND(表紙!$X$2="実績報告（１次）",DN$17&lt;DATE(2023,5,8)),0,
IF(DN$17="",0,基礎情報!AB46))</f>
        <v>0</v>
      </c>
      <c r="DO20" s="624">
        <f xml:space="preserve">
IF(AND(表紙!$X$2="実績報告（１次）",DO$17&lt;DATE(2023,5,8)),0,
IF(DO$17="",0,基礎情報!AC46))</f>
        <v>0</v>
      </c>
      <c r="DP20" s="624">
        <f xml:space="preserve">
IF(AND(表紙!$X$2="実績報告（１次）",DP$17&lt;DATE(2023,5,8)),0,
IF(DP$17="",0,基礎情報!AD46))</f>
        <v>0</v>
      </c>
      <c r="DQ20" s="624">
        <f xml:space="preserve">
IF(AND(表紙!$X$2="実績報告（１次）",DQ$17&lt;DATE(2023,5,8)),0,
IF(DQ$17="",0,基礎情報!AE46))</f>
        <v>0</v>
      </c>
      <c r="DR20" s="624">
        <f xml:space="preserve">
IF(AND(表紙!$X$2="実績報告（１次）",DR$17&lt;DATE(2023,5,8)),0,
IF(DR$17="",0,基礎情報!AF46))</f>
        <v>0</v>
      </c>
      <c r="DS20" s="624">
        <f xml:space="preserve">
IF(AND(表紙!$X$2="実績報告（１次）",DS$17&lt;DATE(2023,5,8)),0,
IF(DS$17="",0,基礎情報!AG46))</f>
        <v>0</v>
      </c>
      <c r="DT20" s="624">
        <f xml:space="preserve">
IF(AND(表紙!$X$2="実績報告（１次）",DT$17&lt;DATE(2023,5,8)),0,
IF(DT$17="",0,基礎情報!AH46))</f>
        <v>0</v>
      </c>
      <c r="DU20" s="624">
        <f xml:space="preserve">
IF(AND(表紙!$X$2="実績報告（１次）",DU$17&lt;DATE(2023,5,8)),0,
IF(DU$17="",0,基礎情報!AI46))</f>
        <v>0</v>
      </c>
      <c r="DV20" s="624">
        <f xml:space="preserve">
IF(AND(表紙!$X$2="実績報告（１次）",DV$17&lt;DATE(2023,5,8)),0,
IF(DV$17="",0,基礎情報!AJ46))</f>
        <v>0</v>
      </c>
      <c r="DW20" s="624">
        <f xml:space="preserve">
IF(AND(表紙!$X$2="実績報告（１次）",DW$17&lt;DATE(2023,5,8)),0,
IF(DW$17="",0,基礎情報!AK46))</f>
        <v>0</v>
      </c>
      <c r="DX20" s="624">
        <f xml:space="preserve">
IF(AND(表紙!$X$2="実績報告（１次）",DX$17&lt;DATE(2023,5,8)),0,
IF(DX$17="",0,基礎情報!AL46))</f>
        <v>0</v>
      </c>
      <c r="DY20" s="624">
        <f xml:space="preserve">
IF(AND(表紙!$X$2="実績報告（１次）",DY$17&lt;DATE(2023,5,8)),0,
IF(DY$17="",0,基礎情報!AM46))</f>
        <v>0</v>
      </c>
      <c r="DZ20" s="624">
        <f xml:space="preserve">
IF(AND(表紙!$X$2="実績報告（１次）",DZ$17&lt;DATE(2023,5,8)),0,
IF(DZ$17="",0,基礎情報!AN46))</f>
        <v>0</v>
      </c>
      <c r="EA20" s="624">
        <f xml:space="preserve">
IF(AND(表紙!$X$2="実績報告（１次）",EA$17&lt;DATE(2023,5,8)),0,
IF(EA$17="",0,基礎情報!J53))</f>
        <v>0</v>
      </c>
      <c r="EB20" s="624">
        <f xml:space="preserve">
IF(AND(表紙!$X$2="実績報告（１次）",EB$17&lt;DATE(2023,5,8)),0,
IF(EB$17="",0,基礎情報!K53))</f>
        <v>0</v>
      </c>
      <c r="EC20" s="624">
        <f xml:space="preserve">
IF(AND(表紙!$X$2="実績報告（１次）",EC$17&lt;DATE(2023,5,8)),0,
IF(EC$17="",0,基礎情報!L53))</f>
        <v>0</v>
      </c>
      <c r="ED20" s="624">
        <f xml:space="preserve">
IF(AND(表紙!$X$2="実績報告（１次）",ED$17&lt;DATE(2023,5,8)),0,
IF(ED$17="",0,基礎情報!M53))</f>
        <v>0</v>
      </c>
      <c r="EE20" s="624">
        <f xml:space="preserve">
IF(AND(表紙!$X$2="実績報告（１次）",EE$17&lt;DATE(2023,5,8)),0,
IF(EE$17="",0,基礎情報!N53))</f>
        <v>0</v>
      </c>
      <c r="EF20" s="624">
        <f xml:space="preserve">
IF(AND(表紙!$X$2="実績報告（１次）",EF$17&lt;DATE(2023,5,8)),0,
IF(EF$17="",0,基礎情報!O53))</f>
        <v>0</v>
      </c>
      <c r="EG20" s="624">
        <f xml:space="preserve">
IF(AND(表紙!$X$2="実績報告（１次）",EG$17&lt;DATE(2023,5,8)),0,
IF(EG$17="",0,基礎情報!P53))</f>
        <v>0</v>
      </c>
      <c r="EH20" s="624">
        <f xml:space="preserve">
IF(AND(表紙!$X$2="実績報告（１次）",EH$17&lt;DATE(2023,5,8)),0,
IF(EH$17="",0,基礎情報!Q53))</f>
        <v>0</v>
      </c>
      <c r="EI20" s="624">
        <f xml:space="preserve">
IF(AND(表紙!$X$2="実績報告（１次）",EI$17&lt;DATE(2023,5,8)),0,
IF(EI$17="",0,基礎情報!R53))</f>
        <v>0</v>
      </c>
      <c r="EJ20" s="624">
        <f xml:space="preserve">
IF(AND(表紙!$X$2="実績報告（１次）",EJ$17&lt;DATE(2023,5,8)),0,
IF(EJ$17="",0,基礎情報!S53))</f>
        <v>0</v>
      </c>
      <c r="EK20" s="624">
        <f xml:space="preserve">
IF(AND(表紙!$X$2="実績報告（１次）",EK$17&lt;DATE(2023,5,8)),0,
IF(EK$17="",0,基礎情報!T53))</f>
        <v>0</v>
      </c>
      <c r="EL20" s="624">
        <f xml:space="preserve">
IF(AND(表紙!$X$2="実績報告（１次）",EL$17&lt;DATE(2023,5,8)),0,
IF(EL$17="",0,基礎情報!U53))</f>
        <v>0</v>
      </c>
      <c r="EM20" s="624">
        <f xml:space="preserve">
IF(AND(表紙!$X$2="実績報告（１次）",EM$17&lt;DATE(2023,5,8)),0,
IF(EM$17="",0,基礎情報!V53))</f>
        <v>0</v>
      </c>
      <c r="EN20" s="624">
        <f xml:space="preserve">
IF(AND(表紙!$X$2="実績報告（１次）",EN$17&lt;DATE(2023,5,8)),0,
IF(EN$17="",0,基礎情報!W53))</f>
        <v>0</v>
      </c>
      <c r="EO20" s="624">
        <f xml:space="preserve">
IF(AND(表紙!$X$2="実績報告（１次）",EO$17&lt;DATE(2023,5,8)),0,
IF(EO$17="",0,基礎情報!X53))</f>
        <v>0</v>
      </c>
      <c r="EP20" s="624">
        <f xml:space="preserve">
IF(AND(表紙!$X$2="実績報告（１次）",EP$17&lt;DATE(2023,5,8)),0,
IF(EP$17="",0,基礎情報!Y53))</f>
        <v>0</v>
      </c>
      <c r="EQ20" s="624">
        <f xml:space="preserve">
IF(AND(表紙!$X$2="実績報告（１次）",EQ$17&lt;DATE(2023,5,8)),0,
IF(EQ$17="",0,基礎情報!Z53))</f>
        <v>0</v>
      </c>
      <c r="ER20" s="624">
        <f xml:space="preserve">
IF(AND(表紙!$X$2="実績報告（１次）",ER$17&lt;DATE(2023,5,8)),0,
IF(ER$17="",0,基礎情報!AA53))</f>
        <v>0</v>
      </c>
      <c r="ES20" s="624">
        <f xml:space="preserve">
IF(AND(表紙!$X$2="実績報告（１次）",ES$17&lt;DATE(2023,5,8)),0,
IF(ES$17="",0,基礎情報!AB53))</f>
        <v>0</v>
      </c>
      <c r="ET20" s="624">
        <f xml:space="preserve">
IF(AND(表紙!$X$2="実績報告（１次）",ET$17&lt;DATE(2023,5,8)),0,
IF(ET$17="",0,基礎情報!AC53))</f>
        <v>0</v>
      </c>
      <c r="EU20" s="624">
        <f xml:space="preserve">
IF(AND(表紙!$X$2="実績報告（１次）",EU$17&lt;DATE(2023,5,8)),0,
IF(EU$17="",0,基礎情報!AD53))</f>
        <v>0</v>
      </c>
      <c r="EV20" s="624">
        <f xml:space="preserve">
IF(AND(表紙!$X$2="実績報告（１次）",EV$17&lt;DATE(2023,5,8)),0,
IF(EV$17="",0,基礎情報!AE53))</f>
        <v>0</v>
      </c>
      <c r="EW20" s="624">
        <f xml:space="preserve">
IF(AND(表紙!$X$2="実績報告（１次）",EW$17&lt;DATE(2023,5,8)),0,
IF(EW$17="",0,基礎情報!AF53))</f>
        <v>0</v>
      </c>
      <c r="EX20" s="624">
        <f xml:space="preserve">
IF(AND(表紙!$X$2="実績報告（１次）",EX$17&lt;DATE(2023,5,8)),0,
IF(EX$17="",0,基礎情報!AG53))</f>
        <v>0</v>
      </c>
      <c r="EY20" s="624">
        <f xml:space="preserve">
IF(AND(表紙!$X$2="実績報告（１次）",EY$17&lt;DATE(2023,5,8)),0,
IF(EY$17="",0,基礎情報!AH53))</f>
        <v>0</v>
      </c>
      <c r="EZ20" s="624">
        <f xml:space="preserve">
IF(AND(表紙!$X$2="実績報告（１次）",EZ$17&lt;DATE(2023,5,8)),0,
IF(EZ$17="",0,基礎情報!AI53))</f>
        <v>0</v>
      </c>
      <c r="FA20" s="624">
        <f xml:space="preserve">
IF(AND(表紙!$X$2="実績報告（１次）",FA$17&lt;DATE(2023,5,8)),0,
IF(FA$17="",0,基礎情報!AJ53))</f>
        <v>0</v>
      </c>
      <c r="FB20" s="624">
        <f xml:space="preserve">
IF(AND(表紙!$X$2="実績報告（１次）",FB$17&lt;DATE(2023,5,8)),0,
IF(FB$17="",0,基礎情報!AK53))</f>
        <v>0</v>
      </c>
      <c r="FC20" s="624">
        <f xml:space="preserve">
IF(AND(表紙!$X$2="実績報告（１次）",FC$17&lt;DATE(2023,5,8)),0,
IF(FC$17="",0,基礎情報!AL53))</f>
        <v>0</v>
      </c>
      <c r="FD20" s="624">
        <f xml:space="preserve">
IF(AND(表紙!$X$2="実績報告（１次）",FD$17&lt;DATE(2023,5,8)),0,
IF(FD$17="",0,基礎情報!AM53))</f>
        <v>0</v>
      </c>
      <c r="FE20" s="624">
        <f xml:space="preserve">
IF(AND(表紙!$X$2="実績報告（１次）",FE$17&lt;DATE(2023,5,8)),0,
IF(FE$17="",0,基礎情報!AN53))</f>
        <v>0</v>
      </c>
      <c r="FF20" s="624">
        <f xml:space="preserve">
IF(AND(表紙!$X$2="実績報告（１次）",FF$17&lt;DATE(2023,5,8)),0,
IF(FF$17="",0,基礎情報!J60))</f>
        <v>0</v>
      </c>
      <c r="FG20" s="624">
        <f xml:space="preserve">
IF(AND(表紙!$X$2="実績報告（１次）",FG$17&lt;DATE(2023,5,8)),0,
IF(FG$17="",0,基礎情報!K60))</f>
        <v>0</v>
      </c>
      <c r="FH20" s="624">
        <f xml:space="preserve">
IF(AND(表紙!$X$2="実績報告（１次）",FH$17&lt;DATE(2023,5,8)),0,
IF(FH$17="",0,基礎情報!L60))</f>
        <v>0</v>
      </c>
      <c r="FI20" s="624">
        <f xml:space="preserve">
IF(AND(表紙!$X$2="実績報告（１次）",FI$17&lt;DATE(2023,5,8)),0,
IF(FI$17="",0,基礎情報!M60))</f>
        <v>0</v>
      </c>
      <c r="FJ20" s="624">
        <f xml:space="preserve">
IF(AND(表紙!$X$2="実績報告（１次）",FJ$17&lt;DATE(2023,5,8)),0,
IF(FJ$17="",0,基礎情報!N60))</f>
        <v>0</v>
      </c>
      <c r="FK20" s="624">
        <f xml:space="preserve">
IF(AND(表紙!$X$2="実績報告（１次）",FK$17&lt;DATE(2023,5,8)),0,
IF(FK$17="",0,基礎情報!O60))</f>
        <v>0</v>
      </c>
      <c r="FL20" s="624">
        <f xml:space="preserve">
IF(AND(表紙!$X$2="実績報告（１次）",FL$17&lt;DATE(2023,5,8)),0,
IF(FL$17="",0,基礎情報!P60))</f>
        <v>0</v>
      </c>
      <c r="FM20" s="624">
        <f xml:space="preserve">
IF(AND(表紙!$X$2="実績報告（１次）",FM$17&lt;DATE(2023,5,8)),0,
IF(FM$17="",0,基礎情報!Q60))</f>
        <v>0</v>
      </c>
      <c r="FN20" s="624">
        <f xml:space="preserve">
IF(AND(表紙!$X$2="実績報告（１次）",FN$17&lt;DATE(2023,5,8)),0,
IF(FN$17="",0,基礎情報!R60))</f>
        <v>0</v>
      </c>
      <c r="FO20" s="624">
        <f xml:space="preserve">
IF(AND(表紙!$X$2="実績報告（１次）",FO$17&lt;DATE(2023,5,8)),0,
IF(FO$17="",0,基礎情報!S60))</f>
        <v>0</v>
      </c>
      <c r="FP20" s="624">
        <f xml:space="preserve">
IF(AND(表紙!$X$2="実績報告（１次）",FP$17&lt;DATE(2023,5,8)),0,
IF(FP$17="",0,基礎情報!T60))</f>
        <v>0</v>
      </c>
      <c r="FQ20" s="624">
        <f xml:space="preserve">
IF(AND(表紙!$X$2="実績報告（１次）",FQ$17&lt;DATE(2023,5,8)),0,
IF(FQ$17="",0,基礎情報!U60))</f>
        <v>0</v>
      </c>
      <c r="FR20" s="624">
        <f xml:space="preserve">
IF(AND(表紙!$X$2="実績報告（１次）",FR$17&lt;DATE(2023,5,8)),0,
IF(FR$17="",0,基礎情報!V60))</f>
        <v>0</v>
      </c>
      <c r="FS20" s="624">
        <f xml:space="preserve">
IF(AND(表紙!$X$2="実績報告（１次）",FS$17&lt;DATE(2023,5,8)),0,
IF(FS$17="",0,基礎情報!W60))</f>
        <v>0</v>
      </c>
      <c r="FT20" s="624">
        <f xml:space="preserve">
IF(AND(表紙!$X$2="実績報告（１次）",FT$17&lt;DATE(2023,5,8)),0,
IF(FT$17="",0,基礎情報!X60))</f>
        <v>0</v>
      </c>
      <c r="FU20" s="624">
        <f xml:space="preserve">
IF(AND(表紙!$X$2="実績報告（１次）",FU$17&lt;DATE(2023,5,8)),0,
IF(FU$17="",0,基礎情報!Y60))</f>
        <v>0</v>
      </c>
      <c r="FV20" s="624">
        <f xml:space="preserve">
IF(AND(表紙!$X$2="実績報告（１次）",FV$17&lt;DATE(2023,5,8)),0,
IF(FV$17="",0,基礎情報!Z60))</f>
        <v>0</v>
      </c>
      <c r="FW20" s="624">
        <f xml:space="preserve">
IF(AND(表紙!$X$2="実績報告（１次）",FW$17&lt;DATE(2023,5,8)),0,
IF(FW$17="",0,基礎情報!AA60))</f>
        <v>0</v>
      </c>
      <c r="FX20" s="624">
        <f xml:space="preserve">
IF(AND(表紙!$X$2="実績報告（１次）",FX$17&lt;DATE(2023,5,8)),0,
IF(FX$17="",0,基礎情報!AB60))</f>
        <v>0</v>
      </c>
      <c r="FY20" s="624">
        <f xml:space="preserve">
IF(AND(表紙!$X$2="実績報告（１次）",FY$17&lt;DATE(2023,5,8)),0,
IF(FY$17="",0,基礎情報!AC60))</f>
        <v>0</v>
      </c>
      <c r="FZ20" s="624">
        <f xml:space="preserve">
IF(AND(表紙!$X$2="実績報告（１次）",FZ$17&lt;DATE(2023,5,8)),0,
IF(FZ$17="",0,基礎情報!AD60))</f>
        <v>0</v>
      </c>
      <c r="GA20" s="624">
        <f xml:space="preserve">
IF(AND(表紙!$X$2="実績報告（１次）",GA$17&lt;DATE(2023,5,8)),0,
IF(GA$17="",0,基礎情報!AE60))</f>
        <v>0</v>
      </c>
      <c r="GB20" s="624">
        <f xml:space="preserve">
IF(AND(表紙!$X$2="実績報告（１次）",GB$17&lt;DATE(2023,5,8)),0,
IF(GB$17="",0,基礎情報!AF60))</f>
        <v>0</v>
      </c>
      <c r="GC20" s="624">
        <f xml:space="preserve">
IF(AND(表紙!$X$2="実績報告（１次）",GC$17&lt;DATE(2023,5,8)),0,
IF(GC$17="",0,基礎情報!AG60))</f>
        <v>0</v>
      </c>
      <c r="GD20" s="624">
        <f xml:space="preserve">
IF(AND(表紙!$X$2="実績報告（１次）",GD$17&lt;DATE(2023,5,8)),0,
IF(GD$17="",0,基礎情報!AH60))</f>
        <v>0</v>
      </c>
      <c r="GE20" s="624">
        <f xml:space="preserve">
IF(AND(表紙!$X$2="実績報告（１次）",GE$17&lt;DATE(2023,5,8)),0,
IF(GE$17="",0,基礎情報!AI60))</f>
        <v>0</v>
      </c>
      <c r="GF20" s="624">
        <f xml:space="preserve">
IF(AND(表紙!$X$2="実績報告（１次）",GF$17&lt;DATE(2023,5,8)),0,
IF(GF$17="",0,基礎情報!AJ60))</f>
        <v>0</v>
      </c>
      <c r="GG20" s="624">
        <f xml:space="preserve">
IF(AND(表紙!$X$2="実績報告（１次）",GG$17&lt;DATE(2023,5,8)),0,
IF(GG$17="",0,基礎情報!AK60))</f>
        <v>0</v>
      </c>
      <c r="GH20" s="624">
        <f xml:space="preserve">
IF(AND(表紙!$X$2="実績報告（１次）",GH$17&lt;DATE(2023,5,8)),0,
IF(GH$17="",0,基礎情報!AL60))</f>
        <v>0</v>
      </c>
      <c r="GI20" s="624">
        <f xml:space="preserve">
IF(AND(表紙!$X$2="実績報告（１次）",GI$17&lt;DATE(2023,5,8)),0,
IF(GI$17="",0,基礎情報!AM60))</f>
        <v>0</v>
      </c>
      <c r="GJ20" s="624">
        <f xml:space="preserve">
IF(AND(表紙!$X$2="実績報告（１次）",GJ$17&lt;DATE(2023,5,8)),0,
IF(GJ$17="",0,基礎情報!AN60))</f>
        <v>0</v>
      </c>
    </row>
    <row r="21" spans="2:192">
      <c r="B21" s="622"/>
      <c r="C21" s="623" t="s">
        <v>1386</v>
      </c>
      <c r="D21" s="1934">
        <f>SUM(G21:GG21)</f>
        <v>0</v>
      </c>
      <c r="E21" s="1935"/>
      <c r="F21" s="705"/>
      <c r="G21" s="624">
        <f xml:space="preserve">
IF(AND(表紙!$X$2="実績報告（１次）",G$17&lt;DATE(2023,5,8)),0,
IF(G$17="",0,基礎情報!J26))</f>
        <v>0</v>
      </c>
      <c r="H21" s="624">
        <f xml:space="preserve">
IF(AND(表紙!$X$2="実績報告（１次）",H$17&lt;DATE(2023,5,8)),0,
IF(H$17="",0,基礎情報!K26))</f>
        <v>0</v>
      </c>
      <c r="I21" s="624">
        <f xml:space="preserve">
IF(AND(表紙!$X$2="実績報告（１次）",I$17&lt;DATE(2023,5,8)),0,
IF(I$17="",0,基礎情報!L26))</f>
        <v>0</v>
      </c>
      <c r="J21" s="624">
        <f xml:space="preserve">
IF(AND(表紙!$X$2="実績報告（１次）",J$17&lt;DATE(2023,5,8)),0,
IF(J$17="",0,基礎情報!M26))</f>
        <v>0</v>
      </c>
      <c r="K21" s="624">
        <f xml:space="preserve">
IF(AND(表紙!$X$2="実績報告（１次）",K$17&lt;DATE(2023,5,8)),0,
IF(K$17="",0,基礎情報!N26))</f>
        <v>0</v>
      </c>
      <c r="L21" s="624">
        <f xml:space="preserve">
IF(AND(表紙!$X$2="実績報告（１次）",L$17&lt;DATE(2023,5,8)),0,
IF(L$17="",0,基礎情報!O26))</f>
        <v>0</v>
      </c>
      <c r="M21" s="624">
        <f xml:space="preserve">
IF(AND(表紙!$X$2="実績報告（１次）",M$17&lt;DATE(2023,5,8)),0,
IF(M$17="",0,基礎情報!P26))</f>
        <v>0</v>
      </c>
      <c r="N21" s="624">
        <f xml:space="preserve">
IF(AND(表紙!$X$2="実績報告（１次）",N$17&lt;DATE(2023,5,8)),0,
IF(N$17="",0,基礎情報!Q26))</f>
        <v>0</v>
      </c>
      <c r="O21" s="624">
        <f xml:space="preserve">
IF(AND(表紙!$X$2="実績報告（１次）",O$17&lt;DATE(2023,5,8)),0,
IF(O$17="",0,基礎情報!R26))</f>
        <v>0</v>
      </c>
      <c r="P21" s="624">
        <f xml:space="preserve">
IF(AND(表紙!$X$2="実績報告（１次）",P$17&lt;DATE(2023,5,8)),0,
IF(P$17="",0,基礎情報!S26))</f>
        <v>0</v>
      </c>
      <c r="Q21" s="624">
        <f xml:space="preserve">
IF(AND(表紙!$X$2="実績報告（１次）",Q$17&lt;DATE(2023,5,8)),0,
IF(Q$17="",0,基礎情報!T26))</f>
        <v>0</v>
      </c>
      <c r="R21" s="624">
        <f xml:space="preserve">
IF(AND(表紙!$X$2="実績報告（１次）",R$17&lt;DATE(2023,5,8)),0,
IF(R$17="",0,基礎情報!U26))</f>
        <v>0</v>
      </c>
      <c r="S21" s="624">
        <f xml:space="preserve">
IF(AND(表紙!$X$2="実績報告（１次）",S$17&lt;DATE(2023,5,8)),0,
IF(S$17="",0,基礎情報!V26))</f>
        <v>0</v>
      </c>
      <c r="T21" s="624">
        <f xml:space="preserve">
IF(AND(表紙!$X$2="実績報告（１次）",T$17&lt;DATE(2023,5,8)),0,
IF(T$17="",0,基礎情報!W26))</f>
        <v>0</v>
      </c>
      <c r="U21" s="624">
        <f xml:space="preserve">
IF(AND(表紙!$X$2="実績報告（１次）",U$17&lt;DATE(2023,5,8)),0,
IF(U$17="",0,基礎情報!X26))</f>
        <v>0</v>
      </c>
      <c r="V21" s="624">
        <f xml:space="preserve">
IF(AND(表紙!$X$2="実績報告（１次）",V$17&lt;DATE(2023,5,8)),0,
IF(V$17="",0,基礎情報!Y26))</f>
        <v>0</v>
      </c>
      <c r="W21" s="624">
        <f xml:space="preserve">
IF(AND(表紙!$X$2="実績報告（１次）",W$17&lt;DATE(2023,5,8)),0,
IF(W$17="",0,基礎情報!Z26))</f>
        <v>0</v>
      </c>
      <c r="X21" s="624">
        <f xml:space="preserve">
IF(AND(表紙!$X$2="実績報告（１次）",X$17&lt;DATE(2023,5,8)),0,
IF(X$17="",0,基礎情報!AA26))</f>
        <v>0</v>
      </c>
      <c r="Y21" s="624">
        <f xml:space="preserve">
IF(AND(表紙!$X$2="実績報告（１次）",Y$17&lt;DATE(2023,5,8)),0,
IF(Y$17="",0,基礎情報!AB26))</f>
        <v>0</v>
      </c>
      <c r="Z21" s="624">
        <f xml:space="preserve">
IF(AND(表紙!$X$2="実績報告（１次）",Z$17&lt;DATE(2023,5,8)),0,
IF(Z$17="",0,基礎情報!AC26))</f>
        <v>0</v>
      </c>
      <c r="AA21" s="624">
        <f xml:space="preserve">
IF(AND(表紙!$X$2="実績報告（１次）",AA$17&lt;DATE(2023,5,8)),0,
IF(AA$17="",0,基礎情報!AD26))</f>
        <v>0</v>
      </c>
      <c r="AB21" s="624">
        <f xml:space="preserve">
IF(AND(表紙!$X$2="実績報告（１次）",AB$17&lt;DATE(2023,5,8)),0,
IF(AB$17="",0,基礎情報!AE26))</f>
        <v>0</v>
      </c>
      <c r="AC21" s="624">
        <f xml:space="preserve">
IF(AND(表紙!$X$2="実績報告（１次）",AC$17&lt;DATE(2023,5,8)),0,
IF(AC$17="",0,基礎情報!AF26))</f>
        <v>0</v>
      </c>
      <c r="AD21" s="624">
        <f xml:space="preserve">
IF(AND(表紙!$X$2="実績報告（１次）",AD$17&lt;DATE(2023,5,8)),0,
IF(AD$17="",0,基礎情報!AG26))</f>
        <v>0</v>
      </c>
      <c r="AE21" s="624">
        <f xml:space="preserve">
IF(AND(表紙!$X$2="実績報告（１次）",AE$17&lt;DATE(2023,5,8)),0,
IF(AE$17="",0,基礎情報!AH26))</f>
        <v>0</v>
      </c>
      <c r="AF21" s="624">
        <f xml:space="preserve">
IF(AND(表紙!$X$2="実績報告（１次）",AF$17&lt;DATE(2023,5,8)),0,
IF(AF$17="",0,基礎情報!AI26))</f>
        <v>0</v>
      </c>
      <c r="AG21" s="624">
        <f xml:space="preserve">
IF(AND(表紙!$X$2="実績報告（１次）",AG$17&lt;DATE(2023,5,8)),0,
IF(AG$17="",0,基礎情報!AJ26))</f>
        <v>0</v>
      </c>
      <c r="AH21" s="624">
        <f xml:space="preserve">
IF(AND(表紙!$X$2="実績報告（１次）",AH$17&lt;DATE(2023,5,8)),0,
IF(AH$17="",0,基礎情報!AK26))</f>
        <v>0</v>
      </c>
      <c r="AI21" s="624">
        <f xml:space="preserve">
IF(AND(表紙!$X$2="実績報告（１次）",AI$17&lt;DATE(2023,5,8)),0,
IF(AI$17="",0,基礎情報!AL26))</f>
        <v>0</v>
      </c>
      <c r="AJ21" s="624">
        <f xml:space="preserve">
IF(AND(表紙!$X$2="実績報告（１次）",AJ$17&lt;DATE(2023,5,8)),0,
IF(AJ$17="",0,基礎情報!AM26))</f>
        <v>0</v>
      </c>
      <c r="AK21" s="624">
        <f xml:space="preserve">
IF(AND(表紙!$X$2="実績報告（１次）",AK$17&lt;DATE(2023,5,8)),0,
IF(AK$17="",0,基礎情報!AN26))</f>
        <v>0</v>
      </c>
      <c r="AL21" s="624">
        <f xml:space="preserve">
IF(AND(表紙!$X$2="実績報告（１次）",AL$17&lt;DATE(2023,5,8)),0,
IF(AL$17="",0,基礎情報!J33))</f>
        <v>0</v>
      </c>
      <c r="AM21" s="624">
        <f xml:space="preserve">
IF(AND(表紙!$X$2="実績報告（１次）",AM$17&lt;DATE(2023,5,8)),0,
IF(AM$17="",0,基礎情報!K33))</f>
        <v>0</v>
      </c>
      <c r="AN21" s="624">
        <f xml:space="preserve">
IF(AND(表紙!$X$2="実績報告（１次）",AN$17&lt;DATE(2023,5,8)),0,
IF(AN$17="",0,基礎情報!L33))</f>
        <v>0</v>
      </c>
      <c r="AO21" s="624">
        <f xml:space="preserve">
IF(AND(表紙!$X$2="実績報告（１次）",AO$17&lt;DATE(2023,5,8)),0,
IF(AO$17="",0,基礎情報!M33))</f>
        <v>0</v>
      </c>
      <c r="AP21" s="624">
        <f xml:space="preserve">
IF(AND(表紙!$X$2="実績報告（１次）",AP$17&lt;DATE(2023,5,8)),0,
IF(AP$17="",0,基礎情報!N33))</f>
        <v>0</v>
      </c>
      <c r="AQ21" s="624">
        <f xml:space="preserve">
IF(AND(表紙!$X$2="実績報告（１次）",AQ$17&lt;DATE(2023,5,8)),0,
IF(AQ$17="",0,基礎情報!O33))</f>
        <v>0</v>
      </c>
      <c r="AR21" s="624">
        <f xml:space="preserve">
IF(AND(表紙!$X$2="実績報告（１次）",AR$17&lt;DATE(2023,5,8)),0,
IF(AR$17="",0,基礎情報!P33))</f>
        <v>0</v>
      </c>
      <c r="AS21" s="624">
        <f xml:space="preserve">
IF(AND(表紙!$X$2="実績報告（１次）",AS$17&lt;DATE(2023,5,8)),0,
IF(AS$17="",0,基礎情報!Q33))</f>
        <v>0</v>
      </c>
      <c r="AT21" s="624">
        <f xml:space="preserve">
IF(AND(表紙!$X$2="実績報告（１次）",AT$17&lt;DATE(2023,5,8)),0,
IF(AT$17="",0,基礎情報!R33))</f>
        <v>0</v>
      </c>
      <c r="AU21" s="624">
        <f xml:space="preserve">
IF(AND(表紙!$X$2="実績報告（１次）",AU$17&lt;DATE(2023,5,8)),0,
IF(AU$17="",0,基礎情報!S33))</f>
        <v>0</v>
      </c>
      <c r="AV21" s="624">
        <f xml:space="preserve">
IF(AND(表紙!$X$2="実績報告（１次）",AV$17&lt;DATE(2023,5,8)),0,
IF(AV$17="",0,基礎情報!T33))</f>
        <v>0</v>
      </c>
      <c r="AW21" s="624">
        <f xml:space="preserve">
IF(AND(表紙!$X$2="実績報告（１次）",AW$17&lt;DATE(2023,5,8)),0,
IF(AW$17="",0,基礎情報!U33))</f>
        <v>0</v>
      </c>
      <c r="AX21" s="624">
        <f xml:space="preserve">
IF(AND(表紙!$X$2="実績報告（１次）",AX$17&lt;DATE(2023,5,8)),0,
IF(AX$17="",0,基礎情報!V33))</f>
        <v>0</v>
      </c>
      <c r="AY21" s="624">
        <f xml:space="preserve">
IF(AND(表紙!$X$2="実績報告（１次）",AY$17&lt;DATE(2023,5,8)),0,
IF(AY$17="",0,基礎情報!W33))</f>
        <v>0</v>
      </c>
      <c r="AZ21" s="624">
        <f xml:space="preserve">
IF(AND(表紙!$X$2="実績報告（１次）",AZ$17&lt;DATE(2023,5,8)),0,
IF(AZ$17="",0,基礎情報!X33))</f>
        <v>0</v>
      </c>
      <c r="BA21" s="624">
        <f xml:space="preserve">
IF(AND(表紙!$X$2="実績報告（１次）",BA$17&lt;DATE(2023,5,8)),0,
IF(BA$17="",0,基礎情報!Y33))</f>
        <v>0</v>
      </c>
      <c r="BB21" s="624">
        <f xml:space="preserve">
IF(AND(表紙!$X$2="実績報告（１次）",BB$17&lt;DATE(2023,5,8)),0,
IF(BB$17="",0,基礎情報!Z33))</f>
        <v>0</v>
      </c>
      <c r="BC21" s="624">
        <f xml:space="preserve">
IF(AND(表紙!$X$2="実績報告（１次）",BC$17&lt;DATE(2023,5,8)),0,
IF(BC$17="",0,基礎情報!AA33))</f>
        <v>0</v>
      </c>
      <c r="BD21" s="624">
        <f xml:space="preserve">
IF(AND(表紙!$X$2="実績報告（１次）",BD$17&lt;DATE(2023,5,8)),0,
IF(BD$17="",0,基礎情報!AB33))</f>
        <v>0</v>
      </c>
      <c r="BE21" s="624">
        <f xml:space="preserve">
IF(AND(表紙!$X$2="実績報告（１次）",BE$17&lt;DATE(2023,5,8)),0,
IF(BE$17="",0,基礎情報!AC33))</f>
        <v>0</v>
      </c>
      <c r="BF21" s="624">
        <f xml:space="preserve">
IF(AND(表紙!$X$2="実績報告（１次）",BF$17&lt;DATE(2023,5,8)),0,
IF(BF$17="",0,基礎情報!AD33))</f>
        <v>0</v>
      </c>
      <c r="BG21" s="624">
        <f xml:space="preserve">
IF(AND(表紙!$X$2="実績報告（１次）",BG$17&lt;DATE(2023,5,8)),0,
IF(BG$17="",0,基礎情報!AE33))</f>
        <v>0</v>
      </c>
      <c r="BH21" s="624">
        <f xml:space="preserve">
IF(AND(表紙!$X$2="実績報告（１次）",BH$17&lt;DATE(2023,5,8)),0,
IF(BH$17="",0,基礎情報!AF33))</f>
        <v>0</v>
      </c>
      <c r="BI21" s="624">
        <f xml:space="preserve">
IF(AND(表紙!$X$2="実績報告（１次）",BI$17&lt;DATE(2023,5,8)),0,
IF(BI$17="",0,基礎情報!AG33))</f>
        <v>0</v>
      </c>
      <c r="BJ21" s="624">
        <f xml:space="preserve">
IF(AND(表紙!$X$2="実績報告（１次）",BJ$17&lt;DATE(2023,5,8)),0,
IF(BJ$17="",0,基礎情報!AH33))</f>
        <v>0</v>
      </c>
      <c r="BK21" s="624">
        <f xml:space="preserve">
IF(AND(表紙!$X$2="実績報告（１次）",BK$17&lt;DATE(2023,5,8)),0,
IF(BK$17="",0,基礎情報!AI33))</f>
        <v>0</v>
      </c>
      <c r="BL21" s="624">
        <f xml:space="preserve">
IF(AND(表紙!$X$2="実績報告（１次）",BL$17&lt;DATE(2023,5,8)),0,
IF(BL$17="",0,基礎情報!AJ33))</f>
        <v>0</v>
      </c>
      <c r="BM21" s="624">
        <f xml:space="preserve">
IF(AND(表紙!$X$2="実績報告（１次）",BM$17&lt;DATE(2023,5,8)),0,
IF(BM$17="",0,基礎情報!AK33))</f>
        <v>0</v>
      </c>
      <c r="BN21" s="624">
        <f xml:space="preserve">
IF(AND(表紙!$X$2="実績報告（１次）",BN$17&lt;DATE(2023,5,8)),0,
IF(BN$17="",0,基礎情報!AL33))</f>
        <v>0</v>
      </c>
      <c r="BO21" s="624">
        <f xml:space="preserve">
IF(AND(表紙!$X$2="実績報告（１次）",BO$17&lt;DATE(2023,5,8)),0,
IF(BO$17="",0,基礎情報!AM33))</f>
        <v>0</v>
      </c>
      <c r="BP21" s="624">
        <f xml:space="preserve">
IF(AND(表紙!$X$2="実績報告（１次）",BP$17&lt;DATE(2023,5,8)),0,
IF(BP$17="",0,基礎情報!AN33))</f>
        <v>0</v>
      </c>
      <c r="BQ21" s="624">
        <f xml:space="preserve">
IF(AND(表紙!$X$2="実績報告（１次）",BQ$17&lt;DATE(2023,5,8)),0,
IF(BQ$17="",0,基礎情報!J40))</f>
        <v>0</v>
      </c>
      <c r="BR21" s="624">
        <f xml:space="preserve">
IF(AND(表紙!$X$2="実績報告（１次）",BR$17&lt;DATE(2023,5,8)),0,
IF(BR$17="",0,基礎情報!K40))</f>
        <v>0</v>
      </c>
      <c r="BS21" s="624">
        <f xml:space="preserve">
IF(AND(表紙!$X$2="実績報告（１次）",BS$17&lt;DATE(2023,5,8)),0,
IF(BS$17="",0,基礎情報!L40))</f>
        <v>0</v>
      </c>
      <c r="BT21" s="624">
        <f xml:space="preserve">
IF(AND(表紙!$X$2="実績報告（１次）",BT$17&lt;DATE(2023,5,8)),0,
IF(BT$17="",0,基礎情報!M40))</f>
        <v>0</v>
      </c>
      <c r="BU21" s="624">
        <f xml:space="preserve">
IF(AND(表紙!$X$2="実績報告（１次）",BU$17&lt;DATE(2023,5,8)),0,
IF(BU$17="",0,基礎情報!N40))</f>
        <v>0</v>
      </c>
      <c r="BV21" s="624">
        <f xml:space="preserve">
IF(AND(表紙!$X$2="実績報告（１次）",BV$17&lt;DATE(2023,5,8)),0,
IF(BV$17="",0,基礎情報!O40))</f>
        <v>0</v>
      </c>
      <c r="BW21" s="624">
        <f xml:space="preserve">
IF(AND(表紙!$X$2="実績報告（１次）",BW$17&lt;DATE(2023,5,8)),0,
IF(BW$17="",0,基礎情報!P40))</f>
        <v>0</v>
      </c>
      <c r="BX21" s="624">
        <f xml:space="preserve">
IF(AND(表紙!$X$2="実績報告（１次）",BX$17&lt;DATE(2023,5,8)),0,
IF(BX$17="",0,基礎情報!Q40))</f>
        <v>0</v>
      </c>
      <c r="BY21" s="624">
        <f xml:space="preserve">
IF(AND(表紙!$X$2="実績報告（１次）",BY$17&lt;DATE(2023,5,8)),0,
IF(BY$17="",0,基礎情報!R40))</f>
        <v>0</v>
      </c>
      <c r="BZ21" s="624">
        <f xml:space="preserve">
IF(AND(表紙!$X$2="実績報告（１次）",BZ$17&lt;DATE(2023,5,8)),0,
IF(BZ$17="",0,基礎情報!S40))</f>
        <v>0</v>
      </c>
      <c r="CA21" s="624">
        <f xml:space="preserve">
IF(AND(表紙!$X$2="実績報告（１次）",CA$17&lt;DATE(2023,5,8)),0,
IF(CA$17="",0,基礎情報!T40))</f>
        <v>0</v>
      </c>
      <c r="CB21" s="624">
        <f xml:space="preserve">
IF(AND(表紙!$X$2="実績報告（１次）",CB$17&lt;DATE(2023,5,8)),0,
IF(CB$17="",0,基礎情報!U40))</f>
        <v>0</v>
      </c>
      <c r="CC21" s="624">
        <f xml:space="preserve">
IF(AND(表紙!$X$2="実績報告（１次）",CC$17&lt;DATE(2023,5,8)),0,
IF(CC$17="",0,基礎情報!V40))</f>
        <v>0</v>
      </c>
      <c r="CD21" s="624">
        <f xml:space="preserve">
IF(AND(表紙!$X$2="実績報告（１次）",CD$17&lt;DATE(2023,5,8)),0,
IF(CD$17="",0,基礎情報!W40))</f>
        <v>0</v>
      </c>
      <c r="CE21" s="624">
        <f xml:space="preserve">
IF(AND(表紙!$X$2="実績報告（１次）",CE$17&lt;DATE(2023,5,8)),0,
IF(CE$17="",0,基礎情報!X40))</f>
        <v>0</v>
      </c>
      <c r="CF21" s="624">
        <f xml:space="preserve">
IF(AND(表紙!$X$2="実績報告（１次）",CF$17&lt;DATE(2023,5,8)),0,
IF(CF$17="",0,基礎情報!Y40))</f>
        <v>0</v>
      </c>
      <c r="CG21" s="624">
        <f xml:space="preserve">
IF(AND(表紙!$X$2="実績報告（１次）",CG$17&lt;DATE(2023,5,8)),0,
IF(CG$17="",0,基礎情報!Z40))</f>
        <v>0</v>
      </c>
      <c r="CH21" s="624">
        <f xml:space="preserve">
IF(AND(表紙!$X$2="実績報告（１次）",CH$17&lt;DATE(2023,5,8)),0,
IF(CH$17="",0,基礎情報!AA40))</f>
        <v>0</v>
      </c>
      <c r="CI21" s="624">
        <f xml:space="preserve">
IF(AND(表紙!$X$2="実績報告（１次）",CI$17&lt;DATE(2023,5,8)),0,
IF(CI$17="",0,基礎情報!AB40))</f>
        <v>0</v>
      </c>
      <c r="CJ21" s="624">
        <f xml:space="preserve">
IF(AND(表紙!$X$2="実績報告（１次）",CJ$17&lt;DATE(2023,5,8)),0,
IF(CJ$17="",0,基礎情報!AC40))</f>
        <v>0</v>
      </c>
      <c r="CK21" s="624">
        <f xml:space="preserve">
IF(AND(表紙!$X$2="実績報告（１次）",CK$17&lt;DATE(2023,5,8)),0,
IF(CK$17="",0,基礎情報!AD40))</f>
        <v>0</v>
      </c>
      <c r="CL21" s="624">
        <f xml:space="preserve">
IF(AND(表紙!$X$2="実績報告（１次）",CL$17&lt;DATE(2023,5,8)),0,
IF(CL$17="",0,基礎情報!AE40))</f>
        <v>0</v>
      </c>
      <c r="CM21" s="624">
        <f xml:space="preserve">
IF(AND(表紙!$X$2="実績報告（１次）",CM$17&lt;DATE(2023,5,8)),0,
IF(CM$17="",0,基礎情報!AF40))</f>
        <v>0</v>
      </c>
      <c r="CN21" s="624">
        <f xml:space="preserve">
IF(AND(表紙!$X$2="実績報告（１次）",CN$17&lt;DATE(2023,5,8)),0,
IF(CN$17="",0,基礎情報!AG40))</f>
        <v>0</v>
      </c>
      <c r="CO21" s="624">
        <f xml:space="preserve">
IF(AND(表紙!$X$2="実績報告（１次）",CO$17&lt;DATE(2023,5,8)),0,
IF(CO$17="",0,基礎情報!AH40))</f>
        <v>0</v>
      </c>
      <c r="CP21" s="624">
        <f xml:space="preserve">
IF(AND(表紙!$X$2="実績報告（１次）",CP$17&lt;DATE(2023,5,8)),0,
IF(CP$17="",0,基礎情報!AI40))</f>
        <v>0</v>
      </c>
      <c r="CQ21" s="624">
        <f xml:space="preserve">
IF(AND(表紙!$X$2="実績報告（１次）",CQ$17&lt;DATE(2023,5,8)),0,
IF(CQ$17="",0,基礎情報!AJ40))</f>
        <v>0</v>
      </c>
      <c r="CR21" s="624">
        <f xml:space="preserve">
IF(AND(表紙!$X$2="実績報告（１次）",CR$17&lt;DATE(2023,5,8)),0,
IF(CR$17="",0,基礎情報!AK40))</f>
        <v>0</v>
      </c>
      <c r="CS21" s="624">
        <f xml:space="preserve">
IF(AND(表紙!$X$2="実績報告（１次）",CS$17&lt;DATE(2023,5,8)),0,
IF(CS$17="",0,基礎情報!AL40))</f>
        <v>0</v>
      </c>
      <c r="CT21" s="624">
        <f xml:space="preserve">
IF(AND(表紙!$X$2="実績報告（１次）",CT$17&lt;DATE(2023,5,8)),0,
IF(CT$17="",0,基礎情報!AM40))</f>
        <v>0</v>
      </c>
      <c r="CU21" s="624">
        <f xml:space="preserve">
IF(AND(表紙!$X$2="実績報告（１次）",CU$17&lt;DATE(2023,5,8)),0,
IF(CU$17="",0,基礎情報!AN40))</f>
        <v>0</v>
      </c>
      <c r="CV21" s="624">
        <f xml:space="preserve">
IF(AND(表紙!$X$2="実績報告（１次）",CV$17&lt;DATE(2023,5,8)),0,
IF(CV$17="",0,基礎情報!J47))</f>
        <v>0</v>
      </c>
      <c r="CW21" s="624">
        <f xml:space="preserve">
IF(AND(表紙!$X$2="実績報告（１次）",CW$17&lt;DATE(2023,5,8)),0,
IF(CW$17="",0,基礎情報!K47))</f>
        <v>0</v>
      </c>
      <c r="CX21" s="624">
        <f xml:space="preserve">
IF(AND(表紙!$X$2="実績報告（１次）",CX$17&lt;DATE(2023,5,8)),0,
IF(CX$17="",0,基礎情報!L47))</f>
        <v>0</v>
      </c>
      <c r="CY21" s="624">
        <f xml:space="preserve">
IF(AND(表紙!$X$2="実績報告（１次）",CY$17&lt;DATE(2023,5,8)),0,
IF(CY$17="",0,基礎情報!M47))</f>
        <v>0</v>
      </c>
      <c r="CZ21" s="624">
        <f xml:space="preserve">
IF(AND(表紙!$X$2="実績報告（１次）",CZ$17&lt;DATE(2023,5,8)),0,
IF(CZ$17="",0,基礎情報!N47))</f>
        <v>0</v>
      </c>
      <c r="DA21" s="624">
        <f xml:space="preserve">
IF(AND(表紙!$X$2="実績報告（１次）",DA$17&lt;DATE(2023,5,8)),0,
IF(DA$17="",0,基礎情報!O47))</f>
        <v>0</v>
      </c>
      <c r="DB21" s="624">
        <f xml:space="preserve">
IF(AND(表紙!$X$2="実績報告（１次）",DB$17&lt;DATE(2023,5,8)),0,
IF(DB$17="",0,基礎情報!P47))</f>
        <v>0</v>
      </c>
      <c r="DC21" s="624">
        <f xml:space="preserve">
IF(AND(表紙!$X$2="実績報告（１次）",DC$17&lt;DATE(2023,5,8)),0,
IF(DC$17="",0,基礎情報!Q47))</f>
        <v>0</v>
      </c>
      <c r="DD21" s="624">
        <f xml:space="preserve">
IF(AND(表紙!$X$2="実績報告（１次）",DD$17&lt;DATE(2023,5,8)),0,
IF(DD$17="",0,基礎情報!R47))</f>
        <v>0</v>
      </c>
      <c r="DE21" s="624">
        <f xml:space="preserve">
IF(AND(表紙!$X$2="実績報告（１次）",DE$17&lt;DATE(2023,5,8)),0,
IF(DE$17="",0,基礎情報!S47))</f>
        <v>0</v>
      </c>
      <c r="DF21" s="624">
        <f xml:space="preserve">
IF(AND(表紙!$X$2="実績報告（１次）",DF$17&lt;DATE(2023,5,8)),0,
IF(DF$17="",0,基礎情報!T47))</f>
        <v>0</v>
      </c>
      <c r="DG21" s="624">
        <f xml:space="preserve">
IF(AND(表紙!$X$2="実績報告（１次）",DG$17&lt;DATE(2023,5,8)),0,
IF(DG$17="",0,基礎情報!U47))</f>
        <v>0</v>
      </c>
      <c r="DH21" s="624">
        <f xml:space="preserve">
IF(AND(表紙!$X$2="実績報告（１次）",DH$17&lt;DATE(2023,5,8)),0,
IF(DH$17="",0,基礎情報!V47))</f>
        <v>0</v>
      </c>
      <c r="DI21" s="624">
        <f xml:space="preserve">
IF(AND(表紙!$X$2="実績報告（１次）",DI$17&lt;DATE(2023,5,8)),0,
IF(DI$17="",0,基礎情報!W47))</f>
        <v>0</v>
      </c>
      <c r="DJ21" s="624">
        <f xml:space="preserve">
IF(AND(表紙!$X$2="実績報告（１次）",DJ$17&lt;DATE(2023,5,8)),0,
IF(DJ$17="",0,基礎情報!X47))</f>
        <v>0</v>
      </c>
      <c r="DK21" s="624">
        <f xml:space="preserve">
IF(AND(表紙!$X$2="実績報告（１次）",DK$17&lt;DATE(2023,5,8)),0,
IF(DK$17="",0,基礎情報!Y47))</f>
        <v>0</v>
      </c>
      <c r="DL21" s="624">
        <f xml:space="preserve">
IF(AND(表紙!$X$2="実績報告（１次）",DL$17&lt;DATE(2023,5,8)),0,
IF(DL$17="",0,基礎情報!Z47))</f>
        <v>0</v>
      </c>
      <c r="DM21" s="624">
        <f xml:space="preserve">
IF(AND(表紙!$X$2="実績報告（１次）",DM$17&lt;DATE(2023,5,8)),0,
IF(DM$17="",0,基礎情報!AA47))</f>
        <v>0</v>
      </c>
      <c r="DN21" s="624">
        <f xml:space="preserve">
IF(AND(表紙!$X$2="実績報告（１次）",DN$17&lt;DATE(2023,5,8)),0,
IF(DN$17="",0,基礎情報!AB47))</f>
        <v>0</v>
      </c>
      <c r="DO21" s="624">
        <f xml:space="preserve">
IF(AND(表紙!$X$2="実績報告（１次）",DO$17&lt;DATE(2023,5,8)),0,
IF(DO$17="",0,基礎情報!AC47))</f>
        <v>0</v>
      </c>
      <c r="DP21" s="624">
        <f xml:space="preserve">
IF(AND(表紙!$X$2="実績報告（１次）",DP$17&lt;DATE(2023,5,8)),0,
IF(DP$17="",0,基礎情報!AD47))</f>
        <v>0</v>
      </c>
      <c r="DQ21" s="624">
        <f xml:space="preserve">
IF(AND(表紙!$X$2="実績報告（１次）",DQ$17&lt;DATE(2023,5,8)),0,
IF(DQ$17="",0,基礎情報!AE47))</f>
        <v>0</v>
      </c>
      <c r="DR21" s="624">
        <f xml:space="preserve">
IF(AND(表紙!$X$2="実績報告（１次）",DR$17&lt;DATE(2023,5,8)),0,
IF(DR$17="",0,基礎情報!AF47))</f>
        <v>0</v>
      </c>
      <c r="DS21" s="624">
        <f xml:space="preserve">
IF(AND(表紙!$X$2="実績報告（１次）",DS$17&lt;DATE(2023,5,8)),0,
IF(DS$17="",0,基礎情報!AG47))</f>
        <v>0</v>
      </c>
      <c r="DT21" s="624">
        <f xml:space="preserve">
IF(AND(表紙!$X$2="実績報告（１次）",DT$17&lt;DATE(2023,5,8)),0,
IF(DT$17="",0,基礎情報!AH47))</f>
        <v>0</v>
      </c>
      <c r="DU21" s="624">
        <f xml:space="preserve">
IF(AND(表紙!$X$2="実績報告（１次）",DU$17&lt;DATE(2023,5,8)),0,
IF(DU$17="",0,基礎情報!AI47))</f>
        <v>0</v>
      </c>
      <c r="DV21" s="624">
        <f xml:space="preserve">
IF(AND(表紙!$X$2="実績報告（１次）",DV$17&lt;DATE(2023,5,8)),0,
IF(DV$17="",0,基礎情報!AJ47))</f>
        <v>0</v>
      </c>
      <c r="DW21" s="624">
        <f xml:space="preserve">
IF(AND(表紙!$X$2="実績報告（１次）",DW$17&lt;DATE(2023,5,8)),0,
IF(DW$17="",0,基礎情報!AK47))</f>
        <v>0</v>
      </c>
      <c r="DX21" s="624">
        <f xml:space="preserve">
IF(AND(表紙!$X$2="実績報告（１次）",DX$17&lt;DATE(2023,5,8)),0,
IF(DX$17="",0,基礎情報!AL47))</f>
        <v>0</v>
      </c>
      <c r="DY21" s="624">
        <f xml:space="preserve">
IF(AND(表紙!$X$2="実績報告（１次）",DY$17&lt;DATE(2023,5,8)),0,
IF(DY$17="",0,基礎情報!AM47))</f>
        <v>0</v>
      </c>
      <c r="DZ21" s="624">
        <f xml:space="preserve">
IF(AND(表紙!$X$2="実績報告（１次）",DZ$17&lt;DATE(2023,5,8)),0,
IF(DZ$17="",0,基礎情報!AN47))</f>
        <v>0</v>
      </c>
      <c r="EA21" s="624">
        <f xml:space="preserve">
IF(AND(表紙!$X$2="実績報告（１次）",EA$17&lt;DATE(2023,5,8)),0,
IF(EA$17="",0,基礎情報!J54))</f>
        <v>0</v>
      </c>
      <c r="EB21" s="624">
        <f xml:space="preserve">
IF(AND(表紙!$X$2="実績報告（１次）",EB$17&lt;DATE(2023,5,8)),0,
IF(EB$17="",0,基礎情報!K54))</f>
        <v>0</v>
      </c>
      <c r="EC21" s="624">
        <f xml:space="preserve">
IF(AND(表紙!$X$2="実績報告（１次）",EC$17&lt;DATE(2023,5,8)),0,
IF(EC$17="",0,基礎情報!L54))</f>
        <v>0</v>
      </c>
      <c r="ED21" s="624">
        <f xml:space="preserve">
IF(AND(表紙!$X$2="実績報告（１次）",ED$17&lt;DATE(2023,5,8)),0,
IF(ED$17="",0,基礎情報!M54))</f>
        <v>0</v>
      </c>
      <c r="EE21" s="624">
        <f xml:space="preserve">
IF(AND(表紙!$X$2="実績報告（１次）",EE$17&lt;DATE(2023,5,8)),0,
IF(EE$17="",0,基礎情報!N54))</f>
        <v>0</v>
      </c>
      <c r="EF21" s="624">
        <f xml:space="preserve">
IF(AND(表紙!$X$2="実績報告（１次）",EF$17&lt;DATE(2023,5,8)),0,
IF(EF$17="",0,基礎情報!O54))</f>
        <v>0</v>
      </c>
      <c r="EG21" s="624">
        <f xml:space="preserve">
IF(AND(表紙!$X$2="実績報告（１次）",EG$17&lt;DATE(2023,5,8)),0,
IF(EG$17="",0,基礎情報!P54))</f>
        <v>0</v>
      </c>
      <c r="EH21" s="624">
        <f xml:space="preserve">
IF(AND(表紙!$X$2="実績報告（１次）",EH$17&lt;DATE(2023,5,8)),0,
IF(EH$17="",0,基礎情報!Q54))</f>
        <v>0</v>
      </c>
      <c r="EI21" s="624">
        <f xml:space="preserve">
IF(AND(表紙!$X$2="実績報告（１次）",EI$17&lt;DATE(2023,5,8)),0,
IF(EI$17="",0,基礎情報!R54))</f>
        <v>0</v>
      </c>
      <c r="EJ21" s="624">
        <f xml:space="preserve">
IF(AND(表紙!$X$2="実績報告（１次）",EJ$17&lt;DATE(2023,5,8)),0,
IF(EJ$17="",0,基礎情報!S54))</f>
        <v>0</v>
      </c>
      <c r="EK21" s="624">
        <f xml:space="preserve">
IF(AND(表紙!$X$2="実績報告（１次）",EK$17&lt;DATE(2023,5,8)),0,
IF(EK$17="",0,基礎情報!T54))</f>
        <v>0</v>
      </c>
      <c r="EL21" s="624">
        <f xml:space="preserve">
IF(AND(表紙!$X$2="実績報告（１次）",EL$17&lt;DATE(2023,5,8)),0,
IF(EL$17="",0,基礎情報!U54))</f>
        <v>0</v>
      </c>
      <c r="EM21" s="624">
        <f xml:space="preserve">
IF(AND(表紙!$X$2="実績報告（１次）",EM$17&lt;DATE(2023,5,8)),0,
IF(EM$17="",0,基礎情報!V54))</f>
        <v>0</v>
      </c>
      <c r="EN21" s="624">
        <f xml:space="preserve">
IF(AND(表紙!$X$2="実績報告（１次）",EN$17&lt;DATE(2023,5,8)),0,
IF(EN$17="",0,基礎情報!W54))</f>
        <v>0</v>
      </c>
      <c r="EO21" s="624">
        <f xml:space="preserve">
IF(AND(表紙!$X$2="実績報告（１次）",EO$17&lt;DATE(2023,5,8)),0,
IF(EO$17="",0,基礎情報!X54))</f>
        <v>0</v>
      </c>
      <c r="EP21" s="624">
        <f xml:space="preserve">
IF(AND(表紙!$X$2="実績報告（１次）",EP$17&lt;DATE(2023,5,8)),0,
IF(EP$17="",0,基礎情報!Y54))</f>
        <v>0</v>
      </c>
      <c r="EQ21" s="624">
        <f xml:space="preserve">
IF(AND(表紙!$X$2="実績報告（１次）",EQ$17&lt;DATE(2023,5,8)),0,
IF(EQ$17="",0,基礎情報!Z54))</f>
        <v>0</v>
      </c>
      <c r="ER21" s="624">
        <f xml:space="preserve">
IF(AND(表紙!$X$2="実績報告（１次）",ER$17&lt;DATE(2023,5,8)),0,
IF(ER$17="",0,基礎情報!AA54))</f>
        <v>0</v>
      </c>
      <c r="ES21" s="624">
        <f xml:space="preserve">
IF(AND(表紙!$X$2="実績報告（１次）",ES$17&lt;DATE(2023,5,8)),0,
IF(ES$17="",0,基礎情報!AB54))</f>
        <v>0</v>
      </c>
      <c r="ET21" s="624">
        <f xml:space="preserve">
IF(AND(表紙!$X$2="実績報告（１次）",ET$17&lt;DATE(2023,5,8)),0,
IF(ET$17="",0,基礎情報!AC54))</f>
        <v>0</v>
      </c>
      <c r="EU21" s="624">
        <f xml:space="preserve">
IF(AND(表紙!$X$2="実績報告（１次）",EU$17&lt;DATE(2023,5,8)),0,
IF(EU$17="",0,基礎情報!AD54))</f>
        <v>0</v>
      </c>
      <c r="EV21" s="624">
        <f xml:space="preserve">
IF(AND(表紙!$X$2="実績報告（１次）",EV$17&lt;DATE(2023,5,8)),0,
IF(EV$17="",0,基礎情報!AE54))</f>
        <v>0</v>
      </c>
      <c r="EW21" s="624">
        <f xml:space="preserve">
IF(AND(表紙!$X$2="実績報告（１次）",EW$17&lt;DATE(2023,5,8)),0,
IF(EW$17="",0,基礎情報!AF54))</f>
        <v>0</v>
      </c>
      <c r="EX21" s="624">
        <f xml:space="preserve">
IF(AND(表紙!$X$2="実績報告（１次）",EX$17&lt;DATE(2023,5,8)),0,
IF(EX$17="",0,基礎情報!AG54))</f>
        <v>0</v>
      </c>
      <c r="EY21" s="624">
        <f xml:space="preserve">
IF(AND(表紙!$X$2="実績報告（１次）",EY$17&lt;DATE(2023,5,8)),0,
IF(EY$17="",0,基礎情報!AH54))</f>
        <v>0</v>
      </c>
      <c r="EZ21" s="624">
        <f xml:space="preserve">
IF(AND(表紙!$X$2="実績報告（１次）",EZ$17&lt;DATE(2023,5,8)),0,
IF(EZ$17="",0,基礎情報!AI54))</f>
        <v>0</v>
      </c>
      <c r="FA21" s="624">
        <f xml:space="preserve">
IF(AND(表紙!$X$2="実績報告（１次）",FA$17&lt;DATE(2023,5,8)),0,
IF(FA$17="",0,基礎情報!AJ54))</f>
        <v>0</v>
      </c>
      <c r="FB21" s="624">
        <f xml:space="preserve">
IF(AND(表紙!$X$2="実績報告（１次）",FB$17&lt;DATE(2023,5,8)),0,
IF(FB$17="",0,基礎情報!AK54))</f>
        <v>0</v>
      </c>
      <c r="FC21" s="624">
        <f xml:space="preserve">
IF(AND(表紙!$X$2="実績報告（１次）",FC$17&lt;DATE(2023,5,8)),0,
IF(FC$17="",0,基礎情報!AL54))</f>
        <v>0</v>
      </c>
      <c r="FD21" s="624">
        <f xml:space="preserve">
IF(AND(表紙!$X$2="実績報告（１次）",FD$17&lt;DATE(2023,5,8)),0,
IF(FD$17="",0,基礎情報!AM54))</f>
        <v>0</v>
      </c>
      <c r="FE21" s="624">
        <f xml:space="preserve">
IF(AND(表紙!$X$2="実績報告（１次）",FE$17&lt;DATE(2023,5,8)),0,
IF(FE$17="",0,基礎情報!AN54))</f>
        <v>0</v>
      </c>
      <c r="FF21" s="624">
        <f xml:space="preserve">
IF(AND(表紙!$X$2="実績報告（１次）",FF$17&lt;DATE(2023,5,8)),0,
IF(FF$17="",0,基礎情報!J61))</f>
        <v>0</v>
      </c>
      <c r="FG21" s="624">
        <f xml:space="preserve">
IF(AND(表紙!$X$2="実績報告（１次）",FG$17&lt;DATE(2023,5,8)),0,
IF(FG$17="",0,基礎情報!K61))</f>
        <v>0</v>
      </c>
      <c r="FH21" s="624">
        <f xml:space="preserve">
IF(AND(表紙!$X$2="実績報告（１次）",FH$17&lt;DATE(2023,5,8)),0,
IF(FH$17="",0,基礎情報!L61))</f>
        <v>0</v>
      </c>
      <c r="FI21" s="624">
        <f xml:space="preserve">
IF(AND(表紙!$X$2="実績報告（１次）",FI$17&lt;DATE(2023,5,8)),0,
IF(FI$17="",0,基礎情報!M61))</f>
        <v>0</v>
      </c>
      <c r="FJ21" s="624">
        <f xml:space="preserve">
IF(AND(表紙!$X$2="実績報告（１次）",FJ$17&lt;DATE(2023,5,8)),0,
IF(FJ$17="",0,基礎情報!N61))</f>
        <v>0</v>
      </c>
      <c r="FK21" s="624">
        <f xml:space="preserve">
IF(AND(表紙!$X$2="実績報告（１次）",FK$17&lt;DATE(2023,5,8)),0,
IF(FK$17="",0,基礎情報!O61))</f>
        <v>0</v>
      </c>
      <c r="FL21" s="624">
        <f xml:space="preserve">
IF(AND(表紙!$X$2="実績報告（１次）",FL$17&lt;DATE(2023,5,8)),0,
IF(FL$17="",0,基礎情報!P61))</f>
        <v>0</v>
      </c>
      <c r="FM21" s="624">
        <f xml:space="preserve">
IF(AND(表紙!$X$2="実績報告（１次）",FM$17&lt;DATE(2023,5,8)),0,
IF(FM$17="",0,基礎情報!Q61))</f>
        <v>0</v>
      </c>
      <c r="FN21" s="624">
        <f xml:space="preserve">
IF(AND(表紙!$X$2="実績報告（１次）",FN$17&lt;DATE(2023,5,8)),0,
IF(FN$17="",0,基礎情報!R61))</f>
        <v>0</v>
      </c>
      <c r="FO21" s="624">
        <f xml:space="preserve">
IF(AND(表紙!$X$2="実績報告（１次）",FO$17&lt;DATE(2023,5,8)),0,
IF(FO$17="",0,基礎情報!S61))</f>
        <v>0</v>
      </c>
      <c r="FP21" s="624">
        <f xml:space="preserve">
IF(AND(表紙!$X$2="実績報告（１次）",FP$17&lt;DATE(2023,5,8)),0,
IF(FP$17="",0,基礎情報!T61))</f>
        <v>0</v>
      </c>
      <c r="FQ21" s="624">
        <f xml:space="preserve">
IF(AND(表紙!$X$2="実績報告（１次）",FQ$17&lt;DATE(2023,5,8)),0,
IF(FQ$17="",0,基礎情報!U61))</f>
        <v>0</v>
      </c>
      <c r="FR21" s="624">
        <f xml:space="preserve">
IF(AND(表紙!$X$2="実績報告（１次）",FR$17&lt;DATE(2023,5,8)),0,
IF(FR$17="",0,基礎情報!V61))</f>
        <v>0</v>
      </c>
      <c r="FS21" s="624">
        <f xml:space="preserve">
IF(AND(表紙!$X$2="実績報告（１次）",FS$17&lt;DATE(2023,5,8)),0,
IF(FS$17="",0,基礎情報!W61))</f>
        <v>0</v>
      </c>
      <c r="FT21" s="624">
        <f xml:space="preserve">
IF(AND(表紙!$X$2="実績報告（１次）",FT$17&lt;DATE(2023,5,8)),0,
IF(FT$17="",0,基礎情報!X61))</f>
        <v>0</v>
      </c>
      <c r="FU21" s="624">
        <f xml:space="preserve">
IF(AND(表紙!$X$2="実績報告（１次）",FU$17&lt;DATE(2023,5,8)),0,
IF(FU$17="",0,基礎情報!Y61))</f>
        <v>0</v>
      </c>
      <c r="FV21" s="624">
        <f xml:space="preserve">
IF(AND(表紙!$X$2="実績報告（１次）",FV$17&lt;DATE(2023,5,8)),0,
IF(FV$17="",0,基礎情報!Z61))</f>
        <v>0</v>
      </c>
      <c r="FW21" s="624">
        <f xml:space="preserve">
IF(AND(表紙!$X$2="実績報告（１次）",FW$17&lt;DATE(2023,5,8)),0,
IF(FW$17="",0,基礎情報!AA61))</f>
        <v>0</v>
      </c>
      <c r="FX21" s="624">
        <f xml:space="preserve">
IF(AND(表紙!$X$2="実績報告（１次）",FX$17&lt;DATE(2023,5,8)),0,
IF(FX$17="",0,基礎情報!AB61))</f>
        <v>0</v>
      </c>
      <c r="FY21" s="624">
        <f xml:space="preserve">
IF(AND(表紙!$X$2="実績報告（１次）",FY$17&lt;DATE(2023,5,8)),0,
IF(FY$17="",0,基礎情報!AC61))</f>
        <v>0</v>
      </c>
      <c r="FZ21" s="624">
        <f xml:space="preserve">
IF(AND(表紙!$X$2="実績報告（１次）",FZ$17&lt;DATE(2023,5,8)),0,
IF(FZ$17="",0,基礎情報!AD61))</f>
        <v>0</v>
      </c>
      <c r="GA21" s="624">
        <f xml:space="preserve">
IF(AND(表紙!$X$2="実績報告（１次）",GA$17&lt;DATE(2023,5,8)),0,
IF(GA$17="",0,基礎情報!AE61))</f>
        <v>0</v>
      </c>
      <c r="GB21" s="624">
        <f xml:space="preserve">
IF(AND(表紙!$X$2="実績報告（１次）",GB$17&lt;DATE(2023,5,8)),0,
IF(GB$17="",0,基礎情報!AF61))</f>
        <v>0</v>
      </c>
      <c r="GC21" s="624">
        <f xml:space="preserve">
IF(AND(表紙!$X$2="実績報告（１次）",GC$17&lt;DATE(2023,5,8)),0,
IF(GC$17="",0,基礎情報!AG61))</f>
        <v>0</v>
      </c>
      <c r="GD21" s="624">
        <f xml:space="preserve">
IF(AND(表紙!$X$2="実績報告（１次）",GD$17&lt;DATE(2023,5,8)),0,
IF(GD$17="",0,基礎情報!AH61))</f>
        <v>0</v>
      </c>
      <c r="GE21" s="624">
        <f xml:space="preserve">
IF(AND(表紙!$X$2="実績報告（１次）",GE$17&lt;DATE(2023,5,8)),0,
IF(GE$17="",0,基礎情報!AI61))</f>
        <v>0</v>
      </c>
      <c r="GF21" s="624">
        <f xml:space="preserve">
IF(AND(表紙!$X$2="実績報告（１次）",GF$17&lt;DATE(2023,5,8)),0,
IF(GF$17="",0,基礎情報!AJ61))</f>
        <v>0</v>
      </c>
      <c r="GG21" s="624">
        <f xml:space="preserve">
IF(AND(表紙!$X$2="実績報告（１次）",GG$17&lt;DATE(2023,5,8)),0,
IF(GG$17="",0,基礎情報!AK61))</f>
        <v>0</v>
      </c>
      <c r="GH21" s="624">
        <f xml:space="preserve">
IF(AND(表紙!$X$2="実績報告（１次）",GH$17&lt;DATE(2023,5,8)),0,
IF(GH$17="",0,基礎情報!AL61))</f>
        <v>0</v>
      </c>
      <c r="GI21" s="624">
        <f xml:space="preserve">
IF(AND(表紙!$X$2="実績報告（１次）",GI$17&lt;DATE(2023,5,8)),0,
IF(GI$17="",0,基礎情報!AM61))</f>
        <v>0</v>
      </c>
      <c r="GJ21" s="624">
        <f xml:space="preserve">
IF(AND(表紙!$X$2="実績報告（１次）",GJ$17&lt;DATE(2023,5,8)),0,
IF(GJ$17="",0,基礎情報!AN61))</f>
        <v>0</v>
      </c>
    </row>
    <row r="22" spans="2:192" s="632" customFormat="1">
      <c r="B22" s="633"/>
      <c r="C22" s="625" t="s">
        <v>1212</v>
      </c>
      <c r="D22" s="701" t="s">
        <v>1423</v>
      </c>
      <c r="E22" s="706"/>
      <c r="F22" s="653"/>
      <c r="G22" s="762">
        <f xml:space="preserve">
MIN(G23,
IF((VLOOKUP($C22,$C$3:$D$15,2,FALSE)*G$20-G24)&lt;0,0,VLOOKUP($C22,$C$3:$D$15,2,FALSE)*G$20-G24))</f>
        <v>0</v>
      </c>
      <c r="H22" s="762">
        <f xml:space="preserve">
IF(G24&gt;=VLOOKUP($C22,$C$3:$D$15,2,FALSE)*H$20,0,
IF(AND(G24&lt;VLOOKUP($C22,$C$3:$D$15,2,FALSE)*H$20,H23&lt;=VLOOKUP($C22,$C$3:$D$15,2,FALSE)*H$20),IF(H23-G24&lt;0,0,H23-G24),
IF(AND(G24&lt;VLOOKUP($C22,$C$3:$D$15,2,FALSE)*H$20,H23&gt;VLOOKUP($C22,$C$3:$D$15,2,FALSE)*H$20),VLOOKUP($C22,$C$3:$D$15,2,FALSE)*H$20-G24)))</f>
        <v>0</v>
      </c>
      <c r="I22" s="762">
        <f t="shared" ref="I22:R22" si="122" xml:space="preserve">
IF(H24&gt;=VLOOKUP($C22,$C$3:$D$15,2,FALSE)*I$20,0,
IF(AND(H24&lt;VLOOKUP($C22,$C$3:$D$15,2,FALSE)*I$20,I23&lt;=VLOOKUP($C22,$C$3:$D$15,2,FALSE)*I$20),IF(I23-H24&lt;0,0,I23-H24),
IF(AND(H24&lt;VLOOKUP($C22,$C$3:$D$15,2,FALSE)*I$20,I23&gt;VLOOKUP($C22,$C$3:$D$15,2,FALSE)*I$20),VLOOKUP($C22,$C$3:$D$15,2,FALSE)*I$20-H24)))</f>
        <v>0</v>
      </c>
      <c r="J22" s="762">
        <f t="shared" si="122"/>
        <v>0</v>
      </c>
      <c r="K22" s="762">
        <f t="shared" si="122"/>
        <v>0</v>
      </c>
      <c r="L22" s="762">
        <f t="shared" si="122"/>
        <v>0</v>
      </c>
      <c r="M22" s="762">
        <f t="shared" si="122"/>
        <v>0</v>
      </c>
      <c r="N22" s="762">
        <f t="shared" si="122"/>
        <v>0</v>
      </c>
      <c r="O22" s="762">
        <f t="shared" si="122"/>
        <v>0</v>
      </c>
      <c r="P22" s="762">
        <f t="shared" si="122"/>
        <v>0</v>
      </c>
      <c r="Q22" s="762">
        <f t="shared" si="122"/>
        <v>0</v>
      </c>
      <c r="R22" s="762">
        <f t="shared" si="122"/>
        <v>0</v>
      </c>
      <c r="S22" s="762">
        <f t="shared" ref="S22" si="123" xml:space="preserve">
IF(R24&gt;=VLOOKUP($C22,$C$3:$D$15,2,FALSE)*S$20,0,
IF(AND(R24&lt;VLOOKUP($C22,$C$3:$D$15,2,FALSE)*S$20,S23&lt;=VLOOKUP($C22,$C$3:$D$15,2,FALSE)*S$20),IF(S23-R24&lt;0,0,S23-R24),
IF(AND(R24&lt;VLOOKUP($C22,$C$3:$D$15,2,FALSE)*S$20,S23&gt;VLOOKUP($C22,$C$3:$D$15,2,FALSE)*S$20),VLOOKUP($C22,$C$3:$D$15,2,FALSE)*S$20-R24)))</f>
        <v>0</v>
      </c>
      <c r="T22" s="762">
        <f t="shared" ref="T22" si="124" xml:space="preserve">
IF(S24&gt;=VLOOKUP($C22,$C$3:$D$15,2,FALSE)*T$20,0,
IF(AND(S24&lt;VLOOKUP($C22,$C$3:$D$15,2,FALSE)*T$20,T23&lt;=VLOOKUP($C22,$C$3:$D$15,2,FALSE)*T$20),IF(T23-S24&lt;0,0,T23-S24),
IF(AND(S24&lt;VLOOKUP($C22,$C$3:$D$15,2,FALSE)*T$20,T23&gt;VLOOKUP($C22,$C$3:$D$15,2,FALSE)*T$20),VLOOKUP($C22,$C$3:$D$15,2,FALSE)*T$20-S24)))</f>
        <v>0</v>
      </c>
      <c r="U22" s="762">
        <f t="shared" ref="U22" si="125" xml:space="preserve">
IF(T24&gt;=VLOOKUP($C22,$C$3:$D$15,2,FALSE)*U$20,0,
IF(AND(T24&lt;VLOOKUP($C22,$C$3:$D$15,2,FALSE)*U$20,U23&lt;=VLOOKUP($C22,$C$3:$D$15,2,FALSE)*U$20),IF(U23-T24&lt;0,0,U23-T24),
IF(AND(T24&lt;VLOOKUP($C22,$C$3:$D$15,2,FALSE)*U$20,U23&gt;VLOOKUP($C22,$C$3:$D$15,2,FALSE)*U$20),VLOOKUP($C22,$C$3:$D$15,2,FALSE)*U$20-T24)))</f>
        <v>0</v>
      </c>
      <c r="V22" s="762">
        <f t="shared" ref="V22" si="126" xml:space="preserve">
IF(U24&gt;=VLOOKUP($C22,$C$3:$D$15,2,FALSE)*V$20,0,
IF(AND(U24&lt;VLOOKUP($C22,$C$3:$D$15,2,FALSE)*V$20,V23&lt;=VLOOKUP($C22,$C$3:$D$15,2,FALSE)*V$20),IF(V23-U24&lt;0,0,V23-U24),
IF(AND(U24&lt;VLOOKUP($C22,$C$3:$D$15,2,FALSE)*V$20,V23&gt;VLOOKUP($C22,$C$3:$D$15,2,FALSE)*V$20),VLOOKUP($C22,$C$3:$D$15,2,FALSE)*V$20-U24)))</f>
        <v>0</v>
      </c>
      <c r="W22" s="762">
        <f t="shared" ref="W22" si="127" xml:space="preserve">
IF(V24&gt;=VLOOKUP($C22,$C$3:$D$15,2,FALSE)*W$20,0,
IF(AND(V24&lt;VLOOKUP($C22,$C$3:$D$15,2,FALSE)*W$20,W23&lt;=VLOOKUP($C22,$C$3:$D$15,2,FALSE)*W$20),IF(W23-V24&lt;0,0,W23-V24),
IF(AND(V24&lt;VLOOKUP($C22,$C$3:$D$15,2,FALSE)*W$20,W23&gt;VLOOKUP($C22,$C$3:$D$15,2,FALSE)*W$20),VLOOKUP($C22,$C$3:$D$15,2,FALSE)*W$20-V24)))</f>
        <v>0</v>
      </c>
      <c r="X22" s="762">
        <f t="shared" ref="X22" si="128" xml:space="preserve">
IF(W24&gt;=VLOOKUP($C22,$C$3:$D$15,2,FALSE)*X$20,0,
IF(AND(W24&lt;VLOOKUP($C22,$C$3:$D$15,2,FALSE)*X$20,X23&lt;=VLOOKUP($C22,$C$3:$D$15,2,FALSE)*X$20),IF(X23-W24&lt;0,0,X23-W24),
IF(AND(W24&lt;VLOOKUP($C22,$C$3:$D$15,2,FALSE)*X$20,X23&gt;VLOOKUP($C22,$C$3:$D$15,2,FALSE)*X$20),VLOOKUP($C22,$C$3:$D$15,2,FALSE)*X$20-W24)))</f>
        <v>0</v>
      </c>
      <c r="Y22" s="762">
        <f t="shared" ref="Y22" si="129" xml:space="preserve">
IF(X24&gt;=VLOOKUP($C22,$C$3:$D$15,2,FALSE)*Y$20,0,
IF(AND(X24&lt;VLOOKUP($C22,$C$3:$D$15,2,FALSE)*Y$20,Y23&lt;=VLOOKUP($C22,$C$3:$D$15,2,FALSE)*Y$20),IF(Y23-X24&lt;0,0,Y23-X24),
IF(AND(X24&lt;VLOOKUP($C22,$C$3:$D$15,2,FALSE)*Y$20,Y23&gt;VLOOKUP($C22,$C$3:$D$15,2,FALSE)*Y$20),VLOOKUP($C22,$C$3:$D$15,2,FALSE)*Y$20-X24)))</f>
        <v>0</v>
      </c>
      <c r="Z22" s="762">
        <f t="shared" ref="Z22" si="130" xml:space="preserve">
IF(Y24&gt;=VLOOKUP($C22,$C$3:$D$15,2,FALSE)*Z$20,0,
IF(AND(Y24&lt;VLOOKUP($C22,$C$3:$D$15,2,FALSE)*Z$20,Z23&lt;=VLOOKUP($C22,$C$3:$D$15,2,FALSE)*Z$20),IF(Z23-Y24&lt;0,0,Z23-Y24),
IF(AND(Y24&lt;VLOOKUP($C22,$C$3:$D$15,2,FALSE)*Z$20,Z23&gt;VLOOKUP($C22,$C$3:$D$15,2,FALSE)*Z$20),VLOOKUP($C22,$C$3:$D$15,2,FALSE)*Z$20-Y24)))</f>
        <v>0</v>
      </c>
      <c r="AA22" s="762">
        <f t="shared" ref="AA22" si="131" xml:space="preserve">
IF(Z24&gt;=VLOOKUP($C22,$C$3:$D$15,2,FALSE)*AA$20,0,
IF(AND(Z24&lt;VLOOKUP($C22,$C$3:$D$15,2,FALSE)*AA$20,AA23&lt;=VLOOKUP($C22,$C$3:$D$15,2,FALSE)*AA$20),IF(AA23-Z24&lt;0,0,AA23-Z24),
IF(AND(Z24&lt;VLOOKUP($C22,$C$3:$D$15,2,FALSE)*AA$20,AA23&gt;VLOOKUP($C22,$C$3:$D$15,2,FALSE)*AA$20),VLOOKUP($C22,$C$3:$D$15,2,FALSE)*AA$20-Z24)))</f>
        <v>0</v>
      </c>
      <c r="AB22" s="762">
        <f t="shared" ref="AB22" si="132" xml:space="preserve">
IF(AA24&gt;=VLOOKUP($C22,$C$3:$D$15,2,FALSE)*AB$20,0,
IF(AND(AA24&lt;VLOOKUP($C22,$C$3:$D$15,2,FALSE)*AB$20,AB23&lt;=VLOOKUP($C22,$C$3:$D$15,2,FALSE)*AB$20),IF(AB23-AA24&lt;0,0,AB23-AA24),
IF(AND(AA24&lt;VLOOKUP($C22,$C$3:$D$15,2,FALSE)*AB$20,AB23&gt;VLOOKUP($C22,$C$3:$D$15,2,FALSE)*AB$20),VLOOKUP($C22,$C$3:$D$15,2,FALSE)*AB$20-AA24)))</f>
        <v>0</v>
      </c>
      <c r="AC22" s="762">
        <f t="shared" ref="AC22" si="133" xml:space="preserve">
IF(AB24&gt;=VLOOKUP($C22,$C$3:$D$15,2,FALSE)*AC$20,0,
IF(AND(AB24&lt;VLOOKUP($C22,$C$3:$D$15,2,FALSE)*AC$20,AC23&lt;=VLOOKUP($C22,$C$3:$D$15,2,FALSE)*AC$20),IF(AC23-AB24&lt;0,0,AC23-AB24),
IF(AND(AB24&lt;VLOOKUP($C22,$C$3:$D$15,2,FALSE)*AC$20,AC23&gt;VLOOKUP($C22,$C$3:$D$15,2,FALSE)*AC$20),VLOOKUP($C22,$C$3:$D$15,2,FALSE)*AC$20-AB24)))</f>
        <v>0</v>
      </c>
      <c r="AD22" s="762">
        <f t="shared" ref="AD22" si="134" xml:space="preserve">
IF(AC24&gt;=VLOOKUP($C22,$C$3:$D$15,2,FALSE)*AD$20,0,
IF(AND(AC24&lt;VLOOKUP($C22,$C$3:$D$15,2,FALSE)*AD$20,AD23&lt;=VLOOKUP($C22,$C$3:$D$15,2,FALSE)*AD$20),IF(AD23-AC24&lt;0,0,AD23-AC24),
IF(AND(AC24&lt;VLOOKUP($C22,$C$3:$D$15,2,FALSE)*AD$20,AD23&gt;VLOOKUP($C22,$C$3:$D$15,2,FALSE)*AD$20),VLOOKUP($C22,$C$3:$D$15,2,FALSE)*AD$20-AC24)))</f>
        <v>0</v>
      </c>
      <c r="AE22" s="762">
        <f t="shared" ref="AE22" si="135" xml:space="preserve">
IF(AD24&gt;=VLOOKUP($C22,$C$3:$D$15,2,FALSE)*AE$20,0,
IF(AND(AD24&lt;VLOOKUP($C22,$C$3:$D$15,2,FALSE)*AE$20,AE23&lt;=VLOOKUP($C22,$C$3:$D$15,2,FALSE)*AE$20),IF(AE23-AD24&lt;0,0,AE23-AD24),
IF(AND(AD24&lt;VLOOKUP($C22,$C$3:$D$15,2,FALSE)*AE$20,AE23&gt;VLOOKUP($C22,$C$3:$D$15,2,FALSE)*AE$20),VLOOKUP($C22,$C$3:$D$15,2,FALSE)*AE$20-AD24)))</f>
        <v>0</v>
      </c>
      <c r="AF22" s="762">
        <f t="shared" ref="AF22" si="136" xml:space="preserve">
IF(AE24&gt;=VLOOKUP($C22,$C$3:$D$15,2,FALSE)*AF$20,0,
IF(AND(AE24&lt;VLOOKUP($C22,$C$3:$D$15,2,FALSE)*AF$20,AF23&lt;=VLOOKUP($C22,$C$3:$D$15,2,FALSE)*AF$20),IF(AF23-AE24&lt;0,0,AF23-AE24),
IF(AND(AE24&lt;VLOOKUP($C22,$C$3:$D$15,2,FALSE)*AF$20,AF23&gt;VLOOKUP($C22,$C$3:$D$15,2,FALSE)*AF$20),VLOOKUP($C22,$C$3:$D$15,2,FALSE)*AF$20-AE24)))</f>
        <v>0</v>
      </c>
      <c r="AG22" s="762">
        <f t="shared" ref="AG22" si="137" xml:space="preserve">
IF(AF24&gt;=VLOOKUP($C22,$C$3:$D$15,2,FALSE)*AG$20,0,
IF(AND(AF24&lt;VLOOKUP($C22,$C$3:$D$15,2,FALSE)*AG$20,AG23&lt;=VLOOKUP($C22,$C$3:$D$15,2,FALSE)*AG$20),IF(AG23-AF24&lt;0,0,AG23-AF24),
IF(AND(AF24&lt;VLOOKUP($C22,$C$3:$D$15,2,FALSE)*AG$20,AG23&gt;VLOOKUP($C22,$C$3:$D$15,2,FALSE)*AG$20),VLOOKUP($C22,$C$3:$D$15,2,FALSE)*AG$20-AF24)))</f>
        <v>0</v>
      </c>
      <c r="AH22" s="762">
        <f t="shared" ref="AH22" si="138" xml:space="preserve">
IF(AG24&gt;=VLOOKUP($C22,$C$3:$D$15,2,FALSE)*AH$20,0,
IF(AND(AG24&lt;VLOOKUP($C22,$C$3:$D$15,2,FALSE)*AH$20,AH23&lt;=VLOOKUP($C22,$C$3:$D$15,2,FALSE)*AH$20),IF(AH23-AG24&lt;0,0,AH23-AG24),
IF(AND(AG24&lt;VLOOKUP($C22,$C$3:$D$15,2,FALSE)*AH$20,AH23&gt;VLOOKUP($C22,$C$3:$D$15,2,FALSE)*AH$20),VLOOKUP($C22,$C$3:$D$15,2,FALSE)*AH$20-AG24)))</f>
        <v>0</v>
      </c>
      <c r="AI22" s="762">
        <f t="shared" ref="AI22" si="139" xml:space="preserve">
IF(AH24&gt;=VLOOKUP($C22,$C$3:$D$15,2,FALSE)*AI$20,0,
IF(AND(AH24&lt;VLOOKUP($C22,$C$3:$D$15,2,FALSE)*AI$20,AI23&lt;=VLOOKUP($C22,$C$3:$D$15,2,FALSE)*AI$20),IF(AI23-AH24&lt;0,0,AI23-AH24),
IF(AND(AH24&lt;VLOOKUP($C22,$C$3:$D$15,2,FALSE)*AI$20,AI23&gt;VLOOKUP($C22,$C$3:$D$15,2,FALSE)*AI$20),VLOOKUP($C22,$C$3:$D$15,2,FALSE)*AI$20-AH24)))</f>
        <v>0</v>
      </c>
      <c r="AJ22" s="762">
        <f t="shared" ref="AJ22" si="140" xml:space="preserve">
IF(AI24&gt;=VLOOKUP($C22,$C$3:$D$15,2,FALSE)*AJ$20,0,
IF(AND(AI24&lt;VLOOKUP($C22,$C$3:$D$15,2,FALSE)*AJ$20,AJ23&lt;=VLOOKUP($C22,$C$3:$D$15,2,FALSE)*AJ$20),IF(AJ23-AI24&lt;0,0,AJ23-AI24),
IF(AND(AI24&lt;VLOOKUP($C22,$C$3:$D$15,2,FALSE)*AJ$20,AJ23&gt;VLOOKUP($C22,$C$3:$D$15,2,FALSE)*AJ$20),VLOOKUP($C22,$C$3:$D$15,2,FALSE)*AJ$20-AI24)))</f>
        <v>0</v>
      </c>
      <c r="AK22" s="762">
        <f t="shared" ref="AK22" si="141" xml:space="preserve">
IF(AJ24&gt;=VLOOKUP($C22,$C$3:$D$15,2,FALSE)*AK$20,0,
IF(AND(AJ24&lt;VLOOKUP($C22,$C$3:$D$15,2,FALSE)*AK$20,AK23&lt;=VLOOKUP($C22,$C$3:$D$15,2,FALSE)*AK$20),IF(AK23-AJ24&lt;0,0,AK23-AJ24),
IF(AND(AJ24&lt;VLOOKUP($C22,$C$3:$D$15,2,FALSE)*AK$20,AK23&gt;VLOOKUP($C22,$C$3:$D$15,2,FALSE)*AK$20),VLOOKUP($C22,$C$3:$D$15,2,FALSE)*AK$20-AJ24)))</f>
        <v>0</v>
      </c>
      <c r="AL22" s="762">
        <f t="shared" ref="AL22" si="142" xml:space="preserve">
IF(AK24&gt;=VLOOKUP($C22,$C$3:$D$15,2,FALSE)*AL$20,0,
IF(AND(AK24&lt;VLOOKUP($C22,$C$3:$D$15,2,FALSE)*AL$20,AL23&lt;=VLOOKUP($C22,$C$3:$D$15,2,FALSE)*AL$20),IF(AL23-AK24&lt;0,0,AL23-AK24),
IF(AND(AK24&lt;VLOOKUP($C22,$C$3:$D$15,2,FALSE)*AL$20,AL23&gt;VLOOKUP($C22,$C$3:$D$15,2,FALSE)*AL$20),VLOOKUP($C22,$C$3:$D$15,2,FALSE)*AL$20-AK24)))</f>
        <v>0</v>
      </c>
      <c r="AM22" s="762">
        <f t="shared" ref="AM22" si="143" xml:space="preserve">
IF(AL24&gt;=VLOOKUP($C22,$C$3:$D$15,2,FALSE)*AM$20,0,
IF(AND(AL24&lt;VLOOKUP($C22,$C$3:$D$15,2,FALSE)*AM$20,AM23&lt;=VLOOKUP($C22,$C$3:$D$15,2,FALSE)*AM$20),IF(AM23-AL24&lt;0,0,AM23-AL24),
IF(AND(AL24&lt;VLOOKUP($C22,$C$3:$D$15,2,FALSE)*AM$20,AM23&gt;VLOOKUP($C22,$C$3:$D$15,2,FALSE)*AM$20),VLOOKUP($C22,$C$3:$D$15,2,FALSE)*AM$20-AL24)))</f>
        <v>0</v>
      </c>
      <c r="AN22" s="762">
        <f t="shared" ref="AN22" si="144" xml:space="preserve">
IF(AM24&gt;=VLOOKUP($C22,$C$3:$D$15,2,FALSE)*AN$20,0,
IF(AND(AM24&lt;VLOOKUP($C22,$C$3:$D$15,2,FALSE)*AN$20,AN23&lt;=VLOOKUP($C22,$C$3:$D$15,2,FALSE)*AN$20),IF(AN23-AM24&lt;0,0,AN23-AM24),
IF(AND(AM24&lt;VLOOKUP($C22,$C$3:$D$15,2,FALSE)*AN$20,AN23&gt;VLOOKUP($C22,$C$3:$D$15,2,FALSE)*AN$20),VLOOKUP($C22,$C$3:$D$15,2,FALSE)*AN$20-AM24)))</f>
        <v>0</v>
      </c>
      <c r="AO22" s="762">
        <f t="shared" ref="AO22" si="145" xml:space="preserve">
IF(AN24&gt;=VLOOKUP($C22,$C$3:$D$15,2,FALSE)*AO$20,0,
IF(AND(AN24&lt;VLOOKUP($C22,$C$3:$D$15,2,FALSE)*AO$20,AO23&lt;=VLOOKUP($C22,$C$3:$D$15,2,FALSE)*AO$20),IF(AO23-AN24&lt;0,0,AO23-AN24),
IF(AND(AN24&lt;VLOOKUP($C22,$C$3:$D$15,2,FALSE)*AO$20,AO23&gt;VLOOKUP($C22,$C$3:$D$15,2,FALSE)*AO$20),VLOOKUP($C22,$C$3:$D$15,2,FALSE)*AO$20-AN24)))</f>
        <v>0</v>
      </c>
      <c r="AP22" s="762">
        <f t="shared" ref="AP22" si="146" xml:space="preserve">
IF(AO24&gt;=VLOOKUP($C22,$C$3:$D$15,2,FALSE)*AP$20,0,
IF(AND(AO24&lt;VLOOKUP($C22,$C$3:$D$15,2,FALSE)*AP$20,AP23&lt;=VLOOKUP($C22,$C$3:$D$15,2,FALSE)*AP$20),IF(AP23-AO24&lt;0,0,AP23-AO24),
IF(AND(AO24&lt;VLOOKUP($C22,$C$3:$D$15,2,FALSE)*AP$20,AP23&gt;VLOOKUP($C22,$C$3:$D$15,2,FALSE)*AP$20),VLOOKUP($C22,$C$3:$D$15,2,FALSE)*AP$20-AO24)))</f>
        <v>0</v>
      </c>
      <c r="AQ22" s="762">
        <f t="shared" ref="AQ22" si="147" xml:space="preserve">
IF(AP24&gt;=VLOOKUP($C22,$C$3:$D$15,2,FALSE)*AQ$20,0,
IF(AND(AP24&lt;VLOOKUP($C22,$C$3:$D$15,2,FALSE)*AQ$20,AQ23&lt;=VLOOKUP($C22,$C$3:$D$15,2,FALSE)*AQ$20),IF(AQ23-AP24&lt;0,0,AQ23-AP24),
IF(AND(AP24&lt;VLOOKUP($C22,$C$3:$D$15,2,FALSE)*AQ$20,AQ23&gt;VLOOKUP($C22,$C$3:$D$15,2,FALSE)*AQ$20),VLOOKUP($C22,$C$3:$D$15,2,FALSE)*AQ$20-AP24)))</f>
        <v>0</v>
      </c>
      <c r="AR22" s="762">
        <f t="shared" ref="AR22" si="148" xml:space="preserve">
IF(AQ24&gt;=VLOOKUP($C22,$C$3:$D$15,2,FALSE)*AR$20,0,
IF(AND(AQ24&lt;VLOOKUP($C22,$C$3:$D$15,2,FALSE)*AR$20,AR23&lt;=VLOOKUP($C22,$C$3:$D$15,2,FALSE)*AR$20),IF(AR23-AQ24&lt;0,0,AR23-AQ24),
IF(AND(AQ24&lt;VLOOKUP($C22,$C$3:$D$15,2,FALSE)*AR$20,AR23&gt;VLOOKUP($C22,$C$3:$D$15,2,FALSE)*AR$20),VLOOKUP($C22,$C$3:$D$15,2,FALSE)*AR$20-AQ24)))</f>
        <v>0</v>
      </c>
      <c r="AS22" s="762">
        <f t="shared" ref="AS22" si="149" xml:space="preserve">
IF(AR24&gt;=VLOOKUP($C22,$C$3:$D$15,2,FALSE)*AS$20,0,
IF(AND(AR24&lt;VLOOKUP($C22,$C$3:$D$15,2,FALSE)*AS$20,AS23&lt;=VLOOKUP($C22,$C$3:$D$15,2,FALSE)*AS$20),IF(AS23-AR24&lt;0,0,AS23-AR24),
IF(AND(AR24&lt;VLOOKUP($C22,$C$3:$D$15,2,FALSE)*AS$20,AS23&gt;VLOOKUP($C22,$C$3:$D$15,2,FALSE)*AS$20),VLOOKUP($C22,$C$3:$D$15,2,FALSE)*AS$20-AR24)))</f>
        <v>0</v>
      </c>
      <c r="AT22" s="762">
        <f t="shared" ref="AT22" si="150" xml:space="preserve">
IF(AS24&gt;=VLOOKUP($C22,$C$3:$D$15,2,FALSE)*AT$20,0,
IF(AND(AS24&lt;VLOOKUP($C22,$C$3:$D$15,2,FALSE)*AT$20,AT23&lt;=VLOOKUP($C22,$C$3:$D$15,2,FALSE)*AT$20),IF(AT23-AS24&lt;0,0,AT23-AS24),
IF(AND(AS24&lt;VLOOKUP($C22,$C$3:$D$15,2,FALSE)*AT$20,AT23&gt;VLOOKUP($C22,$C$3:$D$15,2,FALSE)*AT$20),VLOOKUP($C22,$C$3:$D$15,2,FALSE)*AT$20-AS24)))</f>
        <v>0</v>
      </c>
      <c r="AU22" s="762">
        <f t="shared" ref="AU22" si="151" xml:space="preserve">
IF(AT24&gt;=VLOOKUP($C22,$C$3:$D$15,2,FALSE)*AU$20,0,
IF(AND(AT24&lt;VLOOKUP($C22,$C$3:$D$15,2,FALSE)*AU$20,AU23&lt;=VLOOKUP($C22,$C$3:$D$15,2,FALSE)*AU$20),IF(AU23-AT24&lt;0,0,AU23-AT24),
IF(AND(AT24&lt;VLOOKUP($C22,$C$3:$D$15,2,FALSE)*AU$20,AU23&gt;VLOOKUP($C22,$C$3:$D$15,2,FALSE)*AU$20),VLOOKUP($C22,$C$3:$D$15,2,FALSE)*AU$20-AT24)))</f>
        <v>0</v>
      </c>
      <c r="AV22" s="762">
        <f t="shared" ref="AV22" si="152" xml:space="preserve">
IF(AU24&gt;=VLOOKUP($C22,$C$3:$D$15,2,FALSE)*AV$20,0,
IF(AND(AU24&lt;VLOOKUP($C22,$C$3:$D$15,2,FALSE)*AV$20,AV23&lt;=VLOOKUP($C22,$C$3:$D$15,2,FALSE)*AV$20),IF(AV23-AU24&lt;0,0,AV23-AU24),
IF(AND(AU24&lt;VLOOKUP($C22,$C$3:$D$15,2,FALSE)*AV$20,AV23&gt;VLOOKUP($C22,$C$3:$D$15,2,FALSE)*AV$20),VLOOKUP($C22,$C$3:$D$15,2,FALSE)*AV$20-AU24)))</f>
        <v>0</v>
      </c>
      <c r="AW22" s="762">
        <f t="shared" ref="AW22" si="153" xml:space="preserve">
IF(AV24&gt;=VLOOKUP($C22,$C$3:$D$15,2,FALSE)*AW$20,0,
IF(AND(AV24&lt;VLOOKUP($C22,$C$3:$D$15,2,FALSE)*AW$20,AW23&lt;=VLOOKUP($C22,$C$3:$D$15,2,FALSE)*AW$20),IF(AW23-AV24&lt;0,0,AW23-AV24),
IF(AND(AV24&lt;VLOOKUP($C22,$C$3:$D$15,2,FALSE)*AW$20,AW23&gt;VLOOKUP($C22,$C$3:$D$15,2,FALSE)*AW$20),VLOOKUP($C22,$C$3:$D$15,2,FALSE)*AW$20-AV24)))</f>
        <v>0</v>
      </c>
      <c r="AX22" s="762">
        <f t="shared" ref="AX22" si="154" xml:space="preserve">
IF(AW24&gt;=VLOOKUP($C22,$C$3:$D$15,2,FALSE)*AX$20,0,
IF(AND(AW24&lt;VLOOKUP($C22,$C$3:$D$15,2,FALSE)*AX$20,AX23&lt;=VLOOKUP($C22,$C$3:$D$15,2,FALSE)*AX$20),IF(AX23-AW24&lt;0,0,AX23-AW24),
IF(AND(AW24&lt;VLOOKUP($C22,$C$3:$D$15,2,FALSE)*AX$20,AX23&gt;VLOOKUP($C22,$C$3:$D$15,2,FALSE)*AX$20),VLOOKUP($C22,$C$3:$D$15,2,FALSE)*AX$20-AW24)))</f>
        <v>0</v>
      </c>
      <c r="AY22" s="762">
        <f t="shared" ref="AY22" si="155" xml:space="preserve">
IF(AX24&gt;=VLOOKUP($C22,$C$3:$D$15,2,FALSE)*AY$20,0,
IF(AND(AX24&lt;VLOOKUP($C22,$C$3:$D$15,2,FALSE)*AY$20,AY23&lt;=VLOOKUP($C22,$C$3:$D$15,2,FALSE)*AY$20),IF(AY23-AX24&lt;0,0,AY23-AX24),
IF(AND(AX24&lt;VLOOKUP($C22,$C$3:$D$15,2,FALSE)*AY$20,AY23&gt;VLOOKUP($C22,$C$3:$D$15,2,FALSE)*AY$20),VLOOKUP($C22,$C$3:$D$15,2,FALSE)*AY$20-AX24)))</f>
        <v>0</v>
      </c>
      <c r="AZ22" s="762">
        <f t="shared" ref="AZ22" si="156" xml:space="preserve">
IF(AY24&gt;=VLOOKUP($C22,$C$3:$D$15,2,FALSE)*AZ$20,0,
IF(AND(AY24&lt;VLOOKUP($C22,$C$3:$D$15,2,FALSE)*AZ$20,AZ23&lt;=VLOOKUP($C22,$C$3:$D$15,2,FALSE)*AZ$20),IF(AZ23-AY24&lt;0,0,AZ23-AY24),
IF(AND(AY24&lt;VLOOKUP($C22,$C$3:$D$15,2,FALSE)*AZ$20,AZ23&gt;VLOOKUP($C22,$C$3:$D$15,2,FALSE)*AZ$20),VLOOKUP($C22,$C$3:$D$15,2,FALSE)*AZ$20-AY24)))</f>
        <v>0</v>
      </c>
      <c r="BA22" s="762">
        <f t="shared" ref="BA22" si="157" xml:space="preserve">
IF(AZ24&gt;=VLOOKUP($C22,$C$3:$D$15,2,FALSE)*BA$20,0,
IF(AND(AZ24&lt;VLOOKUP($C22,$C$3:$D$15,2,FALSE)*BA$20,BA23&lt;=VLOOKUP($C22,$C$3:$D$15,2,FALSE)*BA$20),IF(BA23-AZ24&lt;0,0,BA23-AZ24),
IF(AND(AZ24&lt;VLOOKUP($C22,$C$3:$D$15,2,FALSE)*BA$20,BA23&gt;VLOOKUP($C22,$C$3:$D$15,2,FALSE)*BA$20),VLOOKUP($C22,$C$3:$D$15,2,FALSE)*BA$20-AZ24)))</f>
        <v>0</v>
      </c>
      <c r="BB22" s="762">
        <f t="shared" ref="BB22" si="158" xml:space="preserve">
IF(BA24&gt;=VLOOKUP($C22,$C$3:$D$15,2,FALSE)*BB$20,0,
IF(AND(BA24&lt;VLOOKUP($C22,$C$3:$D$15,2,FALSE)*BB$20,BB23&lt;=VLOOKUP($C22,$C$3:$D$15,2,FALSE)*BB$20),IF(BB23-BA24&lt;0,0,BB23-BA24),
IF(AND(BA24&lt;VLOOKUP($C22,$C$3:$D$15,2,FALSE)*BB$20,BB23&gt;VLOOKUP($C22,$C$3:$D$15,2,FALSE)*BB$20),VLOOKUP($C22,$C$3:$D$15,2,FALSE)*BB$20-BA24)))</f>
        <v>0</v>
      </c>
      <c r="BC22" s="762">
        <f t="shared" ref="BC22" si="159" xml:space="preserve">
IF(BB24&gt;=VLOOKUP($C22,$C$3:$D$15,2,FALSE)*BC$20,0,
IF(AND(BB24&lt;VLOOKUP($C22,$C$3:$D$15,2,FALSE)*BC$20,BC23&lt;=VLOOKUP($C22,$C$3:$D$15,2,FALSE)*BC$20),IF(BC23-BB24&lt;0,0,BC23-BB24),
IF(AND(BB24&lt;VLOOKUP($C22,$C$3:$D$15,2,FALSE)*BC$20,BC23&gt;VLOOKUP($C22,$C$3:$D$15,2,FALSE)*BC$20),VLOOKUP($C22,$C$3:$D$15,2,FALSE)*BC$20-BB24)))</f>
        <v>0</v>
      </c>
      <c r="BD22" s="762">
        <f t="shared" ref="BD22" si="160" xml:space="preserve">
IF(BC24&gt;=VLOOKUP($C22,$C$3:$D$15,2,FALSE)*BD$20,0,
IF(AND(BC24&lt;VLOOKUP($C22,$C$3:$D$15,2,FALSE)*BD$20,BD23&lt;=VLOOKUP($C22,$C$3:$D$15,2,FALSE)*BD$20),IF(BD23-BC24&lt;0,0,BD23-BC24),
IF(AND(BC24&lt;VLOOKUP($C22,$C$3:$D$15,2,FALSE)*BD$20,BD23&gt;VLOOKUP($C22,$C$3:$D$15,2,FALSE)*BD$20),VLOOKUP($C22,$C$3:$D$15,2,FALSE)*BD$20-BC24)))</f>
        <v>0</v>
      </c>
      <c r="BE22" s="762">
        <f t="shared" ref="BE22" si="161" xml:space="preserve">
IF(BD24&gt;=VLOOKUP($C22,$C$3:$D$15,2,FALSE)*BE$20,0,
IF(AND(BD24&lt;VLOOKUP($C22,$C$3:$D$15,2,FALSE)*BE$20,BE23&lt;=VLOOKUP($C22,$C$3:$D$15,2,FALSE)*BE$20),IF(BE23-BD24&lt;0,0,BE23-BD24),
IF(AND(BD24&lt;VLOOKUP($C22,$C$3:$D$15,2,FALSE)*BE$20,BE23&gt;VLOOKUP($C22,$C$3:$D$15,2,FALSE)*BE$20),VLOOKUP($C22,$C$3:$D$15,2,FALSE)*BE$20-BD24)))</f>
        <v>0</v>
      </c>
      <c r="BF22" s="762">
        <f t="shared" ref="BF22" si="162" xml:space="preserve">
IF(BE24&gt;=VLOOKUP($C22,$C$3:$D$15,2,FALSE)*BF$20,0,
IF(AND(BE24&lt;VLOOKUP($C22,$C$3:$D$15,2,FALSE)*BF$20,BF23&lt;=VLOOKUP($C22,$C$3:$D$15,2,FALSE)*BF$20),IF(BF23-BE24&lt;0,0,BF23-BE24),
IF(AND(BE24&lt;VLOOKUP($C22,$C$3:$D$15,2,FALSE)*BF$20,BF23&gt;VLOOKUP($C22,$C$3:$D$15,2,FALSE)*BF$20),VLOOKUP($C22,$C$3:$D$15,2,FALSE)*BF$20-BE24)))</f>
        <v>0</v>
      </c>
      <c r="BG22" s="762">
        <f t="shared" ref="BG22" si="163" xml:space="preserve">
IF(BF24&gt;=VLOOKUP($C22,$C$3:$D$15,2,FALSE)*BG$20,0,
IF(AND(BF24&lt;VLOOKUP($C22,$C$3:$D$15,2,FALSE)*BG$20,BG23&lt;=VLOOKUP($C22,$C$3:$D$15,2,FALSE)*BG$20),IF(BG23-BF24&lt;0,0,BG23-BF24),
IF(AND(BF24&lt;VLOOKUP($C22,$C$3:$D$15,2,FALSE)*BG$20,BG23&gt;VLOOKUP($C22,$C$3:$D$15,2,FALSE)*BG$20),VLOOKUP($C22,$C$3:$D$15,2,FALSE)*BG$20-BF24)))</f>
        <v>0</v>
      </c>
      <c r="BH22" s="762">
        <f t="shared" ref="BH22" si="164" xml:space="preserve">
IF(BG24&gt;=VLOOKUP($C22,$C$3:$D$15,2,FALSE)*BH$20,0,
IF(AND(BG24&lt;VLOOKUP($C22,$C$3:$D$15,2,FALSE)*BH$20,BH23&lt;=VLOOKUP($C22,$C$3:$D$15,2,FALSE)*BH$20),IF(BH23-BG24&lt;0,0,BH23-BG24),
IF(AND(BG24&lt;VLOOKUP($C22,$C$3:$D$15,2,FALSE)*BH$20,BH23&gt;VLOOKUP($C22,$C$3:$D$15,2,FALSE)*BH$20),VLOOKUP($C22,$C$3:$D$15,2,FALSE)*BH$20-BG24)))</f>
        <v>0</v>
      </c>
      <c r="BI22" s="762">
        <f t="shared" ref="BI22" si="165" xml:space="preserve">
IF(BH24&gt;=VLOOKUP($C22,$C$3:$D$15,2,FALSE)*BI$20,0,
IF(AND(BH24&lt;VLOOKUP($C22,$C$3:$D$15,2,FALSE)*BI$20,BI23&lt;=VLOOKUP($C22,$C$3:$D$15,2,FALSE)*BI$20),IF(BI23-BH24&lt;0,0,BI23-BH24),
IF(AND(BH24&lt;VLOOKUP($C22,$C$3:$D$15,2,FALSE)*BI$20,BI23&gt;VLOOKUP($C22,$C$3:$D$15,2,FALSE)*BI$20),VLOOKUP($C22,$C$3:$D$15,2,FALSE)*BI$20-BH24)))</f>
        <v>0</v>
      </c>
      <c r="BJ22" s="762">
        <f t="shared" ref="BJ22" si="166" xml:space="preserve">
IF(BI24&gt;=VLOOKUP($C22,$C$3:$D$15,2,FALSE)*BJ$20,0,
IF(AND(BI24&lt;VLOOKUP($C22,$C$3:$D$15,2,FALSE)*BJ$20,BJ23&lt;=VLOOKUP($C22,$C$3:$D$15,2,FALSE)*BJ$20),IF(BJ23-BI24&lt;0,0,BJ23-BI24),
IF(AND(BI24&lt;VLOOKUP($C22,$C$3:$D$15,2,FALSE)*BJ$20,BJ23&gt;VLOOKUP($C22,$C$3:$D$15,2,FALSE)*BJ$20),VLOOKUP($C22,$C$3:$D$15,2,FALSE)*BJ$20-BI24)))</f>
        <v>0</v>
      </c>
      <c r="BK22" s="762">
        <f t="shared" ref="BK22" si="167" xml:space="preserve">
IF(BJ24&gt;=VLOOKUP($C22,$C$3:$D$15,2,FALSE)*BK$20,0,
IF(AND(BJ24&lt;VLOOKUP($C22,$C$3:$D$15,2,FALSE)*BK$20,BK23&lt;=VLOOKUP($C22,$C$3:$D$15,2,FALSE)*BK$20),IF(BK23-BJ24&lt;0,0,BK23-BJ24),
IF(AND(BJ24&lt;VLOOKUP($C22,$C$3:$D$15,2,FALSE)*BK$20,BK23&gt;VLOOKUP($C22,$C$3:$D$15,2,FALSE)*BK$20),VLOOKUP($C22,$C$3:$D$15,2,FALSE)*BK$20-BJ24)))</f>
        <v>0</v>
      </c>
      <c r="BL22" s="762">
        <f t="shared" ref="BL22" si="168" xml:space="preserve">
IF(BK24&gt;=VLOOKUP($C22,$C$3:$D$15,2,FALSE)*BL$20,0,
IF(AND(BK24&lt;VLOOKUP($C22,$C$3:$D$15,2,FALSE)*BL$20,BL23&lt;=VLOOKUP($C22,$C$3:$D$15,2,FALSE)*BL$20),IF(BL23-BK24&lt;0,0,BL23-BK24),
IF(AND(BK24&lt;VLOOKUP($C22,$C$3:$D$15,2,FALSE)*BL$20,BL23&gt;VLOOKUP($C22,$C$3:$D$15,2,FALSE)*BL$20),VLOOKUP($C22,$C$3:$D$15,2,FALSE)*BL$20-BK24)))</f>
        <v>0</v>
      </c>
      <c r="BM22" s="762">
        <f t="shared" ref="BM22" si="169" xml:space="preserve">
IF(BL24&gt;=VLOOKUP($C22,$C$3:$D$15,2,FALSE)*BM$20,0,
IF(AND(BL24&lt;VLOOKUP($C22,$C$3:$D$15,2,FALSE)*BM$20,BM23&lt;=VLOOKUP($C22,$C$3:$D$15,2,FALSE)*BM$20),IF(BM23-BL24&lt;0,0,BM23-BL24),
IF(AND(BL24&lt;VLOOKUP($C22,$C$3:$D$15,2,FALSE)*BM$20,BM23&gt;VLOOKUP($C22,$C$3:$D$15,2,FALSE)*BM$20),VLOOKUP($C22,$C$3:$D$15,2,FALSE)*BM$20-BL24)))</f>
        <v>0</v>
      </c>
      <c r="BN22" s="762">
        <f t="shared" ref="BN22" si="170" xml:space="preserve">
IF(BM24&gt;=VLOOKUP($C22,$C$3:$D$15,2,FALSE)*BN$20,0,
IF(AND(BM24&lt;VLOOKUP($C22,$C$3:$D$15,2,FALSE)*BN$20,BN23&lt;=VLOOKUP($C22,$C$3:$D$15,2,FALSE)*BN$20),IF(BN23-BM24&lt;0,0,BN23-BM24),
IF(AND(BM24&lt;VLOOKUP($C22,$C$3:$D$15,2,FALSE)*BN$20,BN23&gt;VLOOKUP($C22,$C$3:$D$15,2,FALSE)*BN$20),VLOOKUP($C22,$C$3:$D$15,2,FALSE)*BN$20-BM24)))</f>
        <v>0</v>
      </c>
      <c r="BO22" s="762">
        <f t="shared" ref="BO22" si="171" xml:space="preserve">
IF(BN24&gt;=VLOOKUP($C22,$C$3:$D$15,2,FALSE)*BO$20,0,
IF(AND(BN24&lt;VLOOKUP($C22,$C$3:$D$15,2,FALSE)*BO$20,BO23&lt;=VLOOKUP($C22,$C$3:$D$15,2,FALSE)*BO$20),IF(BO23-BN24&lt;0,0,BO23-BN24),
IF(AND(BN24&lt;VLOOKUP($C22,$C$3:$D$15,2,FALSE)*BO$20,BO23&gt;VLOOKUP($C22,$C$3:$D$15,2,FALSE)*BO$20),VLOOKUP($C22,$C$3:$D$15,2,FALSE)*BO$20-BN24)))</f>
        <v>0</v>
      </c>
      <c r="BP22" s="762">
        <f t="shared" ref="BP22" si="172" xml:space="preserve">
IF(BO24&gt;=VLOOKUP($C22,$C$3:$D$15,2,FALSE)*BP$20,0,
IF(AND(BO24&lt;VLOOKUP($C22,$C$3:$D$15,2,FALSE)*BP$20,BP23&lt;=VLOOKUP($C22,$C$3:$D$15,2,FALSE)*BP$20),IF(BP23-BO24&lt;0,0,BP23-BO24),
IF(AND(BO24&lt;VLOOKUP($C22,$C$3:$D$15,2,FALSE)*BP$20,BP23&gt;VLOOKUP($C22,$C$3:$D$15,2,FALSE)*BP$20),VLOOKUP($C22,$C$3:$D$15,2,FALSE)*BP$20-BO24)))</f>
        <v>0</v>
      </c>
      <c r="BQ22" s="762">
        <f t="shared" ref="BQ22" si="173" xml:space="preserve">
IF(BP24&gt;=VLOOKUP($C22,$C$3:$D$15,2,FALSE)*BQ$20,0,
IF(AND(BP24&lt;VLOOKUP($C22,$C$3:$D$15,2,FALSE)*BQ$20,BQ23&lt;=VLOOKUP($C22,$C$3:$D$15,2,FALSE)*BQ$20),IF(BQ23-BP24&lt;0,0,BQ23-BP24),
IF(AND(BP24&lt;VLOOKUP($C22,$C$3:$D$15,2,FALSE)*BQ$20,BQ23&gt;VLOOKUP($C22,$C$3:$D$15,2,FALSE)*BQ$20),VLOOKUP($C22,$C$3:$D$15,2,FALSE)*BQ$20-BP24)))</f>
        <v>0</v>
      </c>
      <c r="BR22" s="762">
        <f t="shared" ref="BR22" si="174" xml:space="preserve">
IF(BQ24&gt;=VLOOKUP($C22,$C$3:$D$15,2,FALSE)*BR$20,0,
IF(AND(BQ24&lt;VLOOKUP($C22,$C$3:$D$15,2,FALSE)*BR$20,BR23&lt;=VLOOKUP($C22,$C$3:$D$15,2,FALSE)*BR$20),IF(BR23-BQ24&lt;0,0,BR23-BQ24),
IF(AND(BQ24&lt;VLOOKUP($C22,$C$3:$D$15,2,FALSE)*BR$20,BR23&gt;VLOOKUP($C22,$C$3:$D$15,2,FALSE)*BR$20),VLOOKUP($C22,$C$3:$D$15,2,FALSE)*BR$20-BQ24)))</f>
        <v>0</v>
      </c>
      <c r="BS22" s="762">
        <f t="shared" ref="BS22" si="175" xml:space="preserve">
IF(BR24&gt;=VLOOKUP($C22,$C$3:$D$15,2,FALSE)*BS$20,0,
IF(AND(BR24&lt;VLOOKUP($C22,$C$3:$D$15,2,FALSE)*BS$20,BS23&lt;=VLOOKUP($C22,$C$3:$D$15,2,FALSE)*BS$20),IF(BS23-BR24&lt;0,0,BS23-BR24),
IF(AND(BR24&lt;VLOOKUP($C22,$C$3:$D$15,2,FALSE)*BS$20,BS23&gt;VLOOKUP($C22,$C$3:$D$15,2,FALSE)*BS$20),VLOOKUP($C22,$C$3:$D$15,2,FALSE)*BS$20-BR24)))</f>
        <v>0</v>
      </c>
      <c r="BT22" s="762">
        <f t="shared" ref="BT22" si="176" xml:space="preserve">
IF(BS24&gt;=VLOOKUP($C22,$C$3:$D$15,2,FALSE)*BT$20,0,
IF(AND(BS24&lt;VLOOKUP($C22,$C$3:$D$15,2,FALSE)*BT$20,BT23&lt;=VLOOKUP($C22,$C$3:$D$15,2,FALSE)*BT$20),IF(BT23-BS24&lt;0,0,BT23-BS24),
IF(AND(BS24&lt;VLOOKUP($C22,$C$3:$D$15,2,FALSE)*BT$20,BT23&gt;VLOOKUP($C22,$C$3:$D$15,2,FALSE)*BT$20),VLOOKUP($C22,$C$3:$D$15,2,FALSE)*BT$20-BS24)))</f>
        <v>0</v>
      </c>
      <c r="BU22" s="762">
        <f t="shared" ref="BU22" si="177" xml:space="preserve">
IF(BT24&gt;=VLOOKUP($C22,$C$3:$D$15,2,FALSE)*BU$20,0,
IF(AND(BT24&lt;VLOOKUP($C22,$C$3:$D$15,2,FALSE)*BU$20,BU23&lt;=VLOOKUP($C22,$C$3:$D$15,2,FALSE)*BU$20),IF(BU23-BT24&lt;0,0,BU23-BT24),
IF(AND(BT24&lt;VLOOKUP($C22,$C$3:$D$15,2,FALSE)*BU$20,BU23&gt;VLOOKUP($C22,$C$3:$D$15,2,FALSE)*BU$20),VLOOKUP($C22,$C$3:$D$15,2,FALSE)*BU$20-BT24)))</f>
        <v>0</v>
      </c>
      <c r="BV22" s="762">
        <f t="shared" ref="BV22" si="178" xml:space="preserve">
IF(BU24&gt;=VLOOKUP($C22,$C$3:$D$15,2,FALSE)*BV$20,0,
IF(AND(BU24&lt;VLOOKUP($C22,$C$3:$D$15,2,FALSE)*BV$20,BV23&lt;=VLOOKUP($C22,$C$3:$D$15,2,FALSE)*BV$20),IF(BV23-BU24&lt;0,0,BV23-BU24),
IF(AND(BU24&lt;VLOOKUP($C22,$C$3:$D$15,2,FALSE)*BV$20,BV23&gt;VLOOKUP($C22,$C$3:$D$15,2,FALSE)*BV$20),VLOOKUP($C22,$C$3:$D$15,2,FALSE)*BV$20-BU24)))</f>
        <v>0</v>
      </c>
      <c r="BW22" s="762">
        <f t="shared" ref="BW22" si="179" xml:space="preserve">
IF(BV24&gt;=VLOOKUP($C22,$C$3:$D$15,2,FALSE)*BW$20,0,
IF(AND(BV24&lt;VLOOKUP($C22,$C$3:$D$15,2,FALSE)*BW$20,BW23&lt;=VLOOKUP($C22,$C$3:$D$15,2,FALSE)*BW$20),IF(BW23-BV24&lt;0,0,BW23-BV24),
IF(AND(BV24&lt;VLOOKUP($C22,$C$3:$D$15,2,FALSE)*BW$20,BW23&gt;VLOOKUP($C22,$C$3:$D$15,2,FALSE)*BW$20),VLOOKUP($C22,$C$3:$D$15,2,FALSE)*BW$20-BV24)))</f>
        <v>0</v>
      </c>
      <c r="BX22" s="762">
        <f t="shared" ref="BX22" si="180" xml:space="preserve">
IF(BW24&gt;=VLOOKUP($C22,$C$3:$D$15,2,FALSE)*BX$20,0,
IF(AND(BW24&lt;VLOOKUP($C22,$C$3:$D$15,2,FALSE)*BX$20,BX23&lt;=VLOOKUP($C22,$C$3:$D$15,2,FALSE)*BX$20),IF(BX23-BW24&lt;0,0,BX23-BW24),
IF(AND(BW24&lt;VLOOKUP($C22,$C$3:$D$15,2,FALSE)*BX$20,BX23&gt;VLOOKUP($C22,$C$3:$D$15,2,FALSE)*BX$20),VLOOKUP($C22,$C$3:$D$15,2,FALSE)*BX$20-BW24)))</f>
        <v>0</v>
      </c>
      <c r="BY22" s="762">
        <f t="shared" ref="BY22" si="181" xml:space="preserve">
IF(BX24&gt;=VLOOKUP($C22,$C$3:$D$15,2,FALSE)*BY$20,0,
IF(AND(BX24&lt;VLOOKUP($C22,$C$3:$D$15,2,FALSE)*BY$20,BY23&lt;=VLOOKUP($C22,$C$3:$D$15,2,FALSE)*BY$20),IF(BY23-BX24&lt;0,0,BY23-BX24),
IF(AND(BX24&lt;VLOOKUP($C22,$C$3:$D$15,2,FALSE)*BY$20,BY23&gt;VLOOKUP($C22,$C$3:$D$15,2,FALSE)*BY$20),VLOOKUP($C22,$C$3:$D$15,2,FALSE)*BY$20-BX24)))</f>
        <v>0</v>
      </c>
      <c r="BZ22" s="762">
        <f t="shared" ref="BZ22" si="182" xml:space="preserve">
IF(BY24&gt;=VLOOKUP($C22,$C$3:$D$15,2,FALSE)*BZ$20,0,
IF(AND(BY24&lt;VLOOKUP($C22,$C$3:$D$15,2,FALSE)*BZ$20,BZ23&lt;=VLOOKUP($C22,$C$3:$D$15,2,FALSE)*BZ$20),IF(BZ23-BY24&lt;0,0,BZ23-BY24),
IF(AND(BY24&lt;VLOOKUP($C22,$C$3:$D$15,2,FALSE)*BZ$20,BZ23&gt;VLOOKUP($C22,$C$3:$D$15,2,FALSE)*BZ$20),VLOOKUP($C22,$C$3:$D$15,2,FALSE)*BZ$20-BY24)))</f>
        <v>0</v>
      </c>
      <c r="CA22" s="762">
        <f t="shared" ref="CA22" si="183" xml:space="preserve">
IF(BZ24&gt;=VLOOKUP($C22,$C$3:$D$15,2,FALSE)*CA$20,0,
IF(AND(BZ24&lt;VLOOKUP($C22,$C$3:$D$15,2,FALSE)*CA$20,CA23&lt;=VLOOKUP($C22,$C$3:$D$15,2,FALSE)*CA$20),IF(CA23-BZ24&lt;0,0,CA23-BZ24),
IF(AND(BZ24&lt;VLOOKUP($C22,$C$3:$D$15,2,FALSE)*CA$20,CA23&gt;VLOOKUP($C22,$C$3:$D$15,2,FALSE)*CA$20),VLOOKUP($C22,$C$3:$D$15,2,FALSE)*CA$20-BZ24)))</f>
        <v>0</v>
      </c>
      <c r="CB22" s="762">
        <f t="shared" ref="CB22" si="184" xml:space="preserve">
IF(CA24&gt;=VLOOKUP($C22,$C$3:$D$15,2,FALSE)*CB$20,0,
IF(AND(CA24&lt;VLOOKUP($C22,$C$3:$D$15,2,FALSE)*CB$20,CB23&lt;=VLOOKUP($C22,$C$3:$D$15,2,FALSE)*CB$20),IF(CB23-CA24&lt;0,0,CB23-CA24),
IF(AND(CA24&lt;VLOOKUP($C22,$C$3:$D$15,2,FALSE)*CB$20,CB23&gt;VLOOKUP($C22,$C$3:$D$15,2,FALSE)*CB$20),VLOOKUP($C22,$C$3:$D$15,2,FALSE)*CB$20-CA24)))</f>
        <v>0</v>
      </c>
      <c r="CC22" s="762">
        <f t="shared" ref="CC22" si="185" xml:space="preserve">
IF(CB24&gt;=VLOOKUP($C22,$C$3:$D$15,2,FALSE)*CC$20,0,
IF(AND(CB24&lt;VLOOKUP($C22,$C$3:$D$15,2,FALSE)*CC$20,CC23&lt;=VLOOKUP($C22,$C$3:$D$15,2,FALSE)*CC$20),IF(CC23-CB24&lt;0,0,CC23-CB24),
IF(AND(CB24&lt;VLOOKUP($C22,$C$3:$D$15,2,FALSE)*CC$20,CC23&gt;VLOOKUP($C22,$C$3:$D$15,2,FALSE)*CC$20),VLOOKUP($C22,$C$3:$D$15,2,FALSE)*CC$20-CB24)))</f>
        <v>0</v>
      </c>
      <c r="CD22" s="762">
        <f t="shared" ref="CD22" si="186" xml:space="preserve">
IF(CC24&gt;=VLOOKUP($C22,$C$3:$D$15,2,FALSE)*CD$20,0,
IF(AND(CC24&lt;VLOOKUP($C22,$C$3:$D$15,2,FALSE)*CD$20,CD23&lt;=VLOOKUP($C22,$C$3:$D$15,2,FALSE)*CD$20),IF(CD23-CC24&lt;0,0,CD23-CC24),
IF(AND(CC24&lt;VLOOKUP($C22,$C$3:$D$15,2,FALSE)*CD$20,CD23&gt;VLOOKUP($C22,$C$3:$D$15,2,FALSE)*CD$20),VLOOKUP($C22,$C$3:$D$15,2,FALSE)*CD$20-CC24)))</f>
        <v>0</v>
      </c>
      <c r="CE22" s="762">
        <f t="shared" ref="CE22" si="187" xml:space="preserve">
IF(CD24&gt;=VLOOKUP($C22,$C$3:$D$15,2,FALSE)*CE$20,0,
IF(AND(CD24&lt;VLOOKUP($C22,$C$3:$D$15,2,FALSE)*CE$20,CE23&lt;=VLOOKUP($C22,$C$3:$D$15,2,FALSE)*CE$20),IF(CE23-CD24&lt;0,0,CE23-CD24),
IF(AND(CD24&lt;VLOOKUP($C22,$C$3:$D$15,2,FALSE)*CE$20,CE23&gt;VLOOKUP($C22,$C$3:$D$15,2,FALSE)*CE$20),VLOOKUP($C22,$C$3:$D$15,2,FALSE)*CE$20-CD24)))</f>
        <v>0</v>
      </c>
      <c r="CF22" s="762">
        <f t="shared" ref="CF22" si="188" xml:space="preserve">
IF(CE24&gt;=VLOOKUP($C22,$C$3:$D$15,2,FALSE)*CF$20,0,
IF(AND(CE24&lt;VLOOKUP($C22,$C$3:$D$15,2,FALSE)*CF$20,CF23&lt;=VLOOKUP($C22,$C$3:$D$15,2,FALSE)*CF$20),IF(CF23-CE24&lt;0,0,CF23-CE24),
IF(AND(CE24&lt;VLOOKUP($C22,$C$3:$D$15,2,FALSE)*CF$20,CF23&gt;VLOOKUP($C22,$C$3:$D$15,2,FALSE)*CF$20),VLOOKUP($C22,$C$3:$D$15,2,FALSE)*CF$20-CE24)))</f>
        <v>0</v>
      </c>
      <c r="CG22" s="762">
        <f t="shared" ref="CG22" si="189" xml:space="preserve">
IF(CF24&gt;=VLOOKUP($C22,$C$3:$D$15,2,FALSE)*CG$20,0,
IF(AND(CF24&lt;VLOOKUP($C22,$C$3:$D$15,2,FALSE)*CG$20,CG23&lt;=VLOOKUP($C22,$C$3:$D$15,2,FALSE)*CG$20),IF(CG23-CF24&lt;0,0,CG23-CF24),
IF(AND(CF24&lt;VLOOKUP($C22,$C$3:$D$15,2,FALSE)*CG$20,CG23&gt;VLOOKUP($C22,$C$3:$D$15,2,FALSE)*CG$20),VLOOKUP($C22,$C$3:$D$15,2,FALSE)*CG$20-CF24)))</f>
        <v>0</v>
      </c>
      <c r="CH22" s="762">
        <f t="shared" ref="CH22" si="190" xml:space="preserve">
IF(CG24&gt;=VLOOKUP($C22,$C$3:$D$15,2,FALSE)*CH$20,0,
IF(AND(CG24&lt;VLOOKUP($C22,$C$3:$D$15,2,FALSE)*CH$20,CH23&lt;=VLOOKUP($C22,$C$3:$D$15,2,FALSE)*CH$20),IF(CH23-CG24&lt;0,0,CH23-CG24),
IF(AND(CG24&lt;VLOOKUP($C22,$C$3:$D$15,2,FALSE)*CH$20,CH23&gt;VLOOKUP($C22,$C$3:$D$15,2,FALSE)*CH$20),VLOOKUP($C22,$C$3:$D$15,2,FALSE)*CH$20-CG24)))</f>
        <v>0</v>
      </c>
      <c r="CI22" s="762">
        <f t="shared" ref="CI22" si="191" xml:space="preserve">
IF(CH24&gt;=VLOOKUP($C22,$C$3:$D$15,2,FALSE)*CI$20,0,
IF(AND(CH24&lt;VLOOKUP($C22,$C$3:$D$15,2,FALSE)*CI$20,CI23&lt;=VLOOKUP($C22,$C$3:$D$15,2,FALSE)*CI$20),IF(CI23-CH24&lt;0,0,CI23-CH24),
IF(AND(CH24&lt;VLOOKUP($C22,$C$3:$D$15,2,FALSE)*CI$20,CI23&gt;VLOOKUP($C22,$C$3:$D$15,2,FALSE)*CI$20),VLOOKUP($C22,$C$3:$D$15,2,FALSE)*CI$20-CH24)))</f>
        <v>0</v>
      </c>
      <c r="CJ22" s="762">
        <f t="shared" ref="CJ22" si="192" xml:space="preserve">
IF(CI24&gt;=VLOOKUP($C22,$C$3:$D$15,2,FALSE)*CJ$20,0,
IF(AND(CI24&lt;VLOOKUP($C22,$C$3:$D$15,2,FALSE)*CJ$20,CJ23&lt;=VLOOKUP($C22,$C$3:$D$15,2,FALSE)*CJ$20),IF(CJ23-CI24&lt;0,0,CJ23-CI24),
IF(AND(CI24&lt;VLOOKUP($C22,$C$3:$D$15,2,FALSE)*CJ$20,CJ23&gt;VLOOKUP($C22,$C$3:$D$15,2,FALSE)*CJ$20),VLOOKUP($C22,$C$3:$D$15,2,FALSE)*CJ$20-CI24)))</f>
        <v>0</v>
      </c>
      <c r="CK22" s="762">
        <f t="shared" ref="CK22" si="193" xml:space="preserve">
IF(CJ24&gt;=VLOOKUP($C22,$C$3:$D$15,2,FALSE)*CK$20,0,
IF(AND(CJ24&lt;VLOOKUP($C22,$C$3:$D$15,2,FALSE)*CK$20,CK23&lt;=VLOOKUP($C22,$C$3:$D$15,2,FALSE)*CK$20),IF(CK23-CJ24&lt;0,0,CK23-CJ24),
IF(AND(CJ24&lt;VLOOKUP($C22,$C$3:$D$15,2,FALSE)*CK$20,CK23&gt;VLOOKUP($C22,$C$3:$D$15,2,FALSE)*CK$20),VLOOKUP($C22,$C$3:$D$15,2,FALSE)*CK$20-CJ24)))</f>
        <v>0</v>
      </c>
      <c r="CL22" s="762">
        <f t="shared" ref="CL22" si="194" xml:space="preserve">
IF(CK24&gt;=VLOOKUP($C22,$C$3:$D$15,2,FALSE)*CL$20,0,
IF(AND(CK24&lt;VLOOKUP($C22,$C$3:$D$15,2,FALSE)*CL$20,CL23&lt;=VLOOKUP($C22,$C$3:$D$15,2,FALSE)*CL$20),IF(CL23-CK24&lt;0,0,CL23-CK24),
IF(AND(CK24&lt;VLOOKUP($C22,$C$3:$D$15,2,FALSE)*CL$20,CL23&gt;VLOOKUP($C22,$C$3:$D$15,2,FALSE)*CL$20),VLOOKUP($C22,$C$3:$D$15,2,FALSE)*CL$20-CK24)))</f>
        <v>0</v>
      </c>
      <c r="CM22" s="762">
        <f t="shared" ref="CM22" si="195" xml:space="preserve">
IF(CL24&gt;=VLOOKUP($C22,$C$3:$D$15,2,FALSE)*CM$20,0,
IF(AND(CL24&lt;VLOOKUP($C22,$C$3:$D$15,2,FALSE)*CM$20,CM23&lt;=VLOOKUP($C22,$C$3:$D$15,2,FALSE)*CM$20),IF(CM23-CL24&lt;0,0,CM23-CL24),
IF(AND(CL24&lt;VLOOKUP($C22,$C$3:$D$15,2,FALSE)*CM$20,CM23&gt;VLOOKUP($C22,$C$3:$D$15,2,FALSE)*CM$20),VLOOKUP($C22,$C$3:$D$15,2,FALSE)*CM$20-CL24)))</f>
        <v>0</v>
      </c>
      <c r="CN22" s="762">
        <f t="shared" ref="CN22" si="196" xml:space="preserve">
IF(CM24&gt;=VLOOKUP($C22,$C$3:$D$15,2,FALSE)*CN$20,0,
IF(AND(CM24&lt;VLOOKUP($C22,$C$3:$D$15,2,FALSE)*CN$20,CN23&lt;=VLOOKUP($C22,$C$3:$D$15,2,FALSE)*CN$20),IF(CN23-CM24&lt;0,0,CN23-CM24),
IF(AND(CM24&lt;VLOOKUP($C22,$C$3:$D$15,2,FALSE)*CN$20,CN23&gt;VLOOKUP($C22,$C$3:$D$15,2,FALSE)*CN$20),VLOOKUP($C22,$C$3:$D$15,2,FALSE)*CN$20-CM24)))</f>
        <v>0</v>
      </c>
      <c r="CO22" s="762">
        <f t="shared" ref="CO22" si="197" xml:space="preserve">
IF(CN24&gt;=VLOOKUP($C22,$C$3:$D$15,2,FALSE)*CO$20,0,
IF(AND(CN24&lt;VLOOKUP($C22,$C$3:$D$15,2,FALSE)*CO$20,CO23&lt;=VLOOKUP($C22,$C$3:$D$15,2,FALSE)*CO$20),IF(CO23-CN24&lt;0,0,CO23-CN24),
IF(AND(CN24&lt;VLOOKUP($C22,$C$3:$D$15,2,FALSE)*CO$20,CO23&gt;VLOOKUP($C22,$C$3:$D$15,2,FALSE)*CO$20),VLOOKUP($C22,$C$3:$D$15,2,FALSE)*CO$20-CN24)))</f>
        <v>0</v>
      </c>
      <c r="CP22" s="762">
        <f t="shared" ref="CP22" si="198" xml:space="preserve">
IF(CO24&gt;=VLOOKUP($C22,$C$3:$D$15,2,FALSE)*CP$20,0,
IF(AND(CO24&lt;VLOOKUP($C22,$C$3:$D$15,2,FALSE)*CP$20,CP23&lt;=VLOOKUP($C22,$C$3:$D$15,2,FALSE)*CP$20),IF(CP23-CO24&lt;0,0,CP23-CO24),
IF(AND(CO24&lt;VLOOKUP($C22,$C$3:$D$15,2,FALSE)*CP$20,CP23&gt;VLOOKUP($C22,$C$3:$D$15,2,FALSE)*CP$20),VLOOKUP($C22,$C$3:$D$15,2,FALSE)*CP$20-CO24)))</f>
        <v>0</v>
      </c>
      <c r="CQ22" s="762">
        <f t="shared" ref="CQ22" si="199" xml:space="preserve">
IF(CP24&gt;=VLOOKUP($C22,$C$3:$D$15,2,FALSE)*CQ$20,0,
IF(AND(CP24&lt;VLOOKUP($C22,$C$3:$D$15,2,FALSE)*CQ$20,CQ23&lt;=VLOOKUP($C22,$C$3:$D$15,2,FALSE)*CQ$20),IF(CQ23-CP24&lt;0,0,CQ23-CP24),
IF(AND(CP24&lt;VLOOKUP($C22,$C$3:$D$15,2,FALSE)*CQ$20,CQ23&gt;VLOOKUP($C22,$C$3:$D$15,2,FALSE)*CQ$20),VLOOKUP($C22,$C$3:$D$15,2,FALSE)*CQ$20-CP24)))</f>
        <v>0</v>
      </c>
      <c r="CR22" s="762">
        <f t="shared" ref="CR22" si="200" xml:space="preserve">
IF(CQ24&gt;=VLOOKUP($C22,$C$3:$D$15,2,FALSE)*CR$20,0,
IF(AND(CQ24&lt;VLOOKUP($C22,$C$3:$D$15,2,FALSE)*CR$20,CR23&lt;=VLOOKUP($C22,$C$3:$D$15,2,FALSE)*CR$20),IF(CR23-CQ24&lt;0,0,CR23-CQ24),
IF(AND(CQ24&lt;VLOOKUP($C22,$C$3:$D$15,2,FALSE)*CR$20,CR23&gt;VLOOKUP($C22,$C$3:$D$15,2,FALSE)*CR$20),VLOOKUP($C22,$C$3:$D$15,2,FALSE)*CR$20-CQ24)))</f>
        <v>0</v>
      </c>
      <c r="CS22" s="762">
        <f t="shared" ref="CS22" si="201" xml:space="preserve">
IF(CR24&gt;=VLOOKUP($C22,$C$3:$D$15,2,FALSE)*CS$20,0,
IF(AND(CR24&lt;VLOOKUP($C22,$C$3:$D$15,2,FALSE)*CS$20,CS23&lt;=VLOOKUP($C22,$C$3:$D$15,2,FALSE)*CS$20),IF(CS23-CR24&lt;0,0,CS23-CR24),
IF(AND(CR24&lt;VLOOKUP($C22,$C$3:$D$15,2,FALSE)*CS$20,CS23&gt;VLOOKUP($C22,$C$3:$D$15,2,FALSE)*CS$20),VLOOKUP($C22,$C$3:$D$15,2,FALSE)*CS$20-CR24)))</f>
        <v>0</v>
      </c>
      <c r="CT22" s="762">
        <f t="shared" ref="CT22" si="202" xml:space="preserve">
IF(CS24&gt;=VLOOKUP($C22,$C$3:$D$15,2,FALSE)*CT$20,0,
IF(AND(CS24&lt;VLOOKUP($C22,$C$3:$D$15,2,FALSE)*CT$20,CT23&lt;=VLOOKUP($C22,$C$3:$D$15,2,FALSE)*CT$20),IF(CT23-CS24&lt;0,0,CT23-CS24),
IF(AND(CS24&lt;VLOOKUP($C22,$C$3:$D$15,2,FALSE)*CT$20,CT23&gt;VLOOKUP($C22,$C$3:$D$15,2,FALSE)*CT$20),VLOOKUP($C22,$C$3:$D$15,2,FALSE)*CT$20-CS24)))</f>
        <v>0</v>
      </c>
      <c r="CU22" s="762">
        <f t="shared" ref="CU22" si="203" xml:space="preserve">
IF(CT24&gt;=VLOOKUP($C22,$C$3:$D$15,2,FALSE)*CU$20,0,
IF(AND(CT24&lt;VLOOKUP($C22,$C$3:$D$15,2,FALSE)*CU$20,CU23&lt;=VLOOKUP($C22,$C$3:$D$15,2,FALSE)*CU$20),IF(CU23-CT24&lt;0,0,CU23-CT24),
IF(AND(CT24&lt;VLOOKUP($C22,$C$3:$D$15,2,FALSE)*CU$20,CU23&gt;VLOOKUP($C22,$C$3:$D$15,2,FALSE)*CU$20),VLOOKUP($C22,$C$3:$D$15,2,FALSE)*CU$20-CT24)))</f>
        <v>0</v>
      </c>
      <c r="CV22" s="762">
        <f t="shared" ref="CV22" si="204" xml:space="preserve">
IF(CU24&gt;=VLOOKUP($C22,$C$3:$D$15,2,FALSE)*CV$20,0,
IF(AND(CU24&lt;VLOOKUP($C22,$C$3:$D$15,2,FALSE)*CV$20,CV23&lt;=VLOOKUP($C22,$C$3:$D$15,2,FALSE)*CV$20),IF(CV23-CU24&lt;0,0,CV23-CU24),
IF(AND(CU24&lt;VLOOKUP($C22,$C$3:$D$15,2,FALSE)*CV$20,CV23&gt;VLOOKUP($C22,$C$3:$D$15,2,FALSE)*CV$20),VLOOKUP($C22,$C$3:$D$15,2,FALSE)*CV$20-CU24)))</f>
        <v>0</v>
      </c>
      <c r="CW22" s="762">
        <f t="shared" ref="CW22" si="205" xml:space="preserve">
IF(CV24&gt;=VLOOKUP($C22,$C$3:$D$15,2,FALSE)*CW$20,0,
IF(AND(CV24&lt;VLOOKUP($C22,$C$3:$D$15,2,FALSE)*CW$20,CW23&lt;=VLOOKUP($C22,$C$3:$D$15,2,FALSE)*CW$20),IF(CW23-CV24&lt;0,0,CW23-CV24),
IF(AND(CV24&lt;VLOOKUP($C22,$C$3:$D$15,2,FALSE)*CW$20,CW23&gt;VLOOKUP($C22,$C$3:$D$15,2,FALSE)*CW$20),VLOOKUP($C22,$C$3:$D$15,2,FALSE)*CW$20-CV24)))</f>
        <v>0</v>
      </c>
      <c r="CX22" s="762">
        <f t="shared" ref="CX22" si="206" xml:space="preserve">
IF(CW24&gt;=VLOOKUP($C22,$C$3:$D$15,2,FALSE)*CX$20,0,
IF(AND(CW24&lt;VLOOKUP($C22,$C$3:$D$15,2,FALSE)*CX$20,CX23&lt;=VLOOKUP($C22,$C$3:$D$15,2,FALSE)*CX$20),IF(CX23-CW24&lt;0,0,CX23-CW24),
IF(AND(CW24&lt;VLOOKUP($C22,$C$3:$D$15,2,FALSE)*CX$20,CX23&gt;VLOOKUP($C22,$C$3:$D$15,2,FALSE)*CX$20),VLOOKUP($C22,$C$3:$D$15,2,FALSE)*CX$20-CW24)))</f>
        <v>0</v>
      </c>
      <c r="CY22" s="762">
        <f t="shared" ref="CY22" si="207" xml:space="preserve">
IF(CX24&gt;=VLOOKUP($C22,$C$3:$D$15,2,FALSE)*CY$20,0,
IF(AND(CX24&lt;VLOOKUP($C22,$C$3:$D$15,2,FALSE)*CY$20,CY23&lt;=VLOOKUP($C22,$C$3:$D$15,2,FALSE)*CY$20),IF(CY23-CX24&lt;0,0,CY23-CX24),
IF(AND(CX24&lt;VLOOKUP($C22,$C$3:$D$15,2,FALSE)*CY$20,CY23&gt;VLOOKUP($C22,$C$3:$D$15,2,FALSE)*CY$20),VLOOKUP($C22,$C$3:$D$15,2,FALSE)*CY$20-CX24)))</f>
        <v>0</v>
      </c>
      <c r="CZ22" s="762">
        <f t="shared" ref="CZ22" si="208" xml:space="preserve">
IF(CY24&gt;=VLOOKUP($C22,$C$3:$D$15,2,FALSE)*CZ$20,0,
IF(AND(CY24&lt;VLOOKUP($C22,$C$3:$D$15,2,FALSE)*CZ$20,CZ23&lt;=VLOOKUP($C22,$C$3:$D$15,2,FALSE)*CZ$20),IF(CZ23-CY24&lt;0,0,CZ23-CY24),
IF(AND(CY24&lt;VLOOKUP($C22,$C$3:$D$15,2,FALSE)*CZ$20,CZ23&gt;VLOOKUP($C22,$C$3:$D$15,2,FALSE)*CZ$20),VLOOKUP($C22,$C$3:$D$15,2,FALSE)*CZ$20-CY24)))</f>
        <v>0</v>
      </c>
      <c r="DA22" s="762">
        <f t="shared" ref="DA22" si="209" xml:space="preserve">
IF(CZ24&gt;=VLOOKUP($C22,$C$3:$D$15,2,FALSE)*DA$20,0,
IF(AND(CZ24&lt;VLOOKUP($C22,$C$3:$D$15,2,FALSE)*DA$20,DA23&lt;=VLOOKUP($C22,$C$3:$D$15,2,FALSE)*DA$20),IF(DA23-CZ24&lt;0,0,DA23-CZ24),
IF(AND(CZ24&lt;VLOOKUP($C22,$C$3:$D$15,2,FALSE)*DA$20,DA23&gt;VLOOKUP($C22,$C$3:$D$15,2,FALSE)*DA$20),VLOOKUP($C22,$C$3:$D$15,2,FALSE)*DA$20-CZ24)))</f>
        <v>0</v>
      </c>
      <c r="DB22" s="762">
        <f t="shared" ref="DB22" si="210" xml:space="preserve">
IF(DA24&gt;=VLOOKUP($C22,$C$3:$D$15,2,FALSE)*DB$20,0,
IF(AND(DA24&lt;VLOOKUP($C22,$C$3:$D$15,2,FALSE)*DB$20,DB23&lt;=VLOOKUP($C22,$C$3:$D$15,2,FALSE)*DB$20),IF(DB23-DA24&lt;0,0,DB23-DA24),
IF(AND(DA24&lt;VLOOKUP($C22,$C$3:$D$15,2,FALSE)*DB$20,DB23&gt;VLOOKUP($C22,$C$3:$D$15,2,FALSE)*DB$20),VLOOKUP($C22,$C$3:$D$15,2,FALSE)*DB$20-DA24)))</f>
        <v>0</v>
      </c>
      <c r="DC22" s="762">
        <f t="shared" ref="DC22" si="211" xml:space="preserve">
IF(DB24&gt;=VLOOKUP($C22,$C$3:$D$15,2,FALSE)*DC$20,0,
IF(AND(DB24&lt;VLOOKUP($C22,$C$3:$D$15,2,FALSE)*DC$20,DC23&lt;=VLOOKUP($C22,$C$3:$D$15,2,FALSE)*DC$20),IF(DC23-DB24&lt;0,0,DC23-DB24),
IF(AND(DB24&lt;VLOOKUP($C22,$C$3:$D$15,2,FALSE)*DC$20,DC23&gt;VLOOKUP($C22,$C$3:$D$15,2,FALSE)*DC$20),VLOOKUP($C22,$C$3:$D$15,2,FALSE)*DC$20-DB24)))</f>
        <v>0</v>
      </c>
      <c r="DD22" s="762">
        <f t="shared" ref="DD22" si="212" xml:space="preserve">
IF(DC24&gt;=VLOOKUP($C22,$C$3:$D$15,2,FALSE)*DD$20,0,
IF(AND(DC24&lt;VLOOKUP($C22,$C$3:$D$15,2,FALSE)*DD$20,DD23&lt;=VLOOKUP($C22,$C$3:$D$15,2,FALSE)*DD$20),IF(DD23-DC24&lt;0,0,DD23-DC24),
IF(AND(DC24&lt;VLOOKUP($C22,$C$3:$D$15,2,FALSE)*DD$20,DD23&gt;VLOOKUP($C22,$C$3:$D$15,2,FALSE)*DD$20),VLOOKUP($C22,$C$3:$D$15,2,FALSE)*DD$20-DC24)))</f>
        <v>0</v>
      </c>
      <c r="DE22" s="762">
        <f t="shared" ref="DE22" si="213" xml:space="preserve">
IF(DD24&gt;=VLOOKUP($C22,$C$3:$D$15,2,FALSE)*DE$20,0,
IF(AND(DD24&lt;VLOOKUP($C22,$C$3:$D$15,2,FALSE)*DE$20,DE23&lt;=VLOOKUP($C22,$C$3:$D$15,2,FALSE)*DE$20),IF(DE23-DD24&lt;0,0,DE23-DD24),
IF(AND(DD24&lt;VLOOKUP($C22,$C$3:$D$15,2,FALSE)*DE$20,DE23&gt;VLOOKUP($C22,$C$3:$D$15,2,FALSE)*DE$20),VLOOKUP($C22,$C$3:$D$15,2,FALSE)*DE$20-DD24)))</f>
        <v>0</v>
      </c>
      <c r="DF22" s="762">
        <f t="shared" ref="DF22" si="214" xml:space="preserve">
IF(DE24&gt;=VLOOKUP($C22,$C$3:$D$15,2,FALSE)*DF$20,0,
IF(AND(DE24&lt;VLOOKUP($C22,$C$3:$D$15,2,FALSE)*DF$20,DF23&lt;=VLOOKUP($C22,$C$3:$D$15,2,FALSE)*DF$20),IF(DF23-DE24&lt;0,0,DF23-DE24),
IF(AND(DE24&lt;VLOOKUP($C22,$C$3:$D$15,2,FALSE)*DF$20,DF23&gt;VLOOKUP($C22,$C$3:$D$15,2,FALSE)*DF$20),VLOOKUP($C22,$C$3:$D$15,2,FALSE)*DF$20-DE24)))</f>
        <v>0</v>
      </c>
      <c r="DG22" s="762">
        <f t="shared" ref="DG22" si="215" xml:space="preserve">
IF(DF24&gt;=VLOOKUP($C22,$C$3:$D$15,2,FALSE)*DG$20,0,
IF(AND(DF24&lt;VLOOKUP($C22,$C$3:$D$15,2,FALSE)*DG$20,DG23&lt;=VLOOKUP($C22,$C$3:$D$15,2,FALSE)*DG$20),IF(DG23-DF24&lt;0,0,DG23-DF24),
IF(AND(DF24&lt;VLOOKUP($C22,$C$3:$D$15,2,FALSE)*DG$20,DG23&gt;VLOOKUP($C22,$C$3:$D$15,2,FALSE)*DG$20),VLOOKUP($C22,$C$3:$D$15,2,FALSE)*DG$20-DF24)))</f>
        <v>0</v>
      </c>
      <c r="DH22" s="762">
        <f t="shared" ref="DH22" si="216" xml:space="preserve">
IF(DG24&gt;=VLOOKUP($C22,$C$3:$D$15,2,FALSE)*DH$20,0,
IF(AND(DG24&lt;VLOOKUP($C22,$C$3:$D$15,2,FALSE)*DH$20,DH23&lt;=VLOOKUP($C22,$C$3:$D$15,2,FALSE)*DH$20),IF(DH23-DG24&lt;0,0,DH23-DG24),
IF(AND(DG24&lt;VLOOKUP($C22,$C$3:$D$15,2,FALSE)*DH$20,DH23&gt;VLOOKUP($C22,$C$3:$D$15,2,FALSE)*DH$20),VLOOKUP($C22,$C$3:$D$15,2,FALSE)*DH$20-DG24)))</f>
        <v>0</v>
      </c>
      <c r="DI22" s="762">
        <f t="shared" ref="DI22" si="217" xml:space="preserve">
IF(DH24&gt;=VLOOKUP($C22,$C$3:$D$15,2,FALSE)*DI$20,0,
IF(AND(DH24&lt;VLOOKUP($C22,$C$3:$D$15,2,FALSE)*DI$20,DI23&lt;=VLOOKUP($C22,$C$3:$D$15,2,FALSE)*DI$20),IF(DI23-DH24&lt;0,0,DI23-DH24),
IF(AND(DH24&lt;VLOOKUP($C22,$C$3:$D$15,2,FALSE)*DI$20,DI23&gt;VLOOKUP($C22,$C$3:$D$15,2,FALSE)*DI$20),VLOOKUP($C22,$C$3:$D$15,2,FALSE)*DI$20-DH24)))</f>
        <v>0</v>
      </c>
      <c r="DJ22" s="762">
        <f t="shared" ref="DJ22" si="218" xml:space="preserve">
IF(DI24&gt;=VLOOKUP($C22,$C$3:$D$15,2,FALSE)*DJ$20,0,
IF(AND(DI24&lt;VLOOKUP($C22,$C$3:$D$15,2,FALSE)*DJ$20,DJ23&lt;=VLOOKUP($C22,$C$3:$D$15,2,FALSE)*DJ$20),IF(DJ23-DI24&lt;0,0,DJ23-DI24),
IF(AND(DI24&lt;VLOOKUP($C22,$C$3:$D$15,2,FALSE)*DJ$20,DJ23&gt;VLOOKUP($C22,$C$3:$D$15,2,FALSE)*DJ$20),VLOOKUP($C22,$C$3:$D$15,2,FALSE)*DJ$20-DI24)))</f>
        <v>0</v>
      </c>
      <c r="DK22" s="762">
        <f t="shared" ref="DK22" si="219" xml:space="preserve">
IF(DJ24&gt;=VLOOKUP($C22,$C$3:$D$15,2,FALSE)*DK$20,0,
IF(AND(DJ24&lt;VLOOKUP($C22,$C$3:$D$15,2,FALSE)*DK$20,DK23&lt;=VLOOKUP($C22,$C$3:$D$15,2,FALSE)*DK$20),IF(DK23-DJ24&lt;0,0,DK23-DJ24),
IF(AND(DJ24&lt;VLOOKUP($C22,$C$3:$D$15,2,FALSE)*DK$20,DK23&gt;VLOOKUP($C22,$C$3:$D$15,2,FALSE)*DK$20),VLOOKUP($C22,$C$3:$D$15,2,FALSE)*DK$20-DJ24)))</f>
        <v>0</v>
      </c>
      <c r="DL22" s="762">
        <f t="shared" ref="DL22" si="220" xml:space="preserve">
IF(DK24&gt;=VLOOKUP($C22,$C$3:$D$15,2,FALSE)*DL$20,0,
IF(AND(DK24&lt;VLOOKUP($C22,$C$3:$D$15,2,FALSE)*DL$20,DL23&lt;=VLOOKUP($C22,$C$3:$D$15,2,FALSE)*DL$20),IF(DL23-DK24&lt;0,0,DL23-DK24),
IF(AND(DK24&lt;VLOOKUP($C22,$C$3:$D$15,2,FALSE)*DL$20,DL23&gt;VLOOKUP($C22,$C$3:$D$15,2,FALSE)*DL$20),VLOOKUP($C22,$C$3:$D$15,2,FALSE)*DL$20-DK24)))</f>
        <v>0</v>
      </c>
      <c r="DM22" s="762">
        <f t="shared" ref="DM22" si="221" xml:space="preserve">
IF(DL24&gt;=VLOOKUP($C22,$C$3:$D$15,2,FALSE)*DM$20,0,
IF(AND(DL24&lt;VLOOKUP($C22,$C$3:$D$15,2,FALSE)*DM$20,DM23&lt;=VLOOKUP($C22,$C$3:$D$15,2,FALSE)*DM$20),IF(DM23-DL24&lt;0,0,DM23-DL24),
IF(AND(DL24&lt;VLOOKUP($C22,$C$3:$D$15,2,FALSE)*DM$20,DM23&gt;VLOOKUP($C22,$C$3:$D$15,2,FALSE)*DM$20),VLOOKUP($C22,$C$3:$D$15,2,FALSE)*DM$20-DL24)))</f>
        <v>0</v>
      </c>
      <c r="DN22" s="762">
        <f t="shared" ref="DN22" si="222" xml:space="preserve">
IF(DM24&gt;=VLOOKUP($C22,$C$3:$D$15,2,FALSE)*DN$20,0,
IF(AND(DM24&lt;VLOOKUP($C22,$C$3:$D$15,2,FALSE)*DN$20,DN23&lt;=VLOOKUP($C22,$C$3:$D$15,2,FALSE)*DN$20),IF(DN23-DM24&lt;0,0,DN23-DM24),
IF(AND(DM24&lt;VLOOKUP($C22,$C$3:$D$15,2,FALSE)*DN$20,DN23&gt;VLOOKUP($C22,$C$3:$D$15,2,FALSE)*DN$20),VLOOKUP($C22,$C$3:$D$15,2,FALSE)*DN$20-DM24)))</f>
        <v>0</v>
      </c>
      <c r="DO22" s="762">
        <f t="shared" ref="DO22" si="223" xml:space="preserve">
IF(DN24&gt;=VLOOKUP($C22,$C$3:$D$15,2,FALSE)*DO$20,0,
IF(AND(DN24&lt;VLOOKUP($C22,$C$3:$D$15,2,FALSE)*DO$20,DO23&lt;=VLOOKUP($C22,$C$3:$D$15,2,FALSE)*DO$20),IF(DO23-DN24&lt;0,0,DO23-DN24),
IF(AND(DN24&lt;VLOOKUP($C22,$C$3:$D$15,2,FALSE)*DO$20,DO23&gt;VLOOKUP($C22,$C$3:$D$15,2,FALSE)*DO$20),VLOOKUP($C22,$C$3:$D$15,2,FALSE)*DO$20-DN24)))</f>
        <v>0</v>
      </c>
      <c r="DP22" s="762">
        <f t="shared" ref="DP22" si="224" xml:space="preserve">
IF(DO24&gt;=VLOOKUP($C22,$C$3:$D$15,2,FALSE)*DP$20,0,
IF(AND(DO24&lt;VLOOKUP($C22,$C$3:$D$15,2,FALSE)*DP$20,DP23&lt;=VLOOKUP($C22,$C$3:$D$15,2,FALSE)*DP$20),IF(DP23-DO24&lt;0,0,DP23-DO24),
IF(AND(DO24&lt;VLOOKUP($C22,$C$3:$D$15,2,FALSE)*DP$20,DP23&gt;VLOOKUP($C22,$C$3:$D$15,2,FALSE)*DP$20),VLOOKUP($C22,$C$3:$D$15,2,FALSE)*DP$20-DO24)))</f>
        <v>0</v>
      </c>
      <c r="DQ22" s="762">
        <f t="shared" ref="DQ22" si="225" xml:space="preserve">
IF(DP24&gt;=VLOOKUP($C22,$C$3:$D$15,2,FALSE)*DQ$20,0,
IF(AND(DP24&lt;VLOOKUP($C22,$C$3:$D$15,2,FALSE)*DQ$20,DQ23&lt;=VLOOKUP($C22,$C$3:$D$15,2,FALSE)*DQ$20),IF(DQ23-DP24&lt;0,0,DQ23-DP24),
IF(AND(DP24&lt;VLOOKUP($C22,$C$3:$D$15,2,FALSE)*DQ$20,DQ23&gt;VLOOKUP($C22,$C$3:$D$15,2,FALSE)*DQ$20),VLOOKUP($C22,$C$3:$D$15,2,FALSE)*DQ$20-DP24)))</f>
        <v>0</v>
      </c>
      <c r="DR22" s="762">
        <f t="shared" ref="DR22" si="226" xml:space="preserve">
IF(DQ24&gt;=VLOOKUP($C22,$C$3:$D$15,2,FALSE)*DR$20,0,
IF(AND(DQ24&lt;VLOOKUP($C22,$C$3:$D$15,2,FALSE)*DR$20,DR23&lt;=VLOOKUP($C22,$C$3:$D$15,2,FALSE)*DR$20),IF(DR23-DQ24&lt;0,0,DR23-DQ24),
IF(AND(DQ24&lt;VLOOKUP($C22,$C$3:$D$15,2,FALSE)*DR$20,DR23&gt;VLOOKUP($C22,$C$3:$D$15,2,FALSE)*DR$20),VLOOKUP($C22,$C$3:$D$15,2,FALSE)*DR$20-DQ24)))</f>
        <v>0</v>
      </c>
      <c r="DS22" s="762">
        <f t="shared" ref="DS22" si="227" xml:space="preserve">
IF(DR24&gt;=VLOOKUP($C22,$C$3:$D$15,2,FALSE)*DS$20,0,
IF(AND(DR24&lt;VLOOKUP($C22,$C$3:$D$15,2,FALSE)*DS$20,DS23&lt;=VLOOKUP($C22,$C$3:$D$15,2,FALSE)*DS$20),IF(DS23-DR24&lt;0,0,DS23-DR24),
IF(AND(DR24&lt;VLOOKUP($C22,$C$3:$D$15,2,FALSE)*DS$20,DS23&gt;VLOOKUP($C22,$C$3:$D$15,2,FALSE)*DS$20),VLOOKUP($C22,$C$3:$D$15,2,FALSE)*DS$20-DR24)))</f>
        <v>0</v>
      </c>
      <c r="DT22" s="762">
        <f t="shared" ref="DT22" si="228" xml:space="preserve">
IF(DS24&gt;=VLOOKUP($C22,$C$3:$D$15,2,FALSE)*DT$20,0,
IF(AND(DS24&lt;VLOOKUP($C22,$C$3:$D$15,2,FALSE)*DT$20,DT23&lt;=VLOOKUP($C22,$C$3:$D$15,2,FALSE)*DT$20),IF(DT23-DS24&lt;0,0,DT23-DS24),
IF(AND(DS24&lt;VLOOKUP($C22,$C$3:$D$15,2,FALSE)*DT$20,DT23&gt;VLOOKUP($C22,$C$3:$D$15,2,FALSE)*DT$20),VLOOKUP($C22,$C$3:$D$15,2,FALSE)*DT$20-DS24)))</f>
        <v>0</v>
      </c>
      <c r="DU22" s="762">
        <f t="shared" ref="DU22" si="229" xml:space="preserve">
IF(DT24&gt;=VLOOKUP($C22,$C$3:$D$15,2,FALSE)*DU$20,0,
IF(AND(DT24&lt;VLOOKUP($C22,$C$3:$D$15,2,FALSE)*DU$20,DU23&lt;=VLOOKUP($C22,$C$3:$D$15,2,FALSE)*DU$20),IF(DU23-DT24&lt;0,0,DU23-DT24),
IF(AND(DT24&lt;VLOOKUP($C22,$C$3:$D$15,2,FALSE)*DU$20,DU23&gt;VLOOKUP($C22,$C$3:$D$15,2,FALSE)*DU$20),VLOOKUP($C22,$C$3:$D$15,2,FALSE)*DU$20-DT24)))</f>
        <v>0</v>
      </c>
      <c r="DV22" s="762">
        <f t="shared" ref="DV22" si="230" xml:space="preserve">
IF(DU24&gt;=VLOOKUP($C22,$C$3:$D$15,2,FALSE)*DV$20,0,
IF(AND(DU24&lt;VLOOKUP($C22,$C$3:$D$15,2,FALSE)*DV$20,DV23&lt;=VLOOKUP($C22,$C$3:$D$15,2,FALSE)*DV$20),IF(DV23-DU24&lt;0,0,DV23-DU24),
IF(AND(DU24&lt;VLOOKUP($C22,$C$3:$D$15,2,FALSE)*DV$20,DV23&gt;VLOOKUP($C22,$C$3:$D$15,2,FALSE)*DV$20),VLOOKUP($C22,$C$3:$D$15,2,FALSE)*DV$20-DU24)))</f>
        <v>0</v>
      </c>
      <c r="DW22" s="762">
        <f t="shared" ref="DW22" si="231" xml:space="preserve">
IF(DV24&gt;=VLOOKUP($C22,$C$3:$D$15,2,FALSE)*DW$20,0,
IF(AND(DV24&lt;VLOOKUP($C22,$C$3:$D$15,2,FALSE)*DW$20,DW23&lt;=VLOOKUP($C22,$C$3:$D$15,2,FALSE)*DW$20),IF(DW23-DV24&lt;0,0,DW23-DV24),
IF(AND(DV24&lt;VLOOKUP($C22,$C$3:$D$15,2,FALSE)*DW$20,DW23&gt;VLOOKUP($C22,$C$3:$D$15,2,FALSE)*DW$20),VLOOKUP($C22,$C$3:$D$15,2,FALSE)*DW$20-DV24)))</f>
        <v>0</v>
      </c>
      <c r="DX22" s="762">
        <f t="shared" ref="DX22" si="232" xml:space="preserve">
IF(DW24&gt;=VLOOKUP($C22,$C$3:$D$15,2,FALSE)*DX$20,0,
IF(AND(DW24&lt;VLOOKUP($C22,$C$3:$D$15,2,FALSE)*DX$20,DX23&lt;=VLOOKUP($C22,$C$3:$D$15,2,FALSE)*DX$20),IF(DX23-DW24&lt;0,0,DX23-DW24),
IF(AND(DW24&lt;VLOOKUP($C22,$C$3:$D$15,2,FALSE)*DX$20,DX23&gt;VLOOKUP($C22,$C$3:$D$15,2,FALSE)*DX$20),VLOOKUP($C22,$C$3:$D$15,2,FALSE)*DX$20-DW24)))</f>
        <v>0</v>
      </c>
      <c r="DY22" s="762">
        <f t="shared" ref="DY22" si="233" xml:space="preserve">
IF(DX24&gt;=VLOOKUP($C22,$C$3:$D$15,2,FALSE)*DY$20,0,
IF(AND(DX24&lt;VLOOKUP($C22,$C$3:$D$15,2,FALSE)*DY$20,DY23&lt;=VLOOKUP($C22,$C$3:$D$15,2,FALSE)*DY$20),IF(DY23-DX24&lt;0,0,DY23-DX24),
IF(AND(DX24&lt;VLOOKUP($C22,$C$3:$D$15,2,FALSE)*DY$20,DY23&gt;VLOOKUP($C22,$C$3:$D$15,2,FALSE)*DY$20),VLOOKUP($C22,$C$3:$D$15,2,FALSE)*DY$20-DX24)))</f>
        <v>0</v>
      </c>
      <c r="DZ22" s="762">
        <f t="shared" ref="DZ22" si="234" xml:space="preserve">
IF(DY24&gt;=VLOOKUP($C22,$C$3:$D$15,2,FALSE)*DZ$20,0,
IF(AND(DY24&lt;VLOOKUP($C22,$C$3:$D$15,2,FALSE)*DZ$20,DZ23&lt;=VLOOKUP($C22,$C$3:$D$15,2,FALSE)*DZ$20),IF(DZ23-DY24&lt;0,0,DZ23-DY24),
IF(AND(DY24&lt;VLOOKUP($C22,$C$3:$D$15,2,FALSE)*DZ$20,DZ23&gt;VLOOKUP($C22,$C$3:$D$15,2,FALSE)*DZ$20),VLOOKUP($C22,$C$3:$D$15,2,FALSE)*DZ$20-DY24)))</f>
        <v>0</v>
      </c>
      <c r="EA22" s="762">
        <f t="shared" ref="EA22" si="235" xml:space="preserve">
IF(DZ24&gt;=VLOOKUP($C22,$C$3:$D$15,2,FALSE)*EA$20,0,
IF(AND(DZ24&lt;VLOOKUP($C22,$C$3:$D$15,2,FALSE)*EA$20,EA23&lt;=VLOOKUP($C22,$C$3:$D$15,2,FALSE)*EA$20),IF(EA23-DZ24&lt;0,0,EA23-DZ24),
IF(AND(DZ24&lt;VLOOKUP($C22,$C$3:$D$15,2,FALSE)*EA$20,EA23&gt;VLOOKUP($C22,$C$3:$D$15,2,FALSE)*EA$20),VLOOKUP($C22,$C$3:$D$15,2,FALSE)*EA$20-DZ24)))</f>
        <v>0</v>
      </c>
      <c r="EB22" s="762">
        <f t="shared" ref="EB22" si="236" xml:space="preserve">
IF(EA24&gt;=VLOOKUP($C22,$C$3:$D$15,2,FALSE)*EB$20,0,
IF(AND(EA24&lt;VLOOKUP($C22,$C$3:$D$15,2,FALSE)*EB$20,EB23&lt;=VLOOKUP($C22,$C$3:$D$15,2,FALSE)*EB$20),IF(EB23-EA24&lt;0,0,EB23-EA24),
IF(AND(EA24&lt;VLOOKUP($C22,$C$3:$D$15,2,FALSE)*EB$20,EB23&gt;VLOOKUP($C22,$C$3:$D$15,2,FALSE)*EB$20),VLOOKUP($C22,$C$3:$D$15,2,FALSE)*EB$20-EA24)))</f>
        <v>0</v>
      </c>
      <c r="EC22" s="762">
        <f t="shared" ref="EC22" si="237" xml:space="preserve">
IF(EB24&gt;=VLOOKUP($C22,$C$3:$D$15,2,FALSE)*EC$20,0,
IF(AND(EB24&lt;VLOOKUP($C22,$C$3:$D$15,2,FALSE)*EC$20,EC23&lt;=VLOOKUP($C22,$C$3:$D$15,2,FALSE)*EC$20),IF(EC23-EB24&lt;0,0,EC23-EB24),
IF(AND(EB24&lt;VLOOKUP($C22,$C$3:$D$15,2,FALSE)*EC$20,EC23&gt;VLOOKUP($C22,$C$3:$D$15,2,FALSE)*EC$20),VLOOKUP($C22,$C$3:$D$15,2,FALSE)*EC$20-EB24)))</f>
        <v>0</v>
      </c>
      <c r="ED22" s="762">
        <f t="shared" ref="ED22" si="238" xml:space="preserve">
IF(EC24&gt;=VLOOKUP($C22,$C$3:$D$15,2,FALSE)*ED$20,0,
IF(AND(EC24&lt;VLOOKUP($C22,$C$3:$D$15,2,FALSE)*ED$20,ED23&lt;=VLOOKUP($C22,$C$3:$D$15,2,FALSE)*ED$20),IF(ED23-EC24&lt;0,0,ED23-EC24),
IF(AND(EC24&lt;VLOOKUP($C22,$C$3:$D$15,2,FALSE)*ED$20,ED23&gt;VLOOKUP($C22,$C$3:$D$15,2,FALSE)*ED$20),VLOOKUP($C22,$C$3:$D$15,2,FALSE)*ED$20-EC24)))</f>
        <v>0</v>
      </c>
      <c r="EE22" s="762">
        <f t="shared" ref="EE22" si="239" xml:space="preserve">
IF(ED24&gt;=VLOOKUP($C22,$C$3:$D$15,2,FALSE)*EE$20,0,
IF(AND(ED24&lt;VLOOKUP($C22,$C$3:$D$15,2,FALSE)*EE$20,EE23&lt;=VLOOKUP($C22,$C$3:$D$15,2,FALSE)*EE$20),IF(EE23-ED24&lt;0,0,EE23-ED24),
IF(AND(ED24&lt;VLOOKUP($C22,$C$3:$D$15,2,FALSE)*EE$20,EE23&gt;VLOOKUP($C22,$C$3:$D$15,2,FALSE)*EE$20),VLOOKUP($C22,$C$3:$D$15,2,FALSE)*EE$20-ED24)))</f>
        <v>0</v>
      </c>
      <c r="EF22" s="762">
        <f t="shared" ref="EF22" si="240" xml:space="preserve">
IF(EE24&gt;=VLOOKUP($C22,$C$3:$D$15,2,FALSE)*EF$20,0,
IF(AND(EE24&lt;VLOOKUP($C22,$C$3:$D$15,2,FALSE)*EF$20,EF23&lt;=VLOOKUP($C22,$C$3:$D$15,2,FALSE)*EF$20),IF(EF23-EE24&lt;0,0,EF23-EE24),
IF(AND(EE24&lt;VLOOKUP($C22,$C$3:$D$15,2,FALSE)*EF$20,EF23&gt;VLOOKUP($C22,$C$3:$D$15,2,FALSE)*EF$20),VLOOKUP($C22,$C$3:$D$15,2,FALSE)*EF$20-EE24)))</f>
        <v>0</v>
      </c>
      <c r="EG22" s="762">
        <f t="shared" ref="EG22" si="241" xml:space="preserve">
IF(EF24&gt;=VLOOKUP($C22,$C$3:$D$15,2,FALSE)*EG$20,0,
IF(AND(EF24&lt;VLOOKUP($C22,$C$3:$D$15,2,FALSE)*EG$20,EG23&lt;=VLOOKUP($C22,$C$3:$D$15,2,FALSE)*EG$20),IF(EG23-EF24&lt;0,0,EG23-EF24),
IF(AND(EF24&lt;VLOOKUP($C22,$C$3:$D$15,2,FALSE)*EG$20,EG23&gt;VLOOKUP($C22,$C$3:$D$15,2,FALSE)*EG$20),VLOOKUP($C22,$C$3:$D$15,2,FALSE)*EG$20-EF24)))</f>
        <v>0</v>
      </c>
      <c r="EH22" s="762">
        <f t="shared" ref="EH22" si="242" xml:space="preserve">
IF(EG24&gt;=VLOOKUP($C22,$C$3:$D$15,2,FALSE)*EH$20,0,
IF(AND(EG24&lt;VLOOKUP($C22,$C$3:$D$15,2,FALSE)*EH$20,EH23&lt;=VLOOKUP($C22,$C$3:$D$15,2,FALSE)*EH$20),IF(EH23-EG24&lt;0,0,EH23-EG24),
IF(AND(EG24&lt;VLOOKUP($C22,$C$3:$D$15,2,FALSE)*EH$20,EH23&gt;VLOOKUP($C22,$C$3:$D$15,2,FALSE)*EH$20),VLOOKUP($C22,$C$3:$D$15,2,FALSE)*EH$20-EG24)))</f>
        <v>0</v>
      </c>
      <c r="EI22" s="762">
        <f t="shared" ref="EI22" si="243" xml:space="preserve">
IF(EH24&gt;=VLOOKUP($C22,$C$3:$D$15,2,FALSE)*EI$20,0,
IF(AND(EH24&lt;VLOOKUP($C22,$C$3:$D$15,2,FALSE)*EI$20,EI23&lt;=VLOOKUP($C22,$C$3:$D$15,2,FALSE)*EI$20),IF(EI23-EH24&lt;0,0,EI23-EH24),
IF(AND(EH24&lt;VLOOKUP($C22,$C$3:$D$15,2,FALSE)*EI$20,EI23&gt;VLOOKUP($C22,$C$3:$D$15,2,FALSE)*EI$20),VLOOKUP($C22,$C$3:$D$15,2,FALSE)*EI$20-EH24)))</f>
        <v>0</v>
      </c>
      <c r="EJ22" s="762">
        <f t="shared" ref="EJ22" si="244" xml:space="preserve">
IF(EI24&gt;=VLOOKUP($C22,$C$3:$D$15,2,FALSE)*EJ$20,0,
IF(AND(EI24&lt;VLOOKUP($C22,$C$3:$D$15,2,FALSE)*EJ$20,EJ23&lt;=VLOOKUP($C22,$C$3:$D$15,2,FALSE)*EJ$20),IF(EJ23-EI24&lt;0,0,EJ23-EI24),
IF(AND(EI24&lt;VLOOKUP($C22,$C$3:$D$15,2,FALSE)*EJ$20,EJ23&gt;VLOOKUP($C22,$C$3:$D$15,2,FALSE)*EJ$20),VLOOKUP($C22,$C$3:$D$15,2,FALSE)*EJ$20-EI24)))</f>
        <v>0</v>
      </c>
      <c r="EK22" s="762">
        <f t="shared" ref="EK22" si="245" xml:space="preserve">
IF(EJ24&gt;=VLOOKUP($C22,$C$3:$D$15,2,FALSE)*EK$20,0,
IF(AND(EJ24&lt;VLOOKUP($C22,$C$3:$D$15,2,FALSE)*EK$20,EK23&lt;=VLOOKUP($C22,$C$3:$D$15,2,FALSE)*EK$20),IF(EK23-EJ24&lt;0,0,EK23-EJ24),
IF(AND(EJ24&lt;VLOOKUP($C22,$C$3:$D$15,2,FALSE)*EK$20,EK23&gt;VLOOKUP($C22,$C$3:$D$15,2,FALSE)*EK$20),VLOOKUP($C22,$C$3:$D$15,2,FALSE)*EK$20-EJ24)))</f>
        <v>0</v>
      </c>
      <c r="EL22" s="762">
        <f t="shared" ref="EL22" si="246" xml:space="preserve">
IF(EK24&gt;=VLOOKUP($C22,$C$3:$D$15,2,FALSE)*EL$20,0,
IF(AND(EK24&lt;VLOOKUP($C22,$C$3:$D$15,2,FALSE)*EL$20,EL23&lt;=VLOOKUP($C22,$C$3:$D$15,2,FALSE)*EL$20),IF(EL23-EK24&lt;0,0,EL23-EK24),
IF(AND(EK24&lt;VLOOKUP($C22,$C$3:$D$15,2,FALSE)*EL$20,EL23&gt;VLOOKUP($C22,$C$3:$D$15,2,FALSE)*EL$20),VLOOKUP($C22,$C$3:$D$15,2,FALSE)*EL$20-EK24)))</f>
        <v>0</v>
      </c>
      <c r="EM22" s="762">
        <f t="shared" ref="EM22" si="247" xml:space="preserve">
IF(EL24&gt;=VLOOKUP($C22,$C$3:$D$15,2,FALSE)*EM$20,0,
IF(AND(EL24&lt;VLOOKUP($C22,$C$3:$D$15,2,FALSE)*EM$20,EM23&lt;=VLOOKUP($C22,$C$3:$D$15,2,FALSE)*EM$20),IF(EM23-EL24&lt;0,0,EM23-EL24),
IF(AND(EL24&lt;VLOOKUP($C22,$C$3:$D$15,2,FALSE)*EM$20,EM23&gt;VLOOKUP($C22,$C$3:$D$15,2,FALSE)*EM$20),VLOOKUP($C22,$C$3:$D$15,2,FALSE)*EM$20-EL24)))</f>
        <v>0</v>
      </c>
      <c r="EN22" s="762">
        <f t="shared" ref="EN22" si="248" xml:space="preserve">
IF(EM24&gt;=VLOOKUP($C22,$C$3:$D$15,2,FALSE)*EN$20,0,
IF(AND(EM24&lt;VLOOKUP($C22,$C$3:$D$15,2,FALSE)*EN$20,EN23&lt;=VLOOKUP($C22,$C$3:$D$15,2,FALSE)*EN$20),IF(EN23-EM24&lt;0,0,EN23-EM24),
IF(AND(EM24&lt;VLOOKUP($C22,$C$3:$D$15,2,FALSE)*EN$20,EN23&gt;VLOOKUP($C22,$C$3:$D$15,2,FALSE)*EN$20),VLOOKUP($C22,$C$3:$D$15,2,FALSE)*EN$20-EM24)))</f>
        <v>0</v>
      </c>
      <c r="EO22" s="762">
        <f t="shared" ref="EO22" si="249" xml:space="preserve">
IF(EN24&gt;=VLOOKUP($C22,$C$3:$D$15,2,FALSE)*EO$20,0,
IF(AND(EN24&lt;VLOOKUP($C22,$C$3:$D$15,2,FALSE)*EO$20,EO23&lt;=VLOOKUP($C22,$C$3:$D$15,2,FALSE)*EO$20),IF(EO23-EN24&lt;0,0,EO23-EN24),
IF(AND(EN24&lt;VLOOKUP($C22,$C$3:$D$15,2,FALSE)*EO$20,EO23&gt;VLOOKUP($C22,$C$3:$D$15,2,FALSE)*EO$20),VLOOKUP($C22,$C$3:$D$15,2,FALSE)*EO$20-EN24)))</f>
        <v>0</v>
      </c>
      <c r="EP22" s="762">
        <f t="shared" ref="EP22" si="250" xml:space="preserve">
IF(EO24&gt;=VLOOKUP($C22,$C$3:$D$15,2,FALSE)*EP$20,0,
IF(AND(EO24&lt;VLOOKUP($C22,$C$3:$D$15,2,FALSE)*EP$20,EP23&lt;=VLOOKUP($C22,$C$3:$D$15,2,FALSE)*EP$20),IF(EP23-EO24&lt;0,0,EP23-EO24),
IF(AND(EO24&lt;VLOOKUP($C22,$C$3:$D$15,2,FALSE)*EP$20,EP23&gt;VLOOKUP($C22,$C$3:$D$15,2,FALSE)*EP$20),VLOOKUP($C22,$C$3:$D$15,2,FALSE)*EP$20-EO24)))</f>
        <v>0</v>
      </c>
      <c r="EQ22" s="762">
        <f t="shared" ref="EQ22" si="251" xml:space="preserve">
IF(EP24&gt;=VLOOKUP($C22,$C$3:$D$15,2,FALSE)*EQ$20,0,
IF(AND(EP24&lt;VLOOKUP($C22,$C$3:$D$15,2,FALSE)*EQ$20,EQ23&lt;=VLOOKUP($C22,$C$3:$D$15,2,FALSE)*EQ$20),IF(EQ23-EP24&lt;0,0,EQ23-EP24),
IF(AND(EP24&lt;VLOOKUP($C22,$C$3:$D$15,2,FALSE)*EQ$20,EQ23&gt;VLOOKUP($C22,$C$3:$D$15,2,FALSE)*EQ$20),VLOOKUP($C22,$C$3:$D$15,2,FALSE)*EQ$20-EP24)))</f>
        <v>0</v>
      </c>
      <c r="ER22" s="762">
        <f t="shared" ref="ER22" si="252" xml:space="preserve">
IF(EQ24&gt;=VLOOKUP($C22,$C$3:$D$15,2,FALSE)*ER$20,0,
IF(AND(EQ24&lt;VLOOKUP($C22,$C$3:$D$15,2,FALSE)*ER$20,ER23&lt;=VLOOKUP($C22,$C$3:$D$15,2,FALSE)*ER$20),IF(ER23-EQ24&lt;0,0,ER23-EQ24),
IF(AND(EQ24&lt;VLOOKUP($C22,$C$3:$D$15,2,FALSE)*ER$20,ER23&gt;VLOOKUP($C22,$C$3:$D$15,2,FALSE)*ER$20),VLOOKUP($C22,$C$3:$D$15,2,FALSE)*ER$20-EQ24)))</f>
        <v>0</v>
      </c>
      <c r="ES22" s="762">
        <f t="shared" ref="ES22" si="253" xml:space="preserve">
IF(ER24&gt;=VLOOKUP($C22,$C$3:$D$15,2,FALSE)*ES$20,0,
IF(AND(ER24&lt;VLOOKUP($C22,$C$3:$D$15,2,FALSE)*ES$20,ES23&lt;=VLOOKUP($C22,$C$3:$D$15,2,FALSE)*ES$20),IF(ES23-ER24&lt;0,0,ES23-ER24),
IF(AND(ER24&lt;VLOOKUP($C22,$C$3:$D$15,2,FALSE)*ES$20,ES23&gt;VLOOKUP($C22,$C$3:$D$15,2,FALSE)*ES$20),VLOOKUP($C22,$C$3:$D$15,2,FALSE)*ES$20-ER24)))</f>
        <v>0</v>
      </c>
      <c r="ET22" s="762">
        <f t="shared" ref="ET22" si="254" xml:space="preserve">
IF(ES24&gt;=VLOOKUP($C22,$C$3:$D$15,2,FALSE)*ET$20,0,
IF(AND(ES24&lt;VLOOKUP($C22,$C$3:$D$15,2,FALSE)*ET$20,ET23&lt;=VLOOKUP($C22,$C$3:$D$15,2,FALSE)*ET$20),IF(ET23-ES24&lt;0,0,ET23-ES24),
IF(AND(ES24&lt;VLOOKUP($C22,$C$3:$D$15,2,FALSE)*ET$20,ET23&gt;VLOOKUP($C22,$C$3:$D$15,2,FALSE)*ET$20),VLOOKUP($C22,$C$3:$D$15,2,FALSE)*ET$20-ES24)))</f>
        <v>0</v>
      </c>
      <c r="EU22" s="762">
        <f t="shared" ref="EU22" si="255" xml:space="preserve">
IF(ET24&gt;=VLOOKUP($C22,$C$3:$D$15,2,FALSE)*EU$20,0,
IF(AND(ET24&lt;VLOOKUP($C22,$C$3:$D$15,2,FALSE)*EU$20,EU23&lt;=VLOOKUP($C22,$C$3:$D$15,2,FALSE)*EU$20),IF(EU23-ET24&lt;0,0,EU23-ET24),
IF(AND(ET24&lt;VLOOKUP($C22,$C$3:$D$15,2,FALSE)*EU$20,EU23&gt;VLOOKUP($C22,$C$3:$D$15,2,FALSE)*EU$20),VLOOKUP($C22,$C$3:$D$15,2,FALSE)*EU$20-ET24)))</f>
        <v>0</v>
      </c>
      <c r="EV22" s="762">
        <f t="shared" ref="EV22" si="256" xml:space="preserve">
IF(EU24&gt;=VLOOKUP($C22,$C$3:$D$15,2,FALSE)*EV$20,0,
IF(AND(EU24&lt;VLOOKUP($C22,$C$3:$D$15,2,FALSE)*EV$20,EV23&lt;=VLOOKUP($C22,$C$3:$D$15,2,FALSE)*EV$20),IF(EV23-EU24&lt;0,0,EV23-EU24),
IF(AND(EU24&lt;VLOOKUP($C22,$C$3:$D$15,2,FALSE)*EV$20,EV23&gt;VLOOKUP($C22,$C$3:$D$15,2,FALSE)*EV$20),VLOOKUP($C22,$C$3:$D$15,2,FALSE)*EV$20-EU24)))</f>
        <v>0</v>
      </c>
      <c r="EW22" s="762">
        <f t="shared" ref="EW22" si="257" xml:space="preserve">
IF(EV24&gt;=VLOOKUP($C22,$C$3:$D$15,2,FALSE)*EW$20,0,
IF(AND(EV24&lt;VLOOKUP($C22,$C$3:$D$15,2,FALSE)*EW$20,EW23&lt;=VLOOKUP($C22,$C$3:$D$15,2,FALSE)*EW$20),IF(EW23-EV24&lt;0,0,EW23-EV24),
IF(AND(EV24&lt;VLOOKUP($C22,$C$3:$D$15,2,FALSE)*EW$20,EW23&gt;VLOOKUP($C22,$C$3:$D$15,2,FALSE)*EW$20),VLOOKUP($C22,$C$3:$D$15,2,FALSE)*EW$20-EV24)))</f>
        <v>0</v>
      </c>
      <c r="EX22" s="762">
        <f t="shared" ref="EX22" si="258" xml:space="preserve">
IF(EW24&gt;=VLOOKUP($C22,$C$3:$D$15,2,FALSE)*EX$20,0,
IF(AND(EW24&lt;VLOOKUP($C22,$C$3:$D$15,2,FALSE)*EX$20,EX23&lt;=VLOOKUP($C22,$C$3:$D$15,2,FALSE)*EX$20),IF(EX23-EW24&lt;0,0,EX23-EW24),
IF(AND(EW24&lt;VLOOKUP($C22,$C$3:$D$15,2,FALSE)*EX$20,EX23&gt;VLOOKUP($C22,$C$3:$D$15,2,FALSE)*EX$20),VLOOKUP($C22,$C$3:$D$15,2,FALSE)*EX$20-EW24)))</f>
        <v>0</v>
      </c>
      <c r="EY22" s="762">
        <f t="shared" ref="EY22" si="259" xml:space="preserve">
IF(EX24&gt;=VLOOKUP($C22,$C$3:$D$15,2,FALSE)*EY$20,0,
IF(AND(EX24&lt;VLOOKUP($C22,$C$3:$D$15,2,FALSE)*EY$20,EY23&lt;=VLOOKUP($C22,$C$3:$D$15,2,FALSE)*EY$20),IF(EY23-EX24&lt;0,0,EY23-EX24),
IF(AND(EX24&lt;VLOOKUP($C22,$C$3:$D$15,2,FALSE)*EY$20,EY23&gt;VLOOKUP($C22,$C$3:$D$15,2,FALSE)*EY$20),VLOOKUP($C22,$C$3:$D$15,2,FALSE)*EY$20-EX24)))</f>
        <v>0</v>
      </c>
      <c r="EZ22" s="762">
        <f t="shared" ref="EZ22" si="260" xml:space="preserve">
IF(EY24&gt;=VLOOKUP($C22,$C$3:$D$15,2,FALSE)*EZ$20,0,
IF(AND(EY24&lt;VLOOKUP($C22,$C$3:$D$15,2,FALSE)*EZ$20,EZ23&lt;=VLOOKUP($C22,$C$3:$D$15,2,FALSE)*EZ$20),IF(EZ23-EY24&lt;0,0,EZ23-EY24),
IF(AND(EY24&lt;VLOOKUP($C22,$C$3:$D$15,2,FALSE)*EZ$20,EZ23&gt;VLOOKUP($C22,$C$3:$D$15,2,FALSE)*EZ$20),VLOOKUP($C22,$C$3:$D$15,2,FALSE)*EZ$20-EY24)))</f>
        <v>0</v>
      </c>
      <c r="FA22" s="762">
        <f t="shared" ref="FA22" si="261" xml:space="preserve">
IF(EZ24&gt;=VLOOKUP($C22,$C$3:$D$15,2,FALSE)*FA$20,0,
IF(AND(EZ24&lt;VLOOKUP($C22,$C$3:$D$15,2,FALSE)*FA$20,FA23&lt;=VLOOKUP($C22,$C$3:$D$15,2,FALSE)*FA$20),IF(FA23-EZ24&lt;0,0,FA23-EZ24),
IF(AND(EZ24&lt;VLOOKUP($C22,$C$3:$D$15,2,FALSE)*FA$20,FA23&gt;VLOOKUP($C22,$C$3:$D$15,2,FALSE)*FA$20),VLOOKUP($C22,$C$3:$D$15,2,FALSE)*FA$20-EZ24)))</f>
        <v>0</v>
      </c>
      <c r="FB22" s="762">
        <f t="shared" ref="FB22" si="262" xml:space="preserve">
IF(FA24&gt;=VLOOKUP($C22,$C$3:$D$15,2,FALSE)*FB$20,0,
IF(AND(FA24&lt;VLOOKUP($C22,$C$3:$D$15,2,FALSE)*FB$20,FB23&lt;=VLOOKUP($C22,$C$3:$D$15,2,FALSE)*FB$20),IF(FB23-FA24&lt;0,0,FB23-FA24),
IF(AND(FA24&lt;VLOOKUP($C22,$C$3:$D$15,2,FALSE)*FB$20,FB23&gt;VLOOKUP($C22,$C$3:$D$15,2,FALSE)*FB$20),VLOOKUP($C22,$C$3:$D$15,2,FALSE)*FB$20-FA24)))</f>
        <v>0</v>
      </c>
      <c r="FC22" s="762">
        <f t="shared" ref="FC22" si="263" xml:space="preserve">
IF(FB24&gt;=VLOOKUP($C22,$C$3:$D$15,2,FALSE)*FC$20,0,
IF(AND(FB24&lt;VLOOKUP($C22,$C$3:$D$15,2,FALSE)*FC$20,FC23&lt;=VLOOKUP($C22,$C$3:$D$15,2,FALSE)*FC$20),IF(FC23-FB24&lt;0,0,FC23-FB24),
IF(AND(FB24&lt;VLOOKUP($C22,$C$3:$D$15,2,FALSE)*FC$20,FC23&gt;VLOOKUP($C22,$C$3:$D$15,2,FALSE)*FC$20),VLOOKUP($C22,$C$3:$D$15,2,FALSE)*FC$20-FB24)))</f>
        <v>0</v>
      </c>
      <c r="FD22" s="762">
        <f t="shared" ref="FD22" si="264" xml:space="preserve">
IF(FC24&gt;=VLOOKUP($C22,$C$3:$D$15,2,FALSE)*FD$20,0,
IF(AND(FC24&lt;VLOOKUP($C22,$C$3:$D$15,2,FALSE)*FD$20,FD23&lt;=VLOOKUP($C22,$C$3:$D$15,2,FALSE)*FD$20),IF(FD23-FC24&lt;0,0,FD23-FC24),
IF(AND(FC24&lt;VLOOKUP($C22,$C$3:$D$15,2,FALSE)*FD$20,FD23&gt;VLOOKUP($C22,$C$3:$D$15,2,FALSE)*FD$20),VLOOKUP($C22,$C$3:$D$15,2,FALSE)*FD$20-FC24)))</f>
        <v>0</v>
      </c>
      <c r="FE22" s="762">
        <f t="shared" ref="FE22" si="265" xml:space="preserve">
IF(FD24&gt;=VLOOKUP($C22,$C$3:$D$15,2,FALSE)*FE$20,0,
IF(AND(FD24&lt;VLOOKUP($C22,$C$3:$D$15,2,FALSE)*FE$20,FE23&lt;=VLOOKUP($C22,$C$3:$D$15,2,FALSE)*FE$20),IF(FE23-FD24&lt;0,0,FE23-FD24),
IF(AND(FD24&lt;VLOOKUP($C22,$C$3:$D$15,2,FALSE)*FE$20,FE23&gt;VLOOKUP($C22,$C$3:$D$15,2,FALSE)*FE$20),VLOOKUP($C22,$C$3:$D$15,2,FALSE)*FE$20-FD24)))</f>
        <v>0</v>
      </c>
      <c r="FF22" s="762">
        <f t="shared" ref="FF22" si="266" xml:space="preserve">
IF(FE24&gt;=VLOOKUP($C22,$C$3:$D$15,2,FALSE)*FF$20,0,
IF(AND(FE24&lt;VLOOKUP($C22,$C$3:$D$15,2,FALSE)*FF$20,FF23&lt;=VLOOKUP($C22,$C$3:$D$15,2,FALSE)*FF$20),IF(FF23-FE24&lt;0,0,FF23-FE24),
IF(AND(FE24&lt;VLOOKUP($C22,$C$3:$D$15,2,FALSE)*FF$20,FF23&gt;VLOOKUP($C22,$C$3:$D$15,2,FALSE)*FF$20),VLOOKUP($C22,$C$3:$D$15,2,FALSE)*FF$20-FE24)))</f>
        <v>0</v>
      </c>
      <c r="FG22" s="762">
        <f t="shared" ref="FG22" si="267" xml:space="preserve">
IF(FF24&gt;=VLOOKUP($C22,$C$3:$D$15,2,FALSE)*FG$20,0,
IF(AND(FF24&lt;VLOOKUP($C22,$C$3:$D$15,2,FALSE)*FG$20,FG23&lt;=VLOOKUP($C22,$C$3:$D$15,2,FALSE)*FG$20),IF(FG23-FF24&lt;0,0,FG23-FF24),
IF(AND(FF24&lt;VLOOKUP($C22,$C$3:$D$15,2,FALSE)*FG$20,FG23&gt;VLOOKUP($C22,$C$3:$D$15,2,FALSE)*FG$20),VLOOKUP($C22,$C$3:$D$15,2,FALSE)*FG$20-FF24)))</f>
        <v>0</v>
      </c>
      <c r="FH22" s="762">
        <f t="shared" ref="FH22" si="268" xml:space="preserve">
IF(FG24&gt;=VLOOKUP($C22,$C$3:$D$15,2,FALSE)*FH$20,0,
IF(AND(FG24&lt;VLOOKUP($C22,$C$3:$D$15,2,FALSE)*FH$20,FH23&lt;=VLOOKUP($C22,$C$3:$D$15,2,FALSE)*FH$20),IF(FH23-FG24&lt;0,0,FH23-FG24),
IF(AND(FG24&lt;VLOOKUP($C22,$C$3:$D$15,2,FALSE)*FH$20,FH23&gt;VLOOKUP($C22,$C$3:$D$15,2,FALSE)*FH$20),VLOOKUP($C22,$C$3:$D$15,2,FALSE)*FH$20-FG24)))</f>
        <v>0</v>
      </c>
      <c r="FI22" s="762">
        <f t="shared" ref="FI22" si="269" xml:space="preserve">
IF(FH24&gt;=VLOOKUP($C22,$C$3:$D$15,2,FALSE)*FI$20,0,
IF(AND(FH24&lt;VLOOKUP($C22,$C$3:$D$15,2,FALSE)*FI$20,FI23&lt;=VLOOKUP($C22,$C$3:$D$15,2,FALSE)*FI$20),IF(FI23-FH24&lt;0,0,FI23-FH24),
IF(AND(FH24&lt;VLOOKUP($C22,$C$3:$D$15,2,FALSE)*FI$20,FI23&gt;VLOOKUP($C22,$C$3:$D$15,2,FALSE)*FI$20),VLOOKUP($C22,$C$3:$D$15,2,FALSE)*FI$20-FH24)))</f>
        <v>0</v>
      </c>
      <c r="FJ22" s="762">
        <f t="shared" ref="FJ22" si="270" xml:space="preserve">
IF(FI24&gt;=VLOOKUP($C22,$C$3:$D$15,2,FALSE)*FJ$20,0,
IF(AND(FI24&lt;VLOOKUP($C22,$C$3:$D$15,2,FALSE)*FJ$20,FJ23&lt;=VLOOKUP($C22,$C$3:$D$15,2,FALSE)*FJ$20),IF(FJ23-FI24&lt;0,0,FJ23-FI24),
IF(AND(FI24&lt;VLOOKUP($C22,$C$3:$D$15,2,FALSE)*FJ$20,FJ23&gt;VLOOKUP($C22,$C$3:$D$15,2,FALSE)*FJ$20),VLOOKUP($C22,$C$3:$D$15,2,FALSE)*FJ$20-FI24)))</f>
        <v>0</v>
      </c>
      <c r="FK22" s="762">
        <f t="shared" ref="FK22" si="271" xml:space="preserve">
IF(FJ24&gt;=VLOOKUP($C22,$C$3:$D$15,2,FALSE)*FK$20,0,
IF(AND(FJ24&lt;VLOOKUP($C22,$C$3:$D$15,2,FALSE)*FK$20,FK23&lt;=VLOOKUP($C22,$C$3:$D$15,2,FALSE)*FK$20),IF(FK23-FJ24&lt;0,0,FK23-FJ24),
IF(AND(FJ24&lt;VLOOKUP($C22,$C$3:$D$15,2,FALSE)*FK$20,FK23&gt;VLOOKUP($C22,$C$3:$D$15,2,FALSE)*FK$20),VLOOKUP($C22,$C$3:$D$15,2,FALSE)*FK$20-FJ24)))</f>
        <v>0</v>
      </c>
      <c r="FL22" s="762">
        <f t="shared" ref="FL22" si="272" xml:space="preserve">
IF(FK24&gt;=VLOOKUP($C22,$C$3:$D$15,2,FALSE)*FL$20,0,
IF(AND(FK24&lt;VLOOKUP($C22,$C$3:$D$15,2,FALSE)*FL$20,FL23&lt;=VLOOKUP($C22,$C$3:$D$15,2,FALSE)*FL$20),IF(FL23-FK24&lt;0,0,FL23-FK24),
IF(AND(FK24&lt;VLOOKUP($C22,$C$3:$D$15,2,FALSE)*FL$20,FL23&gt;VLOOKUP($C22,$C$3:$D$15,2,FALSE)*FL$20),VLOOKUP($C22,$C$3:$D$15,2,FALSE)*FL$20-FK24)))</f>
        <v>0</v>
      </c>
      <c r="FM22" s="762">
        <f t="shared" ref="FM22" si="273" xml:space="preserve">
IF(FL24&gt;=VLOOKUP($C22,$C$3:$D$15,2,FALSE)*FM$20,0,
IF(AND(FL24&lt;VLOOKUP($C22,$C$3:$D$15,2,FALSE)*FM$20,FM23&lt;=VLOOKUP($C22,$C$3:$D$15,2,FALSE)*FM$20),IF(FM23-FL24&lt;0,0,FM23-FL24),
IF(AND(FL24&lt;VLOOKUP($C22,$C$3:$D$15,2,FALSE)*FM$20,FM23&gt;VLOOKUP($C22,$C$3:$D$15,2,FALSE)*FM$20),VLOOKUP($C22,$C$3:$D$15,2,FALSE)*FM$20-FL24)))</f>
        <v>0</v>
      </c>
      <c r="FN22" s="762">
        <f t="shared" ref="FN22" si="274" xml:space="preserve">
IF(FM24&gt;=VLOOKUP($C22,$C$3:$D$15,2,FALSE)*FN$20,0,
IF(AND(FM24&lt;VLOOKUP($C22,$C$3:$D$15,2,FALSE)*FN$20,FN23&lt;=VLOOKUP($C22,$C$3:$D$15,2,FALSE)*FN$20),IF(FN23-FM24&lt;0,0,FN23-FM24),
IF(AND(FM24&lt;VLOOKUP($C22,$C$3:$D$15,2,FALSE)*FN$20,FN23&gt;VLOOKUP($C22,$C$3:$D$15,2,FALSE)*FN$20),VLOOKUP($C22,$C$3:$D$15,2,FALSE)*FN$20-FM24)))</f>
        <v>0</v>
      </c>
      <c r="FO22" s="762">
        <f t="shared" ref="FO22" si="275" xml:space="preserve">
IF(FN24&gt;=VLOOKUP($C22,$C$3:$D$15,2,FALSE)*FO$20,0,
IF(AND(FN24&lt;VLOOKUP($C22,$C$3:$D$15,2,FALSE)*FO$20,FO23&lt;=VLOOKUP($C22,$C$3:$D$15,2,FALSE)*FO$20),IF(FO23-FN24&lt;0,0,FO23-FN24),
IF(AND(FN24&lt;VLOOKUP($C22,$C$3:$D$15,2,FALSE)*FO$20,FO23&gt;VLOOKUP($C22,$C$3:$D$15,2,FALSE)*FO$20),VLOOKUP($C22,$C$3:$D$15,2,FALSE)*FO$20-FN24)))</f>
        <v>0</v>
      </c>
      <c r="FP22" s="762">
        <f t="shared" ref="FP22" si="276" xml:space="preserve">
IF(FO24&gt;=VLOOKUP($C22,$C$3:$D$15,2,FALSE)*FP$20,0,
IF(AND(FO24&lt;VLOOKUP($C22,$C$3:$D$15,2,FALSE)*FP$20,FP23&lt;=VLOOKUP($C22,$C$3:$D$15,2,FALSE)*FP$20),IF(FP23-FO24&lt;0,0,FP23-FO24),
IF(AND(FO24&lt;VLOOKUP($C22,$C$3:$D$15,2,FALSE)*FP$20,FP23&gt;VLOOKUP($C22,$C$3:$D$15,2,FALSE)*FP$20),VLOOKUP($C22,$C$3:$D$15,2,FALSE)*FP$20-FO24)))</f>
        <v>0</v>
      </c>
      <c r="FQ22" s="762">
        <f t="shared" ref="FQ22" si="277" xml:space="preserve">
IF(FP24&gt;=VLOOKUP($C22,$C$3:$D$15,2,FALSE)*FQ$20,0,
IF(AND(FP24&lt;VLOOKUP($C22,$C$3:$D$15,2,FALSE)*FQ$20,FQ23&lt;=VLOOKUP($C22,$C$3:$D$15,2,FALSE)*FQ$20),IF(FQ23-FP24&lt;0,0,FQ23-FP24),
IF(AND(FP24&lt;VLOOKUP($C22,$C$3:$D$15,2,FALSE)*FQ$20,FQ23&gt;VLOOKUP($C22,$C$3:$D$15,2,FALSE)*FQ$20),VLOOKUP($C22,$C$3:$D$15,2,FALSE)*FQ$20-FP24)))</f>
        <v>0</v>
      </c>
      <c r="FR22" s="762">
        <f t="shared" ref="FR22" si="278" xml:space="preserve">
IF(FQ24&gt;=VLOOKUP($C22,$C$3:$D$15,2,FALSE)*FR$20,0,
IF(AND(FQ24&lt;VLOOKUP($C22,$C$3:$D$15,2,FALSE)*FR$20,FR23&lt;=VLOOKUP($C22,$C$3:$D$15,2,FALSE)*FR$20),IF(FR23-FQ24&lt;0,0,FR23-FQ24),
IF(AND(FQ24&lt;VLOOKUP($C22,$C$3:$D$15,2,FALSE)*FR$20,FR23&gt;VLOOKUP($C22,$C$3:$D$15,2,FALSE)*FR$20),VLOOKUP($C22,$C$3:$D$15,2,FALSE)*FR$20-FQ24)))</f>
        <v>0</v>
      </c>
      <c r="FS22" s="762">
        <f t="shared" ref="FS22" si="279" xml:space="preserve">
IF(FR24&gt;=VLOOKUP($C22,$C$3:$D$15,2,FALSE)*FS$20,0,
IF(AND(FR24&lt;VLOOKUP($C22,$C$3:$D$15,2,FALSE)*FS$20,FS23&lt;=VLOOKUP($C22,$C$3:$D$15,2,FALSE)*FS$20),IF(FS23-FR24&lt;0,0,FS23-FR24),
IF(AND(FR24&lt;VLOOKUP($C22,$C$3:$D$15,2,FALSE)*FS$20,FS23&gt;VLOOKUP($C22,$C$3:$D$15,2,FALSE)*FS$20),VLOOKUP($C22,$C$3:$D$15,2,FALSE)*FS$20-FR24)))</f>
        <v>0</v>
      </c>
      <c r="FT22" s="762">
        <f t="shared" ref="FT22" si="280" xml:space="preserve">
IF(FS24&gt;=VLOOKUP($C22,$C$3:$D$15,2,FALSE)*FT$20,0,
IF(AND(FS24&lt;VLOOKUP($C22,$C$3:$D$15,2,FALSE)*FT$20,FT23&lt;=VLOOKUP($C22,$C$3:$D$15,2,FALSE)*FT$20),IF(FT23-FS24&lt;0,0,FT23-FS24),
IF(AND(FS24&lt;VLOOKUP($C22,$C$3:$D$15,2,FALSE)*FT$20,FT23&gt;VLOOKUP($C22,$C$3:$D$15,2,FALSE)*FT$20),VLOOKUP($C22,$C$3:$D$15,2,FALSE)*FT$20-FS24)))</f>
        <v>0</v>
      </c>
      <c r="FU22" s="762">
        <f t="shared" ref="FU22" si="281" xml:space="preserve">
IF(FT24&gt;=VLOOKUP($C22,$C$3:$D$15,2,FALSE)*FU$20,0,
IF(AND(FT24&lt;VLOOKUP($C22,$C$3:$D$15,2,FALSE)*FU$20,FU23&lt;=VLOOKUP($C22,$C$3:$D$15,2,FALSE)*FU$20),IF(FU23-FT24&lt;0,0,FU23-FT24),
IF(AND(FT24&lt;VLOOKUP($C22,$C$3:$D$15,2,FALSE)*FU$20,FU23&gt;VLOOKUP($C22,$C$3:$D$15,2,FALSE)*FU$20),VLOOKUP($C22,$C$3:$D$15,2,FALSE)*FU$20-FT24)))</f>
        <v>0</v>
      </c>
      <c r="FV22" s="762">
        <f t="shared" ref="FV22" si="282" xml:space="preserve">
IF(FU24&gt;=VLOOKUP($C22,$C$3:$D$15,2,FALSE)*FV$20,0,
IF(AND(FU24&lt;VLOOKUP($C22,$C$3:$D$15,2,FALSE)*FV$20,FV23&lt;=VLOOKUP($C22,$C$3:$D$15,2,FALSE)*FV$20),IF(FV23-FU24&lt;0,0,FV23-FU24),
IF(AND(FU24&lt;VLOOKUP($C22,$C$3:$D$15,2,FALSE)*FV$20,FV23&gt;VLOOKUP($C22,$C$3:$D$15,2,FALSE)*FV$20),VLOOKUP($C22,$C$3:$D$15,2,FALSE)*FV$20-FU24)))</f>
        <v>0</v>
      </c>
      <c r="FW22" s="762">
        <f t="shared" ref="FW22" si="283" xml:space="preserve">
IF(FV24&gt;=VLOOKUP($C22,$C$3:$D$15,2,FALSE)*FW$20,0,
IF(AND(FV24&lt;VLOOKUP($C22,$C$3:$D$15,2,FALSE)*FW$20,FW23&lt;=VLOOKUP($C22,$C$3:$D$15,2,FALSE)*FW$20),IF(FW23-FV24&lt;0,0,FW23-FV24),
IF(AND(FV24&lt;VLOOKUP($C22,$C$3:$D$15,2,FALSE)*FW$20,FW23&gt;VLOOKUP($C22,$C$3:$D$15,2,FALSE)*FW$20),VLOOKUP($C22,$C$3:$D$15,2,FALSE)*FW$20-FV24)))</f>
        <v>0</v>
      </c>
      <c r="FX22" s="762">
        <f t="shared" ref="FX22" si="284" xml:space="preserve">
IF(FW24&gt;=VLOOKUP($C22,$C$3:$D$15,2,FALSE)*FX$20,0,
IF(AND(FW24&lt;VLOOKUP($C22,$C$3:$D$15,2,FALSE)*FX$20,FX23&lt;=VLOOKUP($C22,$C$3:$D$15,2,FALSE)*FX$20),IF(FX23-FW24&lt;0,0,FX23-FW24),
IF(AND(FW24&lt;VLOOKUP($C22,$C$3:$D$15,2,FALSE)*FX$20,FX23&gt;VLOOKUP($C22,$C$3:$D$15,2,FALSE)*FX$20),VLOOKUP($C22,$C$3:$D$15,2,FALSE)*FX$20-FW24)))</f>
        <v>0</v>
      </c>
      <c r="FY22" s="762">
        <f t="shared" ref="FY22" si="285" xml:space="preserve">
IF(FX24&gt;=VLOOKUP($C22,$C$3:$D$15,2,FALSE)*FY$20,0,
IF(AND(FX24&lt;VLOOKUP($C22,$C$3:$D$15,2,FALSE)*FY$20,FY23&lt;=VLOOKUP($C22,$C$3:$D$15,2,FALSE)*FY$20),IF(FY23-FX24&lt;0,0,FY23-FX24),
IF(AND(FX24&lt;VLOOKUP($C22,$C$3:$D$15,2,FALSE)*FY$20,FY23&gt;VLOOKUP($C22,$C$3:$D$15,2,FALSE)*FY$20),VLOOKUP($C22,$C$3:$D$15,2,FALSE)*FY$20-FX24)))</f>
        <v>0</v>
      </c>
      <c r="FZ22" s="762">
        <f t="shared" ref="FZ22" si="286" xml:space="preserve">
IF(FY24&gt;=VLOOKUP($C22,$C$3:$D$15,2,FALSE)*FZ$20,0,
IF(AND(FY24&lt;VLOOKUP($C22,$C$3:$D$15,2,FALSE)*FZ$20,FZ23&lt;=VLOOKUP($C22,$C$3:$D$15,2,FALSE)*FZ$20),IF(FZ23-FY24&lt;0,0,FZ23-FY24),
IF(AND(FY24&lt;VLOOKUP($C22,$C$3:$D$15,2,FALSE)*FZ$20,FZ23&gt;VLOOKUP($C22,$C$3:$D$15,2,FALSE)*FZ$20),VLOOKUP($C22,$C$3:$D$15,2,FALSE)*FZ$20-FY24)))</f>
        <v>0</v>
      </c>
      <c r="GA22" s="762">
        <f t="shared" ref="GA22" si="287" xml:space="preserve">
IF(FZ24&gt;=VLOOKUP($C22,$C$3:$D$15,2,FALSE)*GA$20,0,
IF(AND(FZ24&lt;VLOOKUP($C22,$C$3:$D$15,2,FALSE)*GA$20,GA23&lt;=VLOOKUP($C22,$C$3:$D$15,2,FALSE)*GA$20),IF(GA23-FZ24&lt;0,0,GA23-FZ24),
IF(AND(FZ24&lt;VLOOKUP($C22,$C$3:$D$15,2,FALSE)*GA$20,GA23&gt;VLOOKUP($C22,$C$3:$D$15,2,FALSE)*GA$20),VLOOKUP($C22,$C$3:$D$15,2,FALSE)*GA$20-FZ24)))</f>
        <v>0</v>
      </c>
      <c r="GB22" s="762">
        <f t="shared" ref="GB22" si="288" xml:space="preserve">
IF(GA24&gt;=VLOOKUP($C22,$C$3:$D$15,2,FALSE)*GB$20,0,
IF(AND(GA24&lt;VLOOKUP($C22,$C$3:$D$15,2,FALSE)*GB$20,GB23&lt;=VLOOKUP($C22,$C$3:$D$15,2,FALSE)*GB$20),IF(GB23-GA24&lt;0,0,GB23-GA24),
IF(AND(GA24&lt;VLOOKUP($C22,$C$3:$D$15,2,FALSE)*GB$20,GB23&gt;VLOOKUP($C22,$C$3:$D$15,2,FALSE)*GB$20),VLOOKUP($C22,$C$3:$D$15,2,FALSE)*GB$20-GA24)))</f>
        <v>0</v>
      </c>
      <c r="GC22" s="762">
        <f t="shared" ref="GC22" si="289" xml:space="preserve">
IF(GB24&gt;=VLOOKUP($C22,$C$3:$D$15,2,FALSE)*GC$20,0,
IF(AND(GB24&lt;VLOOKUP($C22,$C$3:$D$15,2,FALSE)*GC$20,GC23&lt;=VLOOKUP($C22,$C$3:$D$15,2,FALSE)*GC$20),IF(GC23-GB24&lt;0,0,GC23-GB24),
IF(AND(GB24&lt;VLOOKUP($C22,$C$3:$D$15,2,FALSE)*GC$20,GC23&gt;VLOOKUP($C22,$C$3:$D$15,2,FALSE)*GC$20),VLOOKUP($C22,$C$3:$D$15,2,FALSE)*GC$20-GB24)))</f>
        <v>0</v>
      </c>
      <c r="GD22" s="762">
        <f t="shared" ref="GD22" si="290" xml:space="preserve">
IF(GC24&gt;=VLOOKUP($C22,$C$3:$D$15,2,FALSE)*GD$20,0,
IF(AND(GC24&lt;VLOOKUP($C22,$C$3:$D$15,2,FALSE)*GD$20,GD23&lt;=VLOOKUP($C22,$C$3:$D$15,2,FALSE)*GD$20),IF(GD23-GC24&lt;0,0,GD23-GC24),
IF(AND(GC24&lt;VLOOKUP($C22,$C$3:$D$15,2,FALSE)*GD$20,GD23&gt;VLOOKUP($C22,$C$3:$D$15,2,FALSE)*GD$20),VLOOKUP($C22,$C$3:$D$15,2,FALSE)*GD$20-GC24)))</f>
        <v>0</v>
      </c>
      <c r="GE22" s="762">
        <f t="shared" ref="GE22" si="291" xml:space="preserve">
IF(GD24&gt;=VLOOKUP($C22,$C$3:$D$15,2,FALSE)*GE$20,0,
IF(AND(GD24&lt;VLOOKUP($C22,$C$3:$D$15,2,FALSE)*GE$20,GE23&lt;=VLOOKUP($C22,$C$3:$D$15,2,FALSE)*GE$20),IF(GE23-GD24&lt;0,0,GE23-GD24),
IF(AND(GD24&lt;VLOOKUP($C22,$C$3:$D$15,2,FALSE)*GE$20,GE23&gt;VLOOKUP($C22,$C$3:$D$15,2,FALSE)*GE$20),VLOOKUP($C22,$C$3:$D$15,2,FALSE)*GE$20-GD24)))</f>
        <v>0</v>
      </c>
      <c r="GF22" s="762">
        <f t="shared" ref="GF22" si="292" xml:space="preserve">
IF(GE24&gt;=VLOOKUP($C22,$C$3:$D$15,2,FALSE)*GF$20,0,
IF(AND(GE24&lt;VLOOKUP($C22,$C$3:$D$15,2,FALSE)*GF$20,GF23&lt;=VLOOKUP($C22,$C$3:$D$15,2,FALSE)*GF$20),IF(GF23-GE24&lt;0,0,GF23-GE24),
IF(AND(GE24&lt;VLOOKUP($C22,$C$3:$D$15,2,FALSE)*GF$20,GF23&gt;VLOOKUP($C22,$C$3:$D$15,2,FALSE)*GF$20),VLOOKUP($C22,$C$3:$D$15,2,FALSE)*GF$20-GE24)))</f>
        <v>0</v>
      </c>
      <c r="GG22" s="762">
        <f t="shared" ref="GG22" si="293" xml:space="preserve">
IF(GF24&gt;=VLOOKUP($C22,$C$3:$D$15,2,FALSE)*GG$20,0,
IF(AND(GF24&lt;VLOOKUP($C22,$C$3:$D$15,2,FALSE)*GG$20,GG23&lt;=VLOOKUP($C22,$C$3:$D$15,2,FALSE)*GG$20),IF(GG23-GF24&lt;0,0,GG23-GF24),
IF(AND(GF24&lt;VLOOKUP($C22,$C$3:$D$15,2,FALSE)*GG$20,GG23&gt;VLOOKUP($C22,$C$3:$D$15,2,FALSE)*GG$20),VLOOKUP($C22,$C$3:$D$15,2,FALSE)*GG$20-GF24)))</f>
        <v>0</v>
      </c>
      <c r="GH22" s="762">
        <f t="shared" ref="GH22" si="294" xml:space="preserve">
IF(GG24&gt;=VLOOKUP($C22,$C$3:$D$15,2,FALSE)*GH$20,0,
IF(AND(GG24&lt;VLOOKUP($C22,$C$3:$D$15,2,FALSE)*GH$20,GH23&lt;=VLOOKUP($C22,$C$3:$D$15,2,FALSE)*GH$20),IF(GH23-GG24&lt;0,0,GH23-GG24),
IF(AND(GG24&lt;VLOOKUP($C22,$C$3:$D$15,2,FALSE)*GH$20,GH23&gt;VLOOKUP($C22,$C$3:$D$15,2,FALSE)*GH$20),VLOOKUP($C22,$C$3:$D$15,2,FALSE)*GH$20-GG24)))</f>
        <v>0</v>
      </c>
      <c r="GI22" s="762">
        <f t="shared" ref="GI22" si="295" xml:space="preserve">
IF(GH24&gt;=VLOOKUP($C22,$C$3:$D$15,2,FALSE)*GI$20,0,
IF(AND(GH24&lt;VLOOKUP($C22,$C$3:$D$15,2,FALSE)*GI$20,GI23&lt;=VLOOKUP($C22,$C$3:$D$15,2,FALSE)*GI$20),IF(GI23-GH24&lt;0,0,GI23-GH24),
IF(AND(GH24&lt;VLOOKUP($C22,$C$3:$D$15,2,FALSE)*GI$20,GI23&gt;VLOOKUP($C22,$C$3:$D$15,2,FALSE)*GI$20),VLOOKUP($C22,$C$3:$D$15,2,FALSE)*GI$20-GH24)))</f>
        <v>0</v>
      </c>
      <c r="GJ22" s="762">
        <f t="shared" ref="GJ22" si="296" xml:space="preserve">
IF(GI24&gt;=VLOOKUP($C22,$C$3:$D$15,2,FALSE)*GJ$20,0,
IF(AND(GI24&lt;VLOOKUP($C22,$C$3:$D$15,2,FALSE)*GJ$20,GJ23&lt;=VLOOKUP($C22,$C$3:$D$15,2,FALSE)*GJ$20),IF(GJ23-GI24&lt;0,0,GJ23-GI24),
IF(AND(GI24&lt;VLOOKUP($C22,$C$3:$D$15,2,FALSE)*GJ$20,GJ23&gt;VLOOKUP($C22,$C$3:$D$15,2,FALSE)*GJ$20),VLOOKUP($C22,$C$3:$D$15,2,FALSE)*GJ$20-GI24)))</f>
        <v>0</v>
      </c>
    </row>
    <row r="23" spans="2:192" s="632" customFormat="1">
      <c r="B23" s="633"/>
      <c r="C23" s="625"/>
      <c r="D23" s="701" t="s">
        <v>1424</v>
      </c>
      <c r="E23" s="706"/>
      <c r="F23" s="653"/>
      <c r="G23" s="762">
        <f>SUMIF(防護具!$Y$30:$Y$212,G$17&amp;$C22,防護具!$Q$30:$Q$212)</f>
        <v>0</v>
      </c>
      <c r="H23" s="762">
        <f>IFERROR(
SUM(G23,SUMIF(防護具!$Y$30:$Y$212,H$17&amp;$C22,防護具!$Q$30:$Q$212))-G22,0)</f>
        <v>0</v>
      </c>
      <c r="I23" s="762">
        <f>IFERROR(
SUM(H23,SUMIF(防護具!$Y$30:$Y$212,I$17&amp;$C22,防護具!$Q$30:$Q$212))-H22,0)</f>
        <v>0</v>
      </c>
      <c r="J23" s="762">
        <f>IFERROR(
SUM(I23,SUMIF(防護具!$Y$30:$Y$212,J$17&amp;$C22,防護具!$Q$30:$Q$212))-I22,0)</f>
        <v>0</v>
      </c>
      <c r="K23" s="762">
        <f>IFERROR(
SUM(J23,SUMIF(防護具!$Y$30:$Y$212,K$17&amp;$C22,防護具!$Q$30:$Q$212))-J22,0)</f>
        <v>0</v>
      </c>
      <c r="L23" s="762">
        <f>IFERROR(
SUM(K23,SUMIF(防護具!$Y$30:$Y$212,L$17&amp;$C22,防護具!$Q$30:$Q$212))-K22,0)</f>
        <v>0</v>
      </c>
      <c r="M23" s="762">
        <f>IFERROR(
SUM(L23,SUMIF(防護具!$Y$30:$Y$212,M$17&amp;$C22,防護具!$Q$30:$Q$212))-L22,0)</f>
        <v>0</v>
      </c>
      <c r="N23" s="762">
        <f>IFERROR(
SUM(M23,SUMIF(防護具!$Y$30:$Y$212,N$17&amp;$C22,防護具!$Q$30:$Q$212))-M22,0)</f>
        <v>0</v>
      </c>
      <c r="O23" s="762">
        <f>IFERROR(
SUM(N23,SUMIF(防護具!$Y$30:$Y$212,O$17&amp;$C22,防護具!$Q$30:$Q$212))-N22,0)</f>
        <v>0</v>
      </c>
      <c r="P23" s="762">
        <f>IFERROR(
SUM(O23,SUMIF(防護具!$Y$30:$Y$212,P$17&amp;$C22,防護具!$Q$30:$Q$212))-O22,0)</f>
        <v>0</v>
      </c>
      <c r="Q23" s="762">
        <f>IFERROR(
SUM(P23,SUMIF(防護具!$Y$30:$Y$212,Q$17&amp;$C22,防護具!$Q$30:$Q$212))-P22,0)</f>
        <v>0</v>
      </c>
      <c r="R23" s="762">
        <f>IFERROR(
SUM(Q23,SUMIF(防護具!$Y$30:$Y$212,R$17&amp;$C22,防護具!$Q$30:$Q$212))-Q22,0)</f>
        <v>0</v>
      </c>
      <c r="S23" s="762">
        <f>IFERROR(
SUM(R23,SUMIF(防護具!$Y$30:$Y$212,S$17&amp;$C22,防護具!$Q$30:$Q$212))-R22,0)</f>
        <v>0</v>
      </c>
      <c r="T23" s="762">
        <f>IFERROR(
SUM(S23,SUMIF(防護具!$Y$30:$Y$212,T$17&amp;$C22,防護具!$Q$30:$Q$212))-S22,0)</f>
        <v>0</v>
      </c>
      <c r="U23" s="762">
        <f>IFERROR(
SUM(T23,SUMIF(防護具!$Y$30:$Y$212,U$17&amp;$C22,防護具!$Q$30:$Q$212))-T22,0)</f>
        <v>0</v>
      </c>
      <c r="V23" s="762">
        <f>IFERROR(
SUM(U23,SUMIF(防護具!$Y$30:$Y$212,V$17&amp;$C22,防護具!$Q$30:$Q$212))-U22,0)</f>
        <v>0</v>
      </c>
      <c r="W23" s="762">
        <f>IFERROR(
SUM(V23,SUMIF(防護具!$Y$30:$Y$212,W$17&amp;$C22,防護具!$Q$30:$Q$212))-V22,0)</f>
        <v>0</v>
      </c>
      <c r="X23" s="762">
        <f>IFERROR(
SUM(W23,SUMIF(防護具!$Y$30:$Y$212,X$17&amp;$C22,防護具!$Q$30:$Q$212))-W22,0)</f>
        <v>0</v>
      </c>
      <c r="Y23" s="762">
        <f>IFERROR(
SUM(X23,SUMIF(防護具!$Y$30:$Y$212,Y$17&amp;$C22,防護具!$Q$30:$Q$212))-X22,0)</f>
        <v>0</v>
      </c>
      <c r="Z23" s="762">
        <f>IFERROR(
SUM(Y23,SUMIF(防護具!$Y$30:$Y$212,Z$17&amp;$C22,防護具!$Q$30:$Q$212))-Y22,0)</f>
        <v>0</v>
      </c>
      <c r="AA23" s="762">
        <f>IFERROR(
SUM(Z23,SUMIF(防護具!$Y$30:$Y$212,AA$17&amp;$C22,防護具!$Q$30:$Q$212))-Z22,0)</f>
        <v>0</v>
      </c>
      <c r="AB23" s="762">
        <f>IFERROR(
SUM(AA23,SUMIF(防護具!$Y$30:$Y$212,AB$17&amp;$C22,防護具!$Q$30:$Q$212))-AA22,0)</f>
        <v>0</v>
      </c>
      <c r="AC23" s="762">
        <f>IFERROR(
SUM(AB23,SUMIF(防護具!$Y$30:$Y$212,AC$17&amp;$C22,防護具!$Q$30:$Q$212))-AB22,0)</f>
        <v>0</v>
      </c>
      <c r="AD23" s="762">
        <f>IFERROR(
SUM(AC23,SUMIF(防護具!$Y$30:$Y$212,AD$17&amp;$C22,防護具!$Q$30:$Q$212))-AC22,0)</f>
        <v>0</v>
      </c>
      <c r="AE23" s="762">
        <f>IFERROR(
SUM(AD23,SUMIF(防護具!$Y$30:$Y$212,AE$17&amp;$C22,防護具!$Q$30:$Q$212))-AD22,0)</f>
        <v>0</v>
      </c>
      <c r="AF23" s="762">
        <f>IFERROR(
SUM(AE23,SUMIF(防護具!$Y$30:$Y$212,AF$17&amp;$C22,防護具!$Q$30:$Q$212))-AE22,0)</f>
        <v>0</v>
      </c>
      <c r="AG23" s="762">
        <f>IFERROR(
SUM(AF23,SUMIF(防護具!$Y$30:$Y$212,AG$17&amp;$C22,防護具!$Q$30:$Q$212))-AF22,0)</f>
        <v>0</v>
      </c>
      <c r="AH23" s="762">
        <f>IFERROR(
SUM(AG23,SUMIF(防護具!$Y$30:$Y$212,AH$17&amp;$C22,防護具!$Q$30:$Q$212))-AG22,0)</f>
        <v>0</v>
      </c>
      <c r="AI23" s="762">
        <f>IFERROR(
SUM(AH23,SUMIF(防護具!$Y$30:$Y$212,AI$17&amp;$C22,防護具!$Q$30:$Q$212))-AH22,0)</f>
        <v>0</v>
      </c>
      <c r="AJ23" s="762">
        <f>IFERROR(
SUM(AI23,SUMIF(防護具!$Y$30:$Y$212,AJ$17&amp;$C22,防護具!$Q$30:$Q$212))-AI22,0)</f>
        <v>0</v>
      </c>
      <c r="AK23" s="762">
        <f>IFERROR(
SUM(AJ23,SUMIF(防護具!$Y$30:$Y$212,AK$17&amp;$C22,防護具!$Q$30:$Q$212))-AJ22,0)</f>
        <v>0</v>
      </c>
      <c r="AL23" s="762">
        <f>IFERROR(
SUM(AK23,SUMIF(防護具!$Y$30:$Y$212,AL$17&amp;$C22,防護具!$Q$30:$Q$212))-AK22,0)</f>
        <v>0</v>
      </c>
      <c r="AM23" s="762">
        <f>IFERROR(
SUM(AL23,SUMIF(防護具!$Y$30:$Y$212,AM$17&amp;$C22,防護具!$Q$30:$Q$212))-AL22,0)</f>
        <v>0</v>
      </c>
      <c r="AN23" s="762">
        <f>IFERROR(
SUM(AM23,SUMIF(防護具!$Y$30:$Y$212,AN$17&amp;$C22,防護具!$Q$30:$Q$212))-AM22,0)</f>
        <v>0</v>
      </c>
      <c r="AO23" s="762">
        <f>IFERROR(
SUM(AN23,SUMIF(防護具!$Y$30:$Y$212,AO$17&amp;$C22,防護具!$Q$30:$Q$212))-AN22,0)</f>
        <v>0</v>
      </c>
      <c r="AP23" s="762">
        <f>IFERROR(
SUM(AO23,SUMIF(防護具!$Y$30:$Y$212,AP$17&amp;$C22,防護具!$Q$30:$Q$212))-AO22,0)</f>
        <v>0</v>
      </c>
      <c r="AQ23" s="762">
        <f>IFERROR(
SUM(AP23,SUMIF(防護具!$Y$30:$Y$212,AQ$17&amp;$C22,防護具!$Q$30:$Q$212))-AP22,0)</f>
        <v>0</v>
      </c>
      <c r="AR23" s="762">
        <f>IFERROR(
SUM(AQ23,SUMIF(防護具!$Y$30:$Y$212,AR$17&amp;$C22,防護具!$Q$30:$Q$212))-AQ22,0)</f>
        <v>0</v>
      </c>
      <c r="AS23" s="762">
        <f>IFERROR(
SUM(AR23,SUMIF(防護具!$Y$30:$Y$212,AS$17&amp;$C22,防護具!$Q$30:$Q$212))-AR22,0)</f>
        <v>0</v>
      </c>
      <c r="AT23" s="762">
        <f>IFERROR(
SUM(AS23,SUMIF(防護具!$Y$30:$Y$212,AT$17&amp;$C22,防護具!$Q$30:$Q$212))-AS22,0)</f>
        <v>0</v>
      </c>
      <c r="AU23" s="762">
        <f>IFERROR(
SUM(AT23,SUMIF(防護具!$Y$30:$Y$212,AU$17&amp;$C22,防護具!$Q$30:$Q$212))-AT22,0)</f>
        <v>0</v>
      </c>
      <c r="AV23" s="762">
        <f>IFERROR(
SUM(AU23,SUMIF(防護具!$Y$30:$Y$212,AV$17&amp;$C22,防護具!$Q$30:$Q$212))-AU22,0)</f>
        <v>0</v>
      </c>
      <c r="AW23" s="762">
        <f>IFERROR(
SUM(AV23,SUMIF(防護具!$Y$30:$Y$212,AW$17&amp;$C22,防護具!$Q$30:$Q$212))-AV22,0)</f>
        <v>0</v>
      </c>
      <c r="AX23" s="762">
        <f>IFERROR(
SUM(AW23,SUMIF(防護具!$Y$30:$Y$212,AX$17&amp;$C22,防護具!$Q$30:$Q$212))-AW22,0)</f>
        <v>0</v>
      </c>
      <c r="AY23" s="762">
        <f>IFERROR(
SUM(AX23,SUMIF(防護具!$Y$30:$Y$212,AY$17&amp;$C22,防護具!$Q$30:$Q$212))-AX22,0)</f>
        <v>0</v>
      </c>
      <c r="AZ23" s="762">
        <f>IFERROR(
SUM(AY23,SUMIF(防護具!$Y$30:$Y$212,AZ$17&amp;$C22,防護具!$Q$30:$Q$212))-AY22,0)</f>
        <v>0</v>
      </c>
      <c r="BA23" s="762">
        <f>IFERROR(
SUM(AZ23,SUMIF(防護具!$Y$30:$Y$212,BA$17&amp;$C22,防護具!$Q$30:$Q$212))-AZ22,0)</f>
        <v>0</v>
      </c>
      <c r="BB23" s="762">
        <f>IFERROR(
SUM(BA23,SUMIF(防護具!$Y$30:$Y$212,BB$17&amp;$C22,防護具!$Q$30:$Q$212))-BA22,0)</f>
        <v>0</v>
      </c>
      <c r="BC23" s="762">
        <f>IFERROR(
SUM(BB23,SUMIF(防護具!$Y$30:$Y$212,BC$17&amp;$C22,防護具!$Q$30:$Q$212))-BB22,0)</f>
        <v>0</v>
      </c>
      <c r="BD23" s="762">
        <f>IFERROR(
SUM(BC23,SUMIF(防護具!$Y$30:$Y$212,BD$17&amp;$C22,防護具!$Q$30:$Q$212))-BC22,0)</f>
        <v>0</v>
      </c>
      <c r="BE23" s="762">
        <f>IFERROR(
SUM(BD23,SUMIF(防護具!$Y$30:$Y$212,BE$17&amp;$C22,防護具!$Q$30:$Q$212))-BD22,0)</f>
        <v>0</v>
      </c>
      <c r="BF23" s="762">
        <f>IFERROR(
SUM(BE23,SUMIF(防護具!$Y$30:$Y$212,BF$17&amp;$C22,防護具!$Q$30:$Q$212))-BE22,0)</f>
        <v>0</v>
      </c>
      <c r="BG23" s="762">
        <f>IFERROR(
SUM(BF23,SUMIF(防護具!$Y$30:$Y$212,BG$17&amp;$C22,防護具!$Q$30:$Q$212))-BF22,0)</f>
        <v>0</v>
      </c>
      <c r="BH23" s="762">
        <f>IFERROR(
SUM(BG23,SUMIF(防護具!$Y$30:$Y$212,BH$17&amp;$C22,防護具!$Q$30:$Q$212))-BG22,0)</f>
        <v>0</v>
      </c>
      <c r="BI23" s="762">
        <f>IFERROR(
SUM(BH23,SUMIF(防護具!$Y$30:$Y$212,BI$17&amp;$C22,防護具!$Q$30:$Q$212))-BH22,0)</f>
        <v>0</v>
      </c>
      <c r="BJ23" s="762">
        <f>IFERROR(
SUM(BI23,SUMIF(防護具!$Y$30:$Y$212,BJ$17&amp;$C22,防護具!$Q$30:$Q$212))-BI22,0)</f>
        <v>0</v>
      </c>
      <c r="BK23" s="762">
        <f>IFERROR(
SUM(BJ23,SUMIF(防護具!$Y$30:$Y$212,BK$17&amp;$C22,防護具!$Q$30:$Q$212))-BJ22,0)</f>
        <v>0</v>
      </c>
      <c r="BL23" s="762">
        <f>IFERROR(
SUM(BK23,SUMIF(防護具!$Y$30:$Y$212,BL$17&amp;$C22,防護具!$Q$30:$Q$212))-BK22,0)</f>
        <v>0</v>
      </c>
      <c r="BM23" s="762">
        <f>IFERROR(
SUM(BL23,SUMIF(防護具!$Y$30:$Y$212,BM$17&amp;$C22,防護具!$Q$30:$Q$212))-BL22,0)</f>
        <v>0</v>
      </c>
      <c r="BN23" s="762">
        <f>IFERROR(
SUM(BM23,SUMIF(防護具!$Y$30:$Y$212,BN$17&amp;$C22,防護具!$Q$30:$Q$212))-BM22,0)</f>
        <v>0</v>
      </c>
      <c r="BO23" s="762">
        <f>IFERROR(
SUM(BN23,SUMIF(防護具!$Y$30:$Y$212,BO$17&amp;$C22,防護具!$Q$30:$Q$212))-BN22,0)</f>
        <v>0</v>
      </c>
      <c r="BP23" s="762">
        <f>IFERROR(
SUM(BO23,SUMIF(防護具!$Y$30:$Y$212,BP$17&amp;$C22,防護具!$Q$30:$Q$212))-BO22,0)</f>
        <v>0</v>
      </c>
      <c r="BQ23" s="762">
        <f>IFERROR(
SUM(BP23,SUMIF(防護具!$Y$30:$Y$212,BQ$17&amp;$C22,防護具!$Q$30:$Q$212))-BP22,0)</f>
        <v>0</v>
      </c>
      <c r="BR23" s="762">
        <f>IFERROR(
SUM(BQ23,SUMIF(防護具!$Y$30:$Y$212,BR$17&amp;$C22,防護具!$Q$30:$Q$212))-BQ22,0)</f>
        <v>0</v>
      </c>
      <c r="BS23" s="762">
        <f>IFERROR(
SUM(BR23,SUMIF(防護具!$Y$30:$Y$212,BS$17&amp;$C22,防護具!$Q$30:$Q$212))-BR22,0)</f>
        <v>0</v>
      </c>
      <c r="BT23" s="762">
        <f>IFERROR(
SUM(BS23,SUMIF(防護具!$Y$30:$Y$212,BT$17&amp;$C22,防護具!$Q$30:$Q$212))-BS22,0)</f>
        <v>0</v>
      </c>
      <c r="BU23" s="762">
        <f>IFERROR(
SUM(BT23,SUMIF(防護具!$Y$30:$Y$212,BU$17&amp;$C22,防護具!$Q$30:$Q$212))-BT22,0)</f>
        <v>0</v>
      </c>
      <c r="BV23" s="762">
        <f>IFERROR(
SUM(BU23,SUMIF(防護具!$Y$30:$Y$212,BV$17&amp;$C22,防護具!$Q$30:$Q$212))-BU22,0)</f>
        <v>0</v>
      </c>
      <c r="BW23" s="762">
        <f>IFERROR(
SUM(BV23,SUMIF(防護具!$Y$30:$Y$212,BW$17&amp;$C22,防護具!$Q$30:$Q$212))-BV22,0)</f>
        <v>0</v>
      </c>
      <c r="BX23" s="762">
        <f>IFERROR(
SUM(BW23,SUMIF(防護具!$Y$30:$Y$212,BX$17&amp;$C22,防護具!$Q$30:$Q$212))-BW22,0)</f>
        <v>0</v>
      </c>
      <c r="BY23" s="762">
        <f>IFERROR(
SUM(BX23,SUMIF(防護具!$Y$30:$Y$212,BY$17&amp;$C22,防護具!$Q$30:$Q$212))-BX22,0)</f>
        <v>0</v>
      </c>
      <c r="BZ23" s="762">
        <f>IFERROR(
SUM(BY23,SUMIF(防護具!$Y$30:$Y$212,BZ$17&amp;$C22,防護具!$Q$30:$Q$212))-BY22,0)</f>
        <v>0</v>
      </c>
      <c r="CA23" s="762">
        <f>IFERROR(
SUM(BZ23,SUMIF(防護具!$Y$30:$Y$212,CA$17&amp;$C22,防護具!$Q$30:$Q$212))-BZ22,0)</f>
        <v>0</v>
      </c>
      <c r="CB23" s="762">
        <f>IFERROR(
SUM(CA23,SUMIF(防護具!$Y$30:$Y$212,CB$17&amp;$C22,防護具!$Q$30:$Q$212))-CA22,0)</f>
        <v>0</v>
      </c>
      <c r="CC23" s="762">
        <f>IFERROR(
SUM(CB23,SUMIF(防護具!$Y$30:$Y$212,CC$17&amp;$C22,防護具!$Q$30:$Q$212))-CB22,0)</f>
        <v>0</v>
      </c>
      <c r="CD23" s="762">
        <f>IFERROR(
SUM(CC23,SUMIF(防護具!$Y$30:$Y$212,CD$17&amp;$C22,防護具!$Q$30:$Q$212))-CC22,0)</f>
        <v>0</v>
      </c>
      <c r="CE23" s="762">
        <f>IFERROR(
SUM(CD23,SUMIF(防護具!$Y$30:$Y$212,CE$17&amp;$C22,防護具!$Q$30:$Q$212))-CD22,0)</f>
        <v>0</v>
      </c>
      <c r="CF23" s="762">
        <f>IFERROR(
SUM(CE23,SUMIF(防護具!$Y$30:$Y$212,CF$17&amp;$C22,防護具!$Q$30:$Q$212))-CE22,0)</f>
        <v>0</v>
      </c>
      <c r="CG23" s="762">
        <f>IFERROR(
SUM(CF23,SUMIF(防護具!$Y$30:$Y$212,CG$17&amp;$C22,防護具!$Q$30:$Q$212))-CF22,0)</f>
        <v>0</v>
      </c>
      <c r="CH23" s="762">
        <f>IFERROR(
SUM(CG23,SUMIF(防護具!$Y$30:$Y$212,CH$17&amp;$C22,防護具!$Q$30:$Q$212))-CG22,0)</f>
        <v>0</v>
      </c>
      <c r="CI23" s="762">
        <f>IFERROR(
SUM(CH23,SUMIF(防護具!$Y$30:$Y$212,CI$17&amp;$C22,防護具!$Q$30:$Q$212))-CH22,0)</f>
        <v>0</v>
      </c>
      <c r="CJ23" s="762">
        <f>IFERROR(
SUM(CI23,SUMIF(防護具!$Y$30:$Y$212,CJ$17&amp;$C22,防護具!$Q$30:$Q$212))-CI22,0)</f>
        <v>0</v>
      </c>
      <c r="CK23" s="762">
        <f>IFERROR(
SUM(CJ23,SUMIF(防護具!$Y$30:$Y$212,CK$17&amp;$C22,防護具!$Q$30:$Q$212))-CJ22,0)</f>
        <v>0</v>
      </c>
      <c r="CL23" s="762">
        <f>IFERROR(
SUM(CK23,SUMIF(防護具!$Y$30:$Y$212,CL$17&amp;$C22,防護具!$Q$30:$Q$212))-CK22,0)</f>
        <v>0</v>
      </c>
      <c r="CM23" s="762">
        <f>IFERROR(
SUM(CL23,SUMIF(防護具!$Y$30:$Y$212,CM$17&amp;$C22,防護具!$Q$30:$Q$212))-CL22,0)</f>
        <v>0</v>
      </c>
      <c r="CN23" s="762">
        <f>IFERROR(
SUM(CM23,SUMIF(防護具!$Y$30:$Y$212,CN$17&amp;$C22,防護具!$Q$30:$Q$212))-CM22,0)</f>
        <v>0</v>
      </c>
      <c r="CO23" s="762">
        <f>IFERROR(
SUM(CN23,SUMIF(防護具!$Y$30:$Y$212,CO$17&amp;$C22,防護具!$Q$30:$Q$212))-CN22,0)</f>
        <v>0</v>
      </c>
      <c r="CP23" s="762">
        <f>IFERROR(
SUM(CO23,SUMIF(防護具!$Y$30:$Y$212,CP$17&amp;$C22,防護具!$Q$30:$Q$212))-CO22,0)</f>
        <v>0</v>
      </c>
      <c r="CQ23" s="762">
        <f>IFERROR(
SUM(CP23,SUMIF(防護具!$Y$30:$Y$212,CQ$17&amp;$C22,防護具!$Q$30:$Q$212))-CP22,0)</f>
        <v>0</v>
      </c>
      <c r="CR23" s="762">
        <f>IFERROR(
SUM(CQ23,SUMIF(防護具!$Y$30:$Y$212,CR$17&amp;$C22,防護具!$Q$30:$Q$212))-CQ22,0)</f>
        <v>0</v>
      </c>
      <c r="CS23" s="762">
        <f>IFERROR(
SUM(CR23,SUMIF(防護具!$Y$30:$Y$212,CS$17&amp;$C22,防護具!$Q$30:$Q$212))-CR22,0)</f>
        <v>0</v>
      </c>
      <c r="CT23" s="762">
        <f>IFERROR(
SUM(CS23,SUMIF(防護具!$Y$30:$Y$212,CT$17&amp;$C22,防護具!$Q$30:$Q$212))-CS22,0)</f>
        <v>0</v>
      </c>
      <c r="CU23" s="762">
        <f>IFERROR(
SUM(CT23,SUMIF(防護具!$Y$30:$Y$212,CU$17&amp;$C22,防護具!$Q$30:$Q$212))-CT22,0)</f>
        <v>0</v>
      </c>
      <c r="CV23" s="762">
        <f>IFERROR(
SUM(CU23,SUMIF(防護具!$Y$30:$Y$212,CV$17&amp;$C22,防護具!$Q$30:$Q$212))-CU22,0)</f>
        <v>0</v>
      </c>
      <c r="CW23" s="762">
        <f>IFERROR(
SUM(CV23,SUMIF(防護具!$Y$30:$Y$212,CW$17&amp;$C22,防護具!$Q$30:$Q$212))-CV22,0)</f>
        <v>0</v>
      </c>
      <c r="CX23" s="762">
        <f>IFERROR(
SUM(CW23,SUMIF(防護具!$Y$30:$Y$212,CX$17&amp;$C22,防護具!$Q$30:$Q$212))-CW22,0)</f>
        <v>0</v>
      </c>
      <c r="CY23" s="762">
        <f>IFERROR(
SUM(CX23,SUMIF(防護具!$Y$30:$Y$212,CY$17&amp;$C22,防護具!$Q$30:$Q$212))-CX22,0)</f>
        <v>0</v>
      </c>
      <c r="CZ23" s="762">
        <f>IFERROR(
SUM(CY23,SUMIF(防護具!$Y$30:$Y$212,CZ$17&amp;$C22,防護具!$Q$30:$Q$212))-CY22,0)</f>
        <v>0</v>
      </c>
      <c r="DA23" s="762">
        <f>IFERROR(
SUM(CZ23,SUMIF(防護具!$Y$30:$Y$212,DA$17&amp;$C22,防護具!$Q$30:$Q$212))-CZ22,0)</f>
        <v>0</v>
      </c>
      <c r="DB23" s="762">
        <f>IFERROR(
SUM(DA23,SUMIF(防護具!$Y$30:$Y$212,DB$17&amp;$C22,防護具!$Q$30:$Q$212))-DA22,0)</f>
        <v>0</v>
      </c>
      <c r="DC23" s="762">
        <f>IFERROR(
SUM(DB23,SUMIF(防護具!$Y$30:$Y$212,DC$17&amp;$C22,防護具!$Q$30:$Q$212))-DB22,0)</f>
        <v>0</v>
      </c>
      <c r="DD23" s="762">
        <f>IFERROR(
SUM(DC23,SUMIF(防護具!$Y$30:$Y$212,DD$17&amp;$C22,防護具!$Q$30:$Q$212))-DC22,0)</f>
        <v>0</v>
      </c>
      <c r="DE23" s="762">
        <f>IFERROR(
SUM(DD23,SUMIF(防護具!$Y$30:$Y$212,DE$17&amp;$C22,防護具!$Q$30:$Q$212))-DD22,0)</f>
        <v>0</v>
      </c>
      <c r="DF23" s="762">
        <f>IFERROR(
SUM(DE23,SUMIF(防護具!$Y$30:$Y$212,DF$17&amp;$C22,防護具!$Q$30:$Q$212))-DE22,0)</f>
        <v>0</v>
      </c>
      <c r="DG23" s="762">
        <f>IFERROR(
SUM(DF23,SUMIF(防護具!$Y$30:$Y$212,DG$17&amp;$C22,防護具!$Q$30:$Q$212))-DF22,0)</f>
        <v>0</v>
      </c>
      <c r="DH23" s="762">
        <f>IFERROR(
SUM(DG23,SUMIF(防護具!$Y$30:$Y$212,DH$17&amp;$C22,防護具!$Q$30:$Q$212))-DG22,0)</f>
        <v>0</v>
      </c>
      <c r="DI23" s="762">
        <f>IFERROR(
SUM(DH23,SUMIF(防護具!$Y$30:$Y$212,DI$17&amp;$C22,防護具!$Q$30:$Q$212))-DH22,0)</f>
        <v>0</v>
      </c>
      <c r="DJ23" s="762">
        <f>IFERROR(
SUM(DI23,SUMIF(防護具!$Y$30:$Y$212,DJ$17&amp;$C22,防護具!$Q$30:$Q$212))-DI22,0)</f>
        <v>0</v>
      </c>
      <c r="DK23" s="762">
        <f>IFERROR(
SUM(DJ23,SUMIF(防護具!$Y$30:$Y$212,DK$17&amp;$C22,防護具!$Q$30:$Q$212))-DJ22,0)</f>
        <v>0</v>
      </c>
      <c r="DL23" s="762">
        <f>IFERROR(
SUM(DK23,SUMIF(防護具!$Y$30:$Y$212,DL$17&amp;$C22,防護具!$Q$30:$Q$212))-DK22,0)</f>
        <v>0</v>
      </c>
      <c r="DM23" s="762">
        <f>IFERROR(
SUM(DL23,SUMIF(防護具!$Y$30:$Y$212,DM$17&amp;$C22,防護具!$Q$30:$Q$212))-DL22,0)</f>
        <v>0</v>
      </c>
      <c r="DN23" s="762">
        <f>IFERROR(
SUM(DM23,SUMIF(防護具!$Y$30:$Y$212,DN$17&amp;$C22,防護具!$Q$30:$Q$212))-DM22,0)</f>
        <v>0</v>
      </c>
      <c r="DO23" s="762">
        <f>IFERROR(
SUM(DN23,SUMIF(防護具!$Y$30:$Y$212,DO$17&amp;$C22,防護具!$Q$30:$Q$212))-DN22,0)</f>
        <v>0</v>
      </c>
      <c r="DP23" s="762">
        <f>IFERROR(
SUM(DO23,SUMIF(防護具!$Y$30:$Y$212,DP$17&amp;$C22,防護具!$Q$30:$Q$212))-DO22,0)</f>
        <v>0</v>
      </c>
      <c r="DQ23" s="762">
        <f>IFERROR(
SUM(DP23,SUMIF(防護具!$Y$30:$Y$212,DQ$17&amp;$C22,防護具!$Q$30:$Q$212))-DP22,0)</f>
        <v>0</v>
      </c>
      <c r="DR23" s="762">
        <f>IFERROR(
SUM(DQ23,SUMIF(防護具!$Y$30:$Y$212,DR$17&amp;$C22,防護具!$Q$30:$Q$212))-DQ22,0)</f>
        <v>0</v>
      </c>
      <c r="DS23" s="762">
        <f>IFERROR(
SUM(DR23,SUMIF(防護具!$Y$30:$Y$212,DS$17&amp;$C22,防護具!$Q$30:$Q$212))-DR22,0)</f>
        <v>0</v>
      </c>
      <c r="DT23" s="762">
        <f>IFERROR(
SUM(DS23,SUMIF(防護具!$Y$30:$Y$212,DT$17&amp;$C22,防護具!$Q$30:$Q$212))-DS22,0)</f>
        <v>0</v>
      </c>
      <c r="DU23" s="762">
        <f>IFERROR(
SUM(DT23,SUMIF(防護具!$Y$30:$Y$212,DU$17&amp;$C22,防護具!$Q$30:$Q$212))-DT22,0)</f>
        <v>0</v>
      </c>
      <c r="DV23" s="762">
        <f>IFERROR(
SUM(DU23,SUMIF(防護具!$Y$30:$Y$212,DV$17&amp;$C22,防護具!$Q$30:$Q$212))-DU22,0)</f>
        <v>0</v>
      </c>
      <c r="DW23" s="762">
        <f>IFERROR(
SUM(DV23,SUMIF(防護具!$Y$30:$Y$212,DW$17&amp;$C22,防護具!$Q$30:$Q$212))-DV22,0)</f>
        <v>0</v>
      </c>
      <c r="DX23" s="762">
        <f>IFERROR(
SUM(DW23,SUMIF(防護具!$Y$30:$Y$212,DX$17&amp;$C22,防護具!$Q$30:$Q$212))-DW22,0)</f>
        <v>0</v>
      </c>
      <c r="DY23" s="762">
        <f>IFERROR(
SUM(DX23,SUMIF(防護具!$Y$30:$Y$212,DY$17&amp;$C22,防護具!$Q$30:$Q$212))-DX22,0)</f>
        <v>0</v>
      </c>
      <c r="DZ23" s="762">
        <f>IFERROR(
SUM(DY23,SUMIF(防護具!$Y$30:$Y$212,DZ$17&amp;$C22,防護具!$Q$30:$Q$212))-DY22,0)</f>
        <v>0</v>
      </c>
      <c r="EA23" s="762">
        <f>IFERROR(
SUM(DZ23,SUMIF(防護具!$Y$30:$Y$212,EA$17&amp;$C22,防護具!$Q$30:$Q$212))-DZ22,0)</f>
        <v>0</v>
      </c>
      <c r="EB23" s="762">
        <f>IFERROR(
SUM(EA23,SUMIF(防護具!$Y$30:$Y$212,EB$17&amp;$C22,防護具!$Q$30:$Q$212))-EA22,0)</f>
        <v>0</v>
      </c>
      <c r="EC23" s="762">
        <f>IFERROR(
SUM(EB23,SUMIF(防護具!$Y$30:$Y$212,EC$17&amp;$C22,防護具!$Q$30:$Q$212))-EB22,0)</f>
        <v>0</v>
      </c>
      <c r="ED23" s="762">
        <f>IFERROR(
SUM(EC23,SUMIF(防護具!$Y$30:$Y$212,ED$17&amp;$C22,防護具!$Q$30:$Q$212))-EC22,0)</f>
        <v>0</v>
      </c>
      <c r="EE23" s="762">
        <f>IFERROR(
SUM(ED23,SUMIF(防護具!$Y$30:$Y$212,EE$17&amp;$C22,防護具!$Q$30:$Q$212))-ED22,0)</f>
        <v>0</v>
      </c>
      <c r="EF23" s="762">
        <f>IFERROR(
SUM(EE23,SUMIF(防護具!$Y$30:$Y$212,EF$17&amp;$C22,防護具!$Q$30:$Q$212))-EE22,0)</f>
        <v>0</v>
      </c>
      <c r="EG23" s="762">
        <f>IFERROR(
SUM(EF23,SUMIF(防護具!$Y$30:$Y$212,EG$17&amp;$C22,防護具!$Q$30:$Q$212))-EF22,0)</f>
        <v>0</v>
      </c>
      <c r="EH23" s="762">
        <f>IFERROR(
SUM(EG23,SUMIF(防護具!$Y$30:$Y$212,EH$17&amp;$C22,防護具!$Q$30:$Q$212))-EG22,0)</f>
        <v>0</v>
      </c>
      <c r="EI23" s="762">
        <f>IFERROR(
SUM(EH23,SUMIF(防護具!$Y$30:$Y$212,EI$17&amp;$C22,防護具!$Q$30:$Q$212))-EH22,0)</f>
        <v>0</v>
      </c>
      <c r="EJ23" s="762">
        <f>IFERROR(
SUM(EI23,SUMIF(防護具!$Y$30:$Y$212,EJ$17&amp;$C22,防護具!$Q$30:$Q$212))-EI22,0)</f>
        <v>0</v>
      </c>
      <c r="EK23" s="762">
        <f>IFERROR(
SUM(EJ23,SUMIF(防護具!$Y$30:$Y$212,EK$17&amp;$C22,防護具!$Q$30:$Q$212))-EJ22,0)</f>
        <v>0</v>
      </c>
      <c r="EL23" s="762">
        <f>IFERROR(
SUM(EK23,SUMIF(防護具!$Y$30:$Y$212,EL$17&amp;$C22,防護具!$Q$30:$Q$212))-EK22,0)</f>
        <v>0</v>
      </c>
      <c r="EM23" s="762">
        <f>IFERROR(
SUM(EL23,SUMIF(防護具!$Y$30:$Y$212,EM$17&amp;$C22,防護具!$Q$30:$Q$212))-EL22,0)</f>
        <v>0</v>
      </c>
      <c r="EN23" s="762">
        <f>IFERROR(
SUM(EM23,SUMIF(防護具!$Y$30:$Y$212,EN$17&amp;$C22,防護具!$Q$30:$Q$212))-EM22,0)</f>
        <v>0</v>
      </c>
      <c r="EO23" s="762">
        <f>IFERROR(
SUM(EN23,SUMIF(防護具!$Y$30:$Y$212,EO$17&amp;$C22,防護具!$Q$30:$Q$212))-EN22,0)</f>
        <v>0</v>
      </c>
      <c r="EP23" s="762">
        <f>IFERROR(
SUM(EO23,SUMIF(防護具!$Y$30:$Y$212,EP$17&amp;$C22,防護具!$Q$30:$Q$212))-EO22,0)</f>
        <v>0</v>
      </c>
      <c r="EQ23" s="762">
        <f>IFERROR(
SUM(EP23,SUMIF(防護具!$Y$30:$Y$212,EQ$17&amp;$C22,防護具!$Q$30:$Q$212))-EP22,0)</f>
        <v>0</v>
      </c>
      <c r="ER23" s="762">
        <f>IFERROR(
SUM(EQ23,SUMIF(防護具!$Y$30:$Y$212,ER$17&amp;$C22,防護具!$Q$30:$Q$212))-EQ22,0)</f>
        <v>0</v>
      </c>
      <c r="ES23" s="762">
        <f>IFERROR(
SUM(ER23,SUMIF(防護具!$Y$30:$Y$212,ES$17&amp;$C22,防護具!$Q$30:$Q$212))-ER22,0)</f>
        <v>0</v>
      </c>
      <c r="ET23" s="762">
        <f>IFERROR(
SUM(ES23,SUMIF(防護具!$Y$30:$Y$212,ET$17&amp;$C22,防護具!$Q$30:$Q$212))-ES22,0)</f>
        <v>0</v>
      </c>
      <c r="EU23" s="762">
        <f>IFERROR(
SUM(ET23,SUMIF(防護具!$Y$30:$Y$212,EU$17&amp;$C22,防護具!$Q$30:$Q$212))-ET22,0)</f>
        <v>0</v>
      </c>
      <c r="EV23" s="762">
        <f>IFERROR(
SUM(EU23,SUMIF(防護具!$Y$30:$Y$212,EV$17&amp;$C22,防護具!$Q$30:$Q$212))-EU22,0)</f>
        <v>0</v>
      </c>
      <c r="EW23" s="762">
        <f>IFERROR(
SUM(EV23,SUMIF(防護具!$Y$30:$Y$212,EW$17&amp;$C22,防護具!$Q$30:$Q$212))-EV22,0)</f>
        <v>0</v>
      </c>
      <c r="EX23" s="762">
        <f>IFERROR(
SUM(EW23,SUMIF(防護具!$Y$30:$Y$212,EX$17&amp;$C22,防護具!$Q$30:$Q$212))-EW22,0)</f>
        <v>0</v>
      </c>
      <c r="EY23" s="762">
        <f>IFERROR(
SUM(EX23,SUMIF(防護具!$Y$30:$Y$212,EY$17&amp;$C22,防護具!$Q$30:$Q$212))-EX22,0)</f>
        <v>0</v>
      </c>
      <c r="EZ23" s="762">
        <f>IFERROR(
SUM(EY23,SUMIF(防護具!$Y$30:$Y$212,EZ$17&amp;$C22,防護具!$Q$30:$Q$212))-EY22,0)</f>
        <v>0</v>
      </c>
      <c r="FA23" s="762">
        <f>IFERROR(
SUM(EZ23,SUMIF(防護具!$Y$30:$Y$212,FA$17&amp;$C22,防護具!$Q$30:$Q$212))-EZ22,0)</f>
        <v>0</v>
      </c>
      <c r="FB23" s="762">
        <f>IFERROR(
SUM(FA23,SUMIF(防護具!$Y$30:$Y$212,FB$17&amp;$C22,防護具!$Q$30:$Q$212))-FA22,0)</f>
        <v>0</v>
      </c>
      <c r="FC23" s="762">
        <f>IFERROR(
SUM(FB23,SUMIF(防護具!$Y$30:$Y$212,FC$17&amp;$C22,防護具!$Q$30:$Q$212))-FB22,0)</f>
        <v>0</v>
      </c>
      <c r="FD23" s="762">
        <f>IFERROR(
SUM(FC23,SUMIF(防護具!$Y$30:$Y$212,FD$17&amp;$C22,防護具!$Q$30:$Q$212))-FC22,0)</f>
        <v>0</v>
      </c>
      <c r="FE23" s="762">
        <f>IFERROR(
SUM(FD23,SUMIF(防護具!$Y$30:$Y$212,FE$17&amp;$C22,防護具!$Q$30:$Q$212))-FD22,0)</f>
        <v>0</v>
      </c>
      <c r="FF23" s="762">
        <f>IFERROR(
SUM(FE23,SUMIF(防護具!$Y$30:$Y$212,FF$17&amp;$C22,防護具!$Q$30:$Q$212))-FE22,0)</f>
        <v>0</v>
      </c>
      <c r="FG23" s="762">
        <f>IFERROR(
SUM(FF23,SUMIF(防護具!$Y$30:$Y$212,FG$17&amp;$C22,防護具!$Q$30:$Q$212))-FF22,0)</f>
        <v>0</v>
      </c>
      <c r="FH23" s="762">
        <f>IFERROR(
SUM(FG23,SUMIF(防護具!$Y$30:$Y$212,FH$17&amp;$C22,防護具!$Q$30:$Q$212))-FG22,0)</f>
        <v>0</v>
      </c>
      <c r="FI23" s="762">
        <f>IFERROR(
SUM(FH23,SUMIF(防護具!$Y$30:$Y$212,FI$17&amp;$C22,防護具!$Q$30:$Q$212))-FH22,0)</f>
        <v>0</v>
      </c>
      <c r="FJ23" s="762">
        <f>IFERROR(
SUM(FI23,SUMIF(防護具!$Y$30:$Y$212,FJ$17&amp;$C22,防護具!$Q$30:$Q$212))-FI22,0)</f>
        <v>0</v>
      </c>
      <c r="FK23" s="762">
        <f>IFERROR(
SUM(FJ23,SUMIF(防護具!$Y$30:$Y$212,FK$17&amp;$C22,防護具!$Q$30:$Q$212))-FJ22,0)</f>
        <v>0</v>
      </c>
      <c r="FL23" s="762">
        <f>IFERROR(
SUM(FK23,SUMIF(防護具!$Y$30:$Y$212,FL$17&amp;$C22,防護具!$Q$30:$Q$212))-FK22,0)</f>
        <v>0</v>
      </c>
      <c r="FM23" s="762">
        <f>IFERROR(
SUM(FL23,SUMIF(防護具!$Y$30:$Y$212,FM$17&amp;$C22,防護具!$Q$30:$Q$212))-FL22,0)</f>
        <v>0</v>
      </c>
      <c r="FN23" s="762">
        <f>IFERROR(
SUM(FM23,SUMIF(防護具!$Y$30:$Y$212,FN$17&amp;$C22,防護具!$Q$30:$Q$212))-FM22,0)</f>
        <v>0</v>
      </c>
      <c r="FO23" s="762">
        <f>IFERROR(
SUM(FN23,SUMIF(防護具!$Y$30:$Y$212,FO$17&amp;$C22,防護具!$Q$30:$Q$212))-FN22,0)</f>
        <v>0</v>
      </c>
      <c r="FP23" s="762">
        <f>IFERROR(
SUM(FO23,SUMIF(防護具!$Y$30:$Y$212,FP$17&amp;$C22,防護具!$Q$30:$Q$212))-FO22,0)</f>
        <v>0</v>
      </c>
      <c r="FQ23" s="762">
        <f>IFERROR(
SUM(FP23,SUMIF(防護具!$Y$30:$Y$212,FQ$17&amp;$C22,防護具!$Q$30:$Q$212))-FP22,0)</f>
        <v>0</v>
      </c>
      <c r="FR23" s="762">
        <f>IFERROR(
SUM(FQ23,SUMIF(防護具!$Y$30:$Y$212,FR$17&amp;$C22,防護具!$Q$30:$Q$212))-FQ22,0)</f>
        <v>0</v>
      </c>
      <c r="FS23" s="762">
        <f>IFERROR(
SUM(FR23,SUMIF(防護具!$Y$30:$Y$212,FS$17&amp;$C22,防護具!$Q$30:$Q$212))-FR22,0)</f>
        <v>0</v>
      </c>
      <c r="FT23" s="762">
        <f>IFERROR(
SUM(FS23,SUMIF(防護具!$Y$30:$Y$212,FT$17&amp;$C22,防護具!$Q$30:$Q$212))-FS22,0)</f>
        <v>0</v>
      </c>
      <c r="FU23" s="762">
        <f>IFERROR(
SUM(FT23,SUMIF(防護具!$Y$30:$Y$212,FU$17&amp;$C22,防護具!$Q$30:$Q$212))-FT22,0)</f>
        <v>0</v>
      </c>
      <c r="FV23" s="762">
        <f>IFERROR(
SUM(FU23,SUMIF(防護具!$Y$30:$Y$212,FV$17&amp;$C22,防護具!$Q$30:$Q$212))-FU22,0)</f>
        <v>0</v>
      </c>
      <c r="FW23" s="762">
        <f>IFERROR(
SUM(FV23,SUMIF(防護具!$Y$30:$Y$212,FW$17&amp;$C22,防護具!$Q$30:$Q$212))-FV22,0)</f>
        <v>0</v>
      </c>
      <c r="FX23" s="762">
        <f>IFERROR(
SUM(FW23,SUMIF(防護具!$Y$30:$Y$212,FX$17&amp;$C22,防護具!$Q$30:$Q$212))-FW22,0)</f>
        <v>0</v>
      </c>
      <c r="FY23" s="762">
        <f>IFERROR(
SUM(FX23,SUMIF(防護具!$Y$30:$Y$212,FY$17&amp;$C22,防護具!$Q$30:$Q$212))-FX22,0)</f>
        <v>0</v>
      </c>
      <c r="FZ23" s="762">
        <f>IFERROR(
SUM(FY23,SUMIF(防護具!$Y$30:$Y$212,FZ$17&amp;$C22,防護具!$Q$30:$Q$212))-FY22,0)</f>
        <v>0</v>
      </c>
      <c r="GA23" s="762">
        <f>IFERROR(
SUM(FZ23,SUMIF(防護具!$Y$30:$Y$212,GA$17&amp;$C22,防護具!$Q$30:$Q$212))-FZ22,0)</f>
        <v>0</v>
      </c>
      <c r="GB23" s="762">
        <f>IFERROR(
SUM(GA23,SUMIF(防護具!$Y$30:$Y$212,GB$17&amp;$C22,防護具!$Q$30:$Q$212))-GA22,0)</f>
        <v>0</v>
      </c>
      <c r="GC23" s="762">
        <f>IFERROR(
SUM(GB23,SUMIF(防護具!$Y$30:$Y$212,GC$17&amp;$C22,防護具!$Q$30:$Q$212))-GB22,0)</f>
        <v>0</v>
      </c>
      <c r="GD23" s="762">
        <f>IFERROR(
SUM(GC23,SUMIF(防護具!$Y$30:$Y$212,GD$17&amp;$C22,防護具!$Q$30:$Q$212))-GC22,0)</f>
        <v>0</v>
      </c>
      <c r="GE23" s="762">
        <f>IFERROR(
SUM(GD23,SUMIF(防護具!$Y$30:$Y$212,GE$17&amp;$C22,防護具!$Q$30:$Q$212))-GD22,0)</f>
        <v>0</v>
      </c>
      <c r="GF23" s="762">
        <f>IFERROR(
SUM(GE23,SUMIF(防護具!$Y$30:$Y$212,GF$17&amp;$C22,防護具!$Q$30:$Q$212))-GE22,0)</f>
        <v>0</v>
      </c>
      <c r="GG23" s="762">
        <f>IFERROR(
SUM(GF23,SUMIF(防護具!$Y$30:$Y$212,GG$17&amp;$C22,防護具!$Q$30:$Q$212))-GF22,0)</f>
        <v>0</v>
      </c>
      <c r="GH23" s="762">
        <f>IFERROR(
SUM(GG23,SUMIF(防護具!$Y$30:$Y$212,GH$17&amp;$C22,防護具!$Q$30:$Q$212))-GG22,0)</f>
        <v>0</v>
      </c>
      <c r="GI23" s="762">
        <f>IFERROR(
SUM(GH23,SUMIF(防護具!$Y$30:$Y$212,GI$17&amp;$C22,防護具!$Q$30:$Q$212))-GH22,0)</f>
        <v>0</v>
      </c>
      <c r="GJ23" s="762">
        <f>IFERROR(
SUM(GI23,SUMIF(防護具!$Y$30:$Y$212,GJ$17&amp;$C22,防護具!$Q$30:$Q$212))-GI22,0)</f>
        <v>0</v>
      </c>
    </row>
    <row r="24" spans="2:192" s="632" customFormat="1">
      <c r="B24" s="633"/>
      <c r="C24" s="625"/>
      <c r="D24" s="701" t="s">
        <v>1425</v>
      </c>
      <c r="E24" s="706"/>
      <c r="F24" s="653"/>
      <c r="G24" s="762">
        <f xml:space="preserve">
IF(
SUM(SUMIF(防護具!$Y$13:$Y$29,G$17&amp;$C22,防護具!$Q$13:$Q$29),F24)-VLOOKUP($C22,$C$3:$D$15,2,FALSE)*F20&lt;0,0,
SUM(SUMIF(防護具!$Y$13:$Y$29,G$17&amp;$C22,防護具!$Q$13:$Q$29),F24)-VLOOKUP($C22,$C$3:$D$15,2,FALSE)*F20)</f>
        <v>0</v>
      </c>
      <c r="H24" s="762">
        <f xml:space="preserve">
IF(
SUM(SUMIF(防護具!$Y$13:$Y$29,H$17&amp;$C22,防護具!$Q$13:$Q$29),G24)-VLOOKUP($C22,$C$3:$D$15,2,FALSE)*G20&lt;0,0,
SUM(SUMIF(防護具!$Y$13:$Y$29,H$17&amp;$C22,防護具!$Q$13:$Q$29),G24)-VLOOKUP($C22,$C$3:$D$15,2,FALSE)*G20)</f>
        <v>0</v>
      </c>
      <c r="I24" s="762">
        <f xml:space="preserve">
IF(
SUM(SUMIF(防護具!$Y$13:$Y$29,I$17&amp;$C22,防護具!$Q$13:$Q$29),H24)-VLOOKUP($C22,$C$3:$D$15,2,FALSE)*H20&lt;0,0,
SUM(SUMIF(防護具!$Y$13:$Y$29,I$17&amp;$C22,防護具!$Q$13:$Q$29),H24)-VLOOKUP($C22,$C$3:$D$15,2,FALSE)*H20)</f>
        <v>0</v>
      </c>
      <c r="J24" s="762">
        <f xml:space="preserve">
IF(
SUM(SUMIF(防護具!$Y$13:$Y$29,J$17&amp;$C22,防護具!$Q$13:$Q$29),I24)-VLOOKUP($C22,$C$3:$D$15,2,FALSE)*I20&lt;0,0,
SUM(SUMIF(防護具!$Y$13:$Y$29,J$17&amp;$C22,防護具!$Q$13:$Q$29),I24)-VLOOKUP($C22,$C$3:$D$15,2,FALSE)*I20)</f>
        <v>0</v>
      </c>
      <c r="K24" s="762">
        <f xml:space="preserve">
IF(
SUM(SUMIF(防護具!$Y$13:$Y$29,K$17&amp;$C22,防護具!$Q$13:$Q$29),J24)-VLOOKUP($C22,$C$3:$D$15,2,FALSE)*J20&lt;0,0,
SUM(SUMIF(防護具!$Y$13:$Y$29,K$17&amp;$C22,防護具!$Q$13:$Q$29),J24)-VLOOKUP($C22,$C$3:$D$15,2,FALSE)*J20)</f>
        <v>0</v>
      </c>
      <c r="L24" s="762">
        <f xml:space="preserve">
IF(
SUM(SUMIF(防護具!$Y$13:$Y$29,L$17&amp;$C22,防護具!$Q$13:$Q$29),K24)-VLOOKUP($C22,$C$3:$D$15,2,FALSE)*K20&lt;0,0,
SUM(SUMIF(防護具!$Y$13:$Y$29,L$17&amp;$C22,防護具!$Q$13:$Q$29),K24)-VLOOKUP($C22,$C$3:$D$15,2,FALSE)*K20)</f>
        <v>0</v>
      </c>
      <c r="M24" s="762">
        <f xml:space="preserve">
IF(
SUM(SUMIF(防護具!$Y$13:$Y$29,M$17&amp;$C22,防護具!$Q$13:$Q$29),L24)-VLOOKUP($C22,$C$3:$D$15,2,FALSE)*L20&lt;0,0,
SUM(SUMIF(防護具!$Y$13:$Y$29,M$17&amp;$C22,防護具!$Q$13:$Q$29),L24)-VLOOKUP($C22,$C$3:$D$15,2,FALSE)*L20)</f>
        <v>0</v>
      </c>
      <c r="N24" s="762">
        <f xml:space="preserve">
IF(
SUM(SUMIF(防護具!$Y$13:$Y$29,N$17&amp;$C22,防護具!$Q$13:$Q$29),M24)-VLOOKUP($C22,$C$3:$D$15,2,FALSE)*M20&lt;0,0,
SUM(SUMIF(防護具!$Y$13:$Y$29,N$17&amp;$C22,防護具!$Q$13:$Q$29),M24)-VLOOKUP($C22,$C$3:$D$15,2,FALSE)*M20)</f>
        <v>0</v>
      </c>
      <c r="O24" s="762">
        <f xml:space="preserve">
IF(
SUM(SUMIF(防護具!$Y$13:$Y$29,O$17&amp;$C22,防護具!$Q$13:$Q$29),N24)-VLOOKUP($C22,$C$3:$D$15,2,FALSE)*N20&lt;0,0,
SUM(SUMIF(防護具!$Y$13:$Y$29,O$17&amp;$C22,防護具!$Q$13:$Q$29),N24)-VLOOKUP($C22,$C$3:$D$15,2,FALSE)*N20)</f>
        <v>0</v>
      </c>
      <c r="P24" s="762">
        <f xml:space="preserve">
IF(
SUM(SUMIF(防護具!$Y$13:$Y$29,P$17&amp;$C22,防護具!$Q$13:$Q$29),O24)-VLOOKUP($C22,$C$3:$D$15,2,FALSE)*O20&lt;0,0,
SUM(SUMIF(防護具!$Y$13:$Y$29,P$17&amp;$C22,防護具!$Q$13:$Q$29),O24)-VLOOKUP($C22,$C$3:$D$15,2,FALSE)*O20)</f>
        <v>0</v>
      </c>
      <c r="Q24" s="762">
        <f xml:space="preserve">
IF(
SUM(SUMIF(防護具!$Y$13:$Y$29,Q$17&amp;$C22,防護具!$Q$13:$Q$29),P24)-VLOOKUP($C22,$C$3:$D$15,2,FALSE)*P$20&lt;0,0,
SUM(SUMIF(防護具!$Y$13:$Y$29,Q$17&amp;$C22,防護具!$Q$13:$Q$29),P24)-VLOOKUP($C22,$C$3:$D$15,2,FALSE)*P$20)</f>
        <v>0</v>
      </c>
      <c r="R24" s="762">
        <f xml:space="preserve">
IF(
SUM(SUMIF(防護具!$Y$13:$Y$29,R$17&amp;$C22,防護具!$Q$13:$Q$29),Q24)-VLOOKUP($C22,$C$3:$D$15,2,FALSE)*Q$20&lt;0,0,
SUM(SUMIF(防護具!$Y$13:$Y$29,R$17&amp;$C22,防護具!$Q$13:$Q$29),Q24)-VLOOKUP($C22,$C$3:$D$15,2,FALSE)*Q$20)</f>
        <v>0</v>
      </c>
      <c r="S24" s="762">
        <f xml:space="preserve">
IF(
SUM(SUMIF(防護具!$Y$13:$Y$29,S$17&amp;$C22,防護具!$Q$13:$Q$29),R24)-VLOOKUP($C22,$C$3:$D$15,2,FALSE)*R$20&lt;0,0,
SUM(SUMIF(防護具!$Y$13:$Y$29,S$17&amp;$C22,防護具!$Q$13:$Q$29),R24)-VLOOKUP($C22,$C$3:$D$15,2,FALSE)*R$20)</f>
        <v>0</v>
      </c>
      <c r="T24" s="762">
        <f xml:space="preserve">
IF(
SUM(SUMIF(防護具!$Y$13:$Y$29,T$17&amp;$C22,防護具!$Q$13:$Q$29),S24)-VLOOKUP($C22,$C$3:$D$15,2,FALSE)*S$20&lt;0,0,
SUM(SUMIF(防護具!$Y$13:$Y$29,T$17&amp;$C22,防護具!$Q$13:$Q$29),S24)-VLOOKUP($C22,$C$3:$D$15,2,FALSE)*S$20)</f>
        <v>0</v>
      </c>
      <c r="U24" s="762">
        <f xml:space="preserve">
IF(
SUM(SUMIF(防護具!$Y$13:$Y$29,U$17&amp;$C22,防護具!$Q$13:$Q$29),T24)-VLOOKUP($C22,$C$3:$D$15,2,FALSE)*T$20&lt;0,0,
SUM(SUMIF(防護具!$Y$13:$Y$29,U$17&amp;$C22,防護具!$Q$13:$Q$29),T24)-VLOOKUP($C22,$C$3:$D$15,2,FALSE)*T$20)</f>
        <v>0</v>
      </c>
      <c r="V24" s="762">
        <f xml:space="preserve">
IF(
SUM(SUMIF(防護具!$Y$13:$Y$29,V$17&amp;$C22,防護具!$Q$13:$Q$29),U24)-VLOOKUP($C22,$C$3:$D$15,2,FALSE)*U$20&lt;0,0,
SUM(SUMIF(防護具!$Y$13:$Y$29,V$17&amp;$C22,防護具!$Q$13:$Q$29),U24)-VLOOKUP($C22,$C$3:$D$15,2,FALSE)*U$20)</f>
        <v>0</v>
      </c>
      <c r="W24" s="762">
        <f xml:space="preserve">
IF(
SUM(SUMIF(防護具!$Y$13:$Y$29,W$17&amp;$C22,防護具!$Q$13:$Q$29),V24)-VLOOKUP($C22,$C$3:$D$15,2,FALSE)*V$20&lt;0,0,
SUM(SUMIF(防護具!$Y$13:$Y$29,W$17&amp;$C22,防護具!$Q$13:$Q$29),V24)-VLOOKUP($C22,$C$3:$D$15,2,FALSE)*V$20)</f>
        <v>0</v>
      </c>
      <c r="X24" s="762">
        <f xml:space="preserve">
IF(
SUM(SUMIF(防護具!$Y$13:$Y$29,X$17&amp;$C22,防護具!$Q$13:$Q$29),W24)-VLOOKUP($C22,$C$3:$D$15,2,FALSE)*W$20&lt;0,0,
SUM(SUMIF(防護具!$Y$13:$Y$29,X$17&amp;$C22,防護具!$Q$13:$Q$29),W24)-VLOOKUP($C22,$C$3:$D$15,2,FALSE)*W$20)</f>
        <v>0</v>
      </c>
      <c r="Y24" s="762">
        <f xml:space="preserve">
IF(
SUM(SUMIF(防護具!$Y$13:$Y$29,Y$17&amp;$C22,防護具!$Q$13:$Q$29),X24)-VLOOKUP($C22,$C$3:$D$15,2,FALSE)*X$20&lt;0,0,
SUM(SUMIF(防護具!$Y$13:$Y$29,Y$17&amp;$C22,防護具!$Q$13:$Q$29),X24)-VLOOKUP($C22,$C$3:$D$15,2,FALSE)*X$20)</f>
        <v>0</v>
      </c>
      <c r="Z24" s="762">
        <f xml:space="preserve">
IF(
SUM(SUMIF(防護具!$Y$13:$Y$29,Z$17&amp;$C22,防護具!$Q$13:$Q$29),Y24)-VLOOKUP($C22,$C$3:$D$15,2,FALSE)*Y$20&lt;0,0,
SUM(SUMIF(防護具!$Y$13:$Y$29,Z$17&amp;$C22,防護具!$Q$13:$Q$29),Y24)-VLOOKUP($C22,$C$3:$D$15,2,FALSE)*Y$20)</f>
        <v>0</v>
      </c>
      <c r="AA24" s="762">
        <f xml:space="preserve">
IF(
SUM(SUMIF(防護具!$Y$13:$Y$29,AA$17&amp;$C22,防護具!$Q$13:$Q$29),Z24)-VLOOKUP($C22,$C$3:$D$15,2,FALSE)*Z$20&lt;0,0,
SUM(SUMIF(防護具!$Y$13:$Y$29,AA$17&amp;$C22,防護具!$Q$13:$Q$29),Z24)-VLOOKUP($C22,$C$3:$D$15,2,FALSE)*Z$20)</f>
        <v>0</v>
      </c>
      <c r="AB24" s="762">
        <f xml:space="preserve">
IF(
SUM(SUMIF(防護具!$Y$13:$Y$29,AB$17&amp;$C22,防護具!$Q$13:$Q$29),AA24)-VLOOKUP($C22,$C$3:$D$15,2,FALSE)*AA$20&lt;0,0,
SUM(SUMIF(防護具!$Y$13:$Y$29,AB$17&amp;$C22,防護具!$Q$13:$Q$29),AA24)-VLOOKUP($C22,$C$3:$D$15,2,FALSE)*AA$20)</f>
        <v>0</v>
      </c>
      <c r="AC24" s="762">
        <f xml:space="preserve">
IF(
SUM(SUMIF(防護具!$Y$13:$Y$29,AC$17&amp;$C22,防護具!$Q$13:$Q$29),AB24)-VLOOKUP($C22,$C$3:$D$15,2,FALSE)*AB$20&lt;0,0,
SUM(SUMIF(防護具!$Y$13:$Y$29,AC$17&amp;$C22,防護具!$Q$13:$Q$29),AB24)-VLOOKUP($C22,$C$3:$D$15,2,FALSE)*AB$20)</f>
        <v>0</v>
      </c>
      <c r="AD24" s="762">
        <f xml:space="preserve">
IF(
SUM(SUMIF(防護具!$Y$13:$Y$29,AD$17&amp;$C22,防護具!$Q$13:$Q$29),AC24)-VLOOKUP($C22,$C$3:$D$15,2,FALSE)*AC$20&lt;0,0,
SUM(SUMIF(防護具!$Y$13:$Y$29,AD$17&amp;$C22,防護具!$Q$13:$Q$29),AC24)-VLOOKUP($C22,$C$3:$D$15,2,FALSE)*AC$20)</f>
        <v>0</v>
      </c>
      <c r="AE24" s="762">
        <f xml:space="preserve">
IF(
SUM(SUMIF(防護具!$Y$13:$Y$29,AE$17&amp;$C22,防護具!$Q$13:$Q$29),AD24)-VLOOKUP($C22,$C$3:$D$15,2,FALSE)*AD$20&lt;0,0,
SUM(SUMIF(防護具!$Y$13:$Y$29,AE$17&amp;$C22,防護具!$Q$13:$Q$29),AD24)-VLOOKUP($C22,$C$3:$D$15,2,FALSE)*AD$20)</f>
        <v>0</v>
      </c>
      <c r="AF24" s="762">
        <f xml:space="preserve">
IF(
SUM(SUMIF(防護具!$Y$13:$Y$29,AF$17&amp;$C22,防護具!$Q$13:$Q$29),AE24)-VLOOKUP($C22,$C$3:$D$15,2,FALSE)*AE$20&lt;0,0,
SUM(SUMIF(防護具!$Y$13:$Y$29,AF$17&amp;$C22,防護具!$Q$13:$Q$29),AE24)-VLOOKUP($C22,$C$3:$D$15,2,FALSE)*AE$20)</f>
        <v>0</v>
      </c>
      <c r="AG24" s="762">
        <f xml:space="preserve">
IF(
SUM(SUMIF(防護具!$Y$13:$Y$29,AG$17&amp;$C22,防護具!$Q$13:$Q$29),AF24)-VLOOKUP($C22,$C$3:$D$15,2,FALSE)*AF$20&lt;0,0,
SUM(SUMIF(防護具!$Y$13:$Y$29,AG$17&amp;$C22,防護具!$Q$13:$Q$29),AF24)-VLOOKUP($C22,$C$3:$D$15,2,FALSE)*AF$20)</f>
        <v>0</v>
      </c>
      <c r="AH24" s="762">
        <f xml:space="preserve">
IF(
SUM(SUMIF(防護具!$Y$13:$Y$29,AH$17&amp;$C22,防護具!$Q$13:$Q$29),AG24)-VLOOKUP($C22,$C$3:$D$15,2,FALSE)*AG$20&lt;0,0,
SUM(SUMIF(防護具!$Y$13:$Y$29,AH$17&amp;$C22,防護具!$Q$13:$Q$29),AG24)-VLOOKUP($C22,$C$3:$D$15,2,FALSE)*AG$20)</f>
        <v>0</v>
      </c>
      <c r="AI24" s="762">
        <f xml:space="preserve">
IF(
SUM(SUMIF(防護具!$Y$13:$Y$29,AI$17&amp;$C22,防護具!$Q$13:$Q$29),AH24)-VLOOKUP($C22,$C$3:$D$15,2,FALSE)*AH$20&lt;0,0,
SUM(SUMIF(防護具!$Y$13:$Y$29,AI$17&amp;$C22,防護具!$Q$13:$Q$29),AH24)-VLOOKUP($C22,$C$3:$D$15,2,FALSE)*AH$20)</f>
        <v>0</v>
      </c>
      <c r="AJ24" s="762">
        <f xml:space="preserve">
IF(
SUM(SUMIF(防護具!$Y$13:$Y$29,AJ$17&amp;$C22,防護具!$Q$13:$Q$29),AI24)-VLOOKUP($C22,$C$3:$D$15,2,FALSE)*AI$20&lt;0,0,
SUM(SUMIF(防護具!$Y$13:$Y$29,AJ$17&amp;$C22,防護具!$Q$13:$Q$29),AI24)-VLOOKUP($C22,$C$3:$D$15,2,FALSE)*AI$20)</f>
        <v>0</v>
      </c>
      <c r="AK24" s="762">
        <f xml:space="preserve">
IF(
SUM(SUMIF(防護具!$Y$13:$Y$29,AK$17&amp;$C22,防護具!$Q$13:$Q$29),AJ24)-VLOOKUP($C22,$C$3:$D$15,2,FALSE)*AJ$20&lt;0,0,
SUM(SUMIF(防護具!$Y$13:$Y$29,AK$17&amp;$C22,防護具!$Q$13:$Q$29),AJ24)-VLOOKUP($C22,$C$3:$D$15,2,FALSE)*AJ$20)</f>
        <v>0</v>
      </c>
      <c r="AL24" s="762">
        <f xml:space="preserve">
IF(
SUM(SUMIF(防護具!$Y$13:$Y$29,AL$17&amp;$C22,防護具!$Q$13:$Q$29),AK24)-VLOOKUP($C22,$C$3:$D$15,2,FALSE)*AK$20&lt;0,0,
SUM(SUMIF(防護具!$Y$13:$Y$29,AL$17&amp;$C22,防護具!$Q$13:$Q$29),AK24)-VLOOKUP($C22,$C$3:$D$15,2,FALSE)*AK$20)</f>
        <v>0</v>
      </c>
      <c r="AM24" s="762">
        <f xml:space="preserve">
IF(
SUM(SUMIF(防護具!$Y$13:$Y$29,AM$17&amp;$C22,防護具!$Q$13:$Q$29),AL24)-VLOOKUP($C22,$C$3:$D$15,2,FALSE)*AL$20&lt;0,0,
SUM(SUMIF(防護具!$Y$13:$Y$29,AM$17&amp;$C22,防護具!$Q$13:$Q$29),AL24)-VLOOKUP($C22,$C$3:$D$15,2,FALSE)*AL$20)</f>
        <v>0</v>
      </c>
      <c r="AN24" s="762">
        <f xml:space="preserve">
IF(
SUM(SUMIF(防護具!$Y$13:$Y$29,AN$17&amp;$C22,防護具!$Q$13:$Q$29),AM24)-VLOOKUP($C22,$C$3:$D$15,2,FALSE)*AM$20&lt;0,0,
SUM(SUMIF(防護具!$Y$13:$Y$29,AN$17&amp;$C22,防護具!$Q$13:$Q$29),AM24)-VLOOKUP($C22,$C$3:$D$15,2,FALSE)*AM$20)</f>
        <v>0</v>
      </c>
      <c r="AO24" s="762">
        <f xml:space="preserve">
IF(
SUM(SUMIF(防護具!$Y$13:$Y$29,AO$17&amp;$C22,防護具!$Q$13:$Q$29),AN24)-VLOOKUP($C22,$C$3:$D$15,2,FALSE)*AN$20&lt;0,0,
SUM(SUMIF(防護具!$Y$13:$Y$29,AO$17&amp;$C22,防護具!$Q$13:$Q$29),AN24)-VLOOKUP($C22,$C$3:$D$15,2,FALSE)*AN$20)</f>
        <v>0</v>
      </c>
      <c r="AP24" s="762">
        <f xml:space="preserve">
IF(
SUM(SUMIF(防護具!$Y$13:$Y$29,AP$17&amp;$C22,防護具!$Q$13:$Q$29),AO24)-VLOOKUP($C22,$C$3:$D$15,2,FALSE)*AO$20&lt;0,0,
SUM(SUMIF(防護具!$Y$13:$Y$29,AP$17&amp;$C22,防護具!$Q$13:$Q$29),AO24)-VLOOKUP($C22,$C$3:$D$15,2,FALSE)*AO$20)</f>
        <v>0</v>
      </c>
      <c r="AQ24" s="762">
        <f xml:space="preserve">
IF(
SUM(SUMIF(防護具!$Y$13:$Y$29,AQ$17&amp;$C22,防護具!$Q$13:$Q$29),AP24)-VLOOKUP($C22,$C$3:$D$15,2,FALSE)*AP$20&lt;0,0,
SUM(SUMIF(防護具!$Y$13:$Y$29,AQ$17&amp;$C22,防護具!$Q$13:$Q$29),AP24)-VLOOKUP($C22,$C$3:$D$15,2,FALSE)*AP$20)</f>
        <v>0</v>
      </c>
      <c r="AR24" s="762">
        <f xml:space="preserve">
IF(
SUM(SUMIF(防護具!$Y$13:$Y$29,AR$17&amp;$C22,防護具!$Q$13:$Q$29),AQ24)-VLOOKUP($C22,$C$3:$D$15,2,FALSE)*AQ$20&lt;0,0,
SUM(SUMIF(防護具!$Y$13:$Y$29,AR$17&amp;$C22,防護具!$Q$13:$Q$29),AQ24)-VLOOKUP($C22,$C$3:$D$15,2,FALSE)*AQ$20)</f>
        <v>0</v>
      </c>
      <c r="AS24" s="762">
        <f xml:space="preserve">
IF(
SUM(SUMIF(防護具!$Y$13:$Y$29,AS$17&amp;$C22,防護具!$Q$13:$Q$29),AR24)-VLOOKUP($C22,$C$3:$D$15,2,FALSE)*AR$20&lt;0,0,
SUM(SUMIF(防護具!$Y$13:$Y$29,AS$17&amp;$C22,防護具!$Q$13:$Q$29),AR24)-VLOOKUP($C22,$C$3:$D$15,2,FALSE)*AR$20)</f>
        <v>0</v>
      </c>
      <c r="AT24" s="762">
        <f xml:space="preserve">
IF(
SUM(SUMIF(防護具!$Y$13:$Y$29,AT$17&amp;$C22,防護具!$Q$13:$Q$29),AS24)-VLOOKUP($C22,$C$3:$D$15,2,FALSE)*AS$20&lt;0,0,
SUM(SUMIF(防護具!$Y$13:$Y$29,AT$17&amp;$C22,防護具!$Q$13:$Q$29),AS24)-VLOOKUP($C22,$C$3:$D$15,2,FALSE)*AS$20)</f>
        <v>0</v>
      </c>
      <c r="AU24" s="762">
        <f xml:space="preserve">
IF(
SUM(SUMIF(防護具!$Y$13:$Y$29,AU$17&amp;$C22,防護具!$Q$13:$Q$29),AT24)-VLOOKUP($C22,$C$3:$D$15,2,FALSE)*AT$20&lt;0,0,
SUM(SUMIF(防護具!$Y$13:$Y$29,AU$17&amp;$C22,防護具!$Q$13:$Q$29),AT24)-VLOOKUP($C22,$C$3:$D$15,2,FALSE)*AT$20)</f>
        <v>0</v>
      </c>
      <c r="AV24" s="762">
        <f xml:space="preserve">
IF(
SUM(SUMIF(防護具!$Y$13:$Y$29,AV$17&amp;$C22,防護具!$Q$13:$Q$29),AU24)-VLOOKUP($C22,$C$3:$D$15,2,FALSE)*AU$20&lt;0,0,
SUM(SUMIF(防護具!$Y$13:$Y$29,AV$17&amp;$C22,防護具!$Q$13:$Q$29),AU24)-VLOOKUP($C22,$C$3:$D$15,2,FALSE)*AU$20)</f>
        <v>0</v>
      </c>
      <c r="AW24" s="762">
        <f xml:space="preserve">
IF(
SUM(SUMIF(防護具!$Y$13:$Y$29,AW$17&amp;$C22,防護具!$Q$13:$Q$29),AV24)-VLOOKUP($C22,$C$3:$D$15,2,FALSE)*AV$20&lt;0,0,
SUM(SUMIF(防護具!$Y$13:$Y$29,AW$17&amp;$C22,防護具!$Q$13:$Q$29),AV24)-VLOOKUP($C22,$C$3:$D$15,2,FALSE)*AV$20)</f>
        <v>0</v>
      </c>
      <c r="AX24" s="762">
        <f xml:space="preserve">
IF(
SUM(SUMIF(防護具!$Y$13:$Y$29,AX$17&amp;$C22,防護具!$Q$13:$Q$29),AW24)-VLOOKUP($C22,$C$3:$D$15,2,FALSE)*AW$20&lt;0,0,
SUM(SUMIF(防護具!$Y$13:$Y$29,AX$17&amp;$C22,防護具!$Q$13:$Q$29),AW24)-VLOOKUP($C22,$C$3:$D$15,2,FALSE)*AW$20)</f>
        <v>0</v>
      </c>
      <c r="AY24" s="762">
        <f xml:space="preserve">
IF(
SUM(SUMIF(防護具!$Y$13:$Y$29,AY$17&amp;$C22,防護具!$Q$13:$Q$29),AX24)-VLOOKUP($C22,$C$3:$D$15,2,FALSE)*AX$20&lt;0,0,
SUM(SUMIF(防護具!$Y$13:$Y$29,AY$17&amp;$C22,防護具!$Q$13:$Q$29),AX24)-VLOOKUP($C22,$C$3:$D$15,2,FALSE)*AX$20)</f>
        <v>0</v>
      </c>
      <c r="AZ24" s="762">
        <f xml:space="preserve">
IF(
SUM(SUMIF(防護具!$Y$13:$Y$29,AZ$17&amp;$C22,防護具!$Q$13:$Q$29),AY24)-VLOOKUP($C22,$C$3:$D$15,2,FALSE)*AY$20&lt;0,0,
SUM(SUMIF(防護具!$Y$13:$Y$29,AZ$17&amp;$C22,防護具!$Q$13:$Q$29),AY24)-VLOOKUP($C22,$C$3:$D$15,2,FALSE)*AY$20)</f>
        <v>0</v>
      </c>
      <c r="BA24" s="762">
        <f xml:space="preserve">
IF(
SUM(SUMIF(防護具!$Y$13:$Y$29,BA$17&amp;$C22,防護具!$Q$13:$Q$29),AZ24)-VLOOKUP($C22,$C$3:$D$15,2,FALSE)*AZ$20&lt;0,0,
SUM(SUMIF(防護具!$Y$13:$Y$29,BA$17&amp;$C22,防護具!$Q$13:$Q$29),AZ24)-VLOOKUP($C22,$C$3:$D$15,2,FALSE)*AZ$20)</f>
        <v>0</v>
      </c>
      <c r="BB24" s="762">
        <f xml:space="preserve">
IF(
SUM(SUMIF(防護具!$Y$13:$Y$29,BB$17&amp;$C22,防護具!$Q$13:$Q$29),BA24)-VLOOKUP($C22,$C$3:$D$15,2,FALSE)*BA$20&lt;0,0,
SUM(SUMIF(防護具!$Y$13:$Y$29,BB$17&amp;$C22,防護具!$Q$13:$Q$29),BA24)-VLOOKUP($C22,$C$3:$D$15,2,FALSE)*BA$20)</f>
        <v>0</v>
      </c>
      <c r="BC24" s="762">
        <f xml:space="preserve">
IF(
SUM(SUMIF(防護具!$Y$13:$Y$29,BC$17&amp;$C22,防護具!$Q$13:$Q$29),BB24)-VLOOKUP($C22,$C$3:$D$15,2,FALSE)*BB$20&lt;0,0,
SUM(SUMIF(防護具!$Y$13:$Y$29,BC$17&amp;$C22,防護具!$Q$13:$Q$29),BB24)-VLOOKUP($C22,$C$3:$D$15,2,FALSE)*BB$20)</f>
        <v>0</v>
      </c>
      <c r="BD24" s="762">
        <f xml:space="preserve">
IF(
SUM(SUMIF(防護具!$Y$13:$Y$29,BD$17&amp;$C22,防護具!$Q$13:$Q$29),BC24)-VLOOKUP($C22,$C$3:$D$15,2,FALSE)*BC$20&lt;0,0,
SUM(SUMIF(防護具!$Y$13:$Y$29,BD$17&amp;$C22,防護具!$Q$13:$Q$29),BC24)-VLOOKUP($C22,$C$3:$D$15,2,FALSE)*BC$20)</f>
        <v>0</v>
      </c>
      <c r="BE24" s="762">
        <f xml:space="preserve">
IF(
SUM(SUMIF(防護具!$Y$13:$Y$29,BE$17&amp;$C22,防護具!$Q$13:$Q$29),BD24)-VLOOKUP($C22,$C$3:$D$15,2,FALSE)*BD$20&lt;0,0,
SUM(SUMIF(防護具!$Y$13:$Y$29,BE$17&amp;$C22,防護具!$Q$13:$Q$29),BD24)-VLOOKUP($C22,$C$3:$D$15,2,FALSE)*BD$20)</f>
        <v>0</v>
      </c>
      <c r="BF24" s="762">
        <f xml:space="preserve">
IF(
SUM(SUMIF(防護具!$Y$13:$Y$29,BF$17&amp;$C22,防護具!$Q$13:$Q$29),BE24)-VLOOKUP($C22,$C$3:$D$15,2,FALSE)*BE$20&lt;0,0,
SUM(SUMIF(防護具!$Y$13:$Y$29,BF$17&amp;$C22,防護具!$Q$13:$Q$29),BE24)-VLOOKUP($C22,$C$3:$D$15,2,FALSE)*BE$20)</f>
        <v>0</v>
      </c>
      <c r="BG24" s="762">
        <f xml:space="preserve">
IF(
SUM(SUMIF(防護具!$Y$13:$Y$29,BG$17&amp;$C22,防護具!$Q$13:$Q$29),BF24)-VLOOKUP($C22,$C$3:$D$15,2,FALSE)*BF$20&lt;0,0,
SUM(SUMIF(防護具!$Y$13:$Y$29,BG$17&amp;$C22,防護具!$Q$13:$Q$29),BF24)-VLOOKUP($C22,$C$3:$D$15,2,FALSE)*BF$20)</f>
        <v>0</v>
      </c>
      <c r="BH24" s="762">
        <f xml:space="preserve">
IF(
SUM(SUMIF(防護具!$Y$13:$Y$29,BH$17&amp;$C22,防護具!$Q$13:$Q$29),BG24)-VLOOKUP($C22,$C$3:$D$15,2,FALSE)*BG$20&lt;0,0,
SUM(SUMIF(防護具!$Y$13:$Y$29,BH$17&amp;$C22,防護具!$Q$13:$Q$29),BG24)-VLOOKUP($C22,$C$3:$D$15,2,FALSE)*BG$20)</f>
        <v>0</v>
      </c>
      <c r="BI24" s="762">
        <f xml:space="preserve">
IF(
SUM(SUMIF(防護具!$Y$13:$Y$29,BI$17&amp;$C22,防護具!$Q$13:$Q$29),BH24)-VLOOKUP($C22,$C$3:$D$15,2,FALSE)*BH$20&lt;0,0,
SUM(SUMIF(防護具!$Y$13:$Y$29,BI$17&amp;$C22,防護具!$Q$13:$Q$29),BH24)-VLOOKUP($C22,$C$3:$D$15,2,FALSE)*BH$20)</f>
        <v>0</v>
      </c>
      <c r="BJ24" s="762">
        <f xml:space="preserve">
IF(
SUM(SUMIF(防護具!$Y$13:$Y$29,BJ$17&amp;$C22,防護具!$Q$13:$Q$29),BI24)-VLOOKUP($C22,$C$3:$D$15,2,FALSE)*BI$20&lt;0,0,
SUM(SUMIF(防護具!$Y$13:$Y$29,BJ$17&amp;$C22,防護具!$Q$13:$Q$29),BI24)-VLOOKUP($C22,$C$3:$D$15,2,FALSE)*BI$20)</f>
        <v>0</v>
      </c>
      <c r="BK24" s="762">
        <f xml:space="preserve">
IF(
SUM(SUMIF(防護具!$Y$13:$Y$29,BK$17&amp;$C22,防護具!$Q$13:$Q$29),BJ24)-VLOOKUP($C22,$C$3:$D$15,2,FALSE)*BJ$20&lt;0,0,
SUM(SUMIF(防護具!$Y$13:$Y$29,BK$17&amp;$C22,防護具!$Q$13:$Q$29),BJ24)-VLOOKUP($C22,$C$3:$D$15,2,FALSE)*BJ$20)</f>
        <v>0</v>
      </c>
      <c r="BL24" s="762">
        <f xml:space="preserve">
IF(
SUM(SUMIF(防護具!$Y$13:$Y$29,BL$17&amp;$C22,防護具!$Q$13:$Q$29),BK24)-VLOOKUP($C22,$C$3:$D$15,2,FALSE)*BK$20&lt;0,0,
SUM(SUMIF(防護具!$Y$13:$Y$29,BL$17&amp;$C22,防護具!$Q$13:$Q$29),BK24)-VLOOKUP($C22,$C$3:$D$15,2,FALSE)*BK$20)</f>
        <v>0</v>
      </c>
      <c r="BM24" s="762">
        <f xml:space="preserve">
IF(
SUM(SUMIF(防護具!$Y$13:$Y$29,BM$17&amp;$C22,防護具!$Q$13:$Q$29),BL24)-VLOOKUP($C22,$C$3:$D$15,2,FALSE)*BL$20&lt;0,0,
SUM(SUMIF(防護具!$Y$13:$Y$29,BM$17&amp;$C22,防護具!$Q$13:$Q$29),BL24)-VLOOKUP($C22,$C$3:$D$15,2,FALSE)*BL$20)</f>
        <v>0</v>
      </c>
      <c r="BN24" s="762">
        <f xml:space="preserve">
IF(
SUM(SUMIF(防護具!$Y$13:$Y$29,BN$17&amp;$C22,防護具!$Q$13:$Q$29),BM24)-VLOOKUP($C22,$C$3:$D$15,2,FALSE)*BM$20&lt;0,0,
SUM(SUMIF(防護具!$Y$13:$Y$29,BN$17&amp;$C22,防護具!$Q$13:$Q$29),BM24)-VLOOKUP($C22,$C$3:$D$15,2,FALSE)*BM$20)</f>
        <v>0</v>
      </c>
      <c r="BO24" s="762">
        <f xml:space="preserve">
IF(
SUM(SUMIF(防護具!$Y$13:$Y$29,BO$17&amp;$C22,防護具!$Q$13:$Q$29),BN24)-VLOOKUP($C22,$C$3:$D$15,2,FALSE)*BN$20&lt;0,0,
SUM(SUMIF(防護具!$Y$13:$Y$29,BO$17&amp;$C22,防護具!$Q$13:$Q$29),BN24)-VLOOKUP($C22,$C$3:$D$15,2,FALSE)*BN$20)</f>
        <v>0</v>
      </c>
      <c r="BP24" s="762">
        <f xml:space="preserve">
IF(
SUM(SUMIF(防護具!$Y$13:$Y$29,BP$17&amp;$C22,防護具!$Q$13:$Q$29),BO24)-VLOOKUP($C22,$C$3:$D$15,2,FALSE)*BO$20&lt;0,0,
SUM(SUMIF(防護具!$Y$13:$Y$29,BP$17&amp;$C22,防護具!$Q$13:$Q$29),BO24)-VLOOKUP($C22,$C$3:$D$15,2,FALSE)*BO$20)</f>
        <v>0</v>
      </c>
      <c r="BQ24" s="762">
        <f xml:space="preserve">
IF(
SUM(SUMIF(防護具!$Y$13:$Y$29,BQ$17&amp;$C22,防護具!$Q$13:$Q$29),BP24)-VLOOKUP($C22,$C$3:$D$15,2,FALSE)*BP$20&lt;0,0,
SUM(SUMIF(防護具!$Y$13:$Y$29,BQ$17&amp;$C22,防護具!$Q$13:$Q$29),BP24)-VLOOKUP($C22,$C$3:$D$15,2,FALSE)*BP$20)</f>
        <v>0</v>
      </c>
      <c r="BR24" s="762">
        <f xml:space="preserve">
IF(
SUM(SUMIF(防護具!$Y$13:$Y$29,BR$17&amp;$C22,防護具!$Q$13:$Q$29),BQ24)-VLOOKUP($C22,$C$3:$D$15,2,FALSE)*BQ$20&lt;0,0,
SUM(SUMIF(防護具!$Y$13:$Y$29,BR$17&amp;$C22,防護具!$Q$13:$Q$29),BQ24)-VLOOKUP($C22,$C$3:$D$15,2,FALSE)*BQ$20)</f>
        <v>0</v>
      </c>
      <c r="BS24" s="762">
        <f xml:space="preserve">
IF(
SUM(SUMIF(防護具!$Y$13:$Y$29,BS$17&amp;$C22,防護具!$Q$13:$Q$29),BR24)-VLOOKUP($C22,$C$3:$D$15,2,FALSE)*BR$20&lt;0,0,
SUM(SUMIF(防護具!$Y$13:$Y$29,BS$17&amp;$C22,防護具!$Q$13:$Q$29),BR24)-VLOOKUP($C22,$C$3:$D$15,2,FALSE)*BR$20)</f>
        <v>0</v>
      </c>
      <c r="BT24" s="762">
        <f xml:space="preserve">
IF(
SUM(SUMIF(防護具!$Y$13:$Y$29,BT$17&amp;$C22,防護具!$Q$13:$Q$29),BS24)-VLOOKUP($C22,$C$3:$D$15,2,FALSE)*BS$20&lt;0,0,
SUM(SUMIF(防護具!$Y$13:$Y$29,BT$17&amp;$C22,防護具!$Q$13:$Q$29),BS24)-VLOOKUP($C22,$C$3:$D$15,2,FALSE)*BS$20)</f>
        <v>0</v>
      </c>
      <c r="BU24" s="762">
        <f xml:space="preserve">
IF(
SUM(SUMIF(防護具!$Y$13:$Y$29,BU$17&amp;$C22,防護具!$Q$13:$Q$29),BT24)-VLOOKUP($C22,$C$3:$D$15,2,FALSE)*BT$20&lt;0,0,
SUM(SUMIF(防護具!$Y$13:$Y$29,BU$17&amp;$C22,防護具!$Q$13:$Q$29),BT24)-VLOOKUP($C22,$C$3:$D$15,2,FALSE)*BT$20)</f>
        <v>0</v>
      </c>
      <c r="BV24" s="762">
        <f xml:space="preserve">
IF(
SUM(SUMIF(防護具!$Y$13:$Y$29,BV$17&amp;$C22,防護具!$Q$13:$Q$29),BU24)-VLOOKUP($C22,$C$3:$D$15,2,FALSE)*BU$20&lt;0,0,
SUM(SUMIF(防護具!$Y$13:$Y$29,BV$17&amp;$C22,防護具!$Q$13:$Q$29),BU24)-VLOOKUP($C22,$C$3:$D$15,2,FALSE)*BU$20)</f>
        <v>0</v>
      </c>
      <c r="BW24" s="762">
        <f xml:space="preserve">
IF(
SUM(SUMIF(防護具!$Y$13:$Y$29,BW$17&amp;$C22,防護具!$Q$13:$Q$29),BV24)-VLOOKUP($C22,$C$3:$D$15,2,FALSE)*BV$20&lt;0,0,
SUM(SUMIF(防護具!$Y$13:$Y$29,BW$17&amp;$C22,防護具!$Q$13:$Q$29),BV24)-VLOOKUP($C22,$C$3:$D$15,2,FALSE)*BV$20)</f>
        <v>0</v>
      </c>
      <c r="BX24" s="762">
        <f xml:space="preserve">
IF(
SUM(SUMIF(防護具!$Y$13:$Y$29,BX$17&amp;$C22,防護具!$Q$13:$Q$29),BW24)-VLOOKUP($C22,$C$3:$D$15,2,FALSE)*BW$20&lt;0,0,
SUM(SUMIF(防護具!$Y$13:$Y$29,BX$17&amp;$C22,防護具!$Q$13:$Q$29),BW24)-VLOOKUP($C22,$C$3:$D$15,2,FALSE)*BW$20)</f>
        <v>0</v>
      </c>
      <c r="BY24" s="762">
        <f xml:space="preserve">
IF(
SUM(SUMIF(防護具!$Y$13:$Y$29,BY$17&amp;$C22,防護具!$Q$13:$Q$29),BX24)-VLOOKUP($C22,$C$3:$D$15,2,FALSE)*BX$20&lt;0,0,
SUM(SUMIF(防護具!$Y$13:$Y$29,BY$17&amp;$C22,防護具!$Q$13:$Q$29),BX24)-VLOOKUP($C22,$C$3:$D$15,2,FALSE)*BX$20)</f>
        <v>0</v>
      </c>
      <c r="BZ24" s="762">
        <f xml:space="preserve">
IF(
SUM(SUMIF(防護具!$Y$13:$Y$29,BZ$17&amp;$C22,防護具!$Q$13:$Q$29),BY24)-VLOOKUP($C22,$C$3:$D$15,2,FALSE)*BY$20&lt;0,0,
SUM(SUMIF(防護具!$Y$13:$Y$29,BZ$17&amp;$C22,防護具!$Q$13:$Q$29),BY24)-VLOOKUP($C22,$C$3:$D$15,2,FALSE)*BY$20)</f>
        <v>0</v>
      </c>
      <c r="CA24" s="762">
        <f xml:space="preserve">
IF(
SUM(SUMIF(防護具!$Y$13:$Y$29,CA$17&amp;$C22,防護具!$Q$13:$Q$29),BZ24)-VLOOKUP($C22,$C$3:$D$15,2,FALSE)*BZ$20&lt;0,0,
SUM(SUMIF(防護具!$Y$13:$Y$29,CA$17&amp;$C22,防護具!$Q$13:$Q$29),BZ24)-VLOOKUP($C22,$C$3:$D$15,2,FALSE)*BZ$20)</f>
        <v>0</v>
      </c>
      <c r="CB24" s="762">
        <f xml:space="preserve">
IF(
SUM(SUMIF(防護具!$Y$13:$Y$29,CB$17&amp;$C22,防護具!$Q$13:$Q$29),CA24)-VLOOKUP($C22,$C$3:$D$15,2,FALSE)*CA$20&lt;0,0,
SUM(SUMIF(防護具!$Y$13:$Y$29,CB$17&amp;$C22,防護具!$Q$13:$Q$29),CA24)-VLOOKUP($C22,$C$3:$D$15,2,FALSE)*CA$20)</f>
        <v>0</v>
      </c>
      <c r="CC24" s="762">
        <f xml:space="preserve">
IF(
SUM(SUMIF(防護具!$Y$13:$Y$29,CC$17&amp;$C22,防護具!$Q$13:$Q$29),CB24)-VLOOKUP($C22,$C$3:$D$15,2,FALSE)*CB$20&lt;0,0,
SUM(SUMIF(防護具!$Y$13:$Y$29,CC$17&amp;$C22,防護具!$Q$13:$Q$29),CB24)-VLOOKUP($C22,$C$3:$D$15,2,FALSE)*CB$20)</f>
        <v>0</v>
      </c>
      <c r="CD24" s="762">
        <f xml:space="preserve">
IF(
SUM(SUMIF(防護具!$Y$13:$Y$29,CD$17&amp;$C22,防護具!$Q$13:$Q$29),CC24)-VLOOKUP($C22,$C$3:$D$15,2,FALSE)*CC$20&lt;0,0,
SUM(SUMIF(防護具!$Y$13:$Y$29,CD$17&amp;$C22,防護具!$Q$13:$Q$29),CC24)-VLOOKUP($C22,$C$3:$D$15,2,FALSE)*CC$20)</f>
        <v>0</v>
      </c>
      <c r="CE24" s="762">
        <f xml:space="preserve">
IF(
SUM(SUMIF(防護具!$Y$13:$Y$29,CE$17&amp;$C22,防護具!$Q$13:$Q$29),CD24)-VLOOKUP($C22,$C$3:$D$15,2,FALSE)*CD$20&lt;0,0,
SUM(SUMIF(防護具!$Y$13:$Y$29,CE$17&amp;$C22,防護具!$Q$13:$Q$29),CD24)-VLOOKUP($C22,$C$3:$D$15,2,FALSE)*CD$20)</f>
        <v>0</v>
      </c>
      <c r="CF24" s="762">
        <f xml:space="preserve">
IF(
SUM(SUMIF(防護具!$Y$13:$Y$29,CF$17&amp;$C22,防護具!$Q$13:$Q$29),CE24)-VLOOKUP($C22,$C$3:$D$15,2,FALSE)*CE$20&lt;0,0,
SUM(SUMIF(防護具!$Y$13:$Y$29,CF$17&amp;$C22,防護具!$Q$13:$Q$29),CE24)-VLOOKUP($C22,$C$3:$D$15,2,FALSE)*CE$20)</f>
        <v>0</v>
      </c>
      <c r="CG24" s="762">
        <f xml:space="preserve">
IF(
SUM(SUMIF(防護具!$Y$13:$Y$29,CG$17&amp;$C22,防護具!$Q$13:$Q$29),CF24)-VLOOKUP($C22,$C$3:$D$15,2,FALSE)*CF$20&lt;0,0,
SUM(SUMIF(防護具!$Y$13:$Y$29,CG$17&amp;$C22,防護具!$Q$13:$Q$29),CF24)-VLOOKUP($C22,$C$3:$D$15,2,FALSE)*CF$20)</f>
        <v>0</v>
      </c>
      <c r="CH24" s="762">
        <f xml:space="preserve">
IF(
SUM(SUMIF(防護具!$Y$13:$Y$29,CH$17&amp;$C22,防護具!$Q$13:$Q$29),CG24)-VLOOKUP($C22,$C$3:$D$15,2,FALSE)*CG$20&lt;0,0,
SUM(SUMIF(防護具!$Y$13:$Y$29,CH$17&amp;$C22,防護具!$Q$13:$Q$29),CG24)-VLOOKUP($C22,$C$3:$D$15,2,FALSE)*CG$20)</f>
        <v>0</v>
      </c>
      <c r="CI24" s="762">
        <f xml:space="preserve">
IF(
SUM(SUMIF(防護具!$Y$13:$Y$29,CI$17&amp;$C22,防護具!$Q$13:$Q$29),CH24)-VLOOKUP($C22,$C$3:$D$15,2,FALSE)*CH$20&lt;0,0,
SUM(SUMIF(防護具!$Y$13:$Y$29,CI$17&amp;$C22,防護具!$Q$13:$Q$29),CH24)-VLOOKUP($C22,$C$3:$D$15,2,FALSE)*CH$20)</f>
        <v>0</v>
      </c>
      <c r="CJ24" s="762">
        <f xml:space="preserve">
IF(
SUM(SUMIF(防護具!$Y$13:$Y$29,CJ$17&amp;$C22,防護具!$Q$13:$Q$29),CI24)-VLOOKUP($C22,$C$3:$D$15,2,FALSE)*CI$20&lt;0,0,
SUM(SUMIF(防護具!$Y$13:$Y$29,CJ$17&amp;$C22,防護具!$Q$13:$Q$29),CI24)-VLOOKUP($C22,$C$3:$D$15,2,FALSE)*CI$20)</f>
        <v>0</v>
      </c>
      <c r="CK24" s="762">
        <f xml:space="preserve">
IF(
SUM(SUMIF(防護具!$Y$13:$Y$29,CK$17&amp;$C22,防護具!$Q$13:$Q$29),CJ24)-VLOOKUP($C22,$C$3:$D$15,2,FALSE)*CJ$20&lt;0,0,
SUM(SUMIF(防護具!$Y$13:$Y$29,CK$17&amp;$C22,防護具!$Q$13:$Q$29),CJ24)-VLOOKUP($C22,$C$3:$D$15,2,FALSE)*CJ$20)</f>
        <v>0</v>
      </c>
      <c r="CL24" s="762">
        <f xml:space="preserve">
IF(
SUM(SUMIF(防護具!$Y$13:$Y$29,CL$17&amp;$C22,防護具!$Q$13:$Q$29),CK24)-VLOOKUP($C22,$C$3:$D$15,2,FALSE)*CK$20&lt;0,0,
SUM(SUMIF(防護具!$Y$13:$Y$29,CL$17&amp;$C22,防護具!$Q$13:$Q$29),CK24)-VLOOKUP($C22,$C$3:$D$15,2,FALSE)*CK$20)</f>
        <v>0</v>
      </c>
      <c r="CM24" s="762">
        <f xml:space="preserve">
IF(
SUM(SUMIF(防護具!$Y$13:$Y$29,CM$17&amp;$C22,防護具!$Q$13:$Q$29),CL24)-VLOOKUP($C22,$C$3:$D$15,2,FALSE)*CL$20&lt;0,0,
SUM(SUMIF(防護具!$Y$13:$Y$29,CM$17&amp;$C22,防護具!$Q$13:$Q$29),CL24)-VLOOKUP($C22,$C$3:$D$15,2,FALSE)*CL$20)</f>
        <v>0</v>
      </c>
      <c r="CN24" s="762">
        <f xml:space="preserve">
IF(
SUM(SUMIF(防護具!$Y$13:$Y$29,CN$17&amp;$C22,防護具!$Q$13:$Q$29),CM24)-VLOOKUP($C22,$C$3:$D$15,2,FALSE)*CM$20&lt;0,0,
SUM(SUMIF(防護具!$Y$13:$Y$29,CN$17&amp;$C22,防護具!$Q$13:$Q$29),CM24)-VLOOKUP($C22,$C$3:$D$15,2,FALSE)*CM$20)</f>
        <v>0</v>
      </c>
      <c r="CO24" s="762">
        <f xml:space="preserve">
IF(
SUM(SUMIF(防護具!$Y$13:$Y$29,CO$17&amp;$C22,防護具!$Q$13:$Q$29),CN24)-VLOOKUP($C22,$C$3:$D$15,2,FALSE)*CN$20&lt;0,0,
SUM(SUMIF(防護具!$Y$13:$Y$29,CO$17&amp;$C22,防護具!$Q$13:$Q$29),CN24)-VLOOKUP($C22,$C$3:$D$15,2,FALSE)*CN$20)</f>
        <v>0</v>
      </c>
      <c r="CP24" s="762">
        <f xml:space="preserve">
IF(
SUM(SUMIF(防護具!$Y$13:$Y$29,CP$17&amp;$C22,防護具!$Q$13:$Q$29),CO24)-VLOOKUP($C22,$C$3:$D$15,2,FALSE)*CO$20&lt;0,0,
SUM(SUMIF(防護具!$Y$13:$Y$29,CP$17&amp;$C22,防護具!$Q$13:$Q$29),CO24)-VLOOKUP($C22,$C$3:$D$15,2,FALSE)*CO$20)</f>
        <v>0</v>
      </c>
      <c r="CQ24" s="762">
        <f xml:space="preserve">
IF(
SUM(SUMIF(防護具!$Y$13:$Y$29,CQ$17&amp;$C22,防護具!$Q$13:$Q$29),CP24)-VLOOKUP($C22,$C$3:$D$15,2,FALSE)*CP$20&lt;0,0,
SUM(SUMIF(防護具!$Y$13:$Y$29,CQ$17&amp;$C22,防護具!$Q$13:$Q$29),CP24)-VLOOKUP($C22,$C$3:$D$15,2,FALSE)*CP$20)</f>
        <v>0</v>
      </c>
      <c r="CR24" s="762">
        <f xml:space="preserve">
IF(
SUM(SUMIF(防護具!$Y$13:$Y$29,CR$17&amp;$C22,防護具!$Q$13:$Q$29),CQ24)-VLOOKUP($C22,$C$3:$D$15,2,FALSE)*CQ$20&lt;0,0,
SUM(SUMIF(防護具!$Y$13:$Y$29,CR$17&amp;$C22,防護具!$Q$13:$Q$29),CQ24)-VLOOKUP($C22,$C$3:$D$15,2,FALSE)*CQ$20)</f>
        <v>0</v>
      </c>
      <c r="CS24" s="762">
        <f xml:space="preserve">
IF(
SUM(SUMIF(防護具!$Y$13:$Y$29,CS$17&amp;$C22,防護具!$Q$13:$Q$29),CR24)-VLOOKUP($C22,$C$3:$D$15,2,FALSE)*CR$20&lt;0,0,
SUM(SUMIF(防護具!$Y$13:$Y$29,CS$17&amp;$C22,防護具!$Q$13:$Q$29),CR24)-VLOOKUP($C22,$C$3:$D$15,2,FALSE)*CR$20)</f>
        <v>0</v>
      </c>
      <c r="CT24" s="762">
        <f xml:space="preserve">
IF(
SUM(SUMIF(防護具!$Y$13:$Y$29,CT$17&amp;$C22,防護具!$Q$13:$Q$29),CS24)-VLOOKUP($C22,$C$3:$D$15,2,FALSE)*CS$20&lt;0,0,
SUM(SUMIF(防護具!$Y$13:$Y$29,CT$17&amp;$C22,防護具!$Q$13:$Q$29),CS24)-VLOOKUP($C22,$C$3:$D$15,2,FALSE)*CS$20)</f>
        <v>0</v>
      </c>
      <c r="CU24" s="762">
        <f xml:space="preserve">
IF(
SUM(SUMIF(防護具!$Y$13:$Y$29,CU$17&amp;$C22,防護具!$Q$13:$Q$29),CT24)-VLOOKUP($C22,$C$3:$D$15,2,FALSE)*CT$20&lt;0,0,
SUM(SUMIF(防護具!$Y$13:$Y$29,CU$17&amp;$C22,防護具!$Q$13:$Q$29),CT24)-VLOOKUP($C22,$C$3:$D$15,2,FALSE)*CT$20)</f>
        <v>0</v>
      </c>
      <c r="CV24" s="762">
        <f xml:space="preserve">
IF(
SUM(SUMIF(防護具!$Y$13:$Y$29,CV$17&amp;$C22,防護具!$Q$13:$Q$29),CU24)-VLOOKUP($C22,$C$3:$D$15,2,FALSE)*CU$20&lt;0,0,
SUM(SUMIF(防護具!$Y$13:$Y$29,CV$17&amp;$C22,防護具!$Q$13:$Q$29),CU24)-VLOOKUP($C22,$C$3:$D$15,2,FALSE)*CU$20)</f>
        <v>0</v>
      </c>
      <c r="CW24" s="762">
        <f xml:space="preserve">
IF(
SUM(SUMIF(防護具!$Y$13:$Y$29,CW$17&amp;$C22,防護具!$Q$13:$Q$29),CV24)-VLOOKUP($C22,$C$3:$D$15,2,FALSE)*CV$20&lt;0,0,
SUM(SUMIF(防護具!$Y$13:$Y$29,CW$17&amp;$C22,防護具!$Q$13:$Q$29),CV24)-VLOOKUP($C22,$C$3:$D$15,2,FALSE)*CV$20)</f>
        <v>0</v>
      </c>
      <c r="CX24" s="762">
        <f xml:space="preserve">
IF(
SUM(SUMIF(防護具!$Y$13:$Y$29,CX$17&amp;$C22,防護具!$Q$13:$Q$29),CW24)-VLOOKUP($C22,$C$3:$D$15,2,FALSE)*CW$20&lt;0,0,
SUM(SUMIF(防護具!$Y$13:$Y$29,CX$17&amp;$C22,防護具!$Q$13:$Q$29),CW24)-VLOOKUP($C22,$C$3:$D$15,2,FALSE)*CW$20)</f>
        <v>0</v>
      </c>
      <c r="CY24" s="762">
        <f xml:space="preserve">
IF(
SUM(SUMIF(防護具!$Y$13:$Y$29,CY$17&amp;$C22,防護具!$Q$13:$Q$29),CX24)-VLOOKUP($C22,$C$3:$D$15,2,FALSE)*CX$20&lt;0,0,
SUM(SUMIF(防護具!$Y$13:$Y$29,CY$17&amp;$C22,防護具!$Q$13:$Q$29),CX24)-VLOOKUP($C22,$C$3:$D$15,2,FALSE)*CX$20)</f>
        <v>0</v>
      </c>
      <c r="CZ24" s="762">
        <f xml:space="preserve">
IF(
SUM(SUMIF(防護具!$Y$13:$Y$29,CZ$17&amp;$C22,防護具!$Q$13:$Q$29),CY24)-VLOOKUP($C22,$C$3:$D$15,2,FALSE)*CY$20&lt;0,0,
SUM(SUMIF(防護具!$Y$13:$Y$29,CZ$17&amp;$C22,防護具!$Q$13:$Q$29),CY24)-VLOOKUP($C22,$C$3:$D$15,2,FALSE)*CY$20)</f>
        <v>0</v>
      </c>
      <c r="DA24" s="762">
        <f xml:space="preserve">
IF(
SUM(SUMIF(防護具!$Y$13:$Y$29,DA$17&amp;$C22,防護具!$Q$13:$Q$29),CZ24)-VLOOKUP($C22,$C$3:$D$15,2,FALSE)*CZ$20&lt;0,0,
SUM(SUMIF(防護具!$Y$13:$Y$29,DA$17&amp;$C22,防護具!$Q$13:$Q$29),CZ24)-VLOOKUP($C22,$C$3:$D$15,2,FALSE)*CZ$20)</f>
        <v>0</v>
      </c>
      <c r="DB24" s="762">
        <f xml:space="preserve">
IF(
SUM(SUMIF(防護具!$Y$13:$Y$29,DB$17&amp;$C22,防護具!$Q$13:$Q$29),DA24)-VLOOKUP($C22,$C$3:$D$15,2,FALSE)*DA$20&lt;0,0,
SUM(SUMIF(防護具!$Y$13:$Y$29,DB$17&amp;$C22,防護具!$Q$13:$Q$29),DA24)-VLOOKUP($C22,$C$3:$D$15,2,FALSE)*DA$20)</f>
        <v>0</v>
      </c>
      <c r="DC24" s="762">
        <f xml:space="preserve">
IF(
SUM(SUMIF(防護具!$Y$13:$Y$29,DC$17&amp;$C22,防護具!$Q$13:$Q$29),DB24)-VLOOKUP($C22,$C$3:$D$15,2,FALSE)*DB$20&lt;0,0,
SUM(SUMIF(防護具!$Y$13:$Y$29,DC$17&amp;$C22,防護具!$Q$13:$Q$29),DB24)-VLOOKUP($C22,$C$3:$D$15,2,FALSE)*DB$20)</f>
        <v>0</v>
      </c>
      <c r="DD24" s="762">
        <f xml:space="preserve">
IF(
SUM(SUMIF(防護具!$Y$13:$Y$29,DD$17&amp;$C22,防護具!$Q$13:$Q$29),DC24)-VLOOKUP($C22,$C$3:$D$15,2,FALSE)*DC$20&lt;0,0,
SUM(SUMIF(防護具!$Y$13:$Y$29,DD$17&amp;$C22,防護具!$Q$13:$Q$29),DC24)-VLOOKUP($C22,$C$3:$D$15,2,FALSE)*DC$20)</f>
        <v>0</v>
      </c>
      <c r="DE24" s="762">
        <f xml:space="preserve">
IF(
SUM(SUMIF(防護具!$Y$13:$Y$29,DE$17&amp;$C22,防護具!$Q$13:$Q$29),DD24)-VLOOKUP($C22,$C$3:$D$15,2,FALSE)*DD$20&lt;0,0,
SUM(SUMIF(防護具!$Y$13:$Y$29,DE$17&amp;$C22,防護具!$Q$13:$Q$29),DD24)-VLOOKUP($C22,$C$3:$D$15,2,FALSE)*DD$20)</f>
        <v>0</v>
      </c>
      <c r="DF24" s="762">
        <f xml:space="preserve">
IF(
SUM(SUMIF(防護具!$Y$13:$Y$29,DF$17&amp;$C22,防護具!$Q$13:$Q$29),DE24)-VLOOKUP($C22,$C$3:$D$15,2,FALSE)*DE$20&lt;0,0,
SUM(SUMIF(防護具!$Y$13:$Y$29,DF$17&amp;$C22,防護具!$Q$13:$Q$29),DE24)-VLOOKUP($C22,$C$3:$D$15,2,FALSE)*DE$20)</f>
        <v>0</v>
      </c>
      <c r="DG24" s="762">
        <f xml:space="preserve">
IF(
SUM(SUMIF(防護具!$Y$13:$Y$29,DG$17&amp;$C22,防護具!$Q$13:$Q$29),DF24)-VLOOKUP($C22,$C$3:$D$15,2,FALSE)*DF$20&lt;0,0,
SUM(SUMIF(防護具!$Y$13:$Y$29,DG$17&amp;$C22,防護具!$Q$13:$Q$29),DF24)-VLOOKUP($C22,$C$3:$D$15,2,FALSE)*DF$20)</f>
        <v>0</v>
      </c>
      <c r="DH24" s="762">
        <f xml:space="preserve">
IF(
SUM(SUMIF(防護具!$Y$13:$Y$29,DH$17&amp;$C22,防護具!$Q$13:$Q$29),DG24)-VLOOKUP($C22,$C$3:$D$15,2,FALSE)*DG$20&lt;0,0,
SUM(SUMIF(防護具!$Y$13:$Y$29,DH$17&amp;$C22,防護具!$Q$13:$Q$29),DG24)-VLOOKUP($C22,$C$3:$D$15,2,FALSE)*DG$20)</f>
        <v>0</v>
      </c>
      <c r="DI24" s="762">
        <f xml:space="preserve">
IF(
SUM(SUMIF(防護具!$Y$13:$Y$29,DI$17&amp;$C22,防護具!$Q$13:$Q$29),DH24)-VLOOKUP($C22,$C$3:$D$15,2,FALSE)*DH$20&lt;0,0,
SUM(SUMIF(防護具!$Y$13:$Y$29,DI$17&amp;$C22,防護具!$Q$13:$Q$29),DH24)-VLOOKUP($C22,$C$3:$D$15,2,FALSE)*DH$20)</f>
        <v>0</v>
      </c>
      <c r="DJ24" s="762">
        <f xml:space="preserve">
IF(
SUM(SUMIF(防護具!$Y$13:$Y$29,DJ$17&amp;$C22,防護具!$Q$13:$Q$29),DI24)-VLOOKUP($C22,$C$3:$D$15,2,FALSE)*DI$20&lt;0,0,
SUM(SUMIF(防護具!$Y$13:$Y$29,DJ$17&amp;$C22,防護具!$Q$13:$Q$29),DI24)-VLOOKUP($C22,$C$3:$D$15,2,FALSE)*DI$20)</f>
        <v>0</v>
      </c>
      <c r="DK24" s="762">
        <f xml:space="preserve">
IF(
SUM(SUMIF(防護具!$Y$13:$Y$29,DK$17&amp;$C22,防護具!$Q$13:$Q$29),DJ24)-VLOOKUP($C22,$C$3:$D$15,2,FALSE)*DJ$20&lt;0,0,
SUM(SUMIF(防護具!$Y$13:$Y$29,DK$17&amp;$C22,防護具!$Q$13:$Q$29),DJ24)-VLOOKUP($C22,$C$3:$D$15,2,FALSE)*DJ$20)</f>
        <v>0</v>
      </c>
      <c r="DL24" s="762">
        <f xml:space="preserve">
IF(
SUM(SUMIF(防護具!$Y$13:$Y$29,DL$17&amp;$C22,防護具!$Q$13:$Q$29),DK24)-VLOOKUP($C22,$C$3:$D$15,2,FALSE)*DK$20&lt;0,0,
SUM(SUMIF(防護具!$Y$13:$Y$29,DL$17&amp;$C22,防護具!$Q$13:$Q$29),DK24)-VLOOKUP($C22,$C$3:$D$15,2,FALSE)*DK$20)</f>
        <v>0</v>
      </c>
      <c r="DM24" s="762">
        <f xml:space="preserve">
IF(
SUM(SUMIF(防護具!$Y$13:$Y$29,DM$17&amp;$C22,防護具!$Q$13:$Q$29),DL24)-VLOOKUP($C22,$C$3:$D$15,2,FALSE)*DL$20&lt;0,0,
SUM(SUMIF(防護具!$Y$13:$Y$29,DM$17&amp;$C22,防護具!$Q$13:$Q$29),DL24)-VLOOKUP($C22,$C$3:$D$15,2,FALSE)*DL$20)</f>
        <v>0</v>
      </c>
      <c r="DN24" s="762">
        <f xml:space="preserve">
IF(
SUM(SUMIF(防護具!$Y$13:$Y$29,DN$17&amp;$C22,防護具!$Q$13:$Q$29),DM24)-VLOOKUP($C22,$C$3:$D$15,2,FALSE)*DM$20&lt;0,0,
SUM(SUMIF(防護具!$Y$13:$Y$29,DN$17&amp;$C22,防護具!$Q$13:$Q$29),DM24)-VLOOKUP($C22,$C$3:$D$15,2,FALSE)*DM$20)</f>
        <v>0</v>
      </c>
      <c r="DO24" s="762">
        <f xml:space="preserve">
IF(
SUM(SUMIF(防護具!$Y$13:$Y$29,DO$17&amp;$C22,防護具!$Q$13:$Q$29),DN24)-VLOOKUP($C22,$C$3:$D$15,2,FALSE)*DN$20&lt;0,0,
SUM(SUMIF(防護具!$Y$13:$Y$29,DO$17&amp;$C22,防護具!$Q$13:$Q$29),DN24)-VLOOKUP($C22,$C$3:$D$15,2,FALSE)*DN$20)</f>
        <v>0</v>
      </c>
      <c r="DP24" s="762">
        <f xml:space="preserve">
IF(
SUM(SUMIF(防護具!$Y$13:$Y$29,DP$17&amp;$C22,防護具!$Q$13:$Q$29),DO24)-VLOOKUP($C22,$C$3:$D$15,2,FALSE)*DO$20&lt;0,0,
SUM(SUMIF(防護具!$Y$13:$Y$29,DP$17&amp;$C22,防護具!$Q$13:$Q$29),DO24)-VLOOKUP($C22,$C$3:$D$15,2,FALSE)*DO$20)</f>
        <v>0</v>
      </c>
      <c r="DQ24" s="762">
        <f xml:space="preserve">
IF(
SUM(SUMIF(防護具!$Y$13:$Y$29,DQ$17&amp;$C22,防護具!$Q$13:$Q$29),DP24)-VLOOKUP($C22,$C$3:$D$15,2,FALSE)*DP$20&lt;0,0,
SUM(SUMIF(防護具!$Y$13:$Y$29,DQ$17&amp;$C22,防護具!$Q$13:$Q$29),DP24)-VLOOKUP($C22,$C$3:$D$15,2,FALSE)*DP$20)</f>
        <v>0</v>
      </c>
      <c r="DR24" s="762">
        <f xml:space="preserve">
IF(
SUM(SUMIF(防護具!$Y$13:$Y$29,DR$17&amp;$C22,防護具!$Q$13:$Q$29),DQ24)-VLOOKUP($C22,$C$3:$D$15,2,FALSE)*DQ$20&lt;0,0,
SUM(SUMIF(防護具!$Y$13:$Y$29,DR$17&amp;$C22,防護具!$Q$13:$Q$29),DQ24)-VLOOKUP($C22,$C$3:$D$15,2,FALSE)*DQ$20)</f>
        <v>0</v>
      </c>
      <c r="DS24" s="762">
        <f xml:space="preserve">
IF(
SUM(SUMIF(防護具!$Y$13:$Y$29,DS$17&amp;$C22,防護具!$Q$13:$Q$29),DR24)-VLOOKUP($C22,$C$3:$D$15,2,FALSE)*DR$20&lt;0,0,
SUM(SUMIF(防護具!$Y$13:$Y$29,DS$17&amp;$C22,防護具!$Q$13:$Q$29),DR24)-VLOOKUP($C22,$C$3:$D$15,2,FALSE)*DR$20)</f>
        <v>0</v>
      </c>
      <c r="DT24" s="762">
        <f xml:space="preserve">
IF(
SUM(SUMIF(防護具!$Y$13:$Y$29,DT$17&amp;$C22,防護具!$Q$13:$Q$29),DS24)-VLOOKUP($C22,$C$3:$D$15,2,FALSE)*DS$20&lt;0,0,
SUM(SUMIF(防護具!$Y$13:$Y$29,DT$17&amp;$C22,防護具!$Q$13:$Q$29),DS24)-VLOOKUP($C22,$C$3:$D$15,2,FALSE)*DS$20)</f>
        <v>0</v>
      </c>
      <c r="DU24" s="762">
        <f xml:space="preserve">
IF(
SUM(SUMIF(防護具!$Y$13:$Y$29,DU$17&amp;$C22,防護具!$Q$13:$Q$29),DT24)-VLOOKUP($C22,$C$3:$D$15,2,FALSE)*DT$20&lt;0,0,
SUM(SUMIF(防護具!$Y$13:$Y$29,DU$17&amp;$C22,防護具!$Q$13:$Q$29),DT24)-VLOOKUP($C22,$C$3:$D$15,2,FALSE)*DT$20)</f>
        <v>0</v>
      </c>
      <c r="DV24" s="762">
        <f xml:space="preserve">
IF(
SUM(SUMIF(防護具!$Y$13:$Y$29,DV$17&amp;$C22,防護具!$Q$13:$Q$29),DU24)-VLOOKUP($C22,$C$3:$D$15,2,FALSE)*DU$20&lt;0,0,
SUM(SUMIF(防護具!$Y$13:$Y$29,DV$17&amp;$C22,防護具!$Q$13:$Q$29),DU24)-VLOOKUP($C22,$C$3:$D$15,2,FALSE)*DU$20)</f>
        <v>0</v>
      </c>
      <c r="DW24" s="762">
        <f xml:space="preserve">
IF(
SUM(SUMIF(防護具!$Y$13:$Y$29,DW$17&amp;$C22,防護具!$Q$13:$Q$29),DV24)-VLOOKUP($C22,$C$3:$D$15,2,FALSE)*DV$20&lt;0,0,
SUM(SUMIF(防護具!$Y$13:$Y$29,DW$17&amp;$C22,防護具!$Q$13:$Q$29),DV24)-VLOOKUP($C22,$C$3:$D$15,2,FALSE)*DV$20)</f>
        <v>0</v>
      </c>
      <c r="DX24" s="762">
        <f xml:space="preserve">
IF(
SUM(SUMIF(防護具!$Y$13:$Y$29,DX$17&amp;$C22,防護具!$Q$13:$Q$29),DW24)-VLOOKUP($C22,$C$3:$D$15,2,FALSE)*DW$20&lt;0,0,
SUM(SUMIF(防護具!$Y$13:$Y$29,DX$17&amp;$C22,防護具!$Q$13:$Q$29),DW24)-VLOOKUP($C22,$C$3:$D$15,2,FALSE)*DW$20)</f>
        <v>0</v>
      </c>
      <c r="DY24" s="762">
        <f xml:space="preserve">
IF(
SUM(SUMIF(防護具!$Y$13:$Y$29,DY$17&amp;$C22,防護具!$Q$13:$Q$29),DX24)-VLOOKUP($C22,$C$3:$D$15,2,FALSE)*DX$20&lt;0,0,
SUM(SUMIF(防護具!$Y$13:$Y$29,DY$17&amp;$C22,防護具!$Q$13:$Q$29),DX24)-VLOOKUP($C22,$C$3:$D$15,2,FALSE)*DX$20)</f>
        <v>0</v>
      </c>
      <c r="DZ24" s="762">
        <f xml:space="preserve">
IF(
SUM(SUMIF(防護具!$Y$13:$Y$29,DZ$17&amp;$C22,防護具!$Q$13:$Q$29),DY24)-VLOOKUP($C22,$C$3:$D$15,2,FALSE)*DY$20&lt;0,0,
SUM(SUMIF(防護具!$Y$13:$Y$29,DZ$17&amp;$C22,防護具!$Q$13:$Q$29),DY24)-VLOOKUP($C22,$C$3:$D$15,2,FALSE)*DY$20)</f>
        <v>0</v>
      </c>
      <c r="EA24" s="762">
        <f xml:space="preserve">
IF(
SUM(SUMIF(防護具!$Y$13:$Y$29,EA$17&amp;$C22,防護具!$Q$13:$Q$29),DZ24)-VLOOKUP($C22,$C$3:$D$15,2,FALSE)*DZ$20&lt;0,0,
SUM(SUMIF(防護具!$Y$13:$Y$29,EA$17&amp;$C22,防護具!$Q$13:$Q$29),DZ24)-VLOOKUP($C22,$C$3:$D$15,2,FALSE)*DZ$20)</f>
        <v>0</v>
      </c>
      <c r="EB24" s="762">
        <f xml:space="preserve">
IF(
SUM(SUMIF(防護具!$Y$13:$Y$29,EB$17&amp;$C22,防護具!$Q$13:$Q$29),EA24)-VLOOKUP($C22,$C$3:$D$15,2,FALSE)*EA$20&lt;0,0,
SUM(SUMIF(防護具!$Y$13:$Y$29,EB$17&amp;$C22,防護具!$Q$13:$Q$29),EA24)-VLOOKUP($C22,$C$3:$D$15,2,FALSE)*EA$20)</f>
        <v>0</v>
      </c>
      <c r="EC24" s="762">
        <f xml:space="preserve">
IF(
SUM(SUMIF(防護具!$Y$13:$Y$29,EC$17&amp;$C22,防護具!$Q$13:$Q$29),EB24)-VLOOKUP($C22,$C$3:$D$15,2,FALSE)*EB$20&lt;0,0,
SUM(SUMIF(防護具!$Y$13:$Y$29,EC$17&amp;$C22,防護具!$Q$13:$Q$29),EB24)-VLOOKUP($C22,$C$3:$D$15,2,FALSE)*EB$20)</f>
        <v>0</v>
      </c>
      <c r="ED24" s="762">
        <f xml:space="preserve">
IF(
SUM(SUMIF(防護具!$Y$13:$Y$29,ED$17&amp;$C22,防護具!$Q$13:$Q$29),EC24)-VLOOKUP($C22,$C$3:$D$15,2,FALSE)*EC$20&lt;0,0,
SUM(SUMIF(防護具!$Y$13:$Y$29,ED$17&amp;$C22,防護具!$Q$13:$Q$29),EC24)-VLOOKUP($C22,$C$3:$D$15,2,FALSE)*EC$20)</f>
        <v>0</v>
      </c>
      <c r="EE24" s="762">
        <f xml:space="preserve">
IF(
SUM(SUMIF(防護具!$Y$13:$Y$29,EE$17&amp;$C22,防護具!$Q$13:$Q$29),ED24)-VLOOKUP($C22,$C$3:$D$15,2,FALSE)*ED$20&lt;0,0,
SUM(SUMIF(防護具!$Y$13:$Y$29,EE$17&amp;$C22,防護具!$Q$13:$Q$29),ED24)-VLOOKUP($C22,$C$3:$D$15,2,FALSE)*ED$20)</f>
        <v>0</v>
      </c>
      <c r="EF24" s="762">
        <f xml:space="preserve">
IF(
SUM(SUMIF(防護具!$Y$13:$Y$29,EF$17&amp;$C22,防護具!$Q$13:$Q$29),EE24)-VLOOKUP($C22,$C$3:$D$15,2,FALSE)*EE$20&lt;0,0,
SUM(SUMIF(防護具!$Y$13:$Y$29,EF$17&amp;$C22,防護具!$Q$13:$Q$29),EE24)-VLOOKUP($C22,$C$3:$D$15,2,FALSE)*EE$20)</f>
        <v>0</v>
      </c>
      <c r="EG24" s="762">
        <f xml:space="preserve">
IF(
SUM(SUMIF(防護具!$Y$13:$Y$29,EG$17&amp;$C22,防護具!$Q$13:$Q$29),EF24)-VLOOKUP($C22,$C$3:$D$15,2,FALSE)*EF$20&lt;0,0,
SUM(SUMIF(防護具!$Y$13:$Y$29,EG$17&amp;$C22,防護具!$Q$13:$Q$29),EF24)-VLOOKUP($C22,$C$3:$D$15,2,FALSE)*EF$20)</f>
        <v>0</v>
      </c>
      <c r="EH24" s="762">
        <f xml:space="preserve">
IF(
SUM(SUMIF(防護具!$Y$13:$Y$29,EH$17&amp;$C22,防護具!$Q$13:$Q$29),EG24)-VLOOKUP($C22,$C$3:$D$15,2,FALSE)*EG$20&lt;0,0,
SUM(SUMIF(防護具!$Y$13:$Y$29,EH$17&amp;$C22,防護具!$Q$13:$Q$29),EG24)-VLOOKUP($C22,$C$3:$D$15,2,FALSE)*EG$20)</f>
        <v>0</v>
      </c>
      <c r="EI24" s="762">
        <f xml:space="preserve">
IF(
SUM(SUMIF(防護具!$Y$13:$Y$29,EI$17&amp;$C22,防護具!$Q$13:$Q$29),EH24)-VLOOKUP($C22,$C$3:$D$15,2,FALSE)*EH$20&lt;0,0,
SUM(SUMIF(防護具!$Y$13:$Y$29,EI$17&amp;$C22,防護具!$Q$13:$Q$29),EH24)-VLOOKUP($C22,$C$3:$D$15,2,FALSE)*EH$20)</f>
        <v>0</v>
      </c>
      <c r="EJ24" s="762">
        <f xml:space="preserve">
IF(
SUM(SUMIF(防護具!$Y$13:$Y$29,EJ$17&amp;$C22,防護具!$Q$13:$Q$29),EI24)-VLOOKUP($C22,$C$3:$D$15,2,FALSE)*EI$20&lt;0,0,
SUM(SUMIF(防護具!$Y$13:$Y$29,EJ$17&amp;$C22,防護具!$Q$13:$Q$29),EI24)-VLOOKUP($C22,$C$3:$D$15,2,FALSE)*EI$20)</f>
        <v>0</v>
      </c>
      <c r="EK24" s="762">
        <f xml:space="preserve">
IF(
SUM(SUMIF(防護具!$Y$13:$Y$29,EK$17&amp;$C22,防護具!$Q$13:$Q$29),EJ24)-VLOOKUP($C22,$C$3:$D$15,2,FALSE)*EJ$20&lt;0,0,
SUM(SUMIF(防護具!$Y$13:$Y$29,EK$17&amp;$C22,防護具!$Q$13:$Q$29),EJ24)-VLOOKUP($C22,$C$3:$D$15,2,FALSE)*EJ$20)</f>
        <v>0</v>
      </c>
      <c r="EL24" s="762">
        <f xml:space="preserve">
IF(
SUM(SUMIF(防護具!$Y$13:$Y$29,EL$17&amp;$C22,防護具!$Q$13:$Q$29),EK24)-VLOOKUP($C22,$C$3:$D$15,2,FALSE)*EK$20&lt;0,0,
SUM(SUMIF(防護具!$Y$13:$Y$29,EL$17&amp;$C22,防護具!$Q$13:$Q$29),EK24)-VLOOKUP($C22,$C$3:$D$15,2,FALSE)*EK$20)</f>
        <v>0</v>
      </c>
      <c r="EM24" s="762">
        <f xml:space="preserve">
IF(
SUM(SUMIF(防護具!$Y$13:$Y$29,EM$17&amp;$C22,防護具!$Q$13:$Q$29),EL24)-VLOOKUP($C22,$C$3:$D$15,2,FALSE)*EL$20&lt;0,0,
SUM(SUMIF(防護具!$Y$13:$Y$29,EM$17&amp;$C22,防護具!$Q$13:$Q$29),EL24)-VLOOKUP($C22,$C$3:$D$15,2,FALSE)*EL$20)</f>
        <v>0</v>
      </c>
      <c r="EN24" s="762">
        <f xml:space="preserve">
IF(
SUM(SUMIF(防護具!$Y$13:$Y$29,EN$17&amp;$C22,防護具!$Q$13:$Q$29),EM24)-VLOOKUP($C22,$C$3:$D$15,2,FALSE)*EM$20&lt;0,0,
SUM(SUMIF(防護具!$Y$13:$Y$29,EN$17&amp;$C22,防護具!$Q$13:$Q$29),EM24)-VLOOKUP($C22,$C$3:$D$15,2,FALSE)*EM$20)</f>
        <v>0</v>
      </c>
      <c r="EO24" s="762">
        <f xml:space="preserve">
IF(
SUM(SUMIF(防護具!$Y$13:$Y$29,EO$17&amp;$C22,防護具!$Q$13:$Q$29),EN24)-VLOOKUP($C22,$C$3:$D$15,2,FALSE)*EN$20&lt;0,0,
SUM(SUMIF(防護具!$Y$13:$Y$29,EO$17&amp;$C22,防護具!$Q$13:$Q$29),EN24)-VLOOKUP($C22,$C$3:$D$15,2,FALSE)*EN$20)</f>
        <v>0</v>
      </c>
      <c r="EP24" s="762">
        <f xml:space="preserve">
IF(
SUM(SUMIF(防護具!$Y$13:$Y$29,EP$17&amp;$C22,防護具!$Q$13:$Q$29),EO24)-VLOOKUP($C22,$C$3:$D$15,2,FALSE)*EO$20&lt;0,0,
SUM(SUMIF(防護具!$Y$13:$Y$29,EP$17&amp;$C22,防護具!$Q$13:$Q$29),EO24)-VLOOKUP($C22,$C$3:$D$15,2,FALSE)*EO$20)</f>
        <v>0</v>
      </c>
      <c r="EQ24" s="762">
        <f xml:space="preserve">
IF(
SUM(SUMIF(防護具!$Y$13:$Y$29,EQ$17&amp;$C22,防護具!$Q$13:$Q$29),EP24)-VLOOKUP($C22,$C$3:$D$15,2,FALSE)*EP$20&lt;0,0,
SUM(SUMIF(防護具!$Y$13:$Y$29,EQ$17&amp;$C22,防護具!$Q$13:$Q$29),EP24)-VLOOKUP($C22,$C$3:$D$15,2,FALSE)*EP$20)</f>
        <v>0</v>
      </c>
      <c r="ER24" s="762">
        <f xml:space="preserve">
IF(
SUM(SUMIF(防護具!$Y$13:$Y$29,ER$17&amp;$C22,防護具!$Q$13:$Q$29),EQ24)-VLOOKUP($C22,$C$3:$D$15,2,FALSE)*EQ$20&lt;0,0,
SUM(SUMIF(防護具!$Y$13:$Y$29,ER$17&amp;$C22,防護具!$Q$13:$Q$29),EQ24)-VLOOKUP($C22,$C$3:$D$15,2,FALSE)*EQ$20)</f>
        <v>0</v>
      </c>
      <c r="ES24" s="762">
        <f xml:space="preserve">
IF(
SUM(SUMIF(防護具!$Y$13:$Y$29,ES$17&amp;$C22,防護具!$Q$13:$Q$29),ER24)-VLOOKUP($C22,$C$3:$D$15,2,FALSE)*ER$20&lt;0,0,
SUM(SUMIF(防護具!$Y$13:$Y$29,ES$17&amp;$C22,防護具!$Q$13:$Q$29),ER24)-VLOOKUP($C22,$C$3:$D$15,2,FALSE)*ER$20)</f>
        <v>0</v>
      </c>
      <c r="ET24" s="762">
        <f xml:space="preserve">
IF(
SUM(SUMIF(防護具!$Y$13:$Y$29,ET$17&amp;$C22,防護具!$Q$13:$Q$29),ES24)-VLOOKUP($C22,$C$3:$D$15,2,FALSE)*ES$20&lt;0,0,
SUM(SUMIF(防護具!$Y$13:$Y$29,ET$17&amp;$C22,防護具!$Q$13:$Q$29),ES24)-VLOOKUP($C22,$C$3:$D$15,2,FALSE)*ES$20)</f>
        <v>0</v>
      </c>
      <c r="EU24" s="762">
        <f xml:space="preserve">
IF(
SUM(SUMIF(防護具!$Y$13:$Y$29,EU$17&amp;$C22,防護具!$Q$13:$Q$29),ET24)-VLOOKUP($C22,$C$3:$D$15,2,FALSE)*ET$20&lt;0,0,
SUM(SUMIF(防護具!$Y$13:$Y$29,EU$17&amp;$C22,防護具!$Q$13:$Q$29),ET24)-VLOOKUP($C22,$C$3:$D$15,2,FALSE)*ET$20)</f>
        <v>0</v>
      </c>
      <c r="EV24" s="762">
        <f xml:space="preserve">
IF(
SUM(SUMIF(防護具!$Y$13:$Y$29,EV$17&amp;$C22,防護具!$Q$13:$Q$29),EU24)-VLOOKUP($C22,$C$3:$D$15,2,FALSE)*EU$20&lt;0,0,
SUM(SUMIF(防護具!$Y$13:$Y$29,EV$17&amp;$C22,防護具!$Q$13:$Q$29),EU24)-VLOOKUP($C22,$C$3:$D$15,2,FALSE)*EU$20)</f>
        <v>0</v>
      </c>
      <c r="EW24" s="762">
        <f xml:space="preserve">
IF(
SUM(SUMIF(防護具!$Y$13:$Y$29,EW$17&amp;$C22,防護具!$Q$13:$Q$29),EV24)-VLOOKUP($C22,$C$3:$D$15,2,FALSE)*EV$20&lt;0,0,
SUM(SUMIF(防護具!$Y$13:$Y$29,EW$17&amp;$C22,防護具!$Q$13:$Q$29),EV24)-VLOOKUP($C22,$C$3:$D$15,2,FALSE)*EV$20)</f>
        <v>0</v>
      </c>
      <c r="EX24" s="762">
        <f xml:space="preserve">
IF(
SUM(SUMIF(防護具!$Y$13:$Y$29,EX$17&amp;$C22,防護具!$Q$13:$Q$29),EW24)-VLOOKUP($C22,$C$3:$D$15,2,FALSE)*EW$20&lt;0,0,
SUM(SUMIF(防護具!$Y$13:$Y$29,EX$17&amp;$C22,防護具!$Q$13:$Q$29),EW24)-VLOOKUP($C22,$C$3:$D$15,2,FALSE)*EW$20)</f>
        <v>0</v>
      </c>
      <c r="EY24" s="762">
        <f xml:space="preserve">
IF(
SUM(SUMIF(防護具!$Y$13:$Y$29,EY$17&amp;$C22,防護具!$Q$13:$Q$29),EX24)-VLOOKUP($C22,$C$3:$D$15,2,FALSE)*EX$20&lt;0,0,
SUM(SUMIF(防護具!$Y$13:$Y$29,EY$17&amp;$C22,防護具!$Q$13:$Q$29),EX24)-VLOOKUP($C22,$C$3:$D$15,2,FALSE)*EX$20)</f>
        <v>0</v>
      </c>
      <c r="EZ24" s="762">
        <f xml:space="preserve">
IF(
SUM(SUMIF(防護具!$Y$13:$Y$29,EZ$17&amp;$C22,防護具!$Q$13:$Q$29),EY24)-VLOOKUP($C22,$C$3:$D$15,2,FALSE)*EY$20&lt;0,0,
SUM(SUMIF(防護具!$Y$13:$Y$29,EZ$17&amp;$C22,防護具!$Q$13:$Q$29),EY24)-VLOOKUP($C22,$C$3:$D$15,2,FALSE)*EY$20)</f>
        <v>0</v>
      </c>
      <c r="FA24" s="762">
        <f xml:space="preserve">
IF(
SUM(SUMIF(防護具!$Y$13:$Y$29,FA$17&amp;$C22,防護具!$Q$13:$Q$29),EZ24)-VLOOKUP($C22,$C$3:$D$15,2,FALSE)*EZ$20&lt;0,0,
SUM(SUMIF(防護具!$Y$13:$Y$29,FA$17&amp;$C22,防護具!$Q$13:$Q$29),EZ24)-VLOOKUP($C22,$C$3:$D$15,2,FALSE)*EZ$20)</f>
        <v>0</v>
      </c>
      <c r="FB24" s="762">
        <f xml:space="preserve">
IF(
SUM(SUMIF(防護具!$Y$13:$Y$29,FB$17&amp;$C22,防護具!$Q$13:$Q$29),FA24)-VLOOKUP($C22,$C$3:$D$15,2,FALSE)*FA$20&lt;0,0,
SUM(SUMIF(防護具!$Y$13:$Y$29,FB$17&amp;$C22,防護具!$Q$13:$Q$29),FA24)-VLOOKUP($C22,$C$3:$D$15,2,FALSE)*FA$20)</f>
        <v>0</v>
      </c>
      <c r="FC24" s="762">
        <f xml:space="preserve">
IF(
SUM(SUMIF(防護具!$Y$13:$Y$29,FC$17&amp;$C22,防護具!$Q$13:$Q$29),FB24)-VLOOKUP($C22,$C$3:$D$15,2,FALSE)*FB$20&lt;0,0,
SUM(SUMIF(防護具!$Y$13:$Y$29,FC$17&amp;$C22,防護具!$Q$13:$Q$29),FB24)-VLOOKUP($C22,$C$3:$D$15,2,FALSE)*FB$20)</f>
        <v>0</v>
      </c>
      <c r="FD24" s="762">
        <f xml:space="preserve">
IF(
SUM(SUMIF(防護具!$Y$13:$Y$29,FD$17&amp;$C22,防護具!$Q$13:$Q$29),FC24)-VLOOKUP($C22,$C$3:$D$15,2,FALSE)*FC$20&lt;0,0,
SUM(SUMIF(防護具!$Y$13:$Y$29,FD$17&amp;$C22,防護具!$Q$13:$Q$29),FC24)-VLOOKUP($C22,$C$3:$D$15,2,FALSE)*FC$20)</f>
        <v>0</v>
      </c>
      <c r="FE24" s="762">
        <f xml:space="preserve">
IF(
SUM(SUMIF(防護具!$Y$13:$Y$29,FE$17&amp;$C22,防護具!$Q$13:$Q$29),FD24)-VLOOKUP($C22,$C$3:$D$15,2,FALSE)*FD$20&lt;0,0,
SUM(SUMIF(防護具!$Y$13:$Y$29,FE$17&amp;$C22,防護具!$Q$13:$Q$29),FD24)-VLOOKUP($C22,$C$3:$D$15,2,FALSE)*FD$20)</f>
        <v>0</v>
      </c>
      <c r="FF24" s="762">
        <f xml:space="preserve">
IF(
SUM(SUMIF(防護具!$Y$13:$Y$29,FF$17&amp;$C22,防護具!$Q$13:$Q$29),FE24)-VLOOKUP($C22,$C$3:$D$15,2,FALSE)*FE$20&lt;0,0,
SUM(SUMIF(防護具!$Y$13:$Y$29,FF$17&amp;$C22,防護具!$Q$13:$Q$29),FE24)-VLOOKUP($C22,$C$3:$D$15,2,FALSE)*FE$20)</f>
        <v>0</v>
      </c>
      <c r="FG24" s="762">
        <f xml:space="preserve">
IF(
SUM(SUMIF(防護具!$Y$13:$Y$29,FG$17&amp;$C22,防護具!$Q$13:$Q$29),FF24)-VLOOKUP($C22,$C$3:$D$15,2,FALSE)*FF$20&lt;0,0,
SUM(SUMIF(防護具!$Y$13:$Y$29,FG$17&amp;$C22,防護具!$Q$13:$Q$29),FF24)-VLOOKUP($C22,$C$3:$D$15,2,FALSE)*FF$20)</f>
        <v>0</v>
      </c>
      <c r="FH24" s="762">
        <f xml:space="preserve">
IF(
SUM(SUMIF(防護具!$Y$13:$Y$29,FH$17&amp;$C22,防護具!$Q$13:$Q$29),FG24)-VLOOKUP($C22,$C$3:$D$15,2,FALSE)*FG$20&lt;0,0,
SUM(SUMIF(防護具!$Y$13:$Y$29,FH$17&amp;$C22,防護具!$Q$13:$Q$29),FG24)-VLOOKUP($C22,$C$3:$D$15,2,FALSE)*FG$20)</f>
        <v>0</v>
      </c>
      <c r="FI24" s="762">
        <f xml:space="preserve">
IF(
SUM(SUMIF(防護具!$Y$13:$Y$29,FI$17&amp;$C22,防護具!$Q$13:$Q$29),FH24)-VLOOKUP($C22,$C$3:$D$15,2,FALSE)*FH$20&lt;0,0,
SUM(SUMIF(防護具!$Y$13:$Y$29,FI$17&amp;$C22,防護具!$Q$13:$Q$29),FH24)-VLOOKUP($C22,$C$3:$D$15,2,FALSE)*FH$20)</f>
        <v>0</v>
      </c>
      <c r="FJ24" s="762">
        <f xml:space="preserve">
IF(
SUM(SUMIF(防護具!$Y$13:$Y$29,FJ$17&amp;$C22,防護具!$Q$13:$Q$29),FI24)-VLOOKUP($C22,$C$3:$D$15,2,FALSE)*FI$20&lt;0,0,
SUM(SUMIF(防護具!$Y$13:$Y$29,FJ$17&amp;$C22,防護具!$Q$13:$Q$29),FI24)-VLOOKUP($C22,$C$3:$D$15,2,FALSE)*FI$20)</f>
        <v>0</v>
      </c>
      <c r="FK24" s="762">
        <f xml:space="preserve">
IF(
SUM(SUMIF(防護具!$Y$13:$Y$29,FK$17&amp;$C22,防護具!$Q$13:$Q$29),FJ24)-VLOOKUP($C22,$C$3:$D$15,2,FALSE)*FJ$20&lt;0,0,
SUM(SUMIF(防護具!$Y$13:$Y$29,FK$17&amp;$C22,防護具!$Q$13:$Q$29),FJ24)-VLOOKUP($C22,$C$3:$D$15,2,FALSE)*FJ$20)</f>
        <v>0</v>
      </c>
      <c r="FL24" s="762">
        <f xml:space="preserve">
IF(
SUM(SUMIF(防護具!$Y$13:$Y$29,FL$17&amp;$C22,防護具!$Q$13:$Q$29),FK24)-VLOOKUP($C22,$C$3:$D$15,2,FALSE)*FK$20&lt;0,0,
SUM(SUMIF(防護具!$Y$13:$Y$29,FL$17&amp;$C22,防護具!$Q$13:$Q$29),FK24)-VLOOKUP($C22,$C$3:$D$15,2,FALSE)*FK$20)</f>
        <v>0</v>
      </c>
      <c r="FM24" s="762">
        <f xml:space="preserve">
IF(
SUM(SUMIF(防護具!$Y$13:$Y$29,FM$17&amp;$C22,防護具!$Q$13:$Q$29),FL24)-VLOOKUP($C22,$C$3:$D$15,2,FALSE)*FL$20&lt;0,0,
SUM(SUMIF(防護具!$Y$13:$Y$29,FM$17&amp;$C22,防護具!$Q$13:$Q$29),FL24)-VLOOKUP($C22,$C$3:$D$15,2,FALSE)*FL$20)</f>
        <v>0</v>
      </c>
      <c r="FN24" s="762">
        <f xml:space="preserve">
IF(
SUM(SUMIF(防護具!$Y$13:$Y$29,FN$17&amp;$C22,防護具!$Q$13:$Q$29),FM24)-VLOOKUP($C22,$C$3:$D$15,2,FALSE)*FM$20&lt;0,0,
SUM(SUMIF(防護具!$Y$13:$Y$29,FN$17&amp;$C22,防護具!$Q$13:$Q$29),FM24)-VLOOKUP($C22,$C$3:$D$15,2,FALSE)*FM$20)</f>
        <v>0</v>
      </c>
      <c r="FO24" s="762">
        <f xml:space="preserve">
IF(
SUM(SUMIF(防護具!$Y$13:$Y$29,FO$17&amp;$C22,防護具!$Q$13:$Q$29),FN24)-VLOOKUP($C22,$C$3:$D$15,2,FALSE)*FN$20&lt;0,0,
SUM(SUMIF(防護具!$Y$13:$Y$29,FO$17&amp;$C22,防護具!$Q$13:$Q$29),FN24)-VLOOKUP($C22,$C$3:$D$15,2,FALSE)*FN$20)</f>
        <v>0</v>
      </c>
      <c r="FP24" s="762">
        <f xml:space="preserve">
IF(
SUM(SUMIF(防護具!$Y$13:$Y$29,FP$17&amp;$C22,防護具!$Q$13:$Q$29),FO24)-VLOOKUP($C22,$C$3:$D$15,2,FALSE)*FO$20&lt;0,0,
SUM(SUMIF(防護具!$Y$13:$Y$29,FP$17&amp;$C22,防護具!$Q$13:$Q$29),FO24)-VLOOKUP($C22,$C$3:$D$15,2,FALSE)*FO$20)</f>
        <v>0</v>
      </c>
      <c r="FQ24" s="762">
        <f xml:space="preserve">
IF(
SUM(SUMIF(防護具!$Y$13:$Y$29,FQ$17&amp;$C22,防護具!$Q$13:$Q$29),FP24)-VLOOKUP($C22,$C$3:$D$15,2,FALSE)*FP$20&lt;0,0,
SUM(SUMIF(防護具!$Y$13:$Y$29,FQ$17&amp;$C22,防護具!$Q$13:$Q$29),FP24)-VLOOKUP($C22,$C$3:$D$15,2,FALSE)*FP$20)</f>
        <v>0</v>
      </c>
      <c r="FR24" s="762">
        <f xml:space="preserve">
IF(
SUM(SUMIF(防護具!$Y$13:$Y$29,FR$17&amp;$C22,防護具!$Q$13:$Q$29),FQ24)-VLOOKUP($C22,$C$3:$D$15,2,FALSE)*FQ$20&lt;0,0,
SUM(SUMIF(防護具!$Y$13:$Y$29,FR$17&amp;$C22,防護具!$Q$13:$Q$29),FQ24)-VLOOKUP($C22,$C$3:$D$15,2,FALSE)*FQ$20)</f>
        <v>0</v>
      </c>
      <c r="FS24" s="762">
        <f xml:space="preserve">
IF(
SUM(SUMIF(防護具!$Y$13:$Y$29,FS$17&amp;$C22,防護具!$Q$13:$Q$29),FR24)-VLOOKUP($C22,$C$3:$D$15,2,FALSE)*FR$20&lt;0,0,
SUM(SUMIF(防護具!$Y$13:$Y$29,FS$17&amp;$C22,防護具!$Q$13:$Q$29),FR24)-VLOOKUP($C22,$C$3:$D$15,2,FALSE)*FR$20)</f>
        <v>0</v>
      </c>
      <c r="FT24" s="762">
        <f xml:space="preserve">
IF(
SUM(SUMIF(防護具!$Y$13:$Y$29,FT$17&amp;$C22,防護具!$Q$13:$Q$29),FS24)-VLOOKUP($C22,$C$3:$D$15,2,FALSE)*FS$20&lt;0,0,
SUM(SUMIF(防護具!$Y$13:$Y$29,FT$17&amp;$C22,防護具!$Q$13:$Q$29),FS24)-VLOOKUP($C22,$C$3:$D$15,2,FALSE)*FS$20)</f>
        <v>0</v>
      </c>
      <c r="FU24" s="762">
        <f xml:space="preserve">
IF(
SUM(SUMIF(防護具!$Y$13:$Y$29,FU$17&amp;$C22,防護具!$Q$13:$Q$29),FT24)-VLOOKUP($C22,$C$3:$D$15,2,FALSE)*FT$20&lt;0,0,
SUM(SUMIF(防護具!$Y$13:$Y$29,FU$17&amp;$C22,防護具!$Q$13:$Q$29),FT24)-VLOOKUP($C22,$C$3:$D$15,2,FALSE)*FT$20)</f>
        <v>0</v>
      </c>
      <c r="FV24" s="762">
        <f xml:space="preserve">
IF(
SUM(SUMIF(防護具!$Y$13:$Y$29,FV$17&amp;$C22,防護具!$Q$13:$Q$29),FU24)-VLOOKUP($C22,$C$3:$D$15,2,FALSE)*FU$20&lt;0,0,
SUM(SUMIF(防護具!$Y$13:$Y$29,FV$17&amp;$C22,防護具!$Q$13:$Q$29),FU24)-VLOOKUP($C22,$C$3:$D$15,2,FALSE)*FU$20)</f>
        <v>0</v>
      </c>
      <c r="FW24" s="762">
        <f xml:space="preserve">
IF(
SUM(SUMIF(防護具!$Y$13:$Y$29,FW$17&amp;$C22,防護具!$Q$13:$Q$29),FV24)-VLOOKUP($C22,$C$3:$D$15,2,FALSE)*FV$20&lt;0,0,
SUM(SUMIF(防護具!$Y$13:$Y$29,FW$17&amp;$C22,防護具!$Q$13:$Q$29),FV24)-VLOOKUP($C22,$C$3:$D$15,2,FALSE)*FV$20)</f>
        <v>0</v>
      </c>
      <c r="FX24" s="762">
        <f xml:space="preserve">
IF(
SUM(SUMIF(防護具!$Y$13:$Y$29,FX$17&amp;$C22,防護具!$Q$13:$Q$29),FW24)-VLOOKUP($C22,$C$3:$D$15,2,FALSE)*FW$20&lt;0,0,
SUM(SUMIF(防護具!$Y$13:$Y$29,FX$17&amp;$C22,防護具!$Q$13:$Q$29),FW24)-VLOOKUP($C22,$C$3:$D$15,2,FALSE)*FW$20)</f>
        <v>0</v>
      </c>
      <c r="FY24" s="762">
        <f xml:space="preserve">
IF(
SUM(SUMIF(防護具!$Y$13:$Y$29,FY$17&amp;$C22,防護具!$Q$13:$Q$29),FX24)-VLOOKUP($C22,$C$3:$D$15,2,FALSE)*FX$20&lt;0,0,
SUM(SUMIF(防護具!$Y$13:$Y$29,FY$17&amp;$C22,防護具!$Q$13:$Q$29),FX24)-VLOOKUP($C22,$C$3:$D$15,2,FALSE)*FX$20)</f>
        <v>0</v>
      </c>
      <c r="FZ24" s="762">
        <f xml:space="preserve">
IF(
SUM(SUMIF(防護具!$Y$13:$Y$29,FZ$17&amp;$C22,防護具!$Q$13:$Q$29),FY24)-VLOOKUP($C22,$C$3:$D$15,2,FALSE)*FY$20&lt;0,0,
SUM(SUMIF(防護具!$Y$13:$Y$29,FZ$17&amp;$C22,防護具!$Q$13:$Q$29),FY24)-VLOOKUP($C22,$C$3:$D$15,2,FALSE)*FY$20)</f>
        <v>0</v>
      </c>
      <c r="GA24" s="762">
        <f xml:space="preserve">
IF(
SUM(SUMIF(防護具!$Y$13:$Y$29,GA$17&amp;$C22,防護具!$Q$13:$Q$29),FZ24)-VLOOKUP($C22,$C$3:$D$15,2,FALSE)*FZ$20&lt;0,0,
SUM(SUMIF(防護具!$Y$13:$Y$29,GA$17&amp;$C22,防護具!$Q$13:$Q$29),FZ24)-VLOOKUP($C22,$C$3:$D$15,2,FALSE)*FZ$20)</f>
        <v>0</v>
      </c>
      <c r="GB24" s="762">
        <f xml:space="preserve">
IF(
SUM(SUMIF(防護具!$Y$13:$Y$29,GB$17&amp;$C22,防護具!$Q$13:$Q$29),GA24)-VLOOKUP($C22,$C$3:$D$15,2,FALSE)*GA$20&lt;0,0,
SUM(SUMIF(防護具!$Y$13:$Y$29,GB$17&amp;$C22,防護具!$Q$13:$Q$29),GA24)-VLOOKUP($C22,$C$3:$D$15,2,FALSE)*GA$20)</f>
        <v>0</v>
      </c>
      <c r="GC24" s="762">
        <f xml:space="preserve">
IF(
SUM(SUMIF(防護具!$Y$13:$Y$29,GC$17&amp;$C22,防護具!$Q$13:$Q$29),GB24)-VLOOKUP($C22,$C$3:$D$15,2,FALSE)*GB$20&lt;0,0,
SUM(SUMIF(防護具!$Y$13:$Y$29,GC$17&amp;$C22,防護具!$Q$13:$Q$29),GB24)-VLOOKUP($C22,$C$3:$D$15,2,FALSE)*GB$20)</f>
        <v>0</v>
      </c>
      <c r="GD24" s="762">
        <f xml:space="preserve">
IF(
SUM(SUMIF(防護具!$Y$13:$Y$29,GD$17&amp;$C22,防護具!$Q$13:$Q$29),GC24)-VLOOKUP($C22,$C$3:$D$15,2,FALSE)*GC$20&lt;0,0,
SUM(SUMIF(防護具!$Y$13:$Y$29,GD$17&amp;$C22,防護具!$Q$13:$Q$29),GC24)-VLOOKUP($C22,$C$3:$D$15,2,FALSE)*GC$20)</f>
        <v>0</v>
      </c>
      <c r="GE24" s="762">
        <f xml:space="preserve">
IF(
SUM(SUMIF(防護具!$Y$13:$Y$29,GE$17&amp;$C22,防護具!$Q$13:$Q$29),GD24)-VLOOKUP($C22,$C$3:$D$15,2,FALSE)*GD$20&lt;0,0,
SUM(SUMIF(防護具!$Y$13:$Y$29,GE$17&amp;$C22,防護具!$Q$13:$Q$29),GD24)-VLOOKUP($C22,$C$3:$D$15,2,FALSE)*GD$20)</f>
        <v>0</v>
      </c>
      <c r="GF24" s="762">
        <f xml:space="preserve">
IF(
SUM(SUMIF(防護具!$Y$13:$Y$29,GF$17&amp;$C22,防護具!$Q$13:$Q$29),GE24)-VLOOKUP($C22,$C$3:$D$15,2,FALSE)*GE$20&lt;0,0,
SUM(SUMIF(防護具!$Y$13:$Y$29,GF$17&amp;$C22,防護具!$Q$13:$Q$29),GE24)-VLOOKUP($C22,$C$3:$D$15,2,FALSE)*GE$20)</f>
        <v>0</v>
      </c>
      <c r="GG24" s="762">
        <f xml:space="preserve">
IF(
SUM(SUMIF(防護具!$Y$13:$Y$29,GG$17&amp;$C22,防護具!$Q$13:$Q$29),GF24)-VLOOKUP($C22,$C$3:$D$15,2,FALSE)*GF$20&lt;0,0,
SUM(SUMIF(防護具!$Y$13:$Y$29,GG$17&amp;$C22,防護具!$Q$13:$Q$29),GF24)-VLOOKUP($C22,$C$3:$D$15,2,FALSE)*GF$20)</f>
        <v>0</v>
      </c>
      <c r="GH24" s="762">
        <f xml:space="preserve">
IF(
SUM(SUMIF(防護具!$Y$13:$Y$29,GH$17&amp;$C22,防護具!$Q$13:$Q$29),GG24)-VLOOKUP($C22,$C$3:$D$15,2,FALSE)*GG$20&lt;0,0,
SUM(SUMIF(防護具!$Y$13:$Y$29,GH$17&amp;$C22,防護具!$Q$13:$Q$29),GG24)-VLOOKUP($C22,$C$3:$D$15,2,FALSE)*GG$20)</f>
        <v>0</v>
      </c>
      <c r="GI24" s="762">
        <f xml:space="preserve">
IF(
SUM(SUMIF(防護具!$Y$13:$Y$29,GI$17&amp;$C22,防護具!$Q$13:$Q$29),GH24)-VLOOKUP($C22,$C$3:$D$15,2,FALSE)*GH$20&lt;0,0,
SUM(SUMIF(防護具!$Y$13:$Y$29,GI$17&amp;$C22,防護具!$Q$13:$Q$29),GH24)-VLOOKUP($C22,$C$3:$D$15,2,FALSE)*GH$20)</f>
        <v>0</v>
      </c>
      <c r="GJ24" s="762">
        <f xml:space="preserve">
IF(
SUM(SUMIF(防護具!$Y$13:$Y$29,GJ$17&amp;$C22,防護具!$Q$13:$Q$29),GI24)-VLOOKUP($C22,$C$3:$D$15,2,FALSE)*GI$20&lt;0,0,
SUM(SUMIF(防護具!$Y$13:$Y$29,GJ$17&amp;$C22,防護具!$Q$13:$Q$29),GI24)-VLOOKUP($C22,$C$3:$D$15,2,FALSE)*GI$20)</f>
        <v>0</v>
      </c>
    </row>
    <row r="25" spans="2:192" s="627" customFormat="1">
      <c r="B25" s="631"/>
      <c r="C25" s="626" t="s">
        <v>1222</v>
      </c>
      <c r="D25" s="702" t="s">
        <v>1423</v>
      </c>
      <c r="E25" s="707"/>
      <c r="F25" s="654"/>
      <c r="G25" s="763">
        <f xml:space="preserve">
MIN(G26,
IF((VLOOKUP($C25,$C$3:$D$15,2,FALSE)*G$20-G27)&lt;0,0,VLOOKUP($C25,$C$3:$D$15,2,FALSE)*G$20-G27))</f>
        <v>0</v>
      </c>
      <c r="H25" s="763">
        <f xml:space="preserve">
IF(G27&gt;=VLOOKUP($C25,$C$3:$D$15,2,FALSE)*H$20,0,
IF(AND(G27&lt;VLOOKUP($C25,$C$3:$D$15,2,FALSE)*H$20,H26&lt;=VLOOKUP($C25,$C$3:$D$15,2,FALSE)*H$20),IF(H26-G27&lt;0,0,H26-G27),
IF(AND(G27&lt;VLOOKUP($C25,$C$3:$D$15,2,FALSE)*H$20,H26&gt;VLOOKUP($C25,$C$3:$D$15,2,FALSE)*H$20),VLOOKUP($C25,$C$3:$D$15,2,FALSE)*H$20-G27)))</f>
        <v>0</v>
      </c>
      <c r="I25" s="763">
        <f t="shared" ref="I25:P25" si="297" xml:space="preserve">
IF(H27&gt;=VLOOKUP($C25,$C$3:$D$15,2,FALSE)*I$20,0,
IF(AND(H27&lt;VLOOKUP($C25,$C$3:$D$15,2,FALSE)*I$20,I26&lt;=VLOOKUP($C25,$C$3:$D$15,2,FALSE)*I$20),IF(I26-H27&lt;0,0,I26-H27),
IF(AND(H27&lt;VLOOKUP($C25,$C$3:$D$15,2,FALSE)*I$20,I26&gt;VLOOKUP($C25,$C$3:$D$15,2,FALSE)*I$20),VLOOKUP($C25,$C$3:$D$15,2,FALSE)*I$20-H27)))</f>
        <v>0</v>
      </c>
      <c r="J25" s="763">
        <f t="shared" si="297"/>
        <v>0</v>
      </c>
      <c r="K25" s="763">
        <f t="shared" si="297"/>
        <v>0</v>
      </c>
      <c r="L25" s="763">
        <f t="shared" si="297"/>
        <v>0</v>
      </c>
      <c r="M25" s="763">
        <f t="shared" si="297"/>
        <v>0</v>
      </c>
      <c r="N25" s="763">
        <f t="shared" si="297"/>
        <v>0</v>
      </c>
      <c r="O25" s="763">
        <f t="shared" si="297"/>
        <v>0</v>
      </c>
      <c r="P25" s="763">
        <f t="shared" si="297"/>
        <v>0</v>
      </c>
      <c r="Q25" s="763">
        <f t="shared" ref="Q25" si="298" xml:space="preserve">
IF(P27&gt;=VLOOKUP($C25,$C$3:$D$15,2,FALSE)*Q$20,0,
IF(AND(P27&lt;VLOOKUP($C25,$C$3:$D$15,2,FALSE)*Q$20,Q26&lt;=VLOOKUP($C25,$C$3:$D$15,2,FALSE)*Q$20),IF(Q26-P27&lt;0,0,Q26-P27),
IF(AND(P27&lt;VLOOKUP($C25,$C$3:$D$15,2,FALSE)*Q$20,Q26&gt;VLOOKUP($C25,$C$3:$D$15,2,FALSE)*Q$20),VLOOKUP($C25,$C$3:$D$15,2,FALSE)*Q$20-P27)))</f>
        <v>0</v>
      </c>
      <c r="R25" s="763">
        <f t="shared" ref="R25" si="299" xml:space="preserve">
IF(Q27&gt;=VLOOKUP($C25,$C$3:$D$15,2,FALSE)*R$20,0,
IF(AND(Q27&lt;VLOOKUP($C25,$C$3:$D$15,2,FALSE)*R$20,R26&lt;=VLOOKUP($C25,$C$3:$D$15,2,FALSE)*R$20),IF(R26-Q27&lt;0,0,R26-Q27),
IF(AND(Q27&lt;VLOOKUP($C25,$C$3:$D$15,2,FALSE)*R$20,R26&gt;VLOOKUP($C25,$C$3:$D$15,2,FALSE)*R$20),VLOOKUP($C25,$C$3:$D$15,2,FALSE)*R$20-Q27)))</f>
        <v>0</v>
      </c>
      <c r="S25" s="763">
        <f t="shared" ref="S25" si="300" xml:space="preserve">
IF(R27&gt;=VLOOKUP($C25,$C$3:$D$15,2,FALSE)*S$20,0,
IF(AND(R27&lt;VLOOKUP($C25,$C$3:$D$15,2,FALSE)*S$20,S26&lt;=VLOOKUP($C25,$C$3:$D$15,2,FALSE)*S$20),IF(S26-R27&lt;0,0,S26-R27),
IF(AND(R27&lt;VLOOKUP($C25,$C$3:$D$15,2,FALSE)*S$20,S26&gt;VLOOKUP($C25,$C$3:$D$15,2,FALSE)*S$20),VLOOKUP($C25,$C$3:$D$15,2,FALSE)*S$20-R27)))</f>
        <v>0</v>
      </c>
      <c r="T25" s="763">
        <f t="shared" ref="T25" si="301" xml:space="preserve">
IF(S27&gt;=VLOOKUP($C25,$C$3:$D$15,2,FALSE)*T$20,0,
IF(AND(S27&lt;VLOOKUP($C25,$C$3:$D$15,2,FALSE)*T$20,T26&lt;=VLOOKUP($C25,$C$3:$D$15,2,FALSE)*T$20),IF(T26-S27&lt;0,0,T26-S27),
IF(AND(S27&lt;VLOOKUP($C25,$C$3:$D$15,2,FALSE)*T$20,T26&gt;VLOOKUP($C25,$C$3:$D$15,2,FALSE)*T$20),VLOOKUP($C25,$C$3:$D$15,2,FALSE)*T$20-S27)))</f>
        <v>0</v>
      </c>
      <c r="U25" s="763">
        <f t="shared" ref="U25" si="302" xml:space="preserve">
IF(T27&gt;=VLOOKUP($C25,$C$3:$D$15,2,FALSE)*U$20,0,
IF(AND(T27&lt;VLOOKUP($C25,$C$3:$D$15,2,FALSE)*U$20,U26&lt;=VLOOKUP($C25,$C$3:$D$15,2,FALSE)*U$20),IF(U26-T27&lt;0,0,U26-T27),
IF(AND(T27&lt;VLOOKUP($C25,$C$3:$D$15,2,FALSE)*U$20,U26&gt;VLOOKUP($C25,$C$3:$D$15,2,FALSE)*U$20),VLOOKUP($C25,$C$3:$D$15,2,FALSE)*U$20-T27)))</f>
        <v>0</v>
      </c>
      <c r="V25" s="763">
        <f t="shared" ref="V25" si="303" xml:space="preserve">
IF(U27&gt;=VLOOKUP($C25,$C$3:$D$15,2,FALSE)*V$20,0,
IF(AND(U27&lt;VLOOKUP($C25,$C$3:$D$15,2,FALSE)*V$20,V26&lt;=VLOOKUP($C25,$C$3:$D$15,2,FALSE)*V$20),IF(V26-U27&lt;0,0,V26-U27),
IF(AND(U27&lt;VLOOKUP($C25,$C$3:$D$15,2,FALSE)*V$20,V26&gt;VLOOKUP($C25,$C$3:$D$15,2,FALSE)*V$20),VLOOKUP($C25,$C$3:$D$15,2,FALSE)*V$20-U27)))</f>
        <v>0</v>
      </c>
      <c r="W25" s="763">
        <f t="shared" ref="W25" si="304" xml:space="preserve">
IF(V27&gt;=VLOOKUP($C25,$C$3:$D$15,2,FALSE)*W$20,0,
IF(AND(V27&lt;VLOOKUP($C25,$C$3:$D$15,2,FALSE)*W$20,W26&lt;=VLOOKUP($C25,$C$3:$D$15,2,FALSE)*W$20),IF(W26-V27&lt;0,0,W26-V27),
IF(AND(V27&lt;VLOOKUP($C25,$C$3:$D$15,2,FALSE)*W$20,W26&gt;VLOOKUP($C25,$C$3:$D$15,2,FALSE)*W$20),VLOOKUP($C25,$C$3:$D$15,2,FALSE)*W$20-V27)))</f>
        <v>0</v>
      </c>
      <c r="X25" s="763">
        <f t="shared" ref="X25" si="305" xml:space="preserve">
IF(W27&gt;=VLOOKUP($C25,$C$3:$D$15,2,FALSE)*X$20,0,
IF(AND(W27&lt;VLOOKUP($C25,$C$3:$D$15,2,FALSE)*X$20,X26&lt;=VLOOKUP($C25,$C$3:$D$15,2,FALSE)*X$20),IF(X26-W27&lt;0,0,X26-W27),
IF(AND(W27&lt;VLOOKUP($C25,$C$3:$D$15,2,FALSE)*X$20,X26&gt;VLOOKUP($C25,$C$3:$D$15,2,FALSE)*X$20),VLOOKUP($C25,$C$3:$D$15,2,FALSE)*X$20-W27)))</f>
        <v>0</v>
      </c>
      <c r="Y25" s="763">
        <f t="shared" ref="Y25" si="306" xml:space="preserve">
IF(X27&gt;=VLOOKUP($C25,$C$3:$D$15,2,FALSE)*Y$20,0,
IF(AND(X27&lt;VLOOKUP($C25,$C$3:$D$15,2,FALSE)*Y$20,Y26&lt;=VLOOKUP($C25,$C$3:$D$15,2,FALSE)*Y$20),IF(Y26-X27&lt;0,0,Y26-X27),
IF(AND(X27&lt;VLOOKUP($C25,$C$3:$D$15,2,FALSE)*Y$20,Y26&gt;VLOOKUP($C25,$C$3:$D$15,2,FALSE)*Y$20),VLOOKUP($C25,$C$3:$D$15,2,FALSE)*Y$20-X27)))</f>
        <v>0</v>
      </c>
      <c r="Z25" s="763">
        <f t="shared" ref="Z25" si="307" xml:space="preserve">
IF(Y27&gt;=VLOOKUP($C25,$C$3:$D$15,2,FALSE)*Z$20,0,
IF(AND(Y27&lt;VLOOKUP($C25,$C$3:$D$15,2,FALSE)*Z$20,Z26&lt;=VLOOKUP($C25,$C$3:$D$15,2,FALSE)*Z$20),IF(Z26-Y27&lt;0,0,Z26-Y27),
IF(AND(Y27&lt;VLOOKUP($C25,$C$3:$D$15,2,FALSE)*Z$20,Z26&gt;VLOOKUP($C25,$C$3:$D$15,2,FALSE)*Z$20),VLOOKUP($C25,$C$3:$D$15,2,FALSE)*Z$20-Y27)))</f>
        <v>0</v>
      </c>
      <c r="AA25" s="763">
        <f t="shared" ref="AA25" si="308" xml:space="preserve">
IF(Z27&gt;=VLOOKUP($C25,$C$3:$D$15,2,FALSE)*AA$20,0,
IF(AND(Z27&lt;VLOOKUP($C25,$C$3:$D$15,2,FALSE)*AA$20,AA26&lt;=VLOOKUP($C25,$C$3:$D$15,2,FALSE)*AA$20),IF(AA26-Z27&lt;0,0,AA26-Z27),
IF(AND(Z27&lt;VLOOKUP($C25,$C$3:$D$15,2,FALSE)*AA$20,AA26&gt;VLOOKUP($C25,$C$3:$D$15,2,FALSE)*AA$20),VLOOKUP($C25,$C$3:$D$15,2,FALSE)*AA$20-Z27)))</f>
        <v>0</v>
      </c>
      <c r="AB25" s="763">
        <f t="shared" ref="AB25" si="309" xml:space="preserve">
IF(AA27&gt;=VLOOKUP($C25,$C$3:$D$15,2,FALSE)*AB$20,0,
IF(AND(AA27&lt;VLOOKUP($C25,$C$3:$D$15,2,FALSE)*AB$20,AB26&lt;=VLOOKUP($C25,$C$3:$D$15,2,FALSE)*AB$20),IF(AB26-AA27&lt;0,0,AB26-AA27),
IF(AND(AA27&lt;VLOOKUP($C25,$C$3:$D$15,2,FALSE)*AB$20,AB26&gt;VLOOKUP($C25,$C$3:$D$15,2,FALSE)*AB$20),VLOOKUP($C25,$C$3:$D$15,2,FALSE)*AB$20-AA27)))</f>
        <v>0</v>
      </c>
      <c r="AC25" s="763">
        <f t="shared" ref="AC25" si="310" xml:space="preserve">
IF(AB27&gt;=VLOOKUP($C25,$C$3:$D$15,2,FALSE)*AC$20,0,
IF(AND(AB27&lt;VLOOKUP($C25,$C$3:$D$15,2,FALSE)*AC$20,AC26&lt;=VLOOKUP($C25,$C$3:$D$15,2,FALSE)*AC$20),IF(AC26-AB27&lt;0,0,AC26-AB27),
IF(AND(AB27&lt;VLOOKUP($C25,$C$3:$D$15,2,FALSE)*AC$20,AC26&gt;VLOOKUP($C25,$C$3:$D$15,2,FALSE)*AC$20),VLOOKUP($C25,$C$3:$D$15,2,FALSE)*AC$20-AB27)))</f>
        <v>0</v>
      </c>
      <c r="AD25" s="763">
        <f t="shared" ref="AD25" si="311" xml:space="preserve">
IF(AC27&gt;=VLOOKUP($C25,$C$3:$D$15,2,FALSE)*AD$20,0,
IF(AND(AC27&lt;VLOOKUP($C25,$C$3:$D$15,2,FALSE)*AD$20,AD26&lt;=VLOOKUP($C25,$C$3:$D$15,2,FALSE)*AD$20),IF(AD26-AC27&lt;0,0,AD26-AC27),
IF(AND(AC27&lt;VLOOKUP($C25,$C$3:$D$15,2,FALSE)*AD$20,AD26&gt;VLOOKUP($C25,$C$3:$D$15,2,FALSE)*AD$20),VLOOKUP($C25,$C$3:$D$15,2,FALSE)*AD$20-AC27)))</f>
        <v>0</v>
      </c>
      <c r="AE25" s="763">
        <f t="shared" ref="AE25" si="312" xml:space="preserve">
IF(AD27&gt;=VLOOKUP($C25,$C$3:$D$15,2,FALSE)*AE$20,0,
IF(AND(AD27&lt;VLOOKUP($C25,$C$3:$D$15,2,FALSE)*AE$20,AE26&lt;=VLOOKUP($C25,$C$3:$D$15,2,FALSE)*AE$20),IF(AE26-AD27&lt;0,0,AE26-AD27),
IF(AND(AD27&lt;VLOOKUP($C25,$C$3:$D$15,2,FALSE)*AE$20,AE26&gt;VLOOKUP($C25,$C$3:$D$15,2,FALSE)*AE$20),VLOOKUP($C25,$C$3:$D$15,2,FALSE)*AE$20-AD27)))</f>
        <v>0</v>
      </c>
      <c r="AF25" s="763">
        <f t="shared" ref="AF25" si="313" xml:space="preserve">
IF(AE27&gt;=VLOOKUP($C25,$C$3:$D$15,2,FALSE)*AF$20,0,
IF(AND(AE27&lt;VLOOKUP($C25,$C$3:$D$15,2,FALSE)*AF$20,AF26&lt;=VLOOKUP($C25,$C$3:$D$15,2,FALSE)*AF$20),IF(AF26-AE27&lt;0,0,AF26-AE27),
IF(AND(AE27&lt;VLOOKUP($C25,$C$3:$D$15,2,FALSE)*AF$20,AF26&gt;VLOOKUP($C25,$C$3:$D$15,2,FALSE)*AF$20),VLOOKUP($C25,$C$3:$D$15,2,FALSE)*AF$20-AE27)))</f>
        <v>0</v>
      </c>
      <c r="AG25" s="763">
        <f t="shared" ref="AG25" si="314" xml:space="preserve">
IF(AF27&gt;=VLOOKUP($C25,$C$3:$D$15,2,FALSE)*AG$20,0,
IF(AND(AF27&lt;VLOOKUP($C25,$C$3:$D$15,2,FALSE)*AG$20,AG26&lt;=VLOOKUP($C25,$C$3:$D$15,2,FALSE)*AG$20),IF(AG26-AF27&lt;0,0,AG26-AF27),
IF(AND(AF27&lt;VLOOKUP($C25,$C$3:$D$15,2,FALSE)*AG$20,AG26&gt;VLOOKUP($C25,$C$3:$D$15,2,FALSE)*AG$20),VLOOKUP($C25,$C$3:$D$15,2,FALSE)*AG$20-AF27)))</f>
        <v>0</v>
      </c>
      <c r="AH25" s="763">
        <f t="shared" ref="AH25" si="315" xml:space="preserve">
IF(AG27&gt;=VLOOKUP($C25,$C$3:$D$15,2,FALSE)*AH$20,0,
IF(AND(AG27&lt;VLOOKUP($C25,$C$3:$D$15,2,FALSE)*AH$20,AH26&lt;=VLOOKUP($C25,$C$3:$D$15,2,FALSE)*AH$20),IF(AH26-AG27&lt;0,0,AH26-AG27),
IF(AND(AG27&lt;VLOOKUP($C25,$C$3:$D$15,2,FALSE)*AH$20,AH26&gt;VLOOKUP($C25,$C$3:$D$15,2,FALSE)*AH$20),VLOOKUP($C25,$C$3:$D$15,2,FALSE)*AH$20-AG27)))</f>
        <v>0</v>
      </c>
      <c r="AI25" s="763">
        <f t="shared" ref="AI25" si="316" xml:space="preserve">
IF(AH27&gt;=VLOOKUP($C25,$C$3:$D$15,2,FALSE)*AI$20,0,
IF(AND(AH27&lt;VLOOKUP($C25,$C$3:$D$15,2,FALSE)*AI$20,AI26&lt;=VLOOKUP($C25,$C$3:$D$15,2,FALSE)*AI$20),IF(AI26-AH27&lt;0,0,AI26-AH27),
IF(AND(AH27&lt;VLOOKUP($C25,$C$3:$D$15,2,FALSE)*AI$20,AI26&gt;VLOOKUP($C25,$C$3:$D$15,2,FALSE)*AI$20),VLOOKUP($C25,$C$3:$D$15,2,FALSE)*AI$20-AH27)))</f>
        <v>0</v>
      </c>
      <c r="AJ25" s="763">
        <f t="shared" ref="AJ25" si="317" xml:space="preserve">
IF(AI27&gt;=VLOOKUP($C25,$C$3:$D$15,2,FALSE)*AJ$20,0,
IF(AND(AI27&lt;VLOOKUP($C25,$C$3:$D$15,2,FALSE)*AJ$20,AJ26&lt;=VLOOKUP($C25,$C$3:$D$15,2,FALSE)*AJ$20),IF(AJ26-AI27&lt;0,0,AJ26-AI27),
IF(AND(AI27&lt;VLOOKUP($C25,$C$3:$D$15,2,FALSE)*AJ$20,AJ26&gt;VLOOKUP($C25,$C$3:$D$15,2,FALSE)*AJ$20),VLOOKUP($C25,$C$3:$D$15,2,FALSE)*AJ$20-AI27)))</f>
        <v>0</v>
      </c>
      <c r="AK25" s="763">
        <f t="shared" ref="AK25" si="318" xml:space="preserve">
IF(AJ27&gt;=VLOOKUP($C25,$C$3:$D$15,2,FALSE)*AK$20,0,
IF(AND(AJ27&lt;VLOOKUP($C25,$C$3:$D$15,2,FALSE)*AK$20,AK26&lt;=VLOOKUP($C25,$C$3:$D$15,2,FALSE)*AK$20),IF(AK26-AJ27&lt;0,0,AK26-AJ27),
IF(AND(AJ27&lt;VLOOKUP($C25,$C$3:$D$15,2,FALSE)*AK$20,AK26&gt;VLOOKUP($C25,$C$3:$D$15,2,FALSE)*AK$20),VLOOKUP($C25,$C$3:$D$15,2,FALSE)*AK$20-AJ27)))</f>
        <v>0</v>
      </c>
      <c r="AL25" s="763">
        <f t="shared" ref="AL25" si="319" xml:space="preserve">
IF(AK27&gt;=VLOOKUP($C25,$C$3:$D$15,2,FALSE)*AL$20,0,
IF(AND(AK27&lt;VLOOKUP($C25,$C$3:$D$15,2,FALSE)*AL$20,AL26&lt;=VLOOKUP($C25,$C$3:$D$15,2,FALSE)*AL$20),IF(AL26-AK27&lt;0,0,AL26-AK27),
IF(AND(AK27&lt;VLOOKUP($C25,$C$3:$D$15,2,FALSE)*AL$20,AL26&gt;VLOOKUP($C25,$C$3:$D$15,2,FALSE)*AL$20),VLOOKUP($C25,$C$3:$D$15,2,FALSE)*AL$20-AK27)))</f>
        <v>0</v>
      </c>
      <c r="AM25" s="763">
        <f t="shared" ref="AM25" si="320" xml:space="preserve">
IF(AL27&gt;=VLOOKUP($C25,$C$3:$D$15,2,FALSE)*AM$20,0,
IF(AND(AL27&lt;VLOOKUP($C25,$C$3:$D$15,2,FALSE)*AM$20,AM26&lt;=VLOOKUP($C25,$C$3:$D$15,2,FALSE)*AM$20),IF(AM26-AL27&lt;0,0,AM26-AL27),
IF(AND(AL27&lt;VLOOKUP($C25,$C$3:$D$15,2,FALSE)*AM$20,AM26&gt;VLOOKUP($C25,$C$3:$D$15,2,FALSE)*AM$20),VLOOKUP($C25,$C$3:$D$15,2,FALSE)*AM$20-AL27)))</f>
        <v>0</v>
      </c>
      <c r="AN25" s="763">
        <f t="shared" ref="AN25" si="321" xml:space="preserve">
IF(AM27&gt;=VLOOKUP($C25,$C$3:$D$15,2,FALSE)*AN$20,0,
IF(AND(AM27&lt;VLOOKUP($C25,$C$3:$D$15,2,FALSE)*AN$20,AN26&lt;=VLOOKUP($C25,$C$3:$D$15,2,FALSE)*AN$20),IF(AN26-AM27&lt;0,0,AN26-AM27),
IF(AND(AM27&lt;VLOOKUP($C25,$C$3:$D$15,2,FALSE)*AN$20,AN26&gt;VLOOKUP($C25,$C$3:$D$15,2,FALSE)*AN$20),VLOOKUP($C25,$C$3:$D$15,2,FALSE)*AN$20-AM27)))</f>
        <v>0</v>
      </c>
      <c r="AO25" s="763">
        <f t="shared" ref="AO25" si="322" xml:space="preserve">
IF(AN27&gt;=VLOOKUP($C25,$C$3:$D$15,2,FALSE)*AO$20,0,
IF(AND(AN27&lt;VLOOKUP($C25,$C$3:$D$15,2,FALSE)*AO$20,AO26&lt;=VLOOKUP($C25,$C$3:$D$15,2,FALSE)*AO$20),IF(AO26-AN27&lt;0,0,AO26-AN27),
IF(AND(AN27&lt;VLOOKUP($C25,$C$3:$D$15,2,FALSE)*AO$20,AO26&gt;VLOOKUP($C25,$C$3:$D$15,2,FALSE)*AO$20),VLOOKUP($C25,$C$3:$D$15,2,FALSE)*AO$20-AN27)))</f>
        <v>0</v>
      </c>
      <c r="AP25" s="763">
        <f t="shared" ref="AP25" si="323" xml:space="preserve">
IF(AO27&gt;=VLOOKUP($C25,$C$3:$D$15,2,FALSE)*AP$20,0,
IF(AND(AO27&lt;VLOOKUP($C25,$C$3:$D$15,2,FALSE)*AP$20,AP26&lt;=VLOOKUP($C25,$C$3:$D$15,2,FALSE)*AP$20),IF(AP26-AO27&lt;0,0,AP26-AO27),
IF(AND(AO27&lt;VLOOKUP($C25,$C$3:$D$15,2,FALSE)*AP$20,AP26&gt;VLOOKUP($C25,$C$3:$D$15,2,FALSE)*AP$20),VLOOKUP($C25,$C$3:$D$15,2,FALSE)*AP$20-AO27)))</f>
        <v>0</v>
      </c>
      <c r="AQ25" s="763">
        <f t="shared" ref="AQ25" si="324" xml:space="preserve">
IF(AP27&gt;=VLOOKUP($C25,$C$3:$D$15,2,FALSE)*AQ$20,0,
IF(AND(AP27&lt;VLOOKUP($C25,$C$3:$D$15,2,FALSE)*AQ$20,AQ26&lt;=VLOOKUP($C25,$C$3:$D$15,2,FALSE)*AQ$20),IF(AQ26-AP27&lt;0,0,AQ26-AP27),
IF(AND(AP27&lt;VLOOKUP($C25,$C$3:$D$15,2,FALSE)*AQ$20,AQ26&gt;VLOOKUP($C25,$C$3:$D$15,2,FALSE)*AQ$20),VLOOKUP($C25,$C$3:$D$15,2,FALSE)*AQ$20-AP27)))</f>
        <v>0</v>
      </c>
      <c r="AR25" s="763">
        <f t="shared" ref="AR25" si="325" xml:space="preserve">
IF(AQ27&gt;=VLOOKUP($C25,$C$3:$D$15,2,FALSE)*AR$20,0,
IF(AND(AQ27&lt;VLOOKUP($C25,$C$3:$D$15,2,FALSE)*AR$20,AR26&lt;=VLOOKUP($C25,$C$3:$D$15,2,FALSE)*AR$20),IF(AR26-AQ27&lt;0,0,AR26-AQ27),
IF(AND(AQ27&lt;VLOOKUP($C25,$C$3:$D$15,2,FALSE)*AR$20,AR26&gt;VLOOKUP($C25,$C$3:$D$15,2,FALSE)*AR$20),VLOOKUP($C25,$C$3:$D$15,2,FALSE)*AR$20-AQ27)))</f>
        <v>0</v>
      </c>
      <c r="AS25" s="763">
        <f t="shared" ref="AS25" si="326" xml:space="preserve">
IF(AR27&gt;=VLOOKUP($C25,$C$3:$D$15,2,FALSE)*AS$20,0,
IF(AND(AR27&lt;VLOOKUP($C25,$C$3:$D$15,2,FALSE)*AS$20,AS26&lt;=VLOOKUP($C25,$C$3:$D$15,2,FALSE)*AS$20),IF(AS26-AR27&lt;0,0,AS26-AR27),
IF(AND(AR27&lt;VLOOKUP($C25,$C$3:$D$15,2,FALSE)*AS$20,AS26&gt;VLOOKUP($C25,$C$3:$D$15,2,FALSE)*AS$20),VLOOKUP($C25,$C$3:$D$15,2,FALSE)*AS$20-AR27)))</f>
        <v>0</v>
      </c>
      <c r="AT25" s="763">
        <f t="shared" ref="AT25" si="327" xml:space="preserve">
IF(AS27&gt;=VLOOKUP($C25,$C$3:$D$15,2,FALSE)*AT$20,0,
IF(AND(AS27&lt;VLOOKUP($C25,$C$3:$D$15,2,FALSE)*AT$20,AT26&lt;=VLOOKUP($C25,$C$3:$D$15,2,FALSE)*AT$20),IF(AT26-AS27&lt;0,0,AT26-AS27),
IF(AND(AS27&lt;VLOOKUP($C25,$C$3:$D$15,2,FALSE)*AT$20,AT26&gt;VLOOKUP($C25,$C$3:$D$15,2,FALSE)*AT$20),VLOOKUP($C25,$C$3:$D$15,2,FALSE)*AT$20-AS27)))</f>
        <v>0</v>
      </c>
      <c r="AU25" s="763">
        <f t="shared" ref="AU25" si="328" xml:space="preserve">
IF(AT27&gt;=VLOOKUP($C25,$C$3:$D$15,2,FALSE)*AU$20,0,
IF(AND(AT27&lt;VLOOKUP($C25,$C$3:$D$15,2,FALSE)*AU$20,AU26&lt;=VLOOKUP($C25,$C$3:$D$15,2,FALSE)*AU$20),IF(AU26-AT27&lt;0,0,AU26-AT27),
IF(AND(AT27&lt;VLOOKUP($C25,$C$3:$D$15,2,FALSE)*AU$20,AU26&gt;VLOOKUP($C25,$C$3:$D$15,2,FALSE)*AU$20),VLOOKUP($C25,$C$3:$D$15,2,FALSE)*AU$20-AT27)))</f>
        <v>0</v>
      </c>
      <c r="AV25" s="763">
        <f t="shared" ref="AV25" si="329" xml:space="preserve">
IF(AU27&gt;=VLOOKUP($C25,$C$3:$D$15,2,FALSE)*AV$20,0,
IF(AND(AU27&lt;VLOOKUP($C25,$C$3:$D$15,2,FALSE)*AV$20,AV26&lt;=VLOOKUP($C25,$C$3:$D$15,2,FALSE)*AV$20),IF(AV26-AU27&lt;0,0,AV26-AU27),
IF(AND(AU27&lt;VLOOKUP($C25,$C$3:$D$15,2,FALSE)*AV$20,AV26&gt;VLOOKUP($C25,$C$3:$D$15,2,FALSE)*AV$20),VLOOKUP($C25,$C$3:$D$15,2,FALSE)*AV$20-AU27)))</f>
        <v>0</v>
      </c>
      <c r="AW25" s="763">
        <f t="shared" ref="AW25" si="330" xml:space="preserve">
IF(AV27&gt;=VLOOKUP($C25,$C$3:$D$15,2,FALSE)*AW$20,0,
IF(AND(AV27&lt;VLOOKUP($C25,$C$3:$D$15,2,FALSE)*AW$20,AW26&lt;=VLOOKUP($C25,$C$3:$D$15,2,FALSE)*AW$20),IF(AW26-AV27&lt;0,0,AW26-AV27),
IF(AND(AV27&lt;VLOOKUP($C25,$C$3:$D$15,2,FALSE)*AW$20,AW26&gt;VLOOKUP($C25,$C$3:$D$15,2,FALSE)*AW$20),VLOOKUP($C25,$C$3:$D$15,2,FALSE)*AW$20-AV27)))</f>
        <v>0</v>
      </c>
      <c r="AX25" s="763">
        <f t="shared" ref="AX25" si="331" xml:space="preserve">
IF(AW27&gt;=VLOOKUP($C25,$C$3:$D$15,2,FALSE)*AX$20,0,
IF(AND(AW27&lt;VLOOKUP($C25,$C$3:$D$15,2,FALSE)*AX$20,AX26&lt;=VLOOKUP($C25,$C$3:$D$15,2,FALSE)*AX$20),IF(AX26-AW27&lt;0,0,AX26-AW27),
IF(AND(AW27&lt;VLOOKUP($C25,$C$3:$D$15,2,FALSE)*AX$20,AX26&gt;VLOOKUP($C25,$C$3:$D$15,2,FALSE)*AX$20),VLOOKUP($C25,$C$3:$D$15,2,FALSE)*AX$20-AW27)))</f>
        <v>0</v>
      </c>
      <c r="AY25" s="763">
        <f t="shared" ref="AY25" si="332" xml:space="preserve">
IF(AX27&gt;=VLOOKUP($C25,$C$3:$D$15,2,FALSE)*AY$20,0,
IF(AND(AX27&lt;VLOOKUP($C25,$C$3:$D$15,2,FALSE)*AY$20,AY26&lt;=VLOOKUP($C25,$C$3:$D$15,2,FALSE)*AY$20),IF(AY26-AX27&lt;0,0,AY26-AX27),
IF(AND(AX27&lt;VLOOKUP($C25,$C$3:$D$15,2,FALSE)*AY$20,AY26&gt;VLOOKUP($C25,$C$3:$D$15,2,FALSE)*AY$20),VLOOKUP($C25,$C$3:$D$15,2,FALSE)*AY$20-AX27)))</f>
        <v>0</v>
      </c>
      <c r="AZ25" s="763">
        <f t="shared" ref="AZ25" si="333" xml:space="preserve">
IF(AY27&gt;=VLOOKUP($C25,$C$3:$D$15,2,FALSE)*AZ$20,0,
IF(AND(AY27&lt;VLOOKUP($C25,$C$3:$D$15,2,FALSE)*AZ$20,AZ26&lt;=VLOOKUP($C25,$C$3:$D$15,2,FALSE)*AZ$20),IF(AZ26-AY27&lt;0,0,AZ26-AY27),
IF(AND(AY27&lt;VLOOKUP($C25,$C$3:$D$15,2,FALSE)*AZ$20,AZ26&gt;VLOOKUP($C25,$C$3:$D$15,2,FALSE)*AZ$20),VLOOKUP($C25,$C$3:$D$15,2,FALSE)*AZ$20-AY27)))</f>
        <v>0</v>
      </c>
      <c r="BA25" s="763">
        <f t="shared" ref="BA25" si="334" xml:space="preserve">
IF(AZ27&gt;=VLOOKUP($C25,$C$3:$D$15,2,FALSE)*BA$20,0,
IF(AND(AZ27&lt;VLOOKUP($C25,$C$3:$D$15,2,FALSE)*BA$20,BA26&lt;=VLOOKUP($C25,$C$3:$D$15,2,FALSE)*BA$20),IF(BA26-AZ27&lt;0,0,BA26-AZ27),
IF(AND(AZ27&lt;VLOOKUP($C25,$C$3:$D$15,2,FALSE)*BA$20,BA26&gt;VLOOKUP($C25,$C$3:$D$15,2,FALSE)*BA$20),VLOOKUP($C25,$C$3:$D$15,2,FALSE)*BA$20-AZ27)))</f>
        <v>0</v>
      </c>
      <c r="BB25" s="763">
        <f t="shared" ref="BB25" si="335" xml:space="preserve">
IF(BA27&gt;=VLOOKUP($C25,$C$3:$D$15,2,FALSE)*BB$20,0,
IF(AND(BA27&lt;VLOOKUP($C25,$C$3:$D$15,2,FALSE)*BB$20,BB26&lt;=VLOOKUP($C25,$C$3:$D$15,2,FALSE)*BB$20),IF(BB26-BA27&lt;0,0,BB26-BA27),
IF(AND(BA27&lt;VLOOKUP($C25,$C$3:$D$15,2,FALSE)*BB$20,BB26&gt;VLOOKUP($C25,$C$3:$D$15,2,FALSE)*BB$20),VLOOKUP($C25,$C$3:$D$15,2,FALSE)*BB$20-BA27)))</f>
        <v>0</v>
      </c>
      <c r="BC25" s="763">
        <f t="shared" ref="BC25" si="336" xml:space="preserve">
IF(BB27&gt;=VLOOKUP($C25,$C$3:$D$15,2,FALSE)*BC$20,0,
IF(AND(BB27&lt;VLOOKUP($C25,$C$3:$D$15,2,FALSE)*BC$20,BC26&lt;=VLOOKUP($C25,$C$3:$D$15,2,FALSE)*BC$20),IF(BC26-BB27&lt;0,0,BC26-BB27),
IF(AND(BB27&lt;VLOOKUP($C25,$C$3:$D$15,2,FALSE)*BC$20,BC26&gt;VLOOKUP($C25,$C$3:$D$15,2,FALSE)*BC$20),VLOOKUP($C25,$C$3:$D$15,2,FALSE)*BC$20-BB27)))</f>
        <v>0</v>
      </c>
      <c r="BD25" s="763">
        <f t="shared" ref="BD25" si="337" xml:space="preserve">
IF(BC27&gt;=VLOOKUP($C25,$C$3:$D$15,2,FALSE)*BD$20,0,
IF(AND(BC27&lt;VLOOKUP($C25,$C$3:$D$15,2,FALSE)*BD$20,BD26&lt;=VLOOKUP($C25,$C$3:$D$15,2,FALSE)*BD$20),IF(BD26-BC27&lt;0,0,BD26-BC27),
IF(AND(BC27&lt;VLOOKUP($C25,$C$3:$D$15,2,FALSE)*BD$20,BD26&gt;VLOOKUP($C25,$C$3:$D$15,2,FALSE)*BD$20),VLOOKUP($C25,$C$3:$D$15,2,FALSE)*BD$20-BC27)))</f>
        <v>0</v>
      </c>
      <c r="BE25" s="763">
        <f t="shared" ref="BE25" si="338" xml:space="preserve">
IF(BD27&gt;=VLOOKUP($C25,$C$3:$D$15,2,FALSE)*BE$20,0,
IF(AND(BD27&lt;VLOOKUP($C25,$C$3:$D$15,2,FALSE)*BE$20,BE26&lt;=VLOOKUP($C25,$C$3:$D$15,2,FALSE)*BE$20),IF(BE26-BD27&lt;0,0,BE26-BD27),
IF(AND(BD27&lt;VLOOKUP($C25,$C$3:$D$15,2,FALSE)*BE$20,BE26&gt;VLOOKUP($C25,$C$3:$D$15,2,FALSE)*BE$20),VLOOKUP($C25,$C$3:$D$15,2,FALSE)*BE$20-BD27)))</f>
        <v>0</v>
      </c>
      <c r="BF25" s="763">
        <f t="shared" ref="BF25" si="339" xml:space="preserve">
IF(BE27&gt;=VLOOKUP($C25,$C$3:$D$15,2,FALSE)*BF$20,0,
IF(AND(BE27&lt;VLOOKUP($C25,$C$3:$D$15,2,FALSE)*BF$20,BF26&lt;=VLOOKUP($C25,$C$3:$D$15,2,FALSE)*BF$20),IF(BF26-BE27&lt;0,0,BF26-BE27),
IF(AND(BE27&lt;VLOOKUP($C25,$C$3:$D$15,2,FALSE)*BF$20,BF26&gt;VLOOKUP($C25,$C$3:$D$15,2,FALSE)*BF$20),VLOOKUP($C25,$C$3:$D$15,2,FALSE)*BF$20-BE27)))</f>
        <v>0</v>
      </c>
      <c r="BG25" s="763">
        <f t="shared" ref="BG25" si="340" xml:space="preserve">
IF(BF27&gt;=VLOOKUP($C25,$C$3:$D$15,2,FALSE)*BG$20,0,
IF(AND(BF27&lt;VLOOKUP($C25,$C$3:$D$15,2,FALSE)*BG$20,BG26&lt;=VLOOKUP($C25,$C$3:$D$15,2,FALSE)*BG$20),IF(BG26-BF27&lt;0,0,BG26-BF27),
IF(AND(BF27&lt;VLOOKUP($C25,$C$3:$D$15,2,FALSE)*BG$20,BG26&gt;VLOOKUP($C25,$C$3:$D$15,2,FALSE)*BG$20),VLOOKUP($C25,$C$3:$D$15,2,FALSE)*BG$20-BF27)))</f>
        <v>0</v>
      </c>
      <c r="BH25" s="763">
        <f t="shared" ref="BH25" si="341" xml:space="preserve">
IF(BG27&gt;=VLOOKUP($C25,$C$3:$D$15,2,FALSE)*BH$20,0,
IF(AND(BG27&lt;VLOOKUP($C25,$C$3:$D$15,2,FALSE)*BH$20,BH26&lt;=VLOOKUP($C25,$C$3:$D$15,2,FALSE)*BH$20),IF(BH26-BG27&lt;0,0,BH26-BG27),
IF(AND(BG27&lt;VLOOKUP($C25,$C$3:$D$15,2,FALSE)*BH$20,BH26&gt;VLOOKUP($C25,$C$3:$D$15,2,FALSE)*BH$20),VLOOKUP($C25,$C$3:$D$15,2,FALSE)*BH$20-BG27)))</f>
        <v>0</v>
      </c>
      <c r="BI25" s="763">
        <f t="shared" ref="BI25" si="342" xml:space="preserve">
IF(BH27&gt;=VLOOKUP($C25,$C$3:$D$15,2,FALSE)*BI$20,0,
IF(AND(BH27&lt;VLOOKUP($C25,$C$3:$D$15,2,FALSE)*BI$20,BI26&lt;=VLOOKUP($C25,$C$3:$D$15,2,FALSE)*BI$20),IF(BI26-BH27&lt;0,0,BI26-BH27),
IF(AND(BH27&lt;VLOOKUP($C25,$C$3:$D$15,2,FALSE)*BI$20,BI26&gt;VLOOKUP($C25,$C$3:$D$15,2,FALSE)*BI$20),VLOOKUP($C25,$C$3:$D$15,2,FALSE)*BI$20-BH27)))</f>
        <v>0</v>
      </c>
      <c r="BJ25" s="763">
        <f t="shared" ref="BJ25" si="343" xml:space="preserve">
IF(BI27&gt;=VLOOKUP($C25,$C$3:$D$15,2,FALSE)*BJ$20,0,
IF(AND(BI27&lt;VLOOKUP($C25,$C$3:$D$15,2,FALSE)*BJ$20,BJ26&lt;=VLOOKUP($C25,$C$3:$D$15,2,FALSE)*BJ$20),IF(BJ26-BI27&lt;0,0,BJ26-BI27),
IF(AND(BI27&lt;VLOOKUP($C25,$C$3:$D$15,2,FALSE)*BJ$20,BJ26&gt;VLOOKUP($C25,$C$3:$D$15,2,FALSE)*BJ$20),VLOOKUP($C25,$C$3:$D$15,2,FALSE)*BJ$20-BI27)))</f>
        <v>0</v>
      </c>
      <c r="BK25" s="763">
        <f t="shared" ref="BK25" si="344" xml:space="preserve">
IF(BJ27&gt;=VLOOKUP($C25,$C$3:$D$15,2,FALSE)*BK$20,0,
IF(AND(BJ27&lt;VLOOKUP($C25,$C$3:$D$15,2,FALSE)*BK$20,BK26&lt;=VLOOKUP($C25,$C$3:$D$15,2,FALSE)*BK$20),IF(BK26-BJ27&lt;0,0,BK26-BJ27),
IF(AND(BJ27&lt;VLOOKUP($C25,$C$3:$D$15,2,FALSE)*BK$20,BK26&gt;VLOOKUP($C25,$C$3:$D$15,2,FALSE)*BK$20),VLOOKUP($C25,$C$3:$D$15,2,FALSE)*BK$20-BJ27)))</f>
        <v>0</v>
      </c>
      <c r="BL25" s="763">
        <f t="shared" ref="BL25" si="345" xml:space="preserve">
IF(BK27&gt;=VLOOKUP($C25,$C$3:$D$15,2,FALSE)*BL$20,0,
IF(AND(BK27&lt;VLOOKUP($C25,$C$3:$D$15,2,FALSE)*BL$20,BL26&lt;=VLOOKUP($C25,$C$3:$D$15,2,FALSE)*BL$20),IF(BL26-BK27&lt;0,0,BL26-BK27),
IF(AND(BK27&lt;VLOOKUP($C25,$C$3:$D$15,2,FALSE)*BL$20,BL26&gt;VLOOKUP($C25,$C$3:$D$15,2,FALSE)*BL$20),VLOOKUP($C25,$C$3:$D$15,2,FALSE)*BL$20-BK27)))</f>
        <v>0</v>
      </c>
      <c r="BM25" s="763">
        <f t="shared" ref="BM25" si="346" xml:space="preserve">
IF(BL27&gt;=VLOOKUP($C25,$C$3:$D$15,2,FALSE)*BM$20,0,
IF(AND(BL27&lt;VLOOKUP($C25,$C$3:$D$15,2,FALSE)*BM$20,BM26&lt;=VLOOKUP($C25,$C$3:$D$15,2,FALSE)*BM$20),IF(BM26-BL27&lt;0,0,BM26-BL27),
IF(AND(BL27&lt;VLOOKUP($C25,$C$3:$D$15,2,FALSE)*BM$20,BM26&gt;VLOOKUP($C25,$C$3:$D$15,2,FALSE)*BM$20),VLOOKUP($C25,$C$3:$D$15,2,FALSE)*BM$20-BL27)))</f>
        <v>0</v>
      </c>
      <c r="BN25" s="763">
        <f t="shared" ref="BN25" si="347" xml:space="preserve">
IF(BM27&gt;=VLOOKUP($C25,$C$3:$D$15,2,FALSE)*BN$20,0,
IF(AND(BM27&lt;VLOOKUP($C25,$C$3:$D$15,2,FALSE)*BN$20,BN26&lt;=VLOOKUP($C25,$C$3:$D$15,2,FALSE)*BN$20),IF(BN26-BM27&lt;0,0,BN26-BM27),
IF(AND(BM27&lt;VLOOKUP($C25,$C$3:$D$15,2,FALSE)*BN$20,BN26&gt;VLOOKUP($C25,$C$3:$D$15,2,FALSE)*BN$20),VLOOKUP($C25,$C$3:$D$15,2,FALSE)*BN$20-BM27)))</f>
        <v>0</v>
      </c>
      <c r="BO25" s="763">
        <f t="shared" ref="BO25" si="348" xml:space="preserve">
IF(BN27&gt;=VLOOKUP($C25,$C$3:$D$15,2,FALSE)*BO$20,0,
IF(AND(BN27&lt;VLOOKUP($C25,$C$3:$D$15,2,FALSE)*BO$20,BO26&lt;=VLOOKUP($C25,$C$3:$D$15,2,FALSE)*BO$20),IF(BO26-BN27&lt;0,0,BO26-BN27),
IF(AND(BN27&lt;VLOOKUP($C25,$C$3:$D$15,2,FALSE)*BO$20,BO26&gt;VLOOKUP($C25,$C$3:$D$15,2,FALSE)*BO$20),VLOOKUP($C25,$C$3:$D$15,2,FALSE)*BO$20-BN27)))</f>
        <v>0</v>
      </c>
      <c r="BP25" s="763">
        <f t="shared" ref="BP25" si="349" xml:space="preserve">
IF(BO27&gt;=VLOOKUP($C25,$C$3:$D$15,2,FALSE)*BP$20,0,
IF(AND(BO27&lt;VLOOKUP($C25,$C$3:$D$15,2,FALSE)*BP$20,BP26&lt;=VLOOKUP($C25,$C$3:$D$15,2,FALSE)*BP$20),IF(BP26-BO27&lt;0,0,BP26-BO27),
IF(AND(BO27&lt;VLOOKUP($C25,$C$3:$D$15,2,FALSE)*BP$20,BP26&gt;VLOOKUP($C25,$C$3:$D$15,2,FALSE)*BP$20),VLOOKUP($C25,$C$3:$D$15,2,FALSE)*BP$20-BO27)))</f>
        <v>0</v>
      </c>
      <c r="BQ25" s="763">
        <f t="shared" ref="BQ25" si="350" xml:space="preserve">
IF(BP27&gt;=VLOOKUP($C25,$C$3:$D$15,2,FALSE)*BQ$20,0,
IF(AND(BP27&lt;VLOOKUP($C25,$C$3:$D$15,2,FALSE)*BQ$20,BQ26&lt;=VLOOKUP($C25,$C$3:$D$15,2,FALSE)*BQ$20),IF(BQ26-BP27&lt;0,0,BQ26-BP27),
IF(AND(BP27&lt;VLOOKUP($C25,$C$3:$D$15,2,FALSE)*BQ$20,BQ26&gt;VLOOKUP($C25,$C$3:$D$15,2,FALSE)*BQ$20),VLOOKUP($C25,$C$3:$D$15,2,FALSE)*BQ$20-BP27)))</f>
        <v>0</v>
      </c>
      <c r="BR25" s="763">
        <f t="shared" ref="BR25" si="351" xml:space="preserve">
IF(BQ27&gt;=VLOOKUP($C25,$C$3:$D$15,2,FALSE)*BR$20,0,
IF(AND(BQ27&lt;VLOOKUP($C25,$C$3:$D$15,2,FALSE)*BR$20,BR26&lt;=VLOOKUP($C25,$C$3:$D$15,2,FALSE)*BR$20),IF(BR26-BQ27&lt;0,0,BR26-BQ27),
IF(AND(BQ27&lt;VLOOKUP($C25,$C$3:$D$15,2,FALSE)*BR$20,BR26&gt;VLOOKUP($C25,$C$3:$D$15,2,FALSE)*BR$20),VLOOKUP($C25,$C$3:$D$15,2,FALSE)*BR$20-BQ27)))</f>
        <v>0</v>
      </c>
      <c r="BS25" s="763">
        <f t="shared" ref="BS25" si="352" xml:space="preserve">
IF(BR27&gt;=VLOOKUP($C25,$C$3:$D$15,2,FALSE)*BS$20,0,
IF(AND(BR27&lt;VLOOKUP($C25,$C$3:$D$15,2,FALSE)*BS$20,BS26&lt;=VLOOKUP($C25,$C$3:$D$15,2,FALSE)*BS$20),IF(BS26-BR27&lt;0,0,BS26-BR27),
IF(AND(BR27&lt;VLOOKUP($C25,$C$3:$D$15,2,FALSE)*BS$20,BS26&gt;VLOOKUP($C25,$C$3:$D$15,2,FALSE)*BS$20),VLOOKUP($C25,$C$3:$D$15,2,FALSE)*BS$20-BR27)))</f>
        <v>0</v>
      </c>
      <c r="BT25" s="763">
        <f t="shared" ref="BT25" si="353" xml:space="preserve">
IF(BS27&gt;=VLOOKUP($C25,$C$3:$D$15,2,FALSE)*BT$20,0,
IF(AND(BS27&lt;VLOOKUP($C25,$C$3:$D$15,2,FALSE)*BT$20,BT26&lt;=VLOOKUP($C25,$C$3:$D$15,2,FALSE)*BT$20),IF(BT26-BS27&lt;0,0,BT26-BS27),
IF(AND(BS27&lt;VLOOKUP($C25,$C$3:$D$15,2,FALSE)*BT$20,BT26&gt;VLOOKUP($C25,$C$3:$D$15,2,FALSE)*BT$20),VLOOKUP($C25,$C$3:$D$15,2,FALSE)*BT$20-BS27)))</f>
        <v>0</v>
      </c>
      <c r="BU25" s="763">
        <f t="shared" ref="BU25" si="354" xml:space="preserve">
IF(BT27&gt;=VLOOKUP($C25,$C$3:$D$15,2,FALSE)*BU$20,0,
IF(AND(BT27&lt;VLOOKUP($C25,$C$3:$D$15,2,FALSE)*BU$20,BU26&lt;=VLOOKUP($C25,$C$3:$D$15,2,FALSE)*BU$20),IF(BU26-BT27&lt;0,0,BU26-BT27),
IF(AND(BT27&lt;VLOOKUP($C25,$C$3:$D$15,2,FALSE)*BU$20,BU26&gt;VLOOKUP($C25,$C$3:$D$15,2,FALSE)*BU$20),VLOOKUP($C25,$C$3:$D$15,2,FALSE)*BU$20-BT27)))</f>
        <v>0</v>
      </c>
      <c r="BV25" s="763">
        <f t="shared" ref="BV25" si="355" xml:space="preserve">
IF(BU27&gt;=VLOOKUP($C25,$C$3:$D$15,2,FALSE)*BV$20,0,
IF(AND(BU27&lt;VLOOKUP($C25,$C$3:$D$15,2,FALSE)*BV$20,BV26&lt;=VLOOKUP($C25,$C$3:$D$15,2,FALSE)*BV$20),IF(BV26-BU27&lt;0,0,BV26-BU27),
IF(AND(BU27&lt;VLOOKUP($C25,$C$3:$D$15,2,FALSE)*BV$20,BV26&gt;VLOOKUP($C25,$C$3:$D$15,2,FALSE)*BV$20),VLOOKUP($C25,$C$3:$D$15,2,FALSE)*BV$20-BU27)))</f>
        <v>0</v>
      </c>
      <c r="BW25" s="763">
        <f t="shared" ref="BW25" si="356" xml:space="preserve">
IF(BV27&gt;=VLOOKUP($C25,$C$3:$D$15,2,FALSE)*BW$20,0,
IF(AND(BV27&lt;VLOOKUP($C25,$C$3:$D$15,2,FALSE)*BW$20,BW26&lt;=VLOOKUP($C25,$C$3:$D$15,2,FALSE)*BW$20),IF(BW26-BV27&lt;0,0,BW26-BV27),
IF(AND(BV27&lt;VLOOKUP($C25,$C$3:$D$15,2,FALSE)*BW$20,BW26&gt;VLOOKUP($C25,$C$3:$D$15,2,FALSE)*BW$20),VLOOKUP($C25,$C$3:$D$15,2,FALSE)*BW$20-BV27)))</f>
        <v>0</v>
      </c>
      <c r="BX25" s="763">
        <f t="shared" ref="BX25" si="357" xml:space="preserve">
IF(BW27&gt;=VLOOKUP($C25,$C$3:$D$15,2,FALSE)*BX$20,0,
IF(AND(BW27&lt;VLOOKUP($C25,$C$3:$D$15,2,FALSE)*BX$20,BX26&lt;=VLOOKUP($C25,$C$3:$D$15,2,FALSE)*BX$20),IF(BX26-BW27&lt;0,0,BX26-BW27),
IF(AND(BW27&lt;VLOOKUP($C25,$C$3:$D$15,2,FALSE)*BX$20,BX26&gt;VLOOKUP($C25,$C$3:$D$15,2,FALSE)*BX$20),VLOOKUP($C25,$C$3:$D$15,2,FALSE)*BX$20-BW27)))</f>
        <v>0</v>
      </c>
      <c r="BY25" s="763">
        <f t="shared" ref="BY25" si="358" xml:space="preserve">
IF(BX27&gt;=VLOOKUP($C25,$C$3:$D$15,2,FALSE)*BY$20,0,
IF(AND(BX27&lt;VLOOKUP($C25,$C$3:$D$15,2,FALSE)*BY$20,BY26&lt;=VLOOKUP($C25,$C$3:$D$15,2,FALSE)*BY$20),IF(BY26-BX27&lt;0,0,BY26-BX27),
IF(AND(BX27&lt;VLOOKUP($C25,$C$3:$D$15,2,FALSE)*BY$20,BY26&gt;VLOOKUP($C25,$C$3:$D$15,2,FALSE)*BY$20),VLOOKUP($C25,$C$3:$D$15,2,FALSE)*BY$20-BX27)))</f>
        <v>0</v>
      </c>
      <c r="BZ25" s="763">
        <f t="shared" ref="BZ25" si="359" xml:space="preserve">
IF(BY27&gt;=VLOOKUP($C25,$C$3:$D$15,2,FALSE)*BZ$20,0,
IF(AND(BY27&lt;VLOOKUP($C25,$C$3:$D$15,2,FALSE)*BZ$20,BZ26&lt;=VLOOKUP($C25,$C$3:$D$15,2,FALSE)*BZ$20),IF(BZ26-BY27&lt;0,0,BZ26-BY27),
IF(AND(BY27&lt;VLOOKUP($C25,$C$3:$D$15,2,FALSE)*BZ$20,BZ26&gt;VLOOKUP($C25,$C$3:$D$15,2,FALSE)*BZ$20),VLOOKUP($C25,$C$3:$D$15,2,FALSE)*BZ$20-BY27)))</f>
        <v>0</v>
      </c>
      <c r="CA25" s="763">
        <f t="shared" ref="CA25" si="360" xml:space="preserve">
IF(BZ27&gt;=VLOOKUP($C25,$C$3:$D$15,2,FALSE)*CA$20,0,
IF(AND(BZ27&lt;VLOOKUP($C25,$C$3:$D$15,2,FALSE)*CA$20,CA26&lt;=VLOOKUP($C25,$C$3:$D$15,2,FALSE)*CA$20),IF(CA26-BZ27&lt;0,0,CA26-BZ27),
IF(AND(BZ27&lt;VLOOKUP($C25,$C$3:$D$15,2,FALSE)*CA$20,CA26&gt;VLOOKUP($C25,$C$3:$D$15,2,FALSE)*CA$20),VLOOKUP($C25,$C$3:$D$15,2,FALSE)*CA$20-BZ27)))</f>
        <v>0</v>
      </c>
      <c r="CB25" s="763">
        <f t="shared" ref="CB25" si="361" xml:space="preserve">
IF(CA27&gt;=VLOOKUP($C25,$C$3:$D$15,2,FALSE)*CB$20,0,
IF(AND(CA27&lt;VLOOKUP($C25,$C$3:$D$15,2,FALSE)*CB$20,CB26&lt;=VLOOKUP($C25,$C$3:$D$15,2,FALSE)*CB$20),IF(CB26-CA27&lt;0,0,CB26-CA27),
IF(AND(CA27&lt;VLOOKUP($C25,$C$3:$D$15,2,FALSE)*CB$20,CB26&gt;VLOOKUP($C25,$C$3:$D$15,2,FALSE)*CB$20),VLOOKUP($C25,$C$3:$D$15,2,FALSE)*CB$20-CA27)))</f>
        <v>0</v>
      </c>
      <c r="CC25" s="763">
        <f t="shared" ref="CC25" si="362" xml:space="preserve">
IF(CB27&gt;=VLOOKUP($C25,$C$3:$D$15,2,FALSE)*CC$20,0,
IF(AND(CB27&lt;VLOOKUP($C25,$C$3:$D$15,2,FALSE)*CC$20,CC26&lt;=VLOOKUP($C25,$C$3:$D$15,2,FALSE)*CC$20),IF(CC26-CB27&lt;0,0,CC26-CB27),
IF(AND(CB27&lt;VLOOKUP($C25,$C$3:$D$15,2,FALSE)*CC$20,CC26&gt;VLOOKUP($C25,$C$3:$D$15,2,FALSE)*CC$20),VLOOKUP($C25,$C$3:$D$15,2,FALSE)*CC$20-CB27)))</f>
        <v>0</v>
      </c>
      <c r="CD25" s="763">
        <f t="shared" ref="CD25" si="363" xml:space="preserve">
IF(CC27&gt;=VLOOKUP($C25,$C$3:$D$15,2,FALSE)*CD$20,0,
IF(AND(CC27&lt;VLOOKUP($C25,$C$3:$D$15,2,FALSE)*CD$20,CD26&lt;=VLOOKUP($C25,$C$3:$D$15,2,FALSE)*CD$20),IF(CD26-CC27&lt;0,0,CD26-CC27),
IF(AND(CC27&lt;VLOOKUP($C25,$C$3:$D$15,2,FALSE)*CD$20,CD26&gt;VLOOKUP($C25,$C$3:$D$15,2,FALSE)*CD$20),VLOOKUP($C25,$C$3:$D$15,2,FALSE)*CD$20-CC27)))</f>
        <v>0</v>
      </c>
      <c r="CE25" s="763">
        <f t="shared" ref="CE25" si="364" xml:space="preserve">
IF(CD27&gt;=VLOOKUP($C25,$C$3:$D$15,2,FALSE)*CE$20,0,
IF(AND(CD27&lt;VLOOKUP($C25,$C$3:$D$15,2,FALSE)*CE$20,CE26&lt;=VLOOKUP($C25,$C$3:$D$15,2,FALSE)*CE$20),IF(CE26-CD27&lt;0,0,CE26-CD27),
IF(AND(CD27&lt;VLOOKUP($C25,$C$3:$D$15,2,FALSE)*CE$20,CE26&gt;VLOOKUP($C25,$C$3:$D$15,2,FALSE)*CE$20),VLOOKUP($C25,$C$3:$D$15,2,FALSE)*CE$20-CD27)))</f>
        <v>0</v>
      </c>
      <c r="CF25" s="763">
        <f t="shared" ref="CF25" si="365" xml:space="preserve">
IF(CE27&gt;=VLOOKUP($C25,$C$3:$D$15,2,FALSE)*CF$20,0,
IF(AND(CE27&lt;VLOOKUP($C25,$C$3:$D$15,2,FALSE)*CF$20,CF26&lt;=VLOOKUP($C25,$C$3:$D$15,2,FALSE)*CF$20),IF(CF26-CE27&lt;0,0,CF26-CE27),
IF(AND(CE27&lt;VLOOKUP($C25,$C$3:$D$15,2,FALSE)*CF$20,CF26&gt;VLOOKUP($C25,$C$3:$D$15,2,FALSE)*CF$20),VLOOKUP($C25,$C$3:$D$15,2,FALSE)*CF$20-CE27)))</f>
        <v>0</v>
      </c>
      <c r="CG25" s="763">
        <f t="shared" ref="CG25" si="366" xml:space="preserve">
IF(CF27&gt;=VLOOKUP($C25,$C$3:$D$15,2,FALSE)*CG$20,0,
IF(AND(CF27&lt;VLOOKUP($C25,$C$3:$D$15,2,FALSE)*CG$20,CG26&lt;=VLOOKUP($C25,$C$3:$D$15,2,FALSE)*CG$20),IF(CG26-CF27&lt;0,0,CG26-CF27),
IF(AND(CF27&lt;VLOOKUP($C25,$C$3:$D$15,2,FALSE)*CG$20,CG26&gt;VLOOKUP($C25,$C$3:$D$15,2,FALSE)*CG$20),VLOOKUP($C25,$C$3:$D$15,2,FALSE)*CG$20-CF27)))</f>
        <v>0</v>
      </c>
      <c r="CH25" s="763">
        <f t="shared" ref="CH25" si="367" xml:space="preserve">
IF(CG27&gt;=VLOOKUP($C25,$C$3:$D$15,2,FALSE)*CH$20,0,
IF(AND(CG27&lt;VLOOKUP($C25,$C$3:$D$15,2,FALSE)*CH$20,CH26&lt;=VLOOKUP($C25,$C$3:$D$15,2,FALSE)*CH$20),IF(CH26-CG27&lt;0,0,CH26-CG27),
IF(AND(CG27&lt;VLOOKUP($C25,$C$3:$D$15,2,FALSE)*CH$20,CH26&gt;VLOOKUP($C25,$C$3:$D$15,2,FALSE)*CH$20),VLOOKUP($C25,$C$3:$D$15,2,FALSE)*CH$20-CG27)))</f>
        <v>0</v>
      </c>
      <c r="CI25" s="763">
        <f t="shared" ref="CI25" si="368" xml:space="preserve">
IF(CH27&gt;=VLOOKUP($C25,$C$3:$D$15,2,FALSE)*CI$20,0,
IF(AND(CH27&lt;VLOOKUP($C25,$C$3:$D$15,2,FALSE)*CI$20,CI26&lt;=VLOOKUP($C25,$C$3:$D$15,2,FALSE)*CI$20),IF(CI26-CH27&lt;0,0,CI26-CH27),
IF(AND(CH27&lt;VLOOKUP($C25,$C$3:$D$15,2,FALSE)*CI$20,CI26&gt;VLOOKUP($C25,$C$3:$D$15,2,FALSE)*CI$20),VLOOKUP($C25,$C$3:$D$15,2,FALSE)*CI$20-CH27)))</f>
        <v>0</v>
      </c>
      <c r="CJ25" s="763">
        <f t="shared" ref="CJ25" si="369" xml:space="preserve">
IF(CI27&gt;=VLOOKUP($C25,$C$3:$D$15,2,FALSE)*CJ$20,0,
IF(AND(CI27&lt;VLOOKUP($C25,$C$3:$D$15,2,FALSE)*CJ$20,CJ26&lt;=VLOOKUP($C25,$C$3:$D$15,2,FALSE)*CJ$20),IF(CJ26-CI27&lt;0,0,CJ26-CI27),
IF(AND(CI27&lt;VLOOKUP($C25,$C$3:$D$15,2,FALSE)*CJ$20,CJ26&gt;VLOOKUP($C25,$C$3:$D$15,2,FALSE)*CJ$20),VLOOKUP($C25,$C$3:$D$15,2,FALSE)*CJ$20-CI27)))</f>
        <v>0</v>
      </c>
      <c r="CK25" s="763">
        <f t="shared" ref="CK25" si="370" xml:space="preserve">
IF(CJ27&gt;=VLOOKUP($C25,$C$3:$D$15,2,FALSE)*CK$20,0,
IF(AND(CJ27&lt;VLOOKUP($C25,$C$3:$D$15,2,FALSE)*CK$20,CK26&lt;=VLOOKUP($C25,$C$3:$D$15,2,FALSE)*CK$20),IF(CK26-CJ27&lt;0,0,CK26-CJ27),
IF(AND(CJ27&lt;VLOOKUP($C25,$C$3:$D$15,2,FALSE)*CK$20,CK26&gt;VLOOKUP($C25,$C$3:$D$15,2,FALSE)*CK$20),VLOOKUP($C25,$C$3:$D$15,2,FALSE)*CK$20-CJ27)))</f>
        <v>0</v>
      </c>
      <c r="CL25" s="763">
        <f t="shared" ref="CL25" si="371" xml:space="preserve">
IF(CK27&gt;=VLOOKUP($C25,$C$3:$D$15,2,FALSE)*CL$20,0,
IF(AND(CK27&lt;VLOOKUP($C25,$C$3:$D$15,2,FALSE)*CL$20,CL26&lt;=VLOOKUP($C25,$C$3:$D$15,2,FALSE)*CL$20),IF(CL26-CK27&lt;0,0,CL26-CK27),
IF(AND(CK27&lt;VLOOKUP($C25,$C$3:$D$15,2,FALSE)*CL$20,CL26&gt;VLOOKUP($C25,$C$3:$D$15,2,FALSE)*CL$20),VLOOKUP($C25,$C$3:$D$15,2,FALSE)*CL$20-CK27)))</f>
        <v>0</v>
      </c>
      <c r="CM25" s="763">
        <f t="shared" ref="CM25" si="372" xml:space="preserve">
IF(CL27&gt;=VLOOKUP($C25,$C$3:$D$15,2,FALSE)*CM$20,0,
IF(AND(CL27&lt;VLOOKUP($C25,$C$3:$D$15,2,FALSE)*CM$20,CM26&lt;=VLOOKUP($C25,$C$3:$D$15,2,FALSE)*CM$20),IF(CM26-CL27&lt;0,0,CM26-CL27),
IF(AND(CL27&lt;VLOOKUP($C25,$C$3:$D$15,2,FALSE)*CM$20,CM26&gt;VLOOKUP($C25,$C$3:$D$15,2,FALSE)*CM$20),VLOOKUP($C25,$C$3:$D$15,2,FALSE)*CM$20-CL27)))</f>
        <v>0</v>
      </c>
      <c r="CN25" s="763">
        <f t="shared" ref="CN25" si="373" xml:space="preserve">
IF(CM27&gt;=VLOOKUP($C25,$C$3:$D$15,2,FALSE)*CN$20,0,
IF(AND(CM27&lt;VLOOKUP($C25,$C$3:$D$15,2,FALSE)*CN$20,CN26&lt;=VLOOKUP($C25,$C$3:$D$15,2,FALSE)*CN$20),IF(CN26-CM27&lt;0,0,CN26-CM27),
IF(AND(CM27&lt;VLOOKUP($C25,$C$3:$D$15,2,FALSE)*CN$20,CN26&gt;VLOOKUP($C25,$C$3:$D$15,2,FALSE)*CN$20),VLOOKUP($C25,$C$3:$D$15,2,FALSE)*CN$20-CM27)))</f>
        <v>0</v>
      </c>
      <c r="CO25" s="763">
        <f t="shared" ref="CO25" si="374" xml:space="preserve">
IF(CN27&gt;=VLOOKUP($C25,$C$3:$D$15,2,FALSE)*CO$20,0,
IF(AND(CN27&lt;VLOOKUP($C25,$C$3:$D$15,2,FALSE)*CO$20,CO26&lt;=VLOOKUP($C25,$C$3:$D$15,2,FALSE)*CO$20),IF(CO26-CN27&lt;0,0,CO26-CN27),
IF(AND(CN27&lt;VLOOKUP($C25,$C$3:$D$15,2,FALSE)*CO$20,CO26&gt;VLOOKUP($C25,$C$3:$D$15,2,FALSE)*CO$20),VLOOKUP($C25,$C$3:$D$15,2,FALSE)*CO$20-CN27)))</f>
        <v>0</v>
      </c>
      <c r="CP25" s="763">
        <f t="shared" ref="CP25" si="375" xml:space="preserve">
IF(CO27&gt;=VLOOKUP($C25,$C$3:$D$15,2,FALSE)*CP$20,0,
IF(AND(CO27&lt;VLOOKUP($C25,$C$3:$D$15,2,FALSE)*CP$20,CP26&lt;=VLOOKUP($C25,$C$3:$D$15,2,FALSE)*CP$20),IF(CP26-CO27&lt;0,0,CP26-CO27),
IF(AND(CO27&lt;VLOOKUP($C25,$C$3:$D$15,2,FALSE)*CP$20,CP26&gt;VLOOKUP($C25,$C$3:$D$15,2,FALSE)*CP$20),VLOOKUP($C25,$C$3:$D$15,2,FALSE)*CP$20-CO27)))</f>
        <v>0</v>
      </c>
      <c r="CQ25" s="763">
        <f t="shared" ref="CQ25" si="376" xml:space="preserve">
IF(CP27&gt;=VLOOKUP($C25,$C$3:$D$15,2,FALSE)*CQ$20,0,
IF(AND(CP27&lt;VLOOKUP($C25,$C$3:$D$15,2,FALSE)*CQ$20,CQ26&lt;=VLOOKUP($C25,$C$3:$D$15,2,FALSE)*CQ$20),IF(CQ26-CP27&lt;0,0,CQ26-CP27),
IF(AND(CP27&lt;VLOOKUP($C25,$C$3:$D$15,2,FALSE)*CQ$20,CQ26&gt;VLOOKUP($C25,$C$3:$D$15,2,FALSE)*CQ$20),VLOOKUP($C25,$C$3:$D$15,2,FALSE)*CQ$20-CP27)))</f>
        <v>0</v>
      </c>
      <c r="CR25" s="763">
        <f t="shared" ref="CR25" si="377" xml:space="preserve">
IF(CQ27&gt;=VLOOKUP($C25,$C$3:$D$15,2,FALSE)*CR$20,0,
IF(AND(CQ27&lt;VLOOKUP($C25,$C$3:$D$15,2,FALSE)*CR$20,CR26&lt;=VLOOKUP($C25,$C$3:$D$15,2,FALSE)*CR$20),IF(CR26-CQ27&lt;0,0,CR26-CQ27),
IF(AND(CQ27&lt;VLOOKUP($C25,$C$3:$D$15,2,FALSE)*CR$20,CR26&gt;VLOOKUP($C25,$C$3:$D$15,2,FALSE)*CR$20),VLOOKUP($C25,$C$3:$D$15,2,FALSE)*CR$20-CQ27)))</f>
        <v>0</v>
      </c>
      <c r="CS25" s="763">
        <f t="shared" ref="CS25" si="378" xml:space="preserve">
IF(CR27&gt;=VLOOKUP($C25,$C$3:$D$15,2,FALSE)*CS$20,0,
IF(AND(CR27&lt;VLOOKUP($C25,$C$3:$D$15,2,FALSE)*CS$20,CS26&lt;=VLOOKUP($C25,$C$3:$D$15,2,FALSE)*CS$20),IF(CS26-CR27&lt;0,0,CS26-CR27),
IF(AND(CR27&lt;VLOOKUP($C25,$C$3:$D$15,2,FALSE)*CS$20,CS26&gt;VLOOKUP($C25,$C$3:$D$15,2,FALSE)*CS$20),VLOOKUP($C25,$C$3:$D$15,2,FALSE)*CS$20-CR27)))</f>
        <v>0</v>
      </c>
      <c r="CT25" s="763">
        <f t="shared" ref="CT25" si="379" xml:space="preserve">
IF(CS27&gt;=VLOOKUP($C25,$C$3:$D$15,2,FALSE)*CT$20,0,
IF(AND(CS27&lt;VLOOKUP($C25,$C$3:$D$15,2,FALSE)*CT$20,CT26&lt;=VLOOKUP($C25,$C$3:$D$15,2,FALSE)*CT$20),IF(CT26-CS27&lt;0,0,CT26-CS27),
IF(AND(CS27&lt;VLOOKUP($C25,$C$3:$D$15,2,FALSE)*CT$20,CT26&gt;VLOOKUP($C25,$C$3:$D$15,2,FALSE)*CT$20),VLOOKUP($C25,$C$3:$D$15,2,FALSE)*CT$20-CS27)))</f>
        <v>0</v>
      </c>
      <c r="CU25" s="763">
        <f t="shared" ref="CU25" si="380" xml:space="preserve">
IF(CT27&gt;=VLOOKUP($C25,$C$3:$D$15,2,FALSE)*CU$20,0,
IF(AND(CT27&lt;VLOOKUP($C25,$C$3:$D$15,2,FALSE)*CU$20,CU26&lt;=VLOOKUP($C25,$C$3:$D$15,2,FALSE)*CU$20),IF(CU26-CT27&lt;0,0,CU26-CT27),
IF(AND(CT27&lt;VLOOKUP($C25,$C$3:$D$15,2,FALSE)*CU$20,CU26&gt;VLOOKUP($C25,$C$3:$D$15,2,FALSE)*CU$20),VLOOKUP($C25,$C$3:$D$15,2,FALSE)*CU$20-CT27)))</f>
        <v>0</v>
      </c>
      <c r="CV25" s="763">
        <f t="shared" ref="CV25" si="381" xml:space="preserve">
IF(CU27&gt;=VLOOKUP($C25,$C$3:$D$15,2,FALSE)*CV$20,0,
IF(AND(CU27&lt;VLOOKUP($C25,$C$3:$D$15,2,FALSE)*CV$20,CV26&lt;=VLOOKUP($C25,$C$3:$D$15,2,FALSE)*CV$20),IF(CV26-CU27&lt;0,0,CV26-CU27),
IF(AND(CU27&lt;VLOOKUP($C25,$C$3:$D$15,2,FALSE)*CV$20,CV26&gt;VLOOKUP($C25,$C$3:$D$15,2,FALSE)*CV$20),VLOOKUP($C25,$C$3:$D$15,2,FALSE)*CV$20-CU27)))</f>
        <v>0</v>
      </c>
      <c r="CW25" s="763">
        <f t="shared" ref="CW25" si="382" xml:space="preserve">
IF(CV27&gt;=VLOOKUP($C25,$C$3:$D$15,2,FALSE)*CW$20,0,
IF(AND(CV27&lt;VLOOKUP($C25,$C$3:$D$15,2,FALSE)*CW$20,CW26&lt;=VLOOKUP($C25,$C$3:$D$15,2,FALSE)*CW$20),IF(CW26-CV27&lt;0,0,CW26-CV27),
IF(AND(CV27&lt;VLOOKUP($C25,$C$3:$D$15,2,FALSE)*CW$20,CW26&gt;VLOOKUP($C25,$C$3:$D$15,2,FALSE)*CW$20),VLOOKUP($C25,$C$3:$D$15,2,FALSE)*CW$20-CV27)))</f>
        <v>0</v>
      </c>
      <c r="CX25" s="763">
        <f t="shared" ref="CX25" si="383" xml:space="preserve">
IF(CW27&gt;=VLOOKUP($C25,$C$3:$D$15,2,FALSE)*CX$20,0,
IF(AND(CW27&lt;VLOOKUP($C25,$C$3:$D$15,2,FALSE)*CX$20,CX26&lt;=VLOOKUP($C25,$C$3:$D$15,2,FALSE)*CX$20),IF(CX26-CW27&lt;0,0,CX26-CW27),
IF(AND(CW27&lt;VLOOKUP($C25,$C$3:$D$15,2,FALSE)*CX$20,CX26&gt;VLOOKUP($C25,$C$3:$D$15,2,FALSE)*CX$20),VLOOKUP($C25,$C$3:$D$15,2,FALSE)*CX$20-CW27)))</f>
        <v>0</v>
      </c>
      <c r="CY25" s="763">
        <f t="shared" ref="CY25" si="384" xml:space="preserve">
IF(CX27&gt;=VLOOKUP($C25,$C$3:$D$15,2,FALSE)*CY$20,0,
IF(AND(CX27&lt;VLOOKUP($C25,$C$3:$D$15,2,FALSE)*CY$20,CY26&lt;=VLOOKUP($C25,$C$3:$D$15,2,FALSE)*CY$20),IF(CY26-CX27&lt;0,0,CY26-CX27),
IF(AND(CX27&lt;VLOOKUP($C25,$C$3:$D$15,2,FALSE)*CY$20,CY26&gt;VLOOKUP($C25,$C$3:$D$15,2,FALSE)*CY$20),VLOOKUP($C25,$C$3:$D$15,2,FALSE)*CY$20-CX27)))</f>
        <v>0</v>
      </c>
      <c r="CZ25" s="763">
        <f t="shared" ref="CZ25" si="385" xml:space="preserve">
IF(CY27&gt;=VLOOKUP($C25,$C$3:$D$15,2,FALSE)*CZ$20,0,
IF(AND(CY27&lt;VLOOKUP($C25,$C$3:$D$15,2,FALSE)*CZ$20,CZ26&lt;=VLOOKUP($C25,$C$3:$D$15,2,FALSE)*CZ$20),IF(CZ26-CY27&lt;0,0,CZ26-CY27),
IF(AND(CY27&lt;VLOOKUP($C25,$C$3:$D$15,2,FALSE)*CZ$20,CZ26&gt;VLOOKUP($C25,$C$3:$D$15,2,FALSE)*CZ$20),VLOOKUP($C25,$C$3:$D$15,2,FALSE)*CZ$20-CY27)))</f>
        <v>0</v>
      </c>
      <c r="DA25" s="763">
        <f t="shared" ref="DA25" si="386" xml:space="preserve">
IF(CZ27&gt;=VLOOKUP($C25,$C$3:$D$15,2,FALSE)*DA$20,0,
IF(AND(CZ27&lt;VLOOKUP($C25,$C$3:$D$15,2,FALSE)*DA$20,DA26&lt;=VLOOKUP($C25,$C$3:$D$15,2,FALSE)*DA$20),IF(DA26-CZ27&lt;0,0,DA26-CZ27),
IF(AND(CZ27&lt;VLOOKUP($C25,$C$3:$D$15,2,FALSE)*DA$20,DA26&gt;VLOOKUP($C25,$C$3:$D$15,2,FALSE)*DA$20),VLOOKUP($C25,$C$3:$D$15,2,FALSE)*DA$20-CZ27)))</f>
        <v>0</v>
      </c>
      <c r="DB25" s="763">
        <f t="shared" ref="DB25" si="387" xml:space="preserve">
IF(DA27&gt;=VLOOKUP($C25,$C$3:$D$15,2,FALSE)*DB$20,0,
IF(AND(DA27&lt;VLOOKUP($C25,$C$3:$D$15,2,FALSE)*DB$20,DB26&lt;=VLOOKUP($C25,$C$3:$D$15,2,FALSE)*DB$20),IF(DB26-DA27&lt;0,0,DB26-DA27),
IF(AND(DA27&lt;VLOOKUP($C25,$C$3:$D$15,2,FALSE)*DB$20,DB26&gt;VLOOKUP($C25,$C$3:$D$15,2,FALSE)*DB$20),VLOOKUP($C25,$C$3:$D$15,2,FALSE)*DB$20-DA27)))</f>
        <v>0</v>
      </c>
      <c r="DC25" s="763">
        <f t="shared" ref="DC25" si="388" xml:space="preserve">
IF(DB27&gt;=VLOOKUP($C25,$C$3:$D$15,2,FALSE)*DC$20,0,
IF(AND(DB27&lt;VLOOKUP($C25,$C$3:$D$15,2,FALSE)*DC$20,DC26&lt;=VLOOKUP($C25,$C$3:$D$15,2,FALSE)*DC$20),IF(DC26-DB27&lt;0,0,DC26-DB27),
IF(AND(DB27&lt;VLOOKUP($C25,$C$3:$D$15,2,FALSE)*DC$20,DC26&gt;VLOOKUP($C25,$C$3:$D$15,2,FALSE)*DC$20),VLOOKUP($C25,$C$3:$D$15,2,FALSE)*DC$20-DB27)))</f>
        <v>0</v>
      </c>
      <c r="DD25" s="763">
        <f t="shared" ref="DD25" si="389" xml:space="preserve">
IF(DC27&gt;=VLOOKUP($C25,$C$3:$D$15,2,FALSE)*DD$20,0,
IF(AND(DC27&lt;VLOOKUP($C25,$C$3:$D$15,2,FALSE)*DD$20,DD26&lt;=VLOOKUP($C25,$C$3:$D$15,2,FALSE)*DD$20),IF(DD26-DC27&lt;0,0,DD26-DC27),
IF(AND(DC27&lt;VLOOKUP($C25,$C$3:$D$15,2,FALSE)*DD$20,DD26&gt;VLOOKUP($C25,$C$3:$D$15,2,FALSE)*DD$20),VLOOKUP($C25,$C$3:$D$15,2,FALSE)*DD$20-DC27)))</f>
        <v>0</v>
      </c>
      <c r="DE25" s="763">
        <f t="shared" ref="DE25" si="390" xml:space="preserve">
IF(DD27&gt;=VLOOKUP($C25,$C$3:$D$15,2,FALSE)*DE$20,0,
IF(AND(DD27&lt;VLOOKUP($C25,$C$3:$D$15,2,FALSE)*DE$20,DE26&lt;=VLOOKUP($C25,$C$3:$D$15,2,FALSE)*DE$20),IF(DE26-DD27&lt;0,0,DE26-DD27),
IF(AND(DD27&lt;VLOOKUP($C25,$C$3:$D$15,2,FALSE)*DE$20,DE26&gt;VLOOKUP($C25,$C$3:$D$15,2,FALSE)*DE$20),VLOOKUP($C25,$C$3:$D$15,2,FALSE)*DE$20-DD27)))</f>
        <v>0</v>
      </c>
      <c r="DF25" s="763">
        <f t="shared" ref="DF25" si="391" xml:space="preserve">
IF(DE27&gt;=VLOOKUP($C25,$C$3:$D$15,2,FALSE)*DF$20,0,
IF(AND(DE27&lt;VLOOKUP($C25,$C$3:$D$15,2,FALSE)*DF$20,DF26&lt;=VLOOKUP($C25,$C$3:$D$15,2,FALSE)*DF$20),IF(DF26-DE27&lt;0,0,DF26-DE27),
IF(AND(DE27&lt;VLOOKUP($C25,$C$3:$D$15,2,FALSE)*DF$20,DF26&gt;VLOOKUP($C25,$C$3:$D$15,2,FALSE)*DF$20),VLOOKUP($C25,$C$3:$D$15,2,FALSE)*DF$20-DE27)))</f>
        <v>0</v>
      </c>
      <c r="DG25" s="763">
        <f t="shared" ref="DG25" si="392" xml:space="preserve">
IF(DF27&gt;=VLOOKUP($C25,$C$3:$D$15,2,FALSE)*DG$20,0,
IF(AND(DF27&lt;VLOOKUP($C25,$C$3:$D$15,2,FALSE)*DG$20,DG26&lt;=VLOOKUP($C25,$C$3:$D$15,2,FALSE)*DG$20),IF(DG26-DF27&lt;0,0,DG26-DF27),
IF(AND(DF27&lt;VLOOKUP($C25,$C$3:$D$15,2,FALSE)*DG$20,DG26&gt;VLOOKUP($C25,$C$3:$D$15,2,FALSE)*DG$20),VLOOKUP($C25,$C$3:$D$15,2,FALSE)*DG$20-DF27)))</f>
        <v>0</v>
      </c>
      <c r="DH25" s="763">
        <f t="shared" ref="DH25" si="393" xml:space="preserve">
IF(DG27&gt;=VLOOKUP($C25,$C$3:$D$15,2,FALSE)*DH$20,0,
IF(AND(DG27&lt;VLOOKUP($C25,$C$3:$D$15,2,FALSE)*DH$20,DH26&lt;=VLOOKUP($C25,$C$3:$D$15,2,FALSE)*DH$20),IF(DH26-DG27&lt;0,0,DH26-DG27),
IF(AND(DG27&lt;VLOOKUP($C25,$C$3:$D$15,2,FALSE)*DH$20,DH26&gt;VLOOKUP($C25,$C$3:$D$15,2,FALSE)*DH$20),VLOOKUP($C25,$C$3:$D$15,2,FALSE)*DH$20-DG27)))</f>
        <v>0</v>
      </c>
      <c r="DI25" s="763">
        <f t="shared" ref="DI25" si="394" xml:space="preserve">
IF(DH27&gt;=VLOOKUP($C25,$C$3:$D$15,2,FALSE)*DI$20,0,
IF(AND(DH27&lt;VLOOKUP($C25,$C$3:$D$15,2,FALSE)*DI$20,DI26&lt;=VLOOKUP($C25,$C$3:$D$15,2,FALSE)*DI$20),IF(DI26-DH27&lt;0,0,DI26-DH27),
IF(AND(DH27&lt;VLOOKUP($C25,$C$3:$D$15,2,FALSE)*DI$20,DI26&gt;VLOOKUP($C25,$C$3:$D$15,2,FALSE)*DI$20),VLOOKUP($C25,$C$3:$D$15,2,FALSE)*DI$20-DH27)))</f>
        <v>0</v>
      </c>
      <c r="DJ25" s="763">
        <f t="shared" ref="DJ25" si="395" xml:space="preserve">
IF(DI27&gt;=VLOOKUP($C25,$C$3:$D$15,2,FALSE)*DJ$20,0,
IF(AND(DI27&lt;VLOOKUP($C25,$C$3:$D$15,2,FALSE)*DJ$20,DJ26&lt;=VLOOKUP($C25,$C$3:$D$15,2,FALSE)*DJ$20),IF(DJ26-DI27&lt;0,0,DJ26-DI27),
IF(AND(DI27&lt;VLOOKUP($C25,$C$3:$D$15,2,FALSE)*DJ$20,DJ26&gt;VLOOKUP($C25,$C$3:$D$15,2,FALSE)*DJ$20),VLOOKUP($C25,$C$3:$D$15,2,FALSE)*DJ$20-DI27)))</f>
        <v>0</v>
      </c>
      <c r="DK25" s="763">
        <f t="shared" ref="DK25" si="396" xml:space="preserve">
IF(DJ27&gt;=VLOOKUP($C25,$C$3:$D$15,2,FALSE)*DK$20,0,
IF(AND(DJ27&lt;VLOOKUP($C25,$C$3:$D$15,2,FALSE)*DK$20,DK26&lt;=VLOOKUP($C25,$C$3:$D$15,2,FALSE)*DK$20),IF(DK26-DJ27&lt;0,0,DK26-DJ27),
IF(AND(DJ27&lt;VLOOKUP($C25,$C$3:$D$15,2,FALSE)*DK$20,DK26&gt;VLOOKUP($C25,$C$3:$D$15,2,FALSE)*DK$20),VLOOKUP($C25,$C$3:$D$15,2,FALSE)*DK$20-DJ27)))</f>
        <v>0</v>
      </c>
      <c r="DL25" s="763">
        <f t="shared" ref="DL25" si="397" xml:space="preserve">
IF(DK27&gt;=VLOOKUP($C25,$C$3:$D$15,2,FALSE)*DL$20,0,
IF(AND(DK27&lt;VLOOKUP($C25,$C$3:$D$15,2,FALSE)*DL$20,DL26&lt;=VLOOKUP($C25,$C$3:$D$15,2,FALSE)*DL$20),IF(DL26-DK27&lt;0,0,DL26-DK27),
IF(AND(DK27&lt;VLOOKUP($C25,$C$3:$D$15,2,FALSE)*DL$20,DL26&gt;VLOOKUP($C25,$C$3:$D$15,2,FALSE)*DL$20),VLOOKUP($C25,$C$3:$D$15,2,FALSE)*DL$20-DK27)))</f>
        <v>0</v>
      </c>
      <c r="DM25" s="763">
        <f t="shared" ref="DM25" si="398" xml:space="preserve">
IF(DL27&gt;=VLOOKUP($C25,$C$3:$D$15,2,FALSE)*DM$20,0,
IF(AND(DL27&lt;VLOOKUP($C25,$C$3:$D$15,2,FALSE)*DM$20,DM26&lt;=VLOOKUP($C25,$C$3:$D$15,2,FALSE)*DM$20),IF(DM26-DL27&lt;0,0,DM26-DL27),
IF(AND(DL27&lt;VLOOKUP($C25,$C$3:$D$15,2,FALSE)*DM$20,DM26&gt;VLOOKUP($C25,$C$3:$D$15,2,FALSE)*DM$20),VLOOKUP($C25,$C$3:$D$15,2,FALSE)*DM$20-DL27)))</f>
        <v>0</v>
      </c>
      <c r="DN25" s="763">
        <f t="shared" ref="DN25" si="399" xml:space="preserve">
IF(DM27&gt;=VLOOKUP($C25,$C$3:$D$15,2,FALSE)*DN$20,0,
IF(AND(DM27&lt;VLOOKUP($C25,$C$3:$D$15,2,FALSE)*DN$20,DN26&lt;=VLOOKUP($C25,$C$3:$D$15,2,FALSE)*DN$20),IF(DN26-DM27&lt;0,0,DN26-DM27),
IF(AND(DM27&lt;VLOOKUP($C25,$C$3:$D$15,2,FALSE)*DN$20,DN26&gt;VLOOKUP($C25,$C$3:$D$15,2,FALSE)*DN$20),VLOOKUP($C25,$C$3:$D$15,2,FALSE)*DN$20-DM27)))</f>
        <v>0</v>
      </c>
      <c r="DO25" s="763">
        <f t="shared" ref="DO25" si="400" xml:space="preserve">
IF(DN27&gt;=VLOOKUP($C25,$C$3:$D$15,2,FALSE)*DO$20,0,
IF(AND(DN27&lt;VLOOKUP($C25,$C$3:$D$15,2,FALSE)*DO$20,DO26&lt;=VLOOKUP($C25,$C$3:$D$15,2,FALSE)*DO$20),IF(DO26-DN27&lt;0,0,DO26-DN27),
IF(AND(DN27&lt;VLOOKUP($C25,$C$3:$D$15,2,FALSE)*DO$20,DO26&gt;VLOOKUP($C25,$C$3:$D$15,2,FALSE)*DO$20),VLOOKUP($C25,$C$3:$D$15,2,FALSE)*DO$20-DN27)))</f>
        <v>0</v>
      </c>
      <c r="DP25" s="763">
        <f t="shared" ref="DP25" si="401" xml:space="preserve">
IF(DO27&gt;=VLOOKUP($C25,$C$3:$D$15,2,FALSE)*DP$20,0,
IF(AND(DO27&lt;VLOOKUP($C25,$C$3:$D$15,2,FALSE)*DP$20,DP26&lt;=VLOOKUP($C25,$C$3:$D$15,2,FALSE)*DP$20),IF(DP26-DO27&lt;0,0,DP26-DO27),
IF(AND(DO27&lt;VLOOKUP($C25,$C$3:$D$15,2,FALSE)*DP$20,DP26&gt;VLOOKUP($C25,$C$3:$D$15,2,FALSE)*DP$20),VLOOKUP($C25,$C$3:$D$15,2,FALSE)*DP$20-DO27)))</f>
        <v>0</v>
      </c>
      <c r="DQ25" s="763">
        <f t="shared" ref="DQ25" si="402" xml:space="preserve">
IF(DP27&gt;=VLOOKUP($C25,$C$3:$D$15,2,FALSE)*DQ$20,0,
IF(AND(DP27&lt;VLOOKUP($C25,$C$3:$D$15,2,FALSE)*DQ$20,DQ26&lt;=VLOOKUP($C25,$C$3:$D$15,2,FALSE)*DQ$20),IF(DQ26-DP27&lt;0,0,DQ26-DP27),
IF(AND(DP27&lt;VLOOKUP($C25,$C$3:$D$15,2,FALSE)*DQ$20,DQ26&gt;VLOOKUP($C25,$C$3:$D$15,2,FALSE)*DQ$20),VLOOKUP($C25,$C$3:$D$15,2,FALSE)*DQ$20-DP27)))</f>
        <v>0</v>
      </c>
      <c r="DR25" s="763">
        <f t="shared" ref="DR25" si="403" xml:space="preserve">
IF(DQ27&gt;=VLOOKUP($C25,$C$3:$D$15,2,FALSE)*DR$20,0,
IF(AND(DQ27&lt;VLOOKUP($C25,$C$3:$D$15,2,FALSE)*DR$20,DR26&lt;=VLOOKUP($C25,$C$3:$D$15,2,FALSE)*DR$20),IF(DR26-DQ27&lt;0,0,DR26-DQ27),
IF(AND(DQ27&lt;VLOOKUP($C25,$C$3:$D$15,2,FALSE)*DR$20,DR26&gt;VLOOKUP($C25,$C$3:$D$15,2,FALSE)*DR$20),VLOOKUP($C25,$C$3:$D$15,2,FALSE)*DR$20-DQ27)))</f>
        <v>0</v>
      </c>
      <c r="DS25" s="763">
        <f t="shared" ref="DS25" si="404" xml:space="preserve">
IF(DR27&gt;=VLOOKUP($C25,$C$3:$D$15,2,FALSE)*DS$20,0,
IF(AND(DR27&lt;VLOOKUP($C25,$C$3:$D$15,2,FALSE)*DS$20,DS26&lt;=VLOOKUP($C25,$C$3:$D$15,2,FALSE)*DS$20),IF(DS26-DR27&lt;0,0,DS26-DR27),
IF(AND(DR27&lt;VLOOKUP($C25,$C$3:$D$15,2,FALSE)*DS$20,DS26&gt;VLOOKUP($C25,$C$3:$D$15,2,FALSE)*DS$20),VLOOKUP($C25,$C$3:$D$15,2,FALSE)*DS$20-DR27)))</f>
        <v>0</v>
      </c>
      <c r="DT25" s="763">
        <f t="shared" ref="DT25" si="405" xml:space="preserve">
IF(DS27&gt;=VLOOKUP($C25,$C$3:$D$15,2,FALSE)*DT$20,0,
IF(AND(DS27&lt;VLOOKUP($C25,$C$3:$D$15,2,FALSE)*DT$20,DT26&lt;=VLOOKUP($C25,$C$3:$D$15,2,FALSE)*DT$20),IF(DT26-DS27&lt;0,0,DT26-DS27),
IF(AND(DS27&lt;VLOOKUP($C25,$C$3:$D$15,2,FALSE)*DT$20,DT26&gt;VLOOKUP($C25,$C$3:$D$15,2,FALSE)*DT$20),VLOOKUP($C25,$C$3:$D$15,2,FALSE)*DT$20-DS27)))</f>
        <v>0</v>
      </c>
      <c r="DU25" s="763">
        <f t="shared" ref="DU25" si="406" xml:space="preserve">
IF(DT27&gt;=VLOOKUP($C25,$C$3:$D$15,2,FALSE)*DU$20,0,
IF(AND(DT27&lt;VLOOKUP($C25,$C$3:$D$15,2,FALSE)*DU$20,DU26&lt;=VLOOKUP($C25,$C$3:$D$15,2,FALSE)*DU$20),IF(DU26-DT27&lt;0,0,DU26-DT27),
IF(AND(DT27&lt;VLOOKUP($C25,$C$3:$D$15,2,FALSE)*DU$20,DU26&gt;VLOOKUP($C25,$C$3:$D$15,2,FALSE)*DU$20),VLOOKUP($C25,$C$3:$D$15,2,FALSE)*DU$20-DT27)))</f>
        <v>0</v>
      </c>
      <c r="DV25" s="763">
        <f t="shared" ref="DV25" si="407" xml:space="preserve">
IF(DU27&gt;=VLOOKUP($C25,$C$3:$D$15,2,FALSE)*DV$20,0,
IF(AND(DU27&lt;VLOOKUP($C25,$C$3:$D$15,2,FALSE)*DV$20,DV26&lt;=VLOOKUP($C25,$C$3:$D$15,2,FALSE)*DV$20),IF(DV26-DU27&lt;0,0,DV26-DU27),
IF(AND(DU27&lt;VLOOKUP($C25,$C$3:$D$15,2,FALSE)*DV$20,DV26&gt;VLOOKUP($C25,$C$3:$D$15,2,FALSE)*DV$20),VLOOKUP($C25,$C$3:$D$15,2,FALSE)*DV$20-DU27)))</f>
        <v>0</v>
      </c>
      <c r="DW25" s="763">
        <f t="shared" ref="DW25" si="408" xml:space="preserve">
IF(DV27&gt;=VLOOKUP($C25,$C$3:$D$15,2,FALSE)*DW$20,0,
IF(AND(DV27&lt;VLOOKUP($C25,$C$3:$D$15,2,FALSE)*DW$20,DW26&lt;=VLOOKUP($C25,$C$3:$D$15,2,FALSE)*DW$20),IF(DW26-DV27&lt;0,0,DW26-DV27),
IF(AND(DV27&lt;VLOOKUP($C25,$C$3:$D$15,2,FALSE)*DW$20,DW26&gt;VLOOKUP($C25,$C$3:$D$15,2,FALSE)*DW$20),VLOOKUP($C25,$C$3:$D$15,2,FALSE)*DW$20-DV27)))</f>
        <v>0</v>
      </c>
      <c r="DX25" s="763">
        <f t="shared" ref="DX25" si="409" xml:space="preserve">
IF(DW27&gt;=VLOOKUP($C25,$C$3:$D$15,2,FALSE)*DX$20,0,
IF(AND(DW27&lt;VLOOKUP($C25,$C$3:$D$15,2,FALSE)*DX$20,DX26&lt;=VLOOKUP($C25,$C$3:$D$15,2,FALSE)*DX$20),IF(DX26-DW27&lt;0,0,DX26-DW27),
IF(AND(DW27&lt;VLOOKUP($C25,$C$3:$D$15,2,FALSE)*DX$20,DX26&gt;VLOOKUP($C25,$C$3:$D$15,2,FALSE)*DX$20),VLOOKUP($C25,$C$3:$D$15,2,FALSE)*DX$20-DW27)))</f>
        <v>0</v>
      </c>
      <c r="DY25" s="763">
        <f t="shared" ref="DY25" si="410" xml:space="preserve">
IF(DX27&gt;=VLOOKUP($C25,$C$3:$D$15,2,FALSE)*DY$20,0,
IF(AND(DX27&lt;VLOOKUP($C25,$C$3:$D$15,2,FALSE)*DY$20,DY26&lt;=VLOOKUP($C25,$C$3:$D$15,2,FALSE)*DY$20),IF(DY26-DX27&lt;0,0,DY26-DX27),
IF(AND(DX27&lt;VLOOKUP($C25,$C$3:$D$15,2,FALSE)*DY$20,DY26&gt;VLOOKUP($C25,$C$3:$D$15,2,FALSE)*DY$20),VLOOKUP($C25,$C$3:$D$15,2,FALSE)*DY$20-DX27)))</f>
        <v>0</v>
      </c>
      <c r="DZ25" s="763">
        <f t="shared" ref="DZ25" si="411" xml:space="preserve">
IF(DY27&gt;=VLOOKUP($C25,$C$3:$D$15,2,FALSE)*DZ$20,0,
IF(AND(DY27&lt;VLOOKUP($C25,$C$3:$D$15,2,FALSE)*DZ$20,DZ26&lt;=VLOOKUP($C25,$C$3:$D$15,2,FALSE)*DZ$20),IF(DZ26-DY27&lt;0,0,DZ26-DY27),
IF(AND(DY27&lt;VLOOKUP($C25,$C$3:$D$15,2,FALSE)*DZ$20,DZ26&gt;VLOOKUP($C25,$C$3:$D$15,2,FALSE)*DZ$20),VLOOKUP($C25,$C$3:$D$15,2,FALSE)*DZ$20-DY27)))</f>
        <v>0</v>
      </c>
      <c r="EA25" s="763">
        <f t="shared" ref="EA25" si="412" xml:space="preserve">
IF(DZ27&gt;=VLOOKUP($C25,$C$3:$D$15,2,FALSE)*EA$20,0,
IF(AND(DZ27&lt;VLOOKUP($C25,$C$3:$D$15,2,FALSE)*EA$20,EA26&lt;=VLOOKUP($C25,$C$3:$D$15,2,FALSE)*EA$20),IF(EA26-DZ27&lt;0,0,EA26-DZ27),
IF(AND(DZ27&lt;VLOOKUP($C25,$C$3:$D$15,2,FALSE)*EA$20,EA26&gt;VLOOKUP($C25,$C$3:$D$15,2,FALSE)*EA$20),VLOOKUP($C25,$C$3:$D$15,2,FALSE)*EA$20-DZ27)))</f>
        <v>0</v>
      </c>
      <c r="EB25" s="763">
        <f t="shared" ref="EB25" si="413" xml:space="preserve">
IF(EA27&gt;=VLOOKUP($C25,$C$3:$D$15,2,FALSE)*EB$20,0,
IF(AND(EA27&lt;VLOOKUP($C25,$C$3:$D$15,2,FALSE)*EB$20,EB26&lt;=VLOOKUP($C25,$C$3:$D$15,2,FALSE)*EB$20),IF(EB26-EA27&lt;0,0,EB26-EA27),
IF(AND(EA27&lt;VLOOKUP($C25,$C$3:$D$15,2,FALSE)*EB$20,EB26&gt;VLOOKUP($C25,$C$3:$D$15,2,FALSE)*EB$20),VLOOKUP($C25,$C$3:$D$15,2,FALSE)*EB$20-EA27)))</f>
        <v>0</v>
      </c>
      <c r="EC25" s="763">
        <f t="shared" ref="EC25" si="414" xml:space="preserve">
IF(EB27&gt;=VLOOKUP($C25,$C$3:$D$15,2,FALSE)*EC$20,0,
IF(AND(EB27&lt;VLOOKUP($C25,$C$3:$D$15,2,FALSE)*EC$20,EC26&lt;=VLOOKUP($C25,$C$3:$D$15,2,FALSE)*EC$20),IF(EC26-EB27&lt;0,0,EC26-EB27),
IF(AND(EB27&lt;VLOOKUP($C25,$C$3:$D$15,2,FALSE)*EC$20,EC26&gt;VLOOKUP($C25,$C$3:$D$15,2,FALSE)*EC$20),VLOOKUP($C25,$C$3:$D$15,2,FALSE)*EC$20-EB27)))</f>
        <v>0</v>
      </c>
      <c r="ED25" s="763">
        <f t="shared" ref="ED25" si="415" xml:space="preserve">
IF(EC27&gt;=VLOOKUP($C25,$C$3:$D$15,2,FALSE)*ED$20,0,
IF(AND(EC27&lt;VLOOKUP($C25,$C$3:$D$15,2,FALSE)*ED$20,ED26&lt;=VLOOKUP($C25,$C$3:$D$15,2,FALSE)*ED$20),IF(ED26-EC27&lt;0,0,ED26-EC27),
IF(AND(EC27&lt;VLOOKUP($C25,$C$3:$D$15,2,FALSE)*ED$20,ED26&gt;VLOOKUP($C25,$C$3:$D$15,2,FALSE)*ED$20),VLOOKUP($C25,$C$3:$D$15,2,FALSE)*ED$20-EC27)))</f>
        <v>0</v>
      </c>
      <c r="EE25" s="763">
        <f t="shared" ref="EE25" si="416" xml:space="preserve">
IF(ED27&gt;=VLOOKUP($C25,$C$3:$D$15,2,FALSE)*EE$20,0,
IF(AND(ED27&lt;VLOOKUP($C25,$C$3:$D$15,2,FALSE)*EE$20,EE26&lt;=VLOOKUP($C25,$C$3:$D$15,2,FALSE)*EE$20),IF(EE26-ED27&lt;0,0,EE26-ED27),
IF(AND(ED27&lt;VLOOKUP($C25,$C$3:$D$15,2,FALSE)*EE$20,EE26&gt;VLOOKUP($C25,$C$3:$D$15,2,FALSE)*EE$20),VLOOKUP($C25,$C$3:$D$15,2,FALSE)*EE$20-ED27)))</f>
        <v>0</v>
      </c>
      <c r="EF25" s="763">
        <f t="shared" ref="EF25" si="417" xml:space="preserve">
IF(EE27&gt;=VLOOKUP($C25,$C$3:$D$15,2,FALSE)*EF$20,0,
IF(AND(EE27&lt;VLOOKUP($C25,$C$3:$D$15,2,FALSE)*EF$20,EF26&lt;=VLOOKUP($C25,$C$3:$D$15,2,FALSE)*EF$20),IF(EF26-EE27&lt;0,0,EF26-EE27),
IF(AND(EE27&lt;VLOOKUP($C25,$C$3:$D$15,2,FALSE)*EF$20,EF26&gt;VLOOKUP($C25,$C$3:$D$15,2,FALSE)*EF$20),VLOOKUP($C25,$C$3:$D$15,2,FALSE)*EF$20-EE27)))</f>
        <v>0</v>
      </c>
      <c r="EG25" s="763">
        <f t="shared" ref="EG25" si="418" xml:space="preserve">
IF(EF27&gt;=VLOOKUP($C25,$C$3:$D$15,2,FALSE)*EG$20,0,
IF(AND(EF27&lt;VLOOKUP($C25,$C$3:$D$15,2,FALSE)*EG$20,EG26&lt;=VLOOKUP($C25,$C$3:$D$15,2,FALSE)*EG$20),IF(EG26-EF27&lt;0,0,EG26-EF27),
IF(AND(EF27&lt;VLOOKUP($C25,$C$3:$D$15,2,FALSE)*EG$20,EG26&gt;VLOOKUP($C25,$C$3:$D$15,2,FALSE)*EG$20),VLOOKUP($C25,$C$3:$D$15,2,FALSE)*EG$20-EF27)))</f>
        <v>0</v>
      </c>
      <c r="EH25" s="763">
        <f t="shared" ref="EH25" si="419" xml:space="preserve">
IF(EG27&gt;=VLOOKUP($C25,$C$3:$D$15,2,FALSE)*EH$20,0,
IF(AND(EG27&lt;VLOOKUP($C25,$C$3:$D$15,2,FALSE)*EH$20,EH26&lt;=VLOOKUP($C25,$C$3:$D$15,2,FALSE)*EH$20),IF(EH26-EG27&lt;0,0,EH26-EG27),
IF(AND(EG27&lt;VLOOKUP($C25,$C$3:$D$15,2,FALSE)*EH$20,EH26&gt;VLOOKUP($C25,$C$3:$D$15,2,FALSE)*EH$20),VLOOKUP($C25,$C$3:$D$15,2,FALSE)*EH$20-EG27)))</f>
        <v>0</v>
      </c>
      <c r="EI25" s="763">
        <f t="shared" ref="EI25" si="420" xml:space="preserve">
IF(EH27&gt;=VLOOKUP($C25,$C$3:$D$15,2,FALSE)*EI$20,0,
IF(AND(EH27&lt;VLOOKUP($C25,$C$3:$D$15,2,FALSE)*EI$20,EI26&lt;=VLOOKUP($C25,$C$3:$D$15,2,FALSE)*EI$20),IF(EI26-EH27&lt;0,0,EI26-EH27),
IF(AND(EH27&lt;VLOOKUP($C25,$C$3:$D$15,2,FALSE)*EI$20,EI26&gt;VLOOKUP($C25,$C$3:$D$15,2,FALSE)*EI$20),VLOOKUP($C25,$C$3:$D$15,2,FALSE)*EI$20-EH27)))</f>
        <v>0</v>
      </c>
      <c r="EJ25" s="763">
        <f t="shared" ref="EJ25" si="421" xml:space="preserve">
IF(EI27&gt;=VLOOKUP($C25,$C$3:$D$15,2,FALSE)*EJ$20,0,
IF(AND(EI27&lt;VLOOKUP($C25,$C$3:$D$15,2,FALSE)*EJ$20,EJ26&lt;=VLOOKUP($C25,$C$3:$D$15,2,FALSE)*EJ$20),IF(EJ26-EI27&lt;0,0,EJ26-EI27),
IF(AND(EI27&lt;VLOOKUP($C25,$C$3:$D$15,2,FALSE)*EJ$20,EJ26&gt;VLOOKUP($C25,$C$3:$D$15,2,FALSE)*EJ$20),VLOOKUP($C25,$C$3:$D$15,2,FALSE)*EJ$20-EI27)))</f>
        <v>0</v>
      </c>
      <c r="EK25" s="763">
        <f t="shared" ref="EK25" si="422" xml:space="preserve">
IF(EJ27&gt;=VLOOKUP($C25,$C$3:$D$15,2,FALSE)*EK$20,0,
IF(AND(EJ27&lt;VLOOKUP($C25,$C$3:$D$15,2,FALSE)*EK$20,EK26&lt;=VLOOKUP($C25,$C$3:$D$15,2,FALSE)*EK$20),IF(EK26-EJ27&lt;0,0,EK26-EJ27),
IF(AND(EJ27&lt;VLOOKUP($C25,$C$3:$D$15,2,FALSE)*EK$20,EK26&gt;VLOOKUP($C25,$C$3:$D$15,2,FALSE)*EK$20),VLOOKUP($C25,$C$3:$D$15,2,FALSE)*EK$20-EJ27)))</f>
        <v>0</v>
      </c>
      <c r="EL25" s="763">
        <f t="shared" ref="EL25" si="423" xml:space="preserve">
IF(EK27&gt;=VLOOKUP($C25,$C$3:$D$15,2,FALSE)*EL$20,0,
IF(AND(EK27&lt;VLOOKUP($C25,$C$3:$D$15,2,FALSE)*EL$20,EL26&lt;=VLOOKUP($C25,$C$3:$D$15,2,FALSE)*EL$20),IF(EL26-EK27&lt;0,0,EL26-EK27),
IF(AND(EK27&lt;VLOOKUP($C25,$C$3:$D$15,2,FALSE)*EL$20,EL26&gt;VLOOKUP($C25,$C$3:$D$15,2,FALSE)*EL$20),VLOOKUP($C25,$C$3:$D$15,2,FALSE)*EL$20-EK27)))</f>
        <v>0</v>
      </c>
      <c r="EM25" s="763">
        <f t="shared" ref="EM25" si="424" xml:space="preserve">
IF(EL27&gt;=VLOOKUP($C25,$C$3:$D$15,2,FALSE)*EM$20,0,
IF(AND(EL27&lt;VLOOKUP($C25,$C$3:$D$15,2,FALSE)*EM$20,EM26&lt;=VLOOKUP($C25,$C$3:$D$15,2,FALSE)*EM$20),IF(EM26-EL27&lt;0,0,EM26-EL27),
IF(AND(EL27&lt;VLOOKUP($C25,$C$3:$D$15,2,FALSE)*EM$20,EM26&gt;VLOOKUP($C25,$C$3:$D$15,2,FALSE)*EM$20),VLOOKUP($C25,$C$3:$D$15,2,FALSE)*EM$20-EL27)))</f>
        <v>0</v>
      </c>
      <c r="EN25" s="763">
        <f t="shared" ref="EN25" si="425" xml:space="preserve">
IF(EM27&gt;=VLOOKUP($C25,$C$3:$D$15,2,FALSE)*EN$20,0,
IF(AND(EM27&lt;VLOOKUP($C25,$C$3:$D$15,2,FALSE)*EN$20,EN26&lt;=VLOOKUP($C25,$C$3:$D$15,2,FALSE)*EN$20),IF(EN26-EM27&lt;0,0,EN26-EM27),
IF(AND(EM27&lt;VLOOKUP($C25,$C$3:$D$15,2,FALSE)*EN$20,EN26&gt;VLOOKUP($C25,$C$3:$D$15,2,FALSE)*EN$20),VLOOKUP($C25,$C$3:$D$15,2,FALSE)*EN$20-EM27)))</f>
        <v>0</v>
      </c>
      <c r="EO25" s="763">
        <f t="shared" ref="EO25" si="426" xml:space="preserve">
IF(EN27&gt;=VLOOKUP($C25,$C$3:$D$15,2,FALSE)*EO$20,0,
IF(AND(EN27&lt;VLOOKUP($C25,$C$3:$D$15,2,FALSE)*EO$20,EO26&lt;=VLOOKUP($C25,$C$3:$D$15,2,FALSE)*EO$20),IF(EO26-EN27&lt;0,0,EO26-EN27),
IF(AND(EN27&lt;VLOOKUP($C25,$C$3:$D$15,2,FALSE)*EO$20,EO26&gt;VLOOKUP($C25,$C$3:$D$15,2,FALSE)*EO$20),VLOOKUP($C25,$C$3:$D$15,2,FALSE)*EO$20-EN27)))</f>
        <v>0</v>
      </c>
      <c r="EP25" s="763">
        <f t="shared" ref="EP25" si="427" xml:space="preserve">
IF(EO27&gt;=VLOOKUP($C25,$C$3:$D$15,2,FALSE)*EP$20,0,
IF(AND(EO27&lt;VLOOKUP($C25,$C$3:$D$15,2,FALSE)*EP$20,EP26&lt;=VLOOKUP($C25,$C$3:$D$15,2,FALSE)*EP$20),IF(EP26-EO27&lt;0,0,EP26-EO27),
IF(AND(EO27&lt;VLOOKUP($C25,$C$3:$D$15,2,FALSE)*EP$20,EP26&gt;VLOOKUP($C25,$C$3:$D$15,2,FALSE)*EP$20),VLOOKUP($C25,$C$3:$D$15,2,FALSE)*EP$20-EO27)))</f>
        <v>0</v>
      </c>
      <c r="EQ25" s="763">
        <f t="shared" ref="EQ25" si="428" xml:space="preserve">
IF(EP27&gt;=VLOOKUP($C25,$C$3:$D$15,2,FALSE)*EQ$20,0,
IF(AND(EP27&lt;VLOOKUP($C25,$C$3:$D$15,2,FALSE)*EQ$20,EQ26&lt;=VLOOKUP($C25,$C$3:$D$15,2,FALSE)*EQ$20),IF(EQ26-EP27&lt;0,0,EQ26-EP27),
IF(AND(EP27&lt;VLOOKUP($C25,$C$3:$D$15,2,FALSE)*EQ$20,EQ26&gt;VLOOKUP($C25,$C$3:$D$15,2,FALSE)*EQ$20),VLOOKUP($C25,$C$3:$D$15,2,FALSE)*EQ$20-EP27)))</f>
        <v>0</v>
      </c>
      <c r="ER25" s="763">
        <f t="shared" ref="ER25" si="429" xml:space="preserve">
IF(EQ27&gt;=VLOOKUP($C25,$C$3:$D$15,2,FALSE)*ER$20,0,
IF(AND(EQ27&lt;VLOOKUP($C25,$C$3:$D$15,2,FALSE)*ER$20,ER26&lt;=VLOOKUP($C25,$C$3:$D$15,2,FALSE)*ER$20),IF(ER26-EQ27&lt;0,0,ER26-EQ27),
IF(AND(EQ27&lt;VLOOKUP($C25,$C$3:$D$15,2,FALSE)*ER$20,ER26&gt;VLOOKUP($C25,$C$3:$D$15,2,FALSE)*ER$20),VLOOKUP($C25,$C$3:$D$15,2,FALSE)*ER$20-EQ27)))</f>
        <v>0</v>
      </c>
      <c r="ES25" s="763">
        <f t="shared" ref="ES25" si="430" xml:space="preserve">
IF(ER27&gt;=VLOOKUP($C25,$C$3:$D$15,2,FALSE)*ES$20,0,
IF(AND(ER27&lt;VLOOKUP($C25,$C$3:$D$15,2,FALSE)*ES$20,ES26&lt;=VLOOKUP($C25,$C$3:$D$15,2,FALSE)*ES$20),IF(ES26-ER27&lt;0,0,ES26-ER27),
IF(AND(ER27&lt;VLOOKUP($C25,$C$3:$D$15,2,FALSE)*ES$20,ES26&gt;VLOOKUP($C25,$C$3:$D$15,2,FALSE)*ES$20),VLOOKUP($C25,$C$3:$D$15,2,FALSE)*ES$20-ER27)))</f>
        <v>0</v>
      </c>
      <c r="ET25" s="763">
        <f t="shared" ref="ET25" si="431" xml:space="preserve">
IF(ES27&gt;=VLOOKUP($C25,$C$3:$D$15,2,FALSE)*ET$20,0,
IF(AND(ES27&lt;VLOOKUP($C25,$C$3:$D$15,2,FALSE)*ET$20,ET26&lt;=VLOOKUP($C25,$C$3:$D$15,2,FALSE)*ET$20),IF(ET26-ES27&lt;0,0,ET26-ES27),
IF(AND(ES27&lt;VLOOKUP($C25,$C$3:$D$15,2,FALSE)*ET$20,ET26&gt;VLOOKUP($C25,$C$3:$D$15,2,FALSE)*ET$20),VLOOKUP($C25,$C$3:$D$15,2,FALSE)*ET$20-ES27)))</f>
        <v>0</v>
      </c>
      <c r="EU25" s="763">
        <f t="shared" ref="EU25" si="432" xml:space="preserve">
IF(ET27&gt;=VLOOKUP($C25,$C$3:$D$15,2,FALSE)*EU$20,0,
IF(AND(ET27&lt;VLOOKUP($C25,$C$3:$D$15,2,FALSE)*EU$20,EU26&lt;=VLOOKUP($C25,$C$3:$D$15,2,FALSE)*EU$20),IF(EU26-ET27&lt;0,0,EU26-ET27),
IF(AND(ET27&lt;VLOOKUP($C25,$C$3:$D$15,2,FALSE)*EU$20,EU26&gt;VLOOKUP($C25,$C$3:$D$15,2,FALSE)*EU$20),VLOOKUP($C25,$C$3:$D$15,2,FALSE)*EU$20-ET27)))</f>
        <v>0</v>
      </c>
      <c r="EV25" s="763">
        <f t="shared" ref="EV25" si="433" xml:space="preserve">
IF(EU27&gt;=VLOOKUP($C25,$C$3:$D$15,2,FALSE)*EV$20,0,
IF(AND(EU27&lt;VLOOKUP($C25,$C$3:$D$15,2,FALSE)*EV$20,EV26&lt;=VLOOKUP($C25,$C$3:$D$15,2,FALSE)*EV$20),IF(EV26-EU27&lt;0,0,EV26-EU27),
IF(AND(EU27&lt;VLOOKUP($C25,$C$3:$D$15,2,FALSE)*EV$20,EV26&gt;VLOOKUP($C25,$C$3:$D$15,2,FALSE)*EV$20),VLOOKUP($C25,$C$3:$D$15,2,FALSE)*EV$20-EU27)))</f>
        <v>0</v>
      </c>
      <c r="EW25" s="763">
        <f t="shared" ref="EW25" si="434" xml:space="preserve">
IF(EV27&gt;=VLOOKUP($C25,$C$3:$D$15,2,FALSE)*EW$20,0,
IF(AND(EV27&lt;VLOOKUP($C25,$C$3:$D$15,2,FALSE)*EW$20,EW26&lt;=VLOOKUP($C25,$C$3:$D$15,2,FALSE)*EW$20),IF(EW26-EV27&lt;0,0,EW26-EV27),
IF(AND(EV27&lt;VLOOKUP($C25,$C$3:$D$15,2,FALSE)*EW$20,EW26&gt;VLOOKUP($C25,$C$3:$D$15,2,FALSE)*EW$20),VLOOKUP($C25,$C$3:$D$15,2,FALSE)*EW$20-EV27)))</f>
        <v>0</v>
      </c>
      <c r="EX25" s="763">
        <f t="shared" ref="EX25" si="435" xml:space="preserve">
IF(EW27&gt;=VLOOKUP($C25,$C$3:$D$15,2,FALSE)*EX$20,0,
IF(AND(EW27&lt;VLOOKUP($C25,$C$3:$D$15,2,FALSE)*EX$20,EX26&lt;=VLOOKUP($C25,$C$3:$D$15,2,FALSE)*EX$20),IF(EX26-EW27&lt;0,0,EX26-EW27),
IF(AND(EW27&lt;VLOOKUP($C25,$C$3:$D$15,2,FALSE)*EX$20,EX26&gt;VLOOKUP($C25,$C$3:$D$15,2,FALSE)*EX$20),VLOOKUP($C25,$C$3:$D$15,2,FALSE)*EX$20-EW27)))</f>
        <v>0</v>
      </c>
      <c r="EY25" s="763">
        <f t="shared" ref="EY25" si="436" xml:space="preserve">
IF(EX27&gt;=VLOOKUP($C25,$C$3:$D$15,2,FALSE)*EY$20,0,
IF(AND(EX27&lt;VLOOKUP($C25,$C$3:$D$15,2,FALSE)*EY$20,EY26&lt;=VLOOKUP($C25,$C$3:$D$15,2,FALSE)*EY$20),IF(EY26-EX27&lt;0,0,EY26-EX27),
IF(AND(EX27&lt;VLOOKUP($C25,$C$3:$D$15,2,FALSE)*EY$20,EY26&gt;VLOOKUP($C25,$C$3:$D$15,2,FALSE)*EY$20),VLOOKUP($C25,$C$3:$D$15,2,FALSE)*EY$20-EX27)))</f>
        <v>0</v>
      </c>
      <c r="EZ25" s="763">
        <f t="shared" ref="EZ25" si="437" xml:space="preserve">
IF(EY27&gt;=VLOOKUP($C25,$C$3:$D$15,2,FALSE)*EZ$20,0,
IF(AND(EY27&lt;VLOOKUP($C25,$C$3:$D$15,2,FALSE)*EZ$20,EZ26&lt;=VLOOKUP($C25,$C$3:$D$15,2,FALSE)*EZ$20),IF(EZ26-EY27&lt;0,0,EZ26-EY27),
IF(AND(EY27&lt;VLOOKUP($C25,$C$3:$D$15,2,FALSE)*EZ$20,EZ26&gt;VLOOKUP($C25,$C$3:$D$15,2,FALSE)*EZ$20),VLOOKUP($C25,$C$3:$D$15,2,FALSE)*EZ$20-EY27)))</f>
        <v>0</v>
      </c>
      <c r="FA25" s="763">
        <f t="shared" ref="FA25" si="438" xml:space="preserve">
IF(EZ27&gt;=VLOOKUP($C25,$C$3:$D$15,2,FALSE)*FA$20,0,
IF(AND(EZ27&lt;VLOOKUP($C25,$C$3:$D$15,2,FALSE)*FA$20,FA26&lt;=VLOOKUP($C25,$C$3:$D$15,2,FALSE)*FA$20),IF(FA26-EZ27&lt;0,0,FA26-EZ27),
IF(AND(EZ27&lt;VLOOKUP($C25,$C$3:$D$15,2,FALSE)*FA$20,FA26&gt;VLOOKUP($C25,$C$3:$D$15,2,FALSE)*FA$20),VLOOKUP($C25,$C$3:$D$15,2,FALSE)*FA$20-EZ27)))</f>
        <v>0</v>
      </c>
      <c r="FB25" s="763">
        <f t="shared" ref="FB25" si="439" xml:space="preserve">
IF(FA27&gt;=VLOOKUP($C25,$C$3:$D$15,2,FALSE)*FB$20,0,
IF(AND(FA27&lt;VLOOKUP($C25,$C$3:$D$15,2,FALSE)*FB$20,FB26&lt;=VLOOKUP($C25,$C$3:$D$15,2,FALSE)*FB$20),IF(FB26-FA27&lt;0,0,FB26-FA27),
IF(AND(FA27&lt;VLOOKUP($C25,$C$3:$D$15,2,FALSE)*FB$20,FB26&gt;VLOOKUP($C25,$C$3:$D$15,2,FALSE)*FB$20),VLOOKUP($C25,$C$3:$D$15,2,FALSE)*FB$20-FA27)))</f>
        <v>0</v>
      </c>
      <c r="FC25" s="763">
        <f t="shared" ref="FC25" si="440" xml:space="preserve">
IF(FB27&gt;=VLOOKUP($C25,$C$3:$D$15,2,FALSE)*FC$20,0,
IF(AND(FB27&lt;VLOOKUP($C25,$C$3:$D$15,2,FALSE)*FC$20,FC26&lt;=VLOOKUP($C25,$C$3:$D$15,2,FALSE)*FC$20),IF(FC26-FB27&lt;0,0,FC26-FB27),
IF(AND(FB27&lt;VLOOKUP($C25,$C$3:$D$15,2,FALSE)*FC$20,FC26&gt;VLOOKUP($C25,$C$3:$D$15,2,FALSE)*FC$20),VLOOKUP($C25,$C$3:$D$15,2,FALSE)*FC$20-FB27)))</f>
        <v>0</v>
      </c>
      <c r="FD25" s="763">
        <f t="shared" ref="FD25" si="441" xml:space="preserve">
IF(FC27&gt;=VLOOKUP($C25,$C$3:$D$15,2,FALSE)*FD$20,0,
IF(AND(FC27&lt;VLOOKUP($C25,$C$3:$D$15,2,FALSE)*FD$20,FD26&lt;=VLOOKUP($C25,$C$3:$D$15,2,FALSE)*FD$20),IF(FD26-FC27&lt;0,0,FD26-FC27),
IF(AND(FC27&lt;VLOOKUP($C25,$C$3:$D$15,2,FALSE)*FD$20,FD26&gt;VLOOKUP($C25,$C$3:$D$15,2,FALSE)*FD$20),VLOOKUP($C25,$C$3:$D$15,2,FALSE)*FD$20-FC27)))</f>
        <v>0</v>
      </c>
      <c r="FE25" s="763">
        <f t="shared" ref="FE25" si="442" xml:space="preserve">
IF(FD27&gt;=VLOOKUP($C25,$C$3:$D$15,2,FALSE)*FE$20,0,
IF(AND(FD27&lt;VLOOKUP($C25,$C$3:$D$15,2,FALSE)*FE$20,FE26&lt;=VLOOKUP($C25,$C$3:$D$15,2,FALSE)*FE$20),IF(FE26-FD27&lt;0,0,FE26-FD27),
IF(AND(FD27&lt;VLOOKUP($C25,$C$3:$D$15,2,FALSE)*FE$20,FE26&gt;VLOOKUP($C25,$C$3:$D$15,2,FALSE)*FE$20),VLOOKUP($C25,$C$3:$D$15,2,FALSE)*FE$20-FD27)))</f>
        <v>0</v>
      </c>
      <c r="FF25" s="763">
        <f t="shared" ref="FF25" si="443" xml:space="preserve">
IF(FE27&gt;=VLOOKUP($C25,$C$3:$D$15,2,FALSE)*FF$20,0,
IF(AND(FE27&lt;VLOOKUP($C25,$C$3:$D$15,2,FALSE)*FF$20,FF26&lt;=VLOOKUP($C25,$C$3:$D$15,2,FALSE)*FF$20),IF(FF26-FE27&lt;0,0,FF26-FE27),
IF(AND(FE27&lt;VLOOKUP($C25,$C$3:$D$15,2,FALSE)*FF$20,FF26&gt;VLOOKUP($C25,$C$3:$D$15,2,FALSE)*FF$20),VLOOKUP($C25,$C$3:$D$15,2,FALSE)*FF$20-FE27)))</f>
        <v>0</v>
      </c>
      <c r="FG25" s="763">
        <f t="shared" ref="FG25" si="444" xml:space="preserve">
IF(FF27&gt;=VLOOKUP($C25,$C$3:$D$15,2,FALSE)*FG$20,0,
IF(AND(FF27&lt;VLOOKUP($C25,$C$3:$D$15,2,FALSE)*FG$20,FG26&lt;=VLOOKUP($C25,$C$3:$D$15,2,FALSE)*FG$20),IF(FG26-FF27&lt;0,0,FG26-FF27),
IF(AND(FF27&lt;VLOOKUP($C25,$C$3:$D$15,2,FALSE)*FG$20,FG26&gt;VLOOKUP($C25,$C$3:$D$15,2,FALSE)*FG$20),VLOOKUP($C25,$C$3:$D$15,2,FALSE)*FG$20-FF27)))</f>
        <v>0</v>
      </c>
      <c r="FH25" s="763">
        <f t="shared" ref="FH25" si="445" xml:space="preserve">
IF(FG27&gt;=VLOOKUP($C25,$C$3:$D$15,2,FALSE)*FH$20,0,
IF(AND(FG27&lt;VLOOKUP($C25,$C$3:$D$15,2,FALSE)*FH$20,FH26&lt;=VLOOKUP($C25,$C$3:$D$15,2,FALSE)*FH$20),IF(FH26-FG27&lt;0,0,FH26-FG27),
IF(AND(FG27&lt;VLOOKUP($C25,$C$3:$D$15,2,FALSE)*FH$20,FH26&gt;VLOOKUP($C25,$C$3:$D$15,2,FALSE)*FH$20),VLOOKUP($C25,$C$3:$D$15,2,FALSE)*FH$20-FG27)))</f>
        <v>0</v>
      </c>
      <c r="FI25" s="763">
        <f t="shared" ref="FI25" si="446" xml:space="preserve">
IF(FH27&gt;=VLOOKUP($C25,$C$3:$D$15,2,FALSE)*FI$20,0,
IF(AND(FH27&lt;VLOOKUP($C25,$C$3:$D$15,2,FALSE)*FI$20,FI26&lt;=VLOOKUP($C25,$C$3:$D$15,2,FALSE)*FI$20),IF(FI26-FH27&lt;0,0,FI26-FH27),
IF(AND(FH27&lt;VLOOKUP($C25,$C$3:$D$15,2,FALSE)*FI$20,FI26&gt;VLOOKUP($C25,$C$3:$D$15,2,FALSE)*FI$20),VLOOKUP($C25,$C$3:$D$15,2,FALSE)*FI$20-FH27)))</f>
        <v>0</v>
      </c>
      <c r="FJ25" s="763">
        <f t="shared" ref="FJ25" si="447" xml:space="preserve">
IF(FI27&gt;=VLOOKUP($C25,$C$3:$D$15,2,FALSE)*FJ$20,0,
IF(AND(FI27&lt;VLOOKUP($C25,$C$3:$D$15,2,FALSE)*FJ$20,FJ26&lt;=VLOOKUP($C25,$C$3:$D$15,2,FALSE)*FJ$20),IF(FJ26-FI27&lt;0,0,FJ26-FI27),
IF(AND(FI27&lt;VLOOKUP($C25,$C$3:$D$15,2,FALSE)*FJ$20,FJ26&gt;VLOOKUP($C25,$C$3:$D$15,2,FALSE)*FJ$20),VLOOKUP($C25,$C$3:$D$15,2,FALSE)*FJ$20-FI27)))</f>
        <v>0</v>
      </c>
      <c r="FK25" s="763">
        <f t="shared" ref="FK25" si="448" xml:space="preserve">
IF(FJ27&gt;=VLOOKUP($C25,$C$3:$D$15,2,FALSE)*FK$20,0,
IF(AND(FJ27&lt;VLOOKUP($C25,$C$3:$D$15,2,FALSE)*FK$20,FK26&lt;=VLOOKUP($C25,$C$3:$D$15,2,FALSE)*FK$20),IF(FK26-FJ27&lt;0,0,FK26-FJ27),
IF(AND(FJ27&lt;VLOOKUP($C25,$C$3:$D$15,2,FALSE)*FK$20,FK26&gt;VLOOKUP($C25,$C$3:$D$15,2,FALSE)*FK$20),VLOOKUP($C25,$C$3:$D$15,2,FALSE)*FK$20-FJ27)))</f>
        <v>0</v>
      </c>
      <c r="FL25" s="763">
        <f t="shared" ref="FL25" si="449" xml:space="preserve">
IF(FK27&gt;=VLOOKUP($C25,$C$3:$D$15,2,FALSE)*FL$20,0,
IF(AND(FK27&lt;VLOOKUP($C25,$C$3:$D$15,2,FALSE)*FL$20,FL26&lt;=VLOOKUP($C25,$C$3:$D$15,2,FALSE)*FL$20),IF(FL26-FK27&lt;0,0,FL26-FK27),
IF(AND(FK27&lt;VLOOKUP($C25,$C$3:$D$15,2,FALSE)*FL$20,FL26&gt;VLOOKUP($C25,$C$3:$D$15,2,FALSE)*FL$20),VLOOKUP($C25,$C$3:$D$15,2,FALSE)*FL$20-FK27)))</f>
        <v>0</v>
      </c>
      <c r="FM25" s="763">
        <f t="shared" ref="FM25" si="450" xml:space="preserve">
IF(FL27&gt;=VLOOKUP($C25,$C$3:$D$15,2,FALSE)*FM$20,0,
IF(AND(FL27&lt;VLOOKUP($C25,$C$3:$D$15,2,FALSE)*FM$20,FM26&lt;=VLOOKUP($C25,$C$3:$D$15,2,FALSE)*FM$20),IF(FM26-FL27&lt;0,0,FM26-FL27),
IF(AND(FL27&lt;VLOOKUP($C25,$C$3:$D$15,2,FALSE)*FM$20,FM26&gt;VLOOKUP($C25,$C$3:$D$15,2,FALSE)*FM$20),VLOOKUP($C25,$C$3:$D$15,2,FALSE)*FM$20-FL27)))</f>
        <v>0</v>
      </c>
      <c r="FN25" s="763">
        <f t="shared" ref="FN25" si="451" xml:space="preserve">
IF(FM27&gt;=VLOOKUP($C25,$C$3:$D$15,2,FALSE)*FN$20,0,
IF(AND(FM27&lt;VLOOKUP($C25,$C$3:$D$15,2,FALSE)*FN$20,FN26&lt;=VLOOKUP($C25,$C$3:$D$15,2,FALSE)*FN$20),IF(FN26-FM27&lt;0,0,FN26-FM27),
IF(AND(FM27&lt;VLOOKUP($C25,$C$3:$D$15,2,FALSE)*FN$20,FN26&gt;VLOOKUP($C25,$C$3:$D$15,2,FALSE)*FN$20),VLOOKUP($C25,$C$3:$D$15,2,FALSE)*FN$20-FM27)))</f>
        <v>0</v>
      </c>
      <c r="FO25" s="763">
        <f t="shared" ref="FO25" si="452" xml:space="preserve">
IF(FN27&gt;=VLOOKUP($C25,$C$3:$D$15,2,FALSE)*FO$20,0,
IF(AND(FN27&lt;VLOOKUP($C25,$C$3:$D$15,2,FALSE)*FO$20,FO26&lt;=VLOOKUP($C25,$C$3:$D$15,2,FALSE)*FO$20),IF(FO26-FN27&lt;0,0,FO26-FN27),
IF(AND(FN27&lt;VLOOKUP($C25,$C$3:$D$15,2,FALSE)*FO$20,FO26&gt;VLOOKUP($C25,$C$3:$D$15,2,FALSE)*FO$20),VLOOKUP($C25,$C$3:$D$15,2,FALSE)*FO$20-FN27)))</f>
        <v>0</v>
      </c>
      <c r="FP25" s="763">
        <f t="shared" ref="FP25" si="453" xml:space="preserve">
IF(FO27&gt;=VLOOKUP($C25,$C$3:$D$15,2,FALSE)*FP$20,0,
IF(AND(FO27&lt;VLOOKUP($C25,$C$3:$D$15,2,FALSE)*FP$20,FP26&lt;=VLOOKUP($C25,$C$3:$D$15,2,FALSE)*FP$20),IF(FP26-FO27&lt;0,0,FP26-FO27),
IF(AND(FO27&lt;VLOOKUP($C25,$C$3:$D$15,2,FALSE)*FP$20,FP26&gt;VLOOKUP($C25,$C$3:$D$15,2,FALSE)*FP$20),VLOOKUP($C25,$C$3:$D$15,2,FALSE)*FP$20-FO27)))</f>
        <v>0</v>
      </c>
      <c r="FQ25" s="763">
        <f t="shared" ref="FQ25" si="454" xml:space="preserve">
IF(FP27&gt;=VLOOKUP($C25,$C$3:$D$15,2,FALSE)*FQ$20,0,
IF(AND(FP27&lt;VLOOKUP($C25,$C$3:$D$15,2,FALSE)*FQ$20,FQ26&lt;=VLOOKUP($C25,$C$3:$D$15,2,FALSE)*FQ$20),IF(FQ26-FP27&lt;0,0,FQ26-FP27),
IF(AND(FP27&lt;VLOOKUP($C25,$C$3:$D$15,2,FALSE)*FQ$20,FQ26&gt;VLOOKUP($C25,$C$3:$D$15,2,FALSE)*FQ$20),VLOOKUP($C25,$C$3:$D$15,2,FALSE)*FQ$20-FP27)))</f>
        <v>0</v>
      </c>
      <c r="FR25" s="763">
        <f t="shared" ref="FR25" si="455" xml:space="preserve">
IF(FQ27&gt;=VLOOKUP($C25,$C$3:$D$15,2,FALSE)*FR$20,0,
IF(AND(FQ27&lt;VLOOKUP($C25,$C$3:$D$15,2,FALSE)*FR$20,FR26&lt;=VLOOKUP($C25,$C$3:$D$15,2,FALSE)*FR$20),IF(FR26-FQ27&lt;0,0,FR26-FQ27),
IF(AND(FQ27&lt;VLOOKUP($C25,$C$3:$D$15,2,FALSE)*FR$20,FR26&gt;VLOOKUP($C25,$C$3:$D$15,2,FALSE)*FR$20),VLOOKUP($C25,$C$3:$D$15,2,FALSE)*FR$20-FQ27)))</f>
        <v>0</v>
      </c>
      <c r="FS25" s="763">
        <f t="shared" ref="FS25" si="456" xml:space="preserve">
IF(FR27&gt;=VLOOKUP($C25,$C$3:$D$15,2,FALSE)*FS$20,0,
IF(AND(FR27&lt;VLOOKUP($C25,$C$3:$D$15,2,FALSE)*FS$20,FS26&lt;=VLOOKUP($C25,$C$3:$D$15,2,FALSE)*FS$20),IF(FS26-FR27&lt;0,0,FS26-FR27),
IF(AND(FR27&lt;VLOOKUP($C25,$C$3:$D$15,2,FALSE)*FS$20,FS26&gt;VLOOKUP($C25,$C$3:$D$15,2,FALSE)*FS$20),VLOOKUP($C25,$C$3:$D$15,2,FALSE)*FS$20-FR27)))</f>
        <v>0</v>
      </c>
      <c r="FT25" s="763">
        <f t="shared" ref="FT25" si="457" xml:space="preserve">
IF(FS27&gt;=VLOOKUP($C25,$C$3:$D$15,2,FALSE)*FT$20,0,
IF(AND(FS27&lt;VLOOKUP($C25,$C$3:$D$15,2,FALSE)*FT$20,FT26&lt;=VLOOKUP($C25,$C$3:$D$15,2,FALSE)*FT$20),IF(FT26-FS27&lt;0,0,FT26-FS27),
IF(AND(FS27&lt;VLOOKUP($C25,$C$3:$D$15,2,FALSE)*FT$20,FT26&gt;VLOOKUP($C25,$C$3:$D$15,2,FALSE)*FT$20),VLOOKUP($C25,$C$3:$D$15,2,FALSE)*FT$20-FS27)))</f>
        <v>0</v>
      </c>
      <c r="FU25" s="763">
        <f t="shared" ref="FU25" si="458" xml:space="preserve">
IF(FT27&gt;=VLOOKUP($C25,$C$3:$D$15,2,FALSE)*FU$20,0,
IF(AND(FT27&lt;VLOOKUP($C25,$C$3:$D$15,2,FALSE)*FU$20,FU26&lt;=VLOOKUP($C25,$C$3:$D$15,2,FALSE)*FU$20),IF(FU26-FT27&lt;0,0,FU26-FT27),
IF(AND(FT27&lt;VLOOKUP($C25,$C$3:$D$15,2,FALSE)*FU$20,FU26&gt;VLOOKUP($C25,$C$3:$D$15,2,FALSE)*FU$20),VLOOKUP($C25,$C$3:$D$15,2,FALSE)*FU$20-FT27)))</f>
        <v>0</v>
      </c>
      <c r="FV25" s="763">
        <f t="shared" ref="FV25" si="459" xml:space="preserve">
IF(FU27&gt;=VLOOKUP($C25,$C$3:$D$15,2,FALSE)*FV$20,0,
IF(AND(FU27&lt;VLOOKUP($C25,$C$3:$D$15,2,FALSE)*FV$20,FV26&lt;=VLOOKUP($C25,$C$3:$D$15,2,FALSE)*FV$20),IF(FV26-FU27&lt;0,0,FV26-FU27),
IF(AND(FU27&lt;VLOOKUP($C25,$C$3:$D$15,2,FALSE)*FV$20,FV26&gt;VLOOKUP($C25,$C$3:$D$15,2,FALSE)*FV$20),VLOOKUP($C25,$C$3:$D$15,2,FALSE)*FV$20-FU27)))</f>
        <v>0</v>
      </c>
      <c r="FW25" s="763">
        <f t="shared" ref="FW25" si="460" xml:space="preserve">
IF(FV27&gt;=VLOOKUP($C25,$C$3:$D$15,2,FALSE)*FW$20,0,
IF(AND(FV27&lt;VLOOKUP($C25,$C$3:$D$15,2,FALSE)*FW$20,FW26&lt;=VLOOKUP($C25,$C$3:$D$15,2,FALSE)*FW$20),IF(FW26-FV27&lt;0,0,FW26-FV27),
IF(AND(FV27&lt;VLOOKUP($C25,$C$3:$D$15,2,FALSE)*FW$20,FW26&gt;VLOOKUP($C25,$C$3:$D$15,2,FALSE)*FW$20),VLOOKUP($C25,$C$3:$D$15,2,FALSE)*FW$20-FV27)))</f>
        <v>0</v>
      </c>
      <c r="FX25" s="763">
        <f t="shared" ref="FX25" si="461" xml:space="preserve">
IF(FW27&gt;=VLOOKUP($C25,$C$3:$D$15,2,FALSE)*FX$20,0,
IF(AND(FW27&lt;VLOOKUP($C25,$C$3:$D$15,2,FALSE)*FX$20,FX26&lt;=VLOOKUP($C25,$C$3:$D$15,2,FALSE)*FX$20),IF(FX26-FW27&lt;0,0,FX26-FW27),
IF(AND(FW27&lt;VLOOKUP($C25,$C$3:$D$15,2,FALSE)*FX$20,FX26&gt;VLOOKUP($C25,$C$3:$D$15,2,FALSE)*FX$20),VLOOKUP($C25,$C$3:$D$15,2,FALSE)*FX$20-FW27)))</f>
        <v>0</v>
      </c>
      <c r="FY25" s="763">
        <f t="shared" ref="FY25" si="462" xml:space="preserve">
IF(FX27&gt;=VLOOKUP($C25,$C$3:$D$15,2,FALSE)*FY$20,0,
IF(AND(FX27&lt;VLOOKUP($C25,$C$3:$D$15,2,FALSE)*FY$20,FY26&lt;=VLOOKUP($C25,$C$3:$D$15,2,FALSE)*FY$20),IF(FY26-FX27&lt;0,0,FY26-FX27),
IF(AND(FX27&lt;VLOOKUP($C25,$C$3:$D$15,2,FALSE)*FY$20,FY26&gt;VLOOKUP($C25,$C$3:$D$15,2,FALSE)*FY$20),VLOOKUP($C25,$C$3:$D$15,2,FALSE)*FY$20-FX27)))</f>
        <v>0</v>
      </c>
      <c r="FZ25" s="763">
        <f t="shared" ref="FZ25" si="463" xml:space="preserve">
IF(FY27&gt;=VLOOKUP($C25,$C$3:$D$15,2,FALSE)*FZ$20,0,
IF(AND(FY27&lt;VLOOKUP($C25,$C$3:$D$15,2,FALSE)*FZ$20,FZ26&lt;=VLOOKUP($C25,$C$3:$D$15,2,FALSE)*FZ$20),IF(FZ26-FY27&lt;0,0,FZ26-FY27),
IF(AND(FY27&lt;VLOOKUP($C25,$C$3:$D$15,2,FALSE)*FZ$20,FZ26&gt;VLOOKUP($C25,$C$3:$D$15,2,FALSE)*FZ$20),VLOOKUP($C25,$C$3:$D$15,2,FALSE)*FZ$20-FY27)))</f>
        <v>0</v>
      </c>
      <c r="GA25" s="763">
        <f t="shared" ref="GA25" si="464" xml:space="preserve">
IF(FZ27&gt;=VLOOKUP($C25,$C$3:$D$15,2,FALSE)*GA$20,0,
IF(AND(FZ27&lt;VLOOKUP($C25,$C$3:$D$15,2,FALSE)*GA$20,GA26&lt;=VLOOKUP($C25,$C$3:$D$15,2,FALSE)*GA$20),IF(GA26-FZ27&lt;0,0,GA26-FZ27),
IF(AND(FZ27&lt;VLOOKUP($C25,$C$3:$D$15,2,FALSE)*GA$20,GA26&gt;VLOOKUP($C25,$C$3:$D$15,2,FALSE)*GA$20),VLOOKUP($C25,$C$3:$D$15,2,FALSE)*GA$20-FZ27)))</f>
        <v>0</v>
      </c>
      <c r="GB25" s="763">
        <f t="shared" ref="GB25" si="465" xml:space="preserve">
IF(GA27&gt;=VLOOKUP($C25,$C$3:$D$15,2,FALSE)*GB$20,0,
IF(AND(GA27&lt;VLOOKUP($C25,$C$3:$D$15,2,FALSE)*GB$20,GB26&lt;=VLOOKUP($C25,$C$3:$D$15,2,FALSE)*GB$20),IF(GB26-GA27&lt;0,0,GB26-GA27),
IF(AND(GA27&lt;VLOOKUP($C25,$C$3:$D$15,2,FALSE)*GB$20,GB26&gt;VLOOKUP($C25,$C$3:$D$15,2,FALSE)*GB$20),VLOOKUP($C25,$C$3:$D$15,2,FALSE)*GB$20-GA27)))</f>
        <v>0</v>
      </c>
      <c r="GC25" s="763">
        <f t="shared" ref="GC25" si="466" xml:space="preserve">
IF(GB27&gt;=VLOOKUP($C25,$C$3:$D$15,2,FALSE)*GC$20,0,
IF(AND(GB27&lt;VLOOKUP($C25,$C$3:$D$15,2,FALSE)*GC$20,GC26&lt;=VLOOKUP($C25,$C$3:$D$15,2,FALSE)*GC$20),IF(GC26-GB27&lt;0,0,GC26-GB27),
IF(AND(GB27&lt;VLOOKUP($C25,$C$3:$D$15,2,FALSE)*GC$20,GC26&gt;VLOOKUP($C25,$C$3:$D$15,2,FALSE)*GC$20),VLOOKUP($C25,$C$3:$D$15,2,FALSE)*GC$20-GB27)))</f>
        <v>0</v>
      </c>
      <c r="GD25" s="763">
        <f t="shared" ref="GD25" si="467" xml:space="preserve">
IF(GC27&gt;=VLOOKUP($C25,$C$3:$D$15,2,FALSE)*GD$20,0,
IF(AND(GC27&lt;VLOOKUP($C25,$C$3:$D$15,2,FALSE)*GD$20,GD26&lt;=VLOOKUP($C25,$C$3:$D$15,2,FALSE)*GD$20),IF(GD26-GC27&lt;0,0,GD26-GC27),
IF(AND(GC27&lt;VLOOKUP($C25,$C$3:$D$15,2,FALSE)*GD$20,GD26&gt;VLOOKUP($C25,$C$3:$D$15,2,FALSE)*GD$20),VLOOKUP($C25,$C$3:$D$15,2,FALSE)*GD$20-GC27)))</f>
        <v>0</v>
      </c>
      <c r="GE25" s="763">
        <f t="shared" ref="GE25" si="468" xml:space="preserve">
IF(GD27&gt;=VLOOKUP($C25,$C$3:$D$15,2,FALSE)*GE$20,0,
IF(AND(GD27&lt;VLOOKUP($C25,$C$3:$D$15,2,FALSE)*GE$20,GE26&lt;=VLOOKUP($C25,$C$3:$D$15,2,FALSE)*GE$20),IF(GE26-GD27&lt;0,0,GE26-GD27),
IF(AND(GD27&lt;VLOOKUP($C25,$C$3:$D$15,2,FALSE)*GE$20,GE26&gt;VLOOKUP($C25,$C$3:$D$15,2,FALSE)*GE$20),VLOOKUP($C25,$C$3:$D$15,2,FALSE)*GE$20-GD27)))</f>
        <v>0</v>
      </c>
      <c r="GF25" s="763">
        <f t="shared" ref="GF25" si="469" xml:space="preserve">
IF(GE27&gt;=VLOOKUP($C25,$C$3:$D$15,2,FALSE)*GF$20,0,
IF(AND(GE27&lt;VLOOKUP($C25,$C$3:$D$15,2,FALSE)*GF$20,GF26&lt;=VLOOKUP($C25,$C$3:$D$15,2,FALSE)*GF$20),IF(GF26-GE27&lt;0,0,GF26-GE27),
IF(AND(GE27&lt;VLOOKUP($C25,$C$3:$D$15,2,FALSE)*GF$20,GF26&gt;VLOOKUP($C25,$C$3:$D$15,2,FALSE)*GF$20),VLOOKUP($C25,$C$3:$D$15,2,FALSE)*GF$20-GE27)))</f>
        <v>0</v>
      </c>
      <c r="GG25" s="763">
        <f t="shared" ref="GG25" si="470" xml:space="preserve">
IF(GF27&gt;=VLOOKUP($C25,$C$3:$D$15,2,FALSE)*GG$20,0,
IF(AND(GF27&lt;VLOOKUP($C25,$C$3:$D$15,2,FALSE)*GG$20,GG26&lt;=VLOOKUP($C25,$C$3:$D$15,2,FALSE)*GG$20),IF(GG26-GF27&lt;0,0,GG26-GF27),
IF(AND(GF27&lt;VLOOKUP($C25,$C$3:$D$15,2,FALSE)*GG$20,GG26&gt;VLOOKUP($C25,$C$3:$D$15,2,FALSE)*GG$20),VLOOKUP($C25,$C$3:$D$15,2,FALSE)*GG$20-GF27)))</f>
        <v>0</v>
      </c>
      <c r="GH25" s="763">
        <f t="shared" ref="GH25" si="471" xml:space="preserve">
IF(GG27&gt;=VLOOKUP($C25,$C$3:$D$15,2,FALSE)*GH$20,0,
IF(AND(GG27&lt;VLOOKUP($C25,$C$3:$D$15,2,FALSE)*GH$20,GH26&lt;=VLOOKUP($C25,$C$3:$D$15,2,FALSE)*GH$20),IF(GH26-GG27&lt;0,0,GH26-GG27),
IF(AND(GG27&lt;VLOOKUP($C25,$C$3:$D$15,2,FALSE)*GH$20,GH26&gt;VLOOKUP($C25,$C$3:$D$15,2,FALSE)*GH$20),VLOOKUP($C25,$C$3:$D$15,2,FALSE)*GH$20-GG27)))</f>
        <v>0</v>
      </c>
      <c r="GI25" s="763">
        <f t="shared" ref="GI25" si="472" xml:space="preserve">
IF(GH27&gt;=VLOOKUP($C25,$C$3:$D$15,2,FALSE)*GI$20,0,
IF(AND(GH27&lt;VLOOKUP($C25,$C$3:$D$15,2,FALSE)*GI$20,GI26&lt;=VLOOKUP($C25,$C$3:$D$15,2,FALSE)*GI$20),IF(GI26-GH27&lt;0,0,GI26-GH27),
IF(AND(GH27&lt;VLOOKUP($C25,$C$3:$D$15,2,FALSE)*GI$20,GI26&gt;VLOOKUP($C25,$C$3:$D$15,2,FALSE)*GI$20),VLOOKUP($C25,$C$3:$D$15,2,FALSE)*GI$20-GH27)))</f>
        <v>0</v>
      </c>
      <c r="GJ25" s="763">
        <f t="shared" ref="GJ25" si="473" xml:space="preserve">
IF(GI27&gt;=VLOOKUP($C25,$C$3:$D$15,2,FALSE)*GJ$20,0,
IF(AND(GI27&lt;VLOOKUP($C25,$C$3:$D$15,2,FALSE)*GJ$20,GJ26&lt;=VLOOKUP($C25,$C$3:$D$15,2,FALSE)*GJ$20),IF(GJ26-GI27&lt;0,0,GJ26-GI27),
IF(AND(GI27&lt;VLOOKUP($C25,$C$3:$D$15,2,FALSE)*GJ$20,GJ26&gt;VLOOKUP($C25,$C$3:$D$15,2,FALSE)*GJ$20),VLOOKUP($C25,$C$3:$D$15,2,FALSE)*GJ$20-GI27)))</f>
        <v>0</v>
      </c>
    </row>
    <row r="26" spans="2:192" s="627" customFormat="1">
      <c r="B26" s="631"/>
      <c r="C26" s="626"/>
      <c r="D26" s="702" t="s">
        <v>1424</v>
      </c>
      <c r="E26" s="707"/>
      <c r="F26" s="654"/>
      <c r="G26" s="763">
        <f>SUMIF(防護具!$Y$30:$Y$212,G$17&amp;$C25,防護具!$Q$30:$Q$212)</f>
        <v>0</v>
      </c>
      <c r="H26" s="763">
        <f>IFERROR(
SUM(G26,SUMIF(防護具!$Y$30:$Y$212,H$17&amp;$C25,防護具!$Q$30:$Q$212))-G25,0)</f>
        <v>0</v>
      </c>
      <c r="I26" s="763">
        <f>IFERROR(
SUM(H26,SUMIF(防護具!$Y$30:$Y$212,I$17&amp;$C25,防護具!$Q$30:$Q$212))-H25,0)</f>
        <v>0</v>
      </c>
      <c r="J26" s="763">
        <f>IFERROR(
SUM(I26,SUMIF(防護具!$Y$30:$Y$212,J$17&amp;$C25,防護具!$Q$30:$Q$212))-I25,0)</f>
        <v>0</v>
      </c>
      <c r="K26" s="763">
        <f>IFERROR(
SUM(J26,SUMIF(防護具!$Y$30:$Y$212,K$17&amp;$C25,防護具!$Q$30:$Q$212))-J25,0)</f>
        <v>0</v>
      </c>
      <c r="L26" s="763">
        <f>IFERROR(
SUM(K26,SUMIF(防護具!$Y$30:$Y$212,L$17&amp;$C25,防護具!$Q$30:$Q$212))-K25,0)</f>
        <v>0</v>
      </c>
      <c r="M26" s="763">
        <f>IFERROR(
SUM(L26,SUMIF(防護具!$Y$30:$Y$212,M$17&amp;$C25,防護具!$Q$30:$Q$212))-L25,0)</f>
        <v>0</v>
      </c>
      <c r="N26" s="763">
        <f>IFERROR(
SUM(M26,SUMIF(防護具!$Y$30:$Y$212,N$17&amp;$C25,防護具!$Q$30:$Q$212))-M25,0)</f>
        <v>0</v>
      </c>
      <c r="O26" s="763">
        <f>IFERROR(
SUM(N26,SUMIF(防護具!$Y$30:$Y$212,O$17&amp;$C25,防護具!$Q$30:$Q$212))-N25,0)</f>
        <v>0</v>
      </c>
      <c r="P26" s="763">
        <f>IFERROR(
SUM(O26,SUMIF(防護具!$Y$30:$Y$212,P$17&amp;$C25,防護具!$Q$30:$Q$212))-O25,0)</f>
        <v>0</v>
      </c>
      <c r="Q26" s="763">
        <f>IFERROR(
SUM(P26,SUMIF(防護具!$Y$30:$Y$212,Q$17&amp;$C25,防護具!$Q$30:$Q$212))-P25,0)</f>
        <v>0</v>
      </c>
      <c r="R26" s="763">
        <f>IFERROR(
SUM(Q26,SUMIF(防護具!$Y$30:$Y$212,R$17&amp;$C25,防護具!$Q$30:$Q$212))-Q25,0)</f>
        <v>0</v>
      </c>
      <c r="S26" s="763">
        <f>IFERROR(
SUM(R26,SUMIF(防護具!$Y$30:$Y$212,S$17&amp;$C25,防護具!$Q$30:$Q$212))-R25,0)</f>
        <v>0</v>
      </c>
      <c r="T26" s="763">
        <f>IFERROR(
SUM(S26,SUMIF(防護具!$Y$30:$Y$212,T$17&amp;$C25,防護具!$Q$30:$Q$212))-S25,0)</f>
        <v>0</v>
      </c>
      <c r="U26" s="763">
        <f>IFERROR(
SUM(T26,SUMIF(防護具!$Y$30:$Y$212,U$17&amp;$C25,防護具!$Q$30:$Q$212))-T25,0)</f>
        <v>0</v>
      </c>
      <c r="V26" s="763">
        <f>IFERROR(
SUM(U26,SUMIF(防護具!$Y$30:$Y$212,V$17&amp;$C25,防護具!$Q$30:$Q$212))-U25,0)</f>
        <v>0</v>
      </c>
      <c r="W26" s="763">
        <f>IFERROR(
SUM(V26,SUMIF(防護具!$Y$30:$Y$212,W$17&amp;$C25,防護具!$Q$30:$Q$212))-V25,0)</f>
        <v>0</v>
      </c>
      <c r="X26" s="763">
        <f>IFERROR(
SUM(W26,SUMIF(防護具!$Y$30:$Y$212,X$17&amp;$C25,防護具!$Q$30:$Q$212))-W25,0)</f>
        <v>0</v>
      </c>
      <c r="Y26" s="763">
        <f>IFERROR(
SUM(X26,SUMIF(防護具!$Y$30:$Y$212,Y$17&amp;$C25,防護具!$Q$30:$Q$212))-X25,0)</f>
        <v>0</v>
      </c>
      <c r="Z26" s="763">
        <f>IFERROR(
SUM(Y26,SUMIF(防護具!$Y$30:$Y$212,Z$17&amp;$C25,防護具!$Q$30:$Q$212))-Y25,0)</f>
        <v>0</v>
      </c>
      <c r="AA26" s="763">
        <f>IFERROR(
SUM(Z26,SUMIF(防護具!$Y$30:$Y$212,AA$17&amp;$C25,防護具!$Q$30:$Q$212))-Z25,0)</f>
        <v>0</v>
      </c>
      <c r="AB26" s="763">
        <f>IFERROR(
SUM(AA26,SUMIF(防護具!$Y$30:$Y$212,AB$17&amp;$C25,防護具!$Q$30:$Q$212))-AA25,0)</f>
        <v>0</v>
      </c>
      <c r="AC26" s="763">
        <f>IFERROR(
SUM(AB26,SUMIF(防護具!$Y$30:$Y$212,AC$17&amp;$C25,防護具!$Q$30:$Q$212))-AB25,0)</f>
        <v>0</v>
      </c>
      <c r="AD26" s="763">
        <f>IFERROR(
SUM(AC26,SUMIF(防護具!$Y$30:$Y$212,AD$17&amp;$C25,防護具!$Q$30:$Q$212))-AC25,0)</f>
        <v>0</v>
      </c>
      <c r="AE26" s="763">
        <f>IFERROR(
SUM(AD26,SUMIF(防護具!$Y$30:$Y$212,AE$17&amp;$C25,防護具!$Q$30:$Q$212))-AD25,0)</f>
        <v>0</v>
      </c>
      <c r="AF26" s="763">
        <f>IFERROR(
SUM(AE26,SUMIF(防護具!$Y$30:$Y$212,AF$17&amp;$C25,防護具!$Q$30:$Q$212))-AE25,0)</f>
        <v>0</v>
      </c>
      <c r="AG26" s="763">
        <f>IFERROR(
SUM(AF26,SUMIF(防護具!$Y$30:$Y$212,AG$17&amp;$C25,防護具!$Q$30:$Q$212))-AF25,0)</f>
        <v>0</v>
      </c>
      <c r="AH26" s="763">
        <f>IFERROR(
SUM(AG26,SUMIF(防護具!$Y$30:$Y$212,AH$17&amp;$C25,防護具!$Q$30:$Q$212))-AG25,0)</f>
        <v>0</v>
      </c>
      <c r="AI26" s="763">
        <f>IFERROR(
SUM(AH26,SUMIF(防護具!$Y$30:$Y$212,AI$17&amp;$C25,防護具!$Q$30:$Q$212))-AH25,0)</f>
        <v>0</v>
      </c>
      <c r="AJ26" s="763">
        <f>IFERROR(
SUM(AI26,SUMIF(防護具!$Y$30:$Y$212,AJ$17&amp;$C25,防護具!$Q$30:$Q$212))-AI25,0)</f>
        <v>0</v>
      </c>
      <c r="AK26" s="763">
        <f>IFERROR(
SUM(AJ26,SUMIF(防護具!$Y$30:$Y$212,AK$17&amp;$C25,防護具!$Q$30:$Q$212))-AJ25,0)</f>
        <v>0</v>
      </c>
      <c r="AL26" s="763">
        <f>IFERROR(
SUM(AK26,SUMIF(防護具!$Y$30:$Y$212,AL$17&amp;$C25,防護具!$Q$30:$Q$212))-AK25,0)</f>
        <v>0</v>
      </c>
      <c r="AM26" s="763">
        <f>IFERROR(
SUM(AL26,SUMIF(防護具!$Y$30:$Y$212,AM$17&amp;$C25,防護具!$Q$30:$Q$212))-AL25,0)</f>
        <v>0</v>
      </c>
      <c r="AN26" s="763">
        <f>IFERROR(
SUM(AM26,SUMIF(防護具!$Y$30:$Y$212,AN$17&amp;$C25,防護具!$Q$30:$Q$212))-AM25,0)</f>
        <v>0</v>
      </c>
      <c r="AO26" s="763">
        <f>IFERROR(
SUM(AN26,SUMIF(防護具!$Y$30:$Y$212,AO$17&amp;$C25,防護具!$Q$30:$Q$212))-AN25,0)</f>
        <v>0</v>
      </c>
      <c r="AP26" s="763">
        <f>IFERROR(
SUM(AO26,SUMIF(防護具!$Y$30:$Y$212,AP$17&amp;$C25,防護具!$Q$30:$Q$212))-AO25,0)</f>
        <v>0</v>
      </c>
      <c r="AQ26" s="763">
        <f>IFERROR(
SUM(AP26,SUMIF(防護具!$Y$30:$Y$212,AQ$17&amp;$C25,防護具!$Q$30:$Q$212))-AP25,0)</f>
        <v>0</v>
      </c>
      <c r="AR26" s="763">
        <f>IFERROR(
SUM(AQ26,SUMIF(防護具!$Y$30:$Y$212,AR$17&amp;$C25,防護具!$Q$30:$Q$212))-AQ25,0)</f>
        <v>0</v>
      </c>
      <c r="AS26" s="763">
        <f>IFERROR(
SUM(AR26,SUMIF(防護具!$Y$30:$Y$212,AS$17&amp;$C25,防護具!$Q$30:$Q$212))-AR25,0)</f>
        <v>0</v>
      </c>
      <c r="AT26" s="763">
        <f>IFERROR(
SUM(AS26,SUMIF(防護具!$Y$30:$Y$212,AT$17&amp;$C25,防護具!$Q$30:$Q$212))-AS25,0)</f>
        <v>0</v>
      </c>
      <c r="AU26" s="763">
        <f>IFERROR(
SUM(AT26,SUMIF(防護具!$Y$30:$Y$212,AU$17&amp;$C25,防護具!$Q$30:$Q$212))-AT25,0)</f>
        <v>0</v>
      </c>
      <c r="AV26" s="763">
        <f>IFERROR(
SUM(AU26,SUMIF(防護具!$Y$30:$Y$212,AV$17&amp;$C25,防護具!$Q$30:$Q$212))-AU25,0)</f>
        <v>0</v>
      </c>
      <c r="AW26" s="763">
        <f>IFERROR(
SUM(AV26,SUMIF(防護具!$Y$30:$Y$212,AW$17&amp;$C25,防護具!$Q$30:$Q$212))-AV25,0)</f>
        <v>0</v>
      </c>
      <c r="AX26" s="763">
        <f>IFERROR(
SUM(AW26,SUMIF(防護具!$Y$30:$Y$212,AX$17&amp;$C25,防護具!$Q$30:$Q$212))-AW25,0)</f>
        <v>0</v>
      </c>
      <c r="AY26" s="763">
        <f>IFERROR(
SUM(AX26,SUMIF(防護具!$Y$30:$Y$212,AY$17&amp;$C25,防護具!$Q$30:$Q$212))-AX25,0)</f>
        <v>0</v>
      </c>
      <c r="AZ26" s="763">
        <f>IFERROR(
SUM(AY26,SUMIF(防護具!$Y$30:$Y$212,AZ$17&amp;$C25,防護具!$Q$30:$Q$212))-AY25,0)</f>
        <v>0</v>
      </c>
      <c r="BA26" s="763">
        <f>IFERROR(
SUM(AZ26,SUMIF(防護具!$Y$30:$Y$212,BA$17&amp;$C25,防護具!$Q$30:$Q$212))-AZ25,0)</f>
        <v>0</v>
      </c>
      <c r="BB26" s="763">
        <f>IFERROR(
SUM(BA26,SUMIF(防護具!$Y$30:$Y$212,BB$17&amp;$C25,防護具!$Q$30:$Q$212))-BA25,0)</f>
        <v>0</v>
      </c>
      <c r="BC26" s="763">
        <f>IFERROR(
SUM(BB26,SUMIF(防護具!$Y$30:$Y$212,BC$17&amp;$C25,防護具!$Q$30:$Q$212))-BB25,0)</f>
        <v>0</v>
      </c>
      <c r="BD26" s="763">
        <f>IFERROR(
SUM(BC26,SUMIF(防護具!$Y$30:$Y$212,BD$17&amp;$C25,防護具!$Q$30:$Q$212))-BC25,0)</f>
        <v>0</v>
      </c>
      <c r="BE26" s="763">
        <f>IFERROR(
SUM(BD26,SUMIF(防護具!$Y$30:$Y$212,BE$17&amp;$C25,防護具!$Q$30:$Q$212))-BD25,0)</f>
        <v>0</v>
      </c>
      <c r="BF26" s="763">
        <f>IFERROR(
SUM(BE26,SUMIF(防護具!$Y$30:$Y$212,BF$17&amp;$C25,防護具!$Q$30:$Q$212))-BE25,0)</f>
        <v>0</v>
      </c>
      <c r="BG26" s="763">
        <f>IFERROR(
SUM(BF26,SUMIF(防護具!$Y$30:$Y$212,BG$17&amp;$C25,防護具!$Q$30:$Q$212))-BF25,0)</f>
        <v>0</v>
      </c>
      <c r="BH26" s="763">
        <f>IFERROR(
SUM(BG26,SUMIF(防護具!$Y$30:$Y$212,BH$17&amp;$C25,防護具!$Q$30:$Q$212))-BG25,0)</f>
        <v>0</v>
      </c>
      <c r="BI26" s="763">
        <f>IFERROR(
SUM(BH26,SUMIF(防護具!$Y$30:$Y$212,BI$17&amp;$C25,防護具!$Q$30:$Q$212))-BH25,0)</f>
        <v>0</v>
      </c>
      <c r="BJ26" s="763">
        <f>IFERROR(
SUM(BI26,SUMIF(防護具!$Y$30:$Y$212,BJ$17&amp;$C25,防護具!$Q$30:$Q$212))-BI25,0)</f>
        <v>0</v>
      </c>
      <c r="BK26" s="763">
        <f>IFERROR(
SUM(BJ26,SUMIF(防護具!$Y$30:$Y$212,BK$17&amp;$C25,防護具!$Q$30:$Q$212))-BJ25,0)</f>
        <v>0</v>
      </c>
      <c r="BL26" s="763">
        <f>IFERROR(
SUM(BK26,SUMIF(防護具!$Y$30:$Y$212,BL$17&amp;$C25,防護具!$Q$30:$Q$212))-BK25,0)</f>
        <v>0</v>
      </c>
      <c r="BM26" s="763">
        <f>IFERROR(
SUM(BL26,SUMIF(防護具!$Y$30:$Y$212,BM$17&amp;$C25,防護具!$Q$30:$Q$212))-BL25,0)</f>
        <v>0</v>
      </c>
      <c r="BN26" s="763">
        <f>IFERROR(
SUM(BM26,SUMIF(防護具!$Y$30:$Y$212,BN$17&amp;$C25,防護具!$Q$30:$Q$212))-BM25,0)</f>
        <v>0</v>
      </c>
      <c r="BO26" s="763">
        <f>IFERROR(
SUM(BN26,SUMIF(防護具!$Y$30:$Y$212,BO$17&amp;$C25,防護具!$Q$30:$Q$212))-BN25,0)</f>
        <v>0</v>
      </c>
      <c r="BP26" s="763">
        <f>IFERROR(
SUM(BO26,SUMIF(防護具!$Y$30:$Y$212,BP$17&amp;$C25,防護具!$Q$30:$Q$212))-BO25,0)</f>
        <v>0</v>
      </c>
      <c r="BQ26" s="763">
        <f>IFERROR(
SUM(BP26,SUMIF(防護具!$Y$30:$Y$212,BQ$17&amp;$C25,防護具!$Q$30:$Q$212))-BP25,0)</f>
        <v>0</v>
      </c>
      <c r="BR26" s="763">
        <f>IFERROR(
SUM(BQ26,SUMIF(防護具!$Y$30:$Y$212,BR$17&amp;$C25,防護具!$Q$30:$Q$212))-BQ25,0)</f>
        <v>0</v>
      </c>
      <c r="BS26" s="763">
        <f>IFERROR(
SUM(BR26,SUMIF(防護具!$Y$30:$Y$212,BS$17&amp;$C25,防護具!$Q$30:$Q$212))-BR25,0)</f>
        <v>0</v>
      </c>
      <c r="BT26" s="763">
        <f>IFERROR(
SUM(BS26,SUMIF(防護具!$Y$30:$Y$212,BT$17&amp;$C25,防護具!$Q$30:$Q$212))-BS25,0)</f>
        <v>0</v>
      </c>
      <c r="BU26" s="763">
        <f>IFERROR(
SUM(BT26,SUMIF(防護具!$Y$30:$Y$212,BU$17&amp;$C25,防護具!$Q$30:$Q$212))-BT25,0)</f>
        <v>0</v>
      </c>
      <c r="BV26" s="763">
        <f>IFERROR(
SUM(BU26,SUMIF(防護具!$Y$30:$Y$212,BV$17&amp;$C25,防護具!$Q$30:$Q$212))-BU25,0)</f>
        <v>0</v>
      </c>
      <c r="BW26" s="763">
        <f>IFERROR(
SUM(BV26,SUMIF(防護具!$Y$30:$Y$212,BW$17&amp;$C25,防護具!$Q$30:$Q$212))-BV25,0)</f>
        <v>0</v>
      </c>
      <c r="BX26" s="763">
        <f>IFERROR(
SUM(BW26,SUMIF(防護具!$Y$30:$Y$212,BX$17&amp;$C25,防護具!$Q$30:$Q$212))-BW25,0)</f>
        <v>0</v>
      </c>
      <c r="BY26" s="763">
        <f>IFERROR(
SUM(BX26,SUMIF(防護具!$Y$30:$Y$212,BY$17&amp;$C25,防護具!$Q$30:$Q$212))-BX25,0)</f>
        <v>0</v>
      </c>
      <c r="BZ26" s="763">
        <f>IFERROR(
SUM(BY26,SUMIF(防護具!$Y$30:$Y$212,BZ$17&amp;$C25,防護具!$Q$30:$Q$212))-BY25,0)</f>
        <v>0</v>
      </c>
      <c r="CA26" s="763">
        <f>IFERROR(
SUM(BZ26,SUMIF(防護具!$Y$30:$Y$212,CA$17&amp;$C25,防護具!$Q$30:$Q$212))-BZ25,0)</f>
        <v>0</v>
      </c>
      <c r="CB26" s="763">
        <f>IFERROR(
SUM(CA26,SUMIF(防護具!$Y$30:$Y$212,CB$17&amp;$C25,防護具!$Q$30:$Q$212))-CA25,0)</f>
        <v>0</v>
      </c>
      <c r="CC26" s="763">
        <f>IFERROR(
SUM(CB26,SUMIF(防護具!$Y$30:$Y$212,CC$17&amp;$C25,防護具!$Q$30:$Q$212))-CB25,0)</f>
        <v>0</v>
      </c>
      <c r="CD26" s="763">
        <f>IFERROR(
SUM(CC26,SUMIF(防護具!$Y$30:$Y$212,CD$17&amp;$C25,防護具!$Q$30:$Q$212))-CC25,0)</f>
        <v>0</v>
      </c>
      <c r="CE26" s="763">
        <f>IFERROR(
SUM(CD26,SUMIF(防護具!$Y$30:$Y$212,CE$17&amp;$C25,防護具!$Q$30:$Q$212))-CD25,0)</f>
        <v>0</v>
      </c>
      <c r="CF26" s="763">
        <f>IFERROR(
SUM(CE26,SUMIF(防護具!$Y$30:$Y$212,CF$17&amp;$C25,防護具!$Q$30:$Q$212))-CE25,0)</f>
        <v>0</v>
      </c>
      <c r="CG26" s="763">
        <f>IFERROR(
SUM(CF26,SUMIF(防護具!$Y$30:$Y$212,CG$17&amp;$C25,防護具!$Q$30:$Q$212))-CF25,0)</f>
        <v>0</v>
      </c>
      <c r="CH26" s="763">
        <f>IFERROR(
SUM(CG26,SUMIF(防護具!$Y$30:$Y$212,CH$17&amp;$C25,防護具!$Q$30:$Q$212))-CG25,0)</f>
        <v>0</v>
      </c>
      <c r="CI26" s="763">
        <f>IFERROR(
SUM(CH26,SUMIF(防護具!$Y$30:$Y$212,CI$17&amp;$C25,防護具!$Q$30:$Q$212))-CH25,0)</f>
        <v>0</v>
      </c>
      <c r="CJ26" s="763">
        <f>IFERROR(
SUM(CI26,SUMIF(防護具!$Y$30:$Y$212,CJ$17&amp;$C25,防護具!$Q$30:$Q$212))-CI25,0)</f>
        <v>0</v>
      </c>
      <c r="CK26" s="763">
        <f>IFERROR(
SUM(CJ26,SUMIF(防護具!$Y$30:$Y$212,CK$17&amp;$C25,防護具!$Q$30:$Q$212))-CJ25,0)</f>
        <v>0</v>
      </c>
      <c r="CL26" s="763">
        <f>IFERROR(
SUM(CK26,SUMIF(防護具!$Y$30:$Y$212,CL$17&amp;$C25,防護具!$Q$30:$Q$212))-CK25,0)</f>
        <v>0</v>
      </c>
      <c r="CM26" s="763">
        <f>IFERROR(
SUM(CL26,SUMIF(防護具!$Y$30:$Y$212,CM$17&amp;$C25,防護具!$Q$30:$Q$212))-CL25,0)</f>
        <v>0</v>
      </c>
      <c r="CN26" s="763">
        <f>IFERROR(
SUM(CM26,SUMIF(防護具!$Y$30:$Y$212,CN$17&amp;$C25,防護具!$Q$30:$Q$212))-CM25,0)</f>
        <v>0</v>
      </c>
      <c r="CO26" s="763">
        <f>IFERROR(
SUM(CN26,SUMIF(防護具!$Y$30:$Y$212,CO$17&amp;$C25,防護具!$Q$30:$Q$212))-CN25,0)</f>
        <v>0</v>
      </c>
      <c r="CP26" s="763">
        <f>IFERROR(
SUM(CO26,SUMIF(防護具!$Y$30:$Y$212,CP$17&amp;$C25,防護具!$Q$30:$Q$212))-CO25,0)</f>
        <v>0</v>
      </c>
      <c r="CQ26" s="763">
        <f>IFERROR(
SUM(CP26,SUMIF(防護具!$Y$30:$Y$212,CQ$17&amp;$C25,防護具!$Q$30:$Q$212))-CP25,0)</f>
        <v>0</v>
      </c>
      <c r="CR26" s="763">
        <f>IFERROR(
SUM(CQ26,SUMIF(防護具!$Y$30:$Y$212,CR$17&amp;$C25,防護具!$Q$30:$Q$212))-CQ25,0)</f>
        <v>0</v>
      </c>
      <c r="CS26" s="763">
        <f>IFERROR(
SUM(CR26,SUMIF(防護具!$Y$30:$Y$212,CS$17&amp;$C25,防護具!$Q$30:$Q$212))-CR25,0)</f>
        <v>0</v>
      </c>
      <c r="CT26" s="763">
        <f>IFERROR(
SUM(CS26,SUMIF(防護具!$Y$30:$Y$212,CT$17&amp;$C25,防護具!$Q$30:$Q$212))-CS25,0)</f>
        <v>0</v>
      </c>
      <c r="CU26" s="763">
        <f>IFERROR(
SUM(CT26,SUMIF(防護具!$Y$30:$Y$212,CU$17&amp;$C25,防護具!$Q$30:$Q$212))-CT25,0)</f>
        <v>0</v>
      </c>
      <c r="CV26" s="763">
        <f>IFERROR(
SUM(CU26,SUMIF(防護具!$Y$30:$Y$212,CV$17&amp;$C25,防護具!$Q$30:$Q$212))-CU25,0)</f>
        <v>0</v>
      </c>
      <c r="CW26" s="763">
        <f>IFERROR(
SUM(CV26,SUMIF(防護具!$Y$30:$Y$212,CW$17&amp;$C25,防護具!$Q$30:$Q$212))-CV25,0)</f>
        <v>0</v>
      </c>
      <c r="CX26" s="763">
        <f>IFERROR(
SUM(CW26,SUMIF(防護具!$Y$30:$Y$212,CX$17&amp;$C25,防護具!$Q$30:$Q$212))-CW25,0)</f>
        <v>0</v>
      </c>
      <c r="CY26" s="763">
        <f>IFERROR(
SUM(CX26,SUMIF(防護具!$Y$30:$Y$212,CY$17&amp;$C25,防護具!$Q$30:$Q$212))-CX25,0)</f>
        <v>0</v>
      </c>
      <c r="CZ26" s="763">
        <f>IFERROR(
SUM(CY26,SUMIF(防護具!$Y$30:$Y$212,CZ$17&amp;$C25,防護具!$Q$30:$Q$212))-CY25,0)</f>
        <v>0</v>
      </c>
      <c r="DA26" s="763">
        <f>IFERROR(
SUM(CZ26,SUMIF(防護具!$Y$30:$Y$212,DA$17&amp;$C25,防護具!$Q$30:$Q$212))-CZ25,0)</f>
        <v>0</v>
      </c>
      <c r="DB26" s="763">
        <f>IFERROR(
SUM(DA26,SUMIF(防護具!$Y$30:$Y$212,DB$17&amp;$C25,防護具!$Q$30:$Q$212))-DA25,0)</f>
        <v>0</v>
      </c>
      <c r="DC26" s="763">
        <f>IFERROR(
SUM(DB26,SUMIF(防護具!$Y$30:$Y$212,DC$17&amp;$C25,防護具!$Q$30:$Q$212))-DB25,0)</f>
        <v>0</v>
      </c>
      <c r="DD26" s="763">
        <f>IFERROR(
SUM(DC26,SUMIF(防護具!$Y$30:$Y$212,DD$17&amp;$C25,防護具!$Q$30:$Q$212))-DC25,0)</f>
        <v>0</v>
      </c>
      <c r="DE26" s="763">
        <f>IFERROR(
SUM(DD26,SUMIF(防護具!$Y$30:$Y$212,DE$17&amp;$C25,防護具!$Q$30:$Q$212))-DD25,0)</f>
        <v>0</v>
      </c>
      <c r="DF26" s="763">
        <f>IFERROR(
SUM(DE26,SUMIF(防護具!$Y$30:$Y$212,DF$17&amp;$C25,防護具!$Q$30:$Q$212))-DE25,0)</f>
        <v>0</v>
      </c>
      <c r="DG26" s="763">
        <f>IFERROR(
SUM(DF26,SUMIF(防護具!$Y$30:$Y$212,DG$17&amp;$C25,防護具!$Q$30:$Q$212))-DF25,0)</f>
        <v>0</v>
      </c>
      <c r="DH26" s="763">
        <f>IFERROR(
SUM(DG26,SUMIF(防護具!$Y$30:$Y$212,DH$17&amp;$C25,防護具!$Q$30:$Q$212))-DG25,0)</f>
        <v>0</v>
      </c>
      <c r="DI26" s="763">
        <f>IFERROR(
SUM(DH26,SUMIF(防護具!$Y$30:$Y$212,DI$17&amp;$C25,防護具!$Q$30:$Q$212))-DH25,0)</f>
        <v>0</v>
      </c>
      <c r="DJ26" s="763">
        <f>IFERROR(
SUM(DI26,SUMIF(防護具!$Y$30:$Y$212,DJ$17&amp;$C25,防護具!$Q$30:$Q$212))-DI25,0)</f>
        <v>0</v>
      </c>
      <c r="DK26" s="763">
        <f>IFERROR(
SUM(DJ26,SUMIF(防護具!$Y$30:$Y$212,DK$17&amp;$C25,防護具!$Q$30:$Q$212))-DJ25,0)</f>
        <v>0</v>
      </c>
      <c r="DL26" s="763">
        <f>IFERROR(
SUM(DK26,SUMIF(防護具!$Y$30:$Y$212,DL$17&amp;$C25,防護具!$Q$30:$Q$212))-DK25,0)</f>
        <v>0</v>
      </c>
      <c r="DM26" s="763">
        <f>IFERROR(
SUM(DL26,SUMIF(防護具!$Y$30:$Y$212,DM$17&amp;$C25,防護具!$Q$30:$Q$212))-DL25,0)</f>
        <v>0</v>
      </c>
      <c r="DN26" s="763">
        <f>IFERROR(
SUM(DM26,SUMIF(防護具!$Y$30:$Y$212,DN$17&amp;$C25,防護具!$Q$30:$Q$212))-DM25,0)</f>
        <v>0</v>
      </c>
      <c r="DO26" s="763">
        <f>IFERROR(
SUM(DN26,SUMIF(防護具!$Y$30:$Y$212,DO$17&amp;$C25,防護具!$Q$30:$Q$212))-DN25,0)</f>
        <v>0</v>
      </c>
      <c r="DP26" s="763">
        <f>IFERROR(
SUM(DO26,SUMIF(防護具!$Y$30:$Y$212,DP$17&amp;$C25,防護具!$Q$30:$Q$212))-DO25,0)</f>
        <v>0</v>
      </c>
      <c r="DQ26" s="763">
        <f>IFERROR(
SUM(DP26,SUMIF(防護具!$Y$30:$Y$212,DQ$17&amp;$C25,防護具!$Q$30:$Q$212))-DP25,0)</f>
        <v>0</v>
      </c>
      <c r="DR26" s="763">
        <f>IFERROR(
SUM(DQ26,SUMIF(防護具!$Y$30:$Y$212,DR$17&amp;$C25,防護具!$Q$30:$Q$212))-DQ25,0)</f>
        <v>0</v>
      </c>
      <c r="DS26" s="763">
        <f>IFERROR(
SUM(DR26,SUMIF(防護具!$Y$30:$Y$212,DS$17&amp;$C25,防護具!$Q$30:$Q$212))-DR25,0)</f>
        <v>0</v>
      </c>
      <c r="DT26" s="763">
        <f>IFERROR(
SUM(DS26,SUMIF(防護具!$Y$30:$Y$212,DT$17&amp;$C25,防護具!$Q$30:$Q$212))-DS25,0)</f>
        <v>0</v>
      </c>
      <c r="DU26" s="763">
        <f>IFERROR(
SUM(DT26,SUMIF(防護具!$Y$30:$Y$212,DU$17&amp;$C25,防護具!$Q$30:$Q$212))-DT25,0)</f>
        <v>0</v>
      </c>
      <c r="DV26" s="763">
        <f>IFERROR(
SUM(DU26,SUMIF(防護具!$Y$30:$Y$212,DV$17&amp;$C25,防護具!$Q$30:$Q$212))-DU25,0)</f>
        <v>0</v>
      </c>
      <c r="DW26" s="763">
        <f>IFERROR(
SUM(DV26,SUMIF(防護具!$Y$30:$Y$212,DW$17&amp;$C25,防護具!$Q$30:$Q$212))-DV25,0)</f>
        <v>0</v>
      </c>
      <c r="DX26" s="763">
        <f>IFERROR(
SUM(DW26,SUMIF(防護具!$Y$30:$Y$212,DX$17&amp;$C25,防護具!$Q$30:$Q$212))-DW25,0)</f>
        <v>0</v>
      </c>
      <c r="DY26" s="763">
        <f>IFERROR(
SUM(DX26,SUMIF(防護具!$Y$30:$Y$212,DY$17&amp;$C25,防護具!$Q$30:$Q$212))-DX25,0)</f>
        <v>0</v>
      </c>
      <c r="DZ26" s="763">
        <f>IFERROR(
SUM(DY26,SUMIF(防護具!$Y$30:$Y$212,DZ$17&amp;$C25,防護具!$Q$30:$Q$212))-DY25,0)</f>
        <v>0</v>
      </c>
      <c r="EA26" s="763">
        <f>IFERROR(
SUM(DZ26,SUMIF(防護具!$Y$30:$Y$212,EA$17&amp;$C25,防護具!$Q$30:$Q$212))-DZ25,0)</f>
        <v>0</v>
      </c>
      <c r="EB26" s="763">
        <f>IFERROR(
SUM(EA26,SUMIF(防護具!$Y$30:$Y$212,EB$17&amp;$C25,防護具!$Q$30:$Q$212))-EA25,0)</f>
        <v>0</v>
      </c>
      <c r="EC26" s="763">
        <f>IFERROR(
SUM(EB26,SUMIF(防護具!$Y$30:$Y$212,EC$17&amp;$C25,防護具!$Q$30:$Q$212))-EB25,0)</f>
        <v>0</v>
      </c>
      <c r="ED26" s="763">
        <f>IFERROR(
SUM(EC26,SUMIF(防護具!$Y$30:$Y$212,ED$17&amp;$C25,防護具!$Q$30:$Q$212))-EC25,0)</f>
        <v>0</v>
      </c>
      <c r="EE26" s="763">
        <f>IFERROR(
SUM(ED26,SUMIF(防護具!$Y$30:$Y$212,EE$17&amp;$C25,防護具!$Q$30:$Q$212))-ED25,0)</f>
        <v>0</v>
      </c>
      <c r="EF26" s="763">
        <f>IFERROR(
SUM(EE26,SUMIF(防護具!$Y$30:$Y$212,EF$17&amp;$C25,防護具!$Q$30:$Q$212))-EE25,0)</f>
        <v>0</v>
      </c>
      <c r="EG26" s="763">
        <f>IFERROR(
SUM(EF26,SUMIF(防護具!$Y$30:$Y$212,EG$17&amp;$C25,防護具!$Q$30:$Q$212))-EF25,0)</f>
        <v>0</v>
      </c>
      <c r="EH26" s="763">
        <f>IFERROR(
SUM(EG26,SUMIF(防護具!$Y$30:$Y$212,EH$17&amp;$C25,防護具!$Q$30:$Q$212))-EG25,0)</f>
        <v>0</v>
      </c>
      <c r="EI26" s="763">
        <f>IFERROR(
SUM(EH26,SUMIF(防護具!$Y$30:$Y$212,EI$17&amp;$C25,防護具!$Q$30:$Q$212))-EH25,0)</f>
        <v>0</v>
      </c>
      <c r="EJ26" s="763">
        <f>IFERROR(
SUM(EI26,SUMIF(防護具!$Y$30:$Y$212,EJ$17&amp;$C25,防護具!$Q$30:$Q$212))-EI25,0)</f>
        <v>0</v>
      </c>
      <c r="EK26" s="763">
        <f>IFERROR(
SUM(EJ26,SUMIF(防護具!$Y$30:$Y$212,EK$17&amp;$C25,防護具!$Q$30:$Q$212))-EJ25,0)</f>
        <v>0</v>
      </c>
      <c r="EL26" s="763">
        <f>IFERROR(
SUM(EK26,SUMIF(防護具!$Y$30:$Y$212,EL$17&amp;$C25,防護具!$Q$30:$Q$212))-EK25,0)</f>
        <v>0</v>
      </c>
      <c r="EM26" s="763">
        <f>IFERROR(
SUM(EL26,SUMIF(防護具!$Y$30:$Y$212,EM$17&amp;$C25,防護具!$Q$30:$Q$212))-EL25,0)</f>
        <v>0</v>
      </c>
      <c r="EN26" s="763">
        <f>IFERROR(
SUM(EM26,SUMIF(防護具!$Y$30:$Y$212,EN$17&amp;$C25,防護具!$Q$30:$Q$212))-EM25,0)</f>
        <v>0</v>
      </c>
      <c r="EO26" s="763">
        <f>IFERROR(
SUM(EN26,SUMIF(防護具!$Y$30:$Y$212,EO$17&amp;$C25,防護具!$Q$30:$Q$212))-EN25,0)</f>
        <v>0</v>
      </c>
      <c r="EP26" s="763">
        <f>IFERROR(
SUM(EO26,SUMIF(防護具!$Y$30:$Y$212,EP$17&amp;$C25,防護具!$Q$30:$Q$212))-EO25,0)</f>
        <v>0</v>
      </c>
      <c r="EQ26" s="763">
        <f>IFERROR(
SUM(EP26,SUMIF(防護具!$Y$30:$Y$212,EQ$17&amp;$C25,防護具!$Q$30:$Q$212))-EP25,0)</f>
        <v>0</v>
      </c>
      <c r="ER26" s="763">
        <f>IFERROR(
SUM(EQ26,SUMIF(防護具!$Y$30:$Y$212,ER$17&amp;$C25,防護具!$Q$30:$Q$212))-EQ25,0)</f>
        <v>0</v>
      </c>
      <c r="ES26" s="763">
        <f>IFERROR(
SUM(ER26,SUMIF(防護具!$Y$30:$Y$212,ES$17&amp;$C25,防護具!$Q$30:$Q$212))-ER25,0)</f>
        <v>0</v>
      </c>
      <c r="ET26" s="763">
        <f>IFERROR(
SUM(ES26,SUMIF(防護具!$Y$30:$Y$212,ET$17&amp;$C25,防護具!$Q$30:$Q$212))-ES25,0)</f>
        <v>0</v>
      </c>
      <c r="EU26" s="763">
        <f>IFERROR(
SUM(ET26,SUMIF(防護具!$Y$30:$Y$212,EU$17&amp;$C25,防護具!$Q$30:$Q$212))-ET25,0)</f>
        <v>0</v>
      </c>
      <c r="EV26" s="763">
        <f>IFERROR(
SUM(EU26,SUMIF(防護具!$Y$30:$Y$212,EV$17&amp;$C25,防護具!$Q$30:$Q$212))-EU25,0)</f>
        <v>0</v>
      </c>
      <c r="EW26" s="763">
        <f>IFERROR(
SUM(EV26,SUMIF(防護具!$Y$30:$Y$212,EW$17&amp;$C25,防護具!$Q$30:$Q$212))-EV25,0)</f>
        <v>0</v>
      </c>
      <c r="EX26" s="763">
        <f>IFERROR(
SUM(EW26,SUMIF(防護具!$Y$30:$Y$212,EX$17&amp;$C25,防護具!$Q$30:$Q$212))-EW25,0)</f>
        <v>0</v>
      </c>
      <c r="EY26" s="763">
        <f>IFERROR(
SUM(EX26,SUMIF(防護具!$Y$30:$Y$212,EY$17&amp;$C25,防護具!$Q$30:$Q$212))-EX25,0)</f>
        <v>0</v>
      </c>
      <c r="EZ26" s="763">
        <f>IFERROR(
SUM(EY26,SUMIF(防護具!$Y$30:$Y$212,EZ$17&amp;$C25,防護具!$Q$30:$Q$212))-EY25,0)</f>
        <v>0</v>
      </c>
      <c r="FA26" s="763">
        <f>IFERROR(
SUM(EZ26,SUMIF(防護具!$Y$30:$Y$212,FA$17&amp;$C25,防護具!$Q$30:$Q$212))-EZ25,0)</f>
        <v>0</v>
      </c>
      <c r="FB26" s="763">
        <f>IFERROR(
SUM(FA26,SUMIF(防護具!$Y$30:$Y$212,FB$17&amp;$C25,防護具!$Q$30:$Q$212))-FA25,0)</f>
        <v>0</v>
      </c>
      <c r="FC26" s="763">
        <f>IFERROR(
SUM(FB26,SUMIF(防護具!$Y$30:$Y$212,FC$17&amp;$C25,防護具!$Q$30:$Q$212))-FB25,0)</f>
        <v>0</v>
      </c>
      <c r="FD26" s="763">
        <f>IFERROR(
SUM(FC26,SUMIF(防護具!$Y$30:$Y$212,FD$17&amp;$C25,防護具!$Q$30:$Q$212))-FC25,0)</f>
        <v>0</v>
      </c>
      <c r="FE26" s="763">
        <f>IFERROR(
SUM(FD26,SUMIF(防護具!$Y$30:$Y$212,FE$17&amp;$C25,防護具!$Q$30:$Q$212))-FD25,0)</f>
        <v>0</v>
      </c>
      <c r="FF26" s="763">
        <f>IFERROR(
SUM(FE26,SUMIF(防護具!$Y$30:$Y$212,FF$17&amp;$C25,防護具!$Q$30:$Q$212))-FE25,0)</f>
        <v>0</v>
      </c>
      <c r="FG26" s="763">
        <f>IFERROR(
SUM(FF26,SUMIF(防護具!$Y$30:$Y$212,FG$17&amp;$C25,防護具!$Q$30:$Q$212))-FF25,0)</f>
        <v>0</v>
      </c>
      <c r="FH26" s="763">
        <f>IFERROR(
SUM(FG26,SUMIF(防護具!$Y$30:$Y$212,FH$17&amp;$C25,防護具!$Q$30:$Q$212))-FG25,0)</f>
        <v>0</v>
      </c>
      <c r="FI26" s="763">
        <f>IFERROR(
SUM(FH26,SUMIF(防護具!$Y$30:$Y$212,FI$17&amp;$C25,防護具!$Q$30:$Q$212))-FH25,0)</f>
        <v>0</v>
      </c>
      <c r="FJ26" s="763">
        <f>IFERROR(
SUM(FI26,SUMIF(防護具!$Y$30:$Y$212,FJ$17&amp;$C25,防護具!$Q$30:$Q$212))-FI25,0)</f>
        <v>0</v>
      </c>
      <c r="FK26" s="763">
        <f>IFERROR(
SUM(FJ26,SUMIF(防護具!$Y$30:$Y$212,FK$17&amp;$C25,防護具!$Q$30:$Q$212))-FJ25,0)</f>
        <v>0</v>
      </c>
      <c r="FL26" s="763">
        <f>IFERROR(
SUM(FK26,SUMIF(防護具!$Y$30:$Y$212,FL$17&amp;$C25,防護具!$Q$30:$Q$212))-FK25,0)</f>
        <v>0</v>
      </c>
      <c r="FM26" s="763">
        <f>IFERROR(
SUM(FL26,SUMIF(防護具!$Y$30:$Y$212,FM$17&amp;$C25,防護具!$Q$30:$Q$212))-FL25,0)</f>
        <v>0</v>
      </c>
      <c r="FN26" s="763">
        <f>IFERROR(
SUM(FM26,SUMIF(防護具!$Y$30:$Y$212,FN$17&amp;$C25,防護具!$Q$30:$Q$212))-FM25,0)</f>
        <v>0</v>
      </c>
      <c r="FO26" s="763">
        <f>IFERROR(
SUM(FN26,SUMIF(防護具!$Y$30:$Y$212,FO$17&amp;$C25,防護具!$Q$30:$Q$212))-FN25,0)</f>
        <v>0</v>
      </c>
      <c r="FP26" s="763">
        <f>IFERROR(
SUM(FO26,SUMIF(防護具!$Y$30:$Y$212,FP$17&amp;$C25,防護具!$Q$30:$Q$212))-FO25,0)</f>
        <v>0</v>
      </c>
      <c r="FQ26" s="763">
        <f>IFERROR(
SUM(FP26,SUMIF(防護具!$Y$30:$Y$212,FQ$17&amp;$C25,防護具!$Q$30:$Q$212))-FP25,0)</f>
        <v>0</v>
      </c>
      <c r="FR26" s="763">
        <f>IFERROR(
SUM(FQ26,SUMIF(防護具!$Y$30:$Y$212,FR$17&amp;$C25,防護具!$Q$30:$Q$212))-FQ25,0)</f>
        <v>0</v>
      </c>
      <c r="FS26" s="763">
        <f>IFERROR(
SUM(FR26,SUMIF(防護具!$Y$30:$Y$212,FS$17&amp;$C25,防護具!$Q$30:$Q$212))-FR25,0)</f>
        <v>0</v>
      </c>
      <c r="FT26" s="763">
        <f>IFERROR(
SUM(FS26,SUMIF(防護具!$Y$30:$Y$212,FT$17&amp;$C25,防護具!$Q$30:$Q$212))-FS25,0)</f>
        <v>0</v>
      </c>
      <c r="FU26" s="763">
        <f>IFERROR(
SUM(FT26,SUMIF(防護具!$Y$30:$Y$212,FU$17&amp;$C25,防護具!$Q$30:$Q$212))-FT25,0)</f>
        <v>0</v>
      </c>
      <c r="FV26" s="763">
        <f>IFERROR(
SUM(FU26,SUMIF(防護具!$Y$30:$Y$212,FV$17&amp;$C25,防護具!$Q$30:$Q$212))-FU25,0)</f>
        <v>0</v>
      </c>
      <c r="FW26" s="763">
        <f>IFERROR(
SUM(FV26,SUMIF(防護具!$Y$30:$Y$212,FW$17&amp;$C25,防護具!$Q$30:$Q$212))-FV25,0)</f>
        <v>0</v>
      </c>
      <c r="FX26" s="763">
        <f>IFERROR(
SUM(FW26,SUMIF(防護具!$Y$30:$Y$212,FX$17&amp;$C25,防護具!$Q$30:$Q$212))-FW25,0)</f>
        <v>0</v>
      </c>
      <c r="FY26" s="763">
        <f>IFERROR(
SUM(FX26,SUMIF(防護具!$Y$30:$Y$212,FY$17&amp;$C25,防護具!$Q$30:$Q$212))-FX25,0)</f>
        <v>0</v>
      </c>
      <c r="FZ26" s="763">
        <f>IFERROR(
SUM(FY26,SUMIF(防護具!$Y$30:$Y$212,FZ$17&amp;$C25,防護具!$Q$30:$Q$212))-FY25,0)</f>
        <v>0</v>
      </c>
      <c r="GA26" s="763">
        <f>IFERROR(
SUM(FZ26,SUMIF(防護具!$Y$30:$Y$212,GA$17&amp;$C25,防護具!$Q$30:$Q$212))-FZ25,0)</f>
        <v>0</v>
      </c>
      <c r="GB26" s="763">
        <f>IFERROR(
SUM(GA26,SUMIF(防護具!$Y$30:$Y$212,GB$17&amp;$C25,防護具!$Q$30:$Q$212))-GA25,0)</f>
        <v>0</v>
      </c>
      <c r="GC26" s="763">
        <f>IFERROR(
SUM(GB26,SUMIF(防護具!$Y$30:$Y$212,GC$17&amp;$C25,防護具!$Q$30:$Q$212))-GB25,0)</f>
        <v>0</v>
      </c>
      <c r="GD26" s="763">
        <f>IFERROR(
SUM(GC26,SUMIF(防護具!$Y$30:$Y$212,GD$17&amp;$C25,防護具!$Q$30:$Q$212))-GC25,0)</f>
        <v>0</v>
      </c>
      <c r="GE26" s="763">
        <f>IFERROR(
SUM(GD26,SUMIF(防護具!$Y$30:$Y$212,GE$17&amp;$C25,防護具!$Q$30:$Q$212))-GD25,0)</f>
        <v>0</v>
      </c>
      <c r="GF26" s="763">
        <f>IFERROR(
SUM(GE26,SUMIF(防護具!$Y$30:$Y$212,GF$17&amp;$C25,防護具!$Q$30:$Q$212))-GE25,0)</f>
        <v>0</v>
      </c>
      <c r="GG26" s="763">
        <f>IFERROR(
SUM(GF26,SUMIF(防護具!$Y$30:$Y$212,GG$17&amp;$C25,防護具!$Q$30:$Q$212))-GF25,0)</f>
        <v>0</v>
      </c>
      <c r="GH26" s="763">
        <f>IFERROR(
SUM(GG26,SUMIF(防護具!$Y$30:$Y$212,GH$17&amp;$C25,防護具!$Q$30:$Q$212))-GG25,0)</f>
        <v>0</v>
      </c>
      <c r="GI26" s="763">
        <f>IFERROR(
SUM(GH26,SUMIF(防護具!$Y$30:$Y$212,GI$17&amp;$C25,防護具!$Q$30:$Q$212))-GH25,0)</f>
        <v>0</v>
      </c>
      <c r="GJ26" s="763">
        <f>IFERROR(
SUM(GI26,SUMIF(防護具!$Y$30:$Y$212,GJ$17&amp;$C25,防護具!$Q$30:$Q$212))-GI25,0)</f>
        <v>0</v>
      </c>
    </row>
    <row r="27" spans="2:192" s="627" customFormat="1">
      <c r="B27" s="631"/>
      <c r="C27" s="626"/>
      <c r="D27" s="702" t="s">
        <v>1425</v>
      </c>
      <c r="E27" s="707"/>
      <c r="F27" s="654"/>
      <c r="G27" s="763">
        <f xml:space="preserve">
IF(
SUM(SUMIF(防護具!$Y$13:$Y$29,G$17&amp;$C25,防護具!$Q$13:$Q$29),F27)-VLOOKUP($C25,$C$3:$D$15,2,FALSE)*F23&lt;0,0,
SUM(SUMIF(防護具!$Y$13:$Y$29,G$17&amp;$C25,防護具!$Q$13:$Q$29),F27)-VLOOKUP($C25,$C$3:$D$15,2,FALSE)*F23)</f>
        <v>0</v>
      </c>
      <c r="H27" s="763">
        <f xml:space="preserve">
IF(
SUM(SUMIF(防護具!$Y$13:$Y$29,H$17&amp;$C25,防護具!$Q$13:$Q$29),G27)-VLOOKUP($C25,$C$3:$D$15,2,FALSE)*G23&lt;0,0,
SUM(SUMIF(防護具!$Y$13:$Y$29,H$17&amp;$C25,防護具!$Q$13:$Q$29),G27)-VLOOKUP($C25,$C$3:$D$15,2,FALSE)*G23)</f>
        <v>0</v>
      </c>
      <c r="I27" s="763">
        <f xml:space="preserve">
IF(
SUM(SUMIF(防護具!$Y$13:$Y$29,I$17&amp;$C25,防護具!$Q$13:$Q$29),H27)-VLOOKUP($C25,$C$3:$D$15,2,FALSE)*H23&lt;0,0,
SUM(SUMIF(防護具!$Y$13:$Y$29,I$17&amp;$C25,防護具!$Q$13:$Q$29),H27)-VLOOKUP($C25,$C$3:$D$15,2,FALSE)*H23)</f>
        <v>0</v>
      </c>
      <c r="J27" s="763">
        <f xml:space="preserve">
IF(
SUM(SUMIF(防護具!$Y$13:$Y$29,J$17&amp;$C25,防護具!$Q$13:$Q$29),I27)-VLOOKUP($C25,$C$3:$D$15,2,FALSE)*I23&lt;0,0,
SUM(SUMIF(防護具!$Y$13:$Y$29,J$17&amp;$C25,防護具!$Q$13:$Q$29),I27)-VLOOKUP($C25,$C$3:$D$15,2,FALSE)*I23)</f>
        <v>0</v>
      </c>
      <c r="K27" s="763">
        <f xml:space="preserve">
IF(
SUM(SUMIF(防護具!$Y$13:$Y$29,K$17&amp;$C25,防護具!$Q$13:$Q$29),J27)-VLOOKUP($C25,$C$3:$D$15,2,FALSE)*J23&lt;0,0,
SUM(SUMIF(防護具!$Y$13:$Y$29,K$17&amp;$C25,防護具!$Q$13:$Q$29),J27)-VLOOKUP($C25,$C$3:$D$15,2,FALSE)*J23)</f>
        <v>0</v>
      </c>
      <c r="L27" s="763">
        <f xml:space="preserve">
IF(
SUM(SUMIF(防護具!$Y$13:$Y$29,L$17&amp;$C25,防護具!$Q$13:$Q$29),K27)-VLOOKUP($C25,$C$3:$D$15,2,FALSE)*K23&lt;0,0,
SUM(SUMIF(防護具!$Y$13:$Y$29,L$17&amp;$C25,防護具!$Q$13:$Q$29),K27)-VLOOKUP($C25,$C$3:$D$15,2,FALSE)*K23)</f>
        <v>0</v>
      </c>
      <c r="M27" s="763">
        <f xml:space="preserve">
IF(
SUM(SUMIF(防護具!$Y$13:$Y$29,M$17&amp;$C25,防護具!$Q$13:$Q$29),L27)-VLOOKUP($C25,$C$3:$D$15,2,FALSE)*L23&lt;0,0,
SUM(SUMIF(防護具!$Y$13:$Y$29,M$17&amp;$C25,防護具!$Q$13:$Q$29),L27)-VLOOKUP($C25,$C$3:$D$15,2,FALSE)*L23)</f>
        <v>0</v>
      </c>
      <c r="N27" s="763">
        <f xml:space="preserve">
IF(
SUM(SUMIF(防護具!$Y$13:$Y$29,N$17&amp;$C25,防護具!$Q$13:$Q$29),M27)-VLOOKUP($C25,$C$3:$D$15,2,FALSE)*M23&lt;0,0,
SUM(SUMIF(防護具!$Y$13:$Y$29,N$17&amp;$C25,防護具!$Q$13:$Q$29),M27)-VLOOKUP($C25,$C$3:$D$15,2,FALSE)*M23)</f>
        <v>0</v>
      </c>
      <c r="O27" s="763">
        <f xml:space="preserve">
IF(
SUM(SUMIF(防護具!$Y$13:$Y$29,O$17&amp;$C25,防護具!$Q$13:$Q$29),N27)-VLOOKUP($C25,$C$3:$D$15,2,FALSE)*N23&lt;0,0,
SUM(SUMIF(防護具!$Y$13:$Y$29,O$17&amp;$C25,防護具!$Q$13:$Q$29),N27)-VLOOKUP($C25,$C$3:$D$15,2,FALSE)*N23)</f>
        <v>0</v>
      </c>
      <c r="P27" s="763">
        <f xml:space="preserve">
IF(
SUM(SUMIF(防護具!$Y$13:$Y$29,P$17&amp;$C25,防護具!$Q$13:$Q$29),O27)-VLOOKUP($C25,$C$3:$D$15,2,FALSE)*O23&lt;0,0,
SUM(SUMIF(防護具!$Y$13:$Y$29,P$17&amp;$C25,防護具!$Q$13:$Q$29),O27)-VLOOKUP($C25,$C$3:$D$15,2,FALSE)*O23)</f>
        <v>0</v>
      </c>
      <c r="Q27" s="763">
        <f xml:space="preserve">
IF(
SUM(SUMIF(防護具!$Y$13:$Y$29,Q$17&amp;$C25,防護具!$Q$13:$Q$29),P27)-VLOOKUP($C25,$C$3:$D$15,2,FALSE)*P$20&lt;0,0,
SUM(SUMIF(防護具!$Y$13:$Y$29,Q$17&amp;$C25,防護具!$Q$13:$Q$29),P27)-VLOOKUP($C25,$C$3:$D$15,2,FALSE)*P$20)</f>
        <v>0</v>
      </c>
      <c r="R27" s="763">
        <f xml:space="preserve">
IF(
SUM(SUMIF(防護具!$Y$13:$Y$29,R$17&amp;$C25,防護具!$Q$13:$Q$29),Q27)-VLOOKUP($C25,$C$3:$D$15,2,FALSE)*Q$20&lt;0,0,
SUM(SUMIF(防護具!$Y$13:$Y$29,R$17&amp;$C25,防護具!$Q$13:$Q$29),Q27)-VLOOKUP($C25,$C$3:$D$15,2,FALSE)*Q$20)</f>
        <v>0</v>
      </c>
      <c r="S27" s="763">
        <f xml:space="preserve">
IF(
SUM(SUMIF(防護具!$Y$13:$Y$29,S$17&amp;$C25,防護具!$Q$13:$Q$29),R27)-VLOOKUP($C25,$C$3:$D$15,2,FALSE)*R$20&lt;0,0,
SUM(SUMIF(防護具!$Y$13:$Y$29,S$17&amp;$C25,防護具!$Q$13:$Q$29),R27)-VLOOKUP($C25,$C$3:$D$15,2,FALSE)*R$20)</f>
        <v>0</v>
      </c>
      <c r="T27" s="763">
        <f xml:space="preserve">
IF(
SUM(SUMIF(防護具!$Y$13:$Y$29,T$17&amp;$C25,防護具!$Q$13:$Q$29),S27)-VLOOKUP($C25,$C$3:$D$15,2,FALSE)*S$20&lt;0,0,
SUM(SUMIF(防護具!$Y$13:$Y$29,T$17&amp;$C25,防護具!$Q$13:$Q$29),S27)-VLOOKUP($C25,$C$3:$D$15,2,FALSE)*S$20)</f>
        <v>0</v>
      </c>
      <c r="U27" s="763">
        <f xml:space="preserve">
IF(
SUM(SUMIF(防護具!$Y$13:$Y$29,U$17&amp;$C25,防護具!$Q$13:$Q$29),T27)-VLOOKUP($C25,$C$3:$D$15,2,FALSE)*T$20&lt;0,0,
SUM(SUMIF(防護具!$Y$13:$Y$29,U$17&amp;$C25,防護具!$Q$13:$Q$29),T27)-VLOOKUP($C25,$C$3:$D$15,2,FALSE)*T$20)</f>
        <v>0</v>
      </c>
      <c r="V27" s="763">
        <f xml:space="preserve">
IF(
SUM(SUMIF(防護具!$Y$13:$Y$29,V$17&amp;$C25,防護具!$Q$13:$Q$29),U27)-VLOOKUP($C25,$C$3:$D$15,2,FALSE)*U$20&lt;0,0,
SUM(SUMIF(防護具!$Y$13:$Y$29,V$17&amp;$C25,防護具!$Q$13:$Q$29),U27)-VLOOKUP($C25,$C$3:$D$15,2,FALSE)*U$20)</f>
        <v>0</v>
      </c>
      <c r="W27" s="763">
        <f xml:space="preserve">
IF(
SUM(SUMIF(防護具!$Y$13:$Y$29,W$17&amp;$C25,防護具!$Q$13:$Q$29),V27)-VLOOKUP($C25,$C$3:$D$15,2,FALSE)*V$20&lt;0,0,
SUM(SUMIF(防護具!$Y$13:$Y$29,W$17&amp;$C25,防護具!$Q$13:$Q$29),V27)-VLOOKUP($C25,$C$3:$D$15,2,FALSE)*V$20)</f>
        <v>0</v>
      </c>
      <c r="X27" s="763">
        <f xml:space="preserve">
IF(
SUM(SUMIF(防護具!$Y$13:$Y$29,X$17&amp;$C25,防護具!$Q$13:$Q$29),W27)-VLOOKUP($C25,$C$3:$D$15,2,FALSE)*W$20&lt;0,0,
SUM(SUMIF(防護具!$Y$13:$Y$29,X$17&amp;$C25,防護具!$Q$13:$Q$29),W27)-VLOOKUP($C25,$C$3:$D$15,2,FALSE)*W$20)</f>
        <v>0</v>
      </c>
      <c r="Y27" s="763">
        <f xml:space="preserve">
IF(
SUM(SUMIF(防護具!$Y$13:$Y$29,Y$17&amp;$C25,防護具!$Q$13:$Q$29),X27)-VLOOKUP($C25,$C$3:$D$15,2,FALSE)*X$20&lt;0,0,
SUM(SUMIF(防護具!$Y$13:$Y$29,Y$17&amp;$C25,防護具!$Q$13:$Q$29),X27)-VLOOKUP($C25,$C$3:$D$15,2,FALSE)*X$20)</f>
        <v>0</v>
      </c>
      <c r="Z27" s="763">
        <f xml:space="preserve">
IF(
SUM(SUMIF(防護具!$Y$13:$Y$29,Z$17&amp;$C25,防護具!$Q$13:$Q$29),Y27)-VLOOKUP($C25,$C$3:$D$15,2,FALSE)*Y$20&lt;0,0,
SUM(SUMIF(防護具!$Y$13:$Y$29,Z$17&amp;$C25,防護具!$Q$13:$Q$29),Y27)-VLOOKUP($C25,$C$3:$D$15,2,FALSE)*Y$20)</f>
        <v>0</v>
      </c>
      <c r="AA27" s="763">
        <f xml:space="preserve">
IF(
SUM(SUMIF(防護具!$Y$13:$Y$29,AA$17&amp;$C25,防護具!$Q$13:$Q$29),Z27)-VLOOKUP($C25,$C$3:$D$15,2,FALSE)*Z$20&lt;0,0,
SUM(SUMIF(防護具!$Y$13:$Y$29,AA$17&amp;$C25,防護具!$Q$13:$Q$29),Z27)-VLOOKUP($C25,$C$3:$D$15,2,FALSE)*Z$20)</f>
        <v>0</v>
      </c>
      <c r="AB27" s="763">
        <f xml:space="preserve">
IF(
SUM(SUMIF(防護具!$Y$13:$Y$29,AB$17&amp;$C25,防護具!$Q$13:$Q$29),AA27)-VLOOKUP($C25,$C$3:$D$15,2,FALSE)*AA$20&lt;0,0,
SUM(SUMIF(防護具!$Y$13:$Y$29,AB$17&amp;$C25,防護具!$Q$13:$Q$29),AA27)-VLOOKUP($C25,$C$3:$D$15,2,FALSE)*AA$20)</f>
        <v>0</v>
      </c>
      <c r="AC27" s="763">
        <f xml:space="preserve">
IF(
SUM(SUMIF(防護具!$Y$13:$Y$29,AC$17&amp;$C25,防護具!$Q$13:$Q$29),AB27)-VLOOKUP($C25,$C$3:$D$15,2,FALSE)*AB$20&lt;0,0,
SUM(SUMIF(防護具!$Y$13:$Y$29,AC$17&amp;$C25,防護具!$Q$13:$Q$29),AB27)-VLOOKUP($C25,$C$3:$D$15,2,FALSE)*AB$20)</f>
        <v>0</v>
      </c>
      <c r="AD27" s="763">
        <f xml:space="preserve">
IF(
SUM(SUMIF(防護具!$Y$13:$Y$29,AD$17&amp;$C25,防護具!$Q$13:$Q$29),AC27)-VLOOKUP($C25,$C$3:$D$15,2,FALSE)*AC$20&lt;0,0,
SUM(SUMIF(防護具!$Y$13:$Y$29,AD$17&amp;$C25,防護具!$Q$13:$Q$29),AC27)-VLOOKUP($C25,$C$3:$D$15,2,FALSE)*AC$20)</f>
        <v>0</v>
      </c>
      <c r="AE27" s="763">
        <f xml:space="preserve">
IF(
SUM(SUMIF(防護具!$Y$13:$Y$29,AE$17&amp;$C25,防護具!$Q$13:$Q$29),AD27)-VLOOKUP($C25,$C$3:$D$15,2,FALSE)*AD$20&lt;0,0,
SUM(SUMIF(防護具!$Y$13:$Y$29,AE$17&amp;$C25,防護具!$Q$13:$Q$29),AD27)-VLOOKUP($C25,$C$3:$D$15,2,FALSE)*AD$20)</f>
        <v>0</v>
      </c>
      <c r="AF27" s="763">
        <f xml:space="preserve">
IF(
SUM(SUMIF(防護具!$Y$13:$Y$29,AF$17&amp;$C25,防護具!$Q$13:$Q$29),AE27)-VLOOKUP($C25,$C$3:$D$15,2,FALSE)*AE$20&lt;0,0,
SUM(SUMIF(防護具!$Y$13:$Y$29,AF$17&amp;$C25,防護具!$Q$13:$Q$29),AE27)-VLOOKUP($C25,$C$3:$D$15,2,FALSE)*AE$20)</f>
        <v>0</v>
      </c>
      <c r="AG27" s="763">
        <f xml:space="preserve">
IF(
SUM(SUMIF(防護具!$Y$13:$Y$29,AG$17&amp;$C25,防護具!$Q$13:$Q$29),AF27)-VLOOKUP($C25,$C$3:$D$15,2,FALSE)*AF$20&lt;0,0,
SUM(SUMIF(防護具!$Y$13:$Y$29,AG$17&amp;$C25,防護具!$Q$13:$Q$29),AF27)-VLOOKUP($C25,$C$3:$D$15,2,FALSE)*AF$20)</f>
        <v>0</v>
      </c>
      <c r="AH27" s="763">
        <f xml:space="preserve">
IF(
SUM(SUMIF(防護具!$Y$13:$Y$29,AH$17&amp;$C25,防護具!$Q$13:$Q$29),AG27)-VLOOKUP($C25,$C$3:$D$15,2,FALSE)*AG$20&lt;0,0,
SUM(SUMIF(防護具!$Y$13:$Y$29,AH$17&amp;$C25,防護具!$Q$13:$Q$29),AG27)-VLOOKUP($C25,$C$3:$D$15,2,FALSE)*AG$20)</f>
        <v>0</v>
      </c>
      <c r="AI27" s="763">
        <f xml:space="preserve">
IF(
SUM(SUMIF(防護具!$Y$13:$Y$29,AI$17&amp;$C25,防護具!$Q$13:$Q$29),AH27)-VLOOKUP($C25,$C$3:$D$15,2,FALSE)*AH$20&lt;0,0,
SUM(SUMIF(防護具!$Y$13:$Y$29,AI$17&amp;$C25,防護具!$Q$13:$Q$29),AH27)-VLOOKUP($C25,$C$3:$D$15,2,FALSE)*AH$20)</f>
        <v>0</v>
      </c>
      <c r="AJ27" s="763">
        <f xml:space="preserve">
IF(
SUM(SUMIF(防護具!$Y$13:$Y$29,AJ$17&amp;$C25,防護具!$Q$13:$Q$29),AI27)-VLOOKUP($C25,$C$3:$D$15,2,FALSE)*AI$20&lt;0,0,
SUM(SUMIF(防護具!$Y$13:$Y$29,AJ$17&amp;$C25,防護具!$Q$13:$Q$29),AI27)-VLOOKUP($C25,$C$3:$D$15,2,FALSE)*AI$20)</f>
        <v>0</v>
      </c>
      <c r="AK27" s="763">
        <f xml:space="preserve">
IF(
SUM(SUMIF(防護具!$Y$13:$Y$29,AK$17&amp;$C25,防護具!$Q$13:$Q$29),AJ27)-VLOOKUP($C25,$C$3:$D$15,2,FALSE)*AJ$20&lt;0,0,
SUM(SUMIF(防護具!$Y$13:$Y$29,AK$17&amp;$C25,防護具!$Q$13:$Q$29),AJ27)-VLOOKUP($C25,$C$3:$D$15,2,FALSE)*AJ$20)</f>
        <v>0</v>
      </c>
      <c r="AL27" s="763">
        <f xml:space="preserve">
IF(
SUM(SUMIF(防護具!$Y$13:$Y$29,AL$17&amp;$C25,防護具!$Q$13:$Q$29),AK27)-VLOOKUP($C25,$C$3:$D$15,2,FALSE)*AK$20&lt;0,0,
SUM(SUMIF(防護具!$Y$13:$Y$29,AL$17&amp;$C25,防護具!$Q$13:$Q$29),AK27)-VLOOKUP($C25,$C$3:$D$15,2,FALSE)*AK$20)</f>
        <v>0</v>
      </c>
      <c r="AM27" s="763">
        <f xml:space="preserve">
IF(
SUM(SUMIF(防護具!$Y$13:$Y$29,AM$17&amp;$C25,防護具!$Q$13:$Q$29),AL27)-VLOOKUP($C25,$C$3:$D$15,2,FALSE)*AL$20&lt;0,0,
SUM(SUMIF(防護具!$Y$13:$Y$29,AM$17&amp;$C25,防護具!$Q$13:$Q$29),AL27)-VLOOKUP($C25,$C$3:$D$15,2,FALSE)*AL$20)</f>
        <v>0</v>
      </c>
      <c r="AN27" s="763">
        <f xml:space="preserve">
IF(
SUM(SUMIF(防護具!$Y$13:$Y$29,AN$17&amp;$C25,防護具!$Q$13:$Q$29),AM27)-VLOOKUP($C25,$C$3:$D$15,2,FALSE)*AM$20&lt;0,0,
SUM(SUMIF(防護具!$Y$13:$Y$29,AN$17&amp;$C25,防護具!$Q$13:$Q$29),AM27)-VLOOKUP($C25,$C$3:$D$15,2,FALSE)*AM$20)</f>
        <v>0</v>
      </c>
      <c r="AO27" s="763">
        <f xml:space="preserve">
IF(
SUM(SUMIF(防護具!$Y$13:$Y$29,AO$17&amp;$C25,防護具!$Q$13:$Q$29),AN27)-VLOOKUP($C25,$C$3:$D$15,2,FALSE)*AN$20&lt;0,0,
SUM(SUMIF(防護具!$Y$13:$Y$29,AO$17&amp;$C25,防護具!$Q$13:$Q$29),AN27)-VLOOKUP($C25,$C$3:$D$15,2,FALSE)*AN$20)</f>
        <v>0</v>
      </c>
      <c r="AP27" s="763">
        <f xml:space="preserve">
IF(
SUM(SUMIF(防護具!$Y$13:$Y$29,AP$17&amp;$C25,防護具!$Q$13:$Q$29),AO27)-VLOOKUP($C25,$C$3:$D$15,2,FALSE)*AO$20&lt;0,0,
SUM(SUMIF(防護具!$Y$13:$Y$29,AP$17&amp;$C25,防護具!$Q$13:$Q$29),AO27)-VLOOKUP($C25,$C$3:$D$15,2,FALSE)*AO$20)</f>
        <v>0</v>
      </c>
      <c r="AQ27" s="763">
        <f xml:space="preserve">
IF(
SUM(SUMIF(防護具!$Y$13:$Y$29,AQ$17&amp;$C25,防護具!$Q$13:$Q$29),AP27)-VLOOKUP($C25,$C$3:$D$15,2,FALSE)*AP$20&lt;0,0,
SUM(SUMIF(防護具!$Y$13:$Y$29,AQ$17&amp;$C25,防護具!$Q$13:$Q$29),AP27)-VLOOKUP($C25,$C$3:$D$15,2,FALSE)*AP$20)</f>
        <v>0</v>
      </c>
      <c r="AR27" s="763">
        <f xml:space="preserve">
IF(
SUM(SUMIF(防護具!$Y$13:$Y$29,AR$17&amp;$C25,防護具!$Q$13:$Q$29),AQ27)-VLOOKUP($C25,$C$3:$D$15,2,FALSE)*AQ$20&lt;0,0,
SUM(SUMIF(防護具!$Y$13:$Y$29,AR$17&amp;$C25,防護具!$Q$13:$Q$29),AQ27)-VLOOKUP($C25,$C$3:$D$15,2,FALSE)*AQ$20)</f>
        <v>0</v>
      </c>
      <c r="AS27" s="763">
        <f xml:space="preserve">
IF(
SUM(SUMIF(防護具!$Y$13:$Y$29,AS$17&amp;$C25,防護具!$Q$13:$Q$29),AR27)-VLOOKUP($C25,$C$3:$D$15,2,FALSE)*AR$20&lt;0,0,
SUM(SUMIF(防護具!$Y$13:$Y$29,AS$17&amp;$C25,防護具!$Q$13:$Q$29),AR27)-VLOOKUP($C25,$C$3:$D$15,2,FALSE)*AR$20)</f>
        <v>0</v>
      </c>
      <c r="AT27" s="763">
        <f xml:space="preserve">
IF(
SUM(SUMIF(防護具!$Y$13:$Y$29,AT$17&amp;$C25,防護具!$Q$13:$Q$29),AS27)-VLOOKUP($C25,$C$3:$D$15,2,FALSE)*AS$20&lt;0,0,
SUM(SUMIF(防護具!$Y$13:$Y$29,AT$17&amp;$C25,防護具!$Q$13:$Q$29),AS27)-VLOOKUP($C25,$C$3:$D$15,2,FALSE)*AS$20)</f>
        <v>0</v>
      </c>
      <c r="AU27" s="763">
        <f xml:space="preserve">
IF(
SUM(SUMIF(防護具!$Y$13:$Y$29,AU$17&amp;$C25,防護具!$Q$13:$Q$29),AT27)-VLOOKUP($C25,$C$3:$D$15,2,FALSE)*AT$20&lt;0,0,
SUM(SUMIF(防護具!$Y$13:$Y$29,AU$17&amp;$C25,防護具!$Q$13:$Q$29),AT27)-VLOOKUP($C25,$C$3:$D$15,2,FALSE)*AT$20)</f>
        <v>0</v>
      </c>
      <c r="AV27" s="763">
        <f xml:space="preserve">
IF(
SUM(SUMIF(防護具!$Y$13:$Y$29,AV$17&amp;$C25,防護具!$Q$13:$Q$29),AU27)-VLOOKUP($C25,$C$3:$D$15,2,FALSE)*AU$20&lt;0,0,
SUM(SUMIF(防護具!$Y$13:$Y$29,AV$17&amp;$C25,防護具!$Q$13:$Q$29),AU27)-VLOOKUP($C25,$C$3:$D$15,2,FALSE)*AU$20)</f>
        <v>0</v>
      </c>
      <c r="AW27" s="763">
        <f xml:space="preserve">
IF(
SUM(SUMIF(防護具!$Y$13:$Y$29,AW$17&amp;$C25,防護具!$Q$13:$Q$29),AV27)-VLOOKUP($C25,$C$3:$D$15,2,FALSE)*AV$20&lt;0,0,
SUM(SUMIF(防護具!$Y$13:$Y$29,AW$17&amp;$C25,防護具!$Q$13:$Q$29),AV27)-VLOOKUP($C25,$C$3:$D$15,2,FALSE)*AV$20)</f>
        <v>0</v>
      </c>
      <c r="AX27" s="763">
        <f xml:space="preserve">
IF(
SUM(SUMIF(防護具!$Y$13:$Y$29,AX$17&amp;$C25,防護具!$Q$13:$Q$29),AW27)-VLOOKUP($C25,$C$3:$D$15,2,FALSE)*AW$20&lt;0,0,
SUM(SUMIF(防護具!$Y$13:$Y$29,AX$17&amp;$C25,防護具!$Q$13:$Q$29),AW27)-VLOOKUP($C25,$C$3:$D$15,2,FALSE)*AW$20)</f>
        <v>0</v>
      </c>
      <c r="AY27" s="763">
        <f xml:space="preserve">
IF(
SUM(SUMIF(防護具!$Y$13:$Y$29,AY$17&amp;$C25,防護具!$Q$13:$Q$29),AX27)-VLOOKUP($C25,$C$3:$D$15,2,FALSE)*AX$20&lt;0,0,
SUM(SUMIF(防護具!$Y$13:$Y$29,AY$17&amp;$C25,防護具!$Q$13:$Q$29),AX27)-VLOOKUP($C25,$C$3:$D$15,2,FALSE)*AX$20)</f>
        <v>0</v>
      </c>
      <c r="AZ27" s="763">
        <f xml:space="preserve">
IF(
SUM(SUMIF(防護具!$Y$13:$Y$29,AZ$17&amp;$C25,防護具!$Q$13:$Q$29),AY27)-VLOOKUP($C25,$C$3:$D$15,2,FALSE)*AY$20&lt;0,0,
SUM(SUMIF(防護具!$Y$13:$Y$29,AZ$17&amp;$C25,防護具!$Q$13:$Q$29),AY27)-VLOOKUP($C25,$C$3:$D$15,2,FALSE)*AY$20)</f>
        <v>0</v>
      </c>
      <c r="BA27" s="763">
        <f xml:space="preserve">
IF(
SUM(SUMIF(防護具!$Y$13:$Y$29,BA$17&amp;$C25,防護具!$Q$13:$Q$29),AZ27)-VLOOKUP($C25,$C$3:$D$15,2,FALSE)*AZ$20&lt;0,0,
SUM(SUMIF(防護具!$Y$13:$Y$29,BA$17&amp;$C25,防護具!$Q$13:$Q$29),AZ27)-VLOOKUP($C25,$C$3:$D$15,2,FALSE)*AZ$20)</f>
        <v>0</v>
      </c>
      <c r="BB27" s="763">
        <f xml:space="preserve">
IF(
SUM(SUMIF(防護具!$Y$13:$Y$29,BB$17&amp;$C25,防護具!$Q$13:$Q$29),BA27)-VLOOKUP($C25,$C$3:$D$15,2,FALSE)*BA$20&lt;0,0,
SUM(SUMIF(防護具!$Y$13:$Y$29,BB$17&amp;$C25,防護具!$Q$13:$Q$29),BA27)-VLOOKUP($C25,$C$3:$D$15,2,FALSE)*BA$20)</f>
        <v>0</v>
      </c>
      <c r="BC27" s="763">
        <f xml:space="preserve">
IF(
SUM(SUMIF(防護具!$Y$13:$Y$29,BC$17&amp;$C25,防護具!$Q$13:$Q$29),BB27)-VLOOKUP($C25,$C$3:$D$15,2,FALSE)*BB$20&lt;0,0,
SUM(SUMIF(防護具!$Y$13:$Y$29,BC$17&amp;$C25,防護具!$Q$13:$Q$29),BB27)-VLOOKUP($C25,$C$3:$D$15,2,FALSE)*BB$20)</f>
        <v>0</v>
      </c>
      <c r="BD27" s="763">
        <f xml:space="preserve">
IF(
SUM(SUMIF(防護具!$Y$13:$Y$29,BD$17&amp;$C25,防護具!$Q$13:$Q$29),BC27)-VLOOKUP($C25,$C$3:$D$15,2,FALSE)*BC$20&lt;0,0,
SUM(SUMIF(防護具!$Y$13:$Y$29,BD$17&amp;$C25,防護具!$Q$13:$Q$29),BC27)-VLOOKUP($C25,$C$3:$D$15,2,FALSE)*BC$20)</f>
        <v>0</v>
      </c>
      <c r="BE27" s="763">
        <f xml:space="preserve">
IF(
SUM(SUMIF(防護具!$Y$13:$Y$29,BE$17&amp;$C25,防護具!$Q$13:$Q$29),BD27)-VLOOKUP($C25,$C$3:$D$15,2,FALSE)*BD$20&lt;0,0,
SUM(SUMIF(防護具!$Y$13:$Y$29,BE$17&amp;$C25,防護具!$Q$13:$Q$29),BD27)-VLOOKUP($C25,$C$3:$D$15,2,FALSE)*BD$20)</f>
        <v>0</v>
      </c>
      <c r="BF27" s="763">
        <f xml:space="preserve">
IF(
SUM(SUMIF(防護具!$Y$13:$Y$29,BF$17&amp;$C25,防護具!$Q$13:$Q$29),BE27)-VLOOKUP($C25,$C$3:$D$15,2,FALSE)*BE$20&lt;0,0,
SUM(SUMIF(防護具!$Y$13:$Y$29,BF$17&amp;$C25,防護具!$Q$13:$Q$29),BE27)-VLOOKUP($C25,$C$3:$D$15,2,FALSE)*BE$20)</f>
        <v>0</v>
      </c>
      <c r="BG27" s="763">
        <f xml:space="preserve">
IF(
SUM(SUMIF(防護具!$Y$13:$Y$29,BG$17&amp;$C25,防護具!$Q$13:$Q$29),BF27)-VLOOKUP($C25,$C$3:$D$15,2,FALSE)*BF$20&lt;0,0,
SUM(SUMIF(防護具!$Y$13:$Y$29,BG$17&amp;$C25,防護具!$Q$13:$Q$29),BF27)-VLOOKUP($C25,$C$3:$D$15,2,FALSE)*BF$20)</f>
        <v>0</v>
      </c>
      <c r="BH27" s="763">
        <f xml:space="preserve">
IF(
SUM(SUMIF(防護具!$Y$13:$Y$29,BH$17&amp;$C25,防護具!$Q$13:$Q$29),BG27)-VLOOKUP($C25,$C$3:$D$15,2,FALSE)*BG$20&lt;0,0,
SUM(SUMIF(防護具!$Y$13:$Y$29,BH$17&amp;$C25,防護具!$Q$13:$Q$29),BG27)-VLOOKUP($C25,$C$3:$D$15,2,FALSE)*BG$20)</f>
        <v>0</v>
      </c>
      <c r="BI27" s="763">
        <f xml:space="preserve">
IF(
SUM(SUMIF(防護具!$Y$13:$Y$29,BI$17&amp;$C25,防護具!$Q$13:$Q$29),BH27)-VLOOKUP($C25,$C$3:$D$15,2,FALSE)*BH$20&lt;0,0,
SUM(SUMIF(防護具!$Y$13:$Y$29,BI$17&amp;$C25,防護具!$Q$13:$Q$29),BH27)-VLOOKUP($C25,$C$3:$D$15,2,FALSE)*BH$20)</f>
        <v>0</v>
      </c>
      <c r="BJ27" s="763">
        <f xml:space="preserve">
IF(
SUM(SUMIF(防護具!$Y$13:$Y$29,BJ$17&amp;$C25,防護具!$Q$13:$Q$29),BI27)-VLOOKUP($C25,$C$3:$D$15,2,FALSE)*BI$20&lt;0,0,
SUM(SUMIF(防護具!$Y$13:$Y$29,BJ$17&amp;$C25,防護具!$Q$13:$Q$29),BI27)-VLOOKUP($C25,$C$3:$D$15,2,FALSE)*BI$20)</f>
        <v>0</v>
      </c>
      <c r="BK27" s="763">
        <f xml:space="preserve">
IF(
SUM(SUMIF(防護具!$Y$13:$Y$29,BK$17&amp;$C25,防護具!$Q$13:$Q$29),BJ27)-VLOOKUP($C25,$C$3:$D$15,2,FALSE)*BJ$20&lt;0,0,
SUM(SUMIF(防護具!$Y$13:$Y$29,BK$17&amp;$C25,防護具!$Q$13:$Q$29),BJ27)-VLOOKUP($C25,$C$3:$D$15,2,FALSE)*BJ$20)</f>
        <v>0</v>
      </c>
      <c r="BL27" s="763">
        <f xml:space="preserve">
IF(
SUM(SUMIF(防護具!$Y$13:$Y$29,BL$17&amp;$C25,防護具!$Q$13:$Q$29),BK27)-VLOOKUP($C25,$C$3:$D$15,2,FALSE)*BK$20&lt;0,0,
SUM(SUMIF(防護具!$Y$13:$Y$29,BL$17&amp;$C25,防護具!$Q$13:$Q$29),BK27)-VLOOKUP($C25,$C$3:$D$15,2,FALSE)*BK$20)</f>
        <v>0</v>
      </c>
      <c r="BM27" s="763">
        <f xml:space="preserve">
IF(
SUM(SUMIF(防護具!$Y$13:$Y$29,BM$17&amp;$C25,防護具!$Q$13:$Q$29),BL27)-VLOOKUP($C25,$C$3:$D$15,2,FALSE)*BL$20&lt;0,0,
SUM(SUMIF(防護具!$Y$13:$Y$29,BM$17&amp;$C25,防護具!$Q$13:$Q$29),BL27)-VLOOKUP($C25,$C$3:$D$15,2,FALSE)*BL$20)</f>
        <v>0</v>
      </c>
      <c r="BN27" s="763">
        <f xml:space="preserve">
IF(
SUM(SUMIF(防護具!$Y$13:$Y$29,BN$17&amp;$C25,防護具!$Q$13:$Q$29),BM27)-VLOOKUP($C25,$C$3:$D$15,2,FALSE)*BM$20&lt;0,0,
SUM(SUMIF(防護具!$Y$13:$Y$29,BN$17&amp;$C25,防護具!$Q$13:$Q$29),BM27)-VLOOKUP($C25,$C$3:$D$15,2,FALSE)*BM$20)</f>
        <v>0</v>
      </c>
      <c r="BO27" s="763">
        <f xml:space="preserve">
IF(
SUM(SUMIF(防護具!$Y$13:$Y$29,BO$17&amp;$C25,防護具!$Q$13:$Q$29),BN27)-VLOOKUP($C25,$C$3:$D$15,2,FALSE)*BN$20&lt;0,0,
SUM(SUMIF(防護具!$Y$13:$Y$29,BO$17&amp;$C25,防護具!$Q$13:$Q$29),BN27)-VLOOKUP($C25,$C$3:$D$15,2,FALSE)*BN$20)</f>
        <v>0</v>
      </c>
      <c r="BP27" s="763">
        <f xml:space="preserve">
IF(
SUM(SUMIF(防護具!$Y$13:$Y$29,BP$17&amp;$C25,防護具!$Q$13:$Q$29),BO27)-VLOOKUP($C25,$C$3:$D$15,2,FALSE)*BO$20&lt;0,0,
SUM(SUMIF(防護具!$Y$13:$Y$29,BP$17&amp;$C25,防護具!$Q$13:$Q$29),BO27)-VLOOKUP($C25,$C$3:$D$15,2,FALSE)*BO$20)</f>
        <v>0</v>
      </c>
      <c r="BQ27" s="763">
        <f xml:space="preserve">
IF(
SUM(SUMIF(防護具!$Y$13:$Y$29,BQ$17&amp;$C25,防護具!$Q$13:$Q$29),BP27)-VLOOKUP($C25,$C$3:$D$15,2,FALSE)*BP$20&lt;0,0,
SUM(SUMIF(防護具!$Y$13:$Y$29,BQ$17&amp;$C25,防護具!$Q$13:$Q$29),BP27)-VLOOKUP($C25,$C$3:$D$15,2,FALSE)*BP$20)</f>
        <v>0</v>
      </c>
      <c r="BR27" s="763">
        <f xml:space="preserve">
IF(
SUM(SUMIF(防護具!$Y$13:$Y$29,BR$17&amp;$C25,防護具!$Q$13:$Q$29),BQ27)-VLOOKUP($C25,$C$3:$D$15,2,FALSE)*BQ$20&lt;0,0,
SUM(SUMIF(防護具!$Y$13:$Y$29,BR$17&amp;$C25,防護具!$Q$13:$Q$29),BQ27)-VLOOKUP($C25,$C$3:$D$15,2,FALSE)*BQ$20)</f>
        <v>0</v>
      </c>
      <c r="BS27" s="763">
        <f xml:space="preserve">
IF(
SUM(SUMIF(防護具!$Y$13:$Y$29,BS$17&amp;$C25,防護具!$Q$13:$Q$29),BR27)-VLOOKUP($C25,$C$3:$D$15,2,FALSE)*BR$20&lt;0,0,
SUM(SUMIF(防護具!$Y$13:$Y$29,BS$17&amp;$C25,防護具!$Q$13:$Q$29),BR27)-VLOOKUP($C25,$C$3:$D$15,2,FALSE)*BR$20)</f>
        <v>0</v>
      </c>
      <c r="BT27" s="763">
        <f xml:space="preserve">
IF(
SUM(SUMIF(防護具!$Y$13:$Y$29,BT$17&amp;$C25,防護具!$Q$13:$Q$29),BS27)-VLOOKUP($C25,$C$3:$D$15,2,FALSE)*BS$20&lt;0,0,
SUM(SUMIF(防護具!$Y$13:$Y$29,BT$17&amp;$C25,防護具!$Q$13:$Q$29),BS27)-VLOOKUP($C25,$C$3:$D$15,2,FALSE)*BS$20)</f>
        <v>0</v>
      </c>
      <c r="BU27" s="763">
        <f xml:space="preserve">
IF(
SUM(SUMIF(防護具!$Y$13:$Y$29,BU$17&amp;$C25,防護具!$Q$13:$Q$29),BT27)-VLOOKUP($C25,$C$3:$D$15,2,FALSE)*BT$20&lt;0,0,
SUM(SUMIF(防護具!$Y$13:$Y$29,BU$17&amp;$C25,防護具!$Q$13:$Q$29),BT27)-VLOOKUP($C25,$C$3:$D$15,2,FALSE)*BT$20)</f>
        <v>0</v>
      </c>
      <c r="BV27" s="763">
        <f xml:space="preserve">
IF(
SUM(SUMIF(防護具!$Y$13:$Y$29,BV$17&amp;$C25,防護具!$Q$13:$Q$29),BU27)-VLOOKUP($C25,$C$3:$D$15,2,FALSE)*BU$20&lt;0,0,
SUM(SUMIF(防護具!$Y$13:$Y$29,BV$17&amp;$C25,防護具!$Q$13:$Q$29),BU27)-VLOOKUP($C25,$C$3:$D$15,2,FALSE)*BU$20)</f>
        <v>0</v>
      </c>
      <c r="BW27" s="763">
        <f xml:space="preserve">
IF(
SUM(SUMIF(防護具!$Y$13:$Y$29,BW$17&amp;$C25,防護具!$Q$13:$Q$29),BV27)-VLOOKUP($C25,$C$3:$D$15,2,FALSE)*BV$20&lt;0,0,
SUM(SUMIF(防護具!$Y$13:$Y$29,BW$17&amp;$C25,防護具!$Q$13:$Q$29),BV27)-VLOOKUP($C25,$C$3:$D$15,2,FALSE)*BV$20)</f>
        <v>0</v>
      </c>
      <c r="BX27" s="763">
        <f xml:space="preserve">
IF(
SUM(SUMIF(防護具!$Y$13:$Y$29,BX$17&amp;$C25,防護具!$Q$13:$Q$29),BW27)-VLOOKUP($C25,$C$3:$D$15,2,FALSE)*BW$20&lt;0,0,
SUM(SUMIF(防護具!$Y$13:$Y$29,BX$17&amp;$C25,防護具!$Q$13:$Q$29),BW27)-VLOOKUP($C25,$C$3:$D$15,2,FALSE)*BW$20)</f>
        <v>0</v>
      </c>
      <c r="BY27" s="763">
        <f xml:space="preserve">
IF(
SUM(SUMIF(防護具!$Y$13:$Y$29,BY$17&amp;$C25,防護具!$Q$13:$Q$29),BX27)-VLOOKUP($C25,$C$3:$D$15,2,FALSE)*BX$20&lt;0,0,
SUM(SUMIF(防護具!$Y$13:$Y$29,BY$17&amp;$C25,防護具!$Q$13:$Q$29),BX27)-VLOOKUP($C25,$C$3:$D$15,2,FALSE)*BX$20)</f>
        <v>0</v>
      </c>
      <c r="BZ27" s="763">
        <f xml:space="preserve">
IF(
SUM(SUMIF(防護具!$Y$13:$Y$29,BZ$17&amp;$C25,防護具!$Q$13:$Q$29),BY27)-VLOOKUP($C25,$C$3:$D$15,2,FALSE)*BY$20&lt;0,0,
SUM(SUMIF(防護具!$Y$13:$Y$29,BZ$17&amp;$C25,防護具!$Q$13:$Q$29),BY27)-VLOOKUP($C25,$C$3:$D$15,2,FALSE)*BY$20)</f>
        <v>0</v>
      </c>
      <c r="CA27" s="763">
        <f xml:space="preserve">
IF(
SUM(SUMIF(防護具!$Y$13:$Y$29,CA$17&amp;$C25,防護具!$Q$13:$Q$29),BZ27)-VLOOKUP($C25,$C$3:$D$15,2,FALSE)*BZ$20&lt;0,0,
SUM(SUMIF(防護具!$Y$13:$Y$29,CA$17&amp;$C25,防護具!$Q$13:$Q$29),BZ27)-VLOOKUP($C25,$C$3:$D$15,2,FALSE)*BZ$20)</f>
        <v>0</v>
      </c>
      <c r="CB27" s="763">
        <f xml:space="preserve">
IF(
SUM(SUMIF(防護具!$Y$13:$Y$29,CB$17&amp;$C25,防護具!$Q$13:$Q$29),CA27)-VLOOKUP($C25,$C$3:$D$15,2,FALSE)*CA$20&lt;0,0,
SUM(SUMIF(防護具!$Y$13:$Y$29,CB$17&amp;$C25,防護具!$Q$13:$Q$29),CA27)-VLOOKUP($C25,$C$3:$D$15,2,FALSE)*CA$20)</f>
        <v>0</v>
      </c>
      <c r="CC27" s="763">
        <f xml:space="preserve">
IF(
SUM(SUMIF(防護具!$Y$13:$Y$29,CC$17&amp;$C25,防護具!$Q$13:$Q$29),CB27)-VLOOKUP($C25,$C$3:$D$15,2,FALSE)*CB$20&lt;0,0,
SUM(SUMIF(防護具!$Y$13:$Y$29,CC$17&amp;$C25,防護具!$Q$13:$Q$29),CB27)-VLOOKUP($C25,$C$3:$D$15,2,FALSE)*CB$20)</f>
        <v>0</v>
      </c>
      <c r="CD27" s="763">
        <f xml:space="preserve">
IF(
SUM(SUMIF(防護具!$Y$13:$Y$29,CD$17&amp;$C25,防護具!$Q$13:$Q$29),CC27)-VLOOKUP($C25,$C$3:$D$15,2,FALSE)*CC$20&lt;0,0,
SUM(SUMIF(防護具!$Y$13:$Y$29,CD$17&amp;$C25,防護具!$Q$13:$Q$29),CC27)-VLOOKUP($C25,$C$3:$D$15,2,FALSE)*CC$20)</f>
        <v>0</v>
      </c>
      <c r="CE27" s="763">
        <f xml:space="preserve">
IF(
SUM(SUMIF(防護具!$Y$13:$Y$29,CE$17&amp;$C25,防護具!$Q$13:$Q$29),CD27)-VLOOKUP($C25,$C$3:$D$15,2,FALSE)*CD$20&lt;0,0,
SUM(SUMIF(防護具!$Y$13:$Y$29,CE$17&amp;$C25,防護具!$Q$13:$Q$29),CD27)-VLOOKUP($C25,$C$3:$D$15,2,FALSE)*CD$20)</f>
        <v>0</v>
      </c>
      <c r="CF27" s="763">
        <f xml:space="preserve">
IF(
SUM(SUMIF(防護具!$Y$13:$Y$29,CF$17&amp;$C25,防護具!$Q$13:$Q$29),CE27)-VLOOKUP($C25,$C$3:$D$15,2,FALSE)*CE$20&lt;0,0,
SUM(SUMIF(防護具!$Y$13:$Y$29,CF$17&amp;$C25,防護具!$Q$13:$Q$29),CE27)-VLOOKUP($C25,$C$3:$D$15,2,FALSE)*CE$20)</f>
        <v>0</v>
      </c>
      <c r="CG27" s="763">
        <f xml:space="preserve">
IF(
SUM(SUMIF(防護具!$Y$13:$Y$29,CG$17&amp;$C25,防護具!$Q$13:$Q$29),CF27)-VLOOKUP($C25,$C$3:$D$15,2,FALSE)*CF$20&lt;0,0,
SUM(SUMIF(防護具!$Y$13:$Y$29,CG$17&amp;$C25,防護具!$Q$13:$Q$29),CF27)-VLOOKUP($C25,$C$3:$D$15,2,FALSE)*CF$20)</f>
        <v>0</v>
      </c>
      <c r="CH27" s="763">
        <f xml:space="preserve">
IF(
SUM(SUMIF(防護具!$Y$13:$Y$29,CH$17&amp;$C25,防護具!$Q$13:$Q$29),CG27)-VLOOKUP($C25,$C$3:$D$15,2,FALSE)*CG$20&lt;0,0,
SUM(SUMIF(防護具!$Y$13:$Y$29,CH$17&amp;$C25,防護具!$Q$13:$Q$29),CG27)-VLOOKUP($C25,$C$3:$D$15,2,FALSE)*CG$20)</f>
        <v>0</v>
      </c>
      <c r="CI27" s="763">
        <f xml:space="preserve">
IF(
SUM(SUMIF(防護具!$Y$13:$Y$29,CI$17&amp;$C25,防護具!$Q$13:$Q$29),CH27)-VLOOKUP($C25,$C$3:$D$15,2,FALSE)*CH$20&lt;0,0,
SUM(SUMIF(防護具!$Y$13:$Y$29,CI$17&amp;$C25,防護具!$Q$13:$Q$29),CH27)-VLOOKUP($C25,$C$3:$D$15,2,FALSE)*CH$20)</f>
        <v>0</v>
      </c>
      <c r="CJ27" s="763">
        <f xml:space="preserve">
IF(
SUM(SUMIF(防護具!$Y$13:$Y$29,CJ$17&amp;$C25,防護具!$Q$13:$Q$29),CI27)-VLOOKUP($C25,$C$3:$D$15,2,FALSE)*CI$20&lt;0,0,
SUM(SUMIF(防護具!$Y$13:$Y$29,CJ$17&amp;$C25,防護具!$Q$13:$Q$29),CI27)-VLOOKUP($C25,$C$3:$D$15,2,FALSE)*CI$20)</f>
        <v>0</v>
      </c>
      <c r="CK27" s="763">
        <f xml:space="preserve">
IF(
SUM(SUMIF(防護具!$Y$13:$Y$29,CK$17&amp;$C25,防護具!$Q$13:$Q$29),CJ27)-VLOOKUP($C25,$C$3:$D$15,2,FALSE)*CJ$20&lt;0,0,
SUM(SUMIF(防護具!$Y$13:$Y$29,CK$17&amp;$C25,防護具!$Q$13:$Q$29),CJ27)-VLOOKUP($C25,$C$3:$D$15,2,FALSE)*CJ$20)</f>
        <v>0</v>
      </c>
      <c r="CL27" s="763">
        <f xml:space="preserve">
IF(
SUM(SUMIF(防護具!$Y$13:$Y$29,CL$17&amp;$C25,防護具!$Q$13:$Q$29),CK27)-VLOOKUP($C25,$C$3:$D$15,2,FALSE)*CK$20&lt;0,0,
SUM(SUMIF(防護具!$Y$13:$Y$29,CL$17&amp;$C25,防護具!$Q$13:$Q$29),CK27)-VLOOKUP($C25,$C$3:$D$15,2,FALSE)*CK$20)</f>
        <v>0</v>
      </c>
      <c r="CM27" s="763">
        <f xml:space="preserve">
IF(
SUM(SUMIF(防護具!$Y$13:$Y$29,CM$17&amp;$C25,防護具!$Q$13:$Q$29),CL27)-VLOOKUP($C25,$C$3:$D$15,2,FALSE)*CL$20&lt;0,0,
SUM(SUMIF(防護具!$Y$13:$Y$29,CM$17&amp;$C25,防護具!$Q$13:$Q$29),CL27)-VLOOKUP($C25,$C$3:$D$15,2,FALSE)*CL$20)</f>
        <v>0</v>
      </c>
      <c r="CN27" s="763">
        <f xml:space="preserve">
IF(
SUM(SUMIF(防護具!$Y$13:$Y$29,CN$17&amp;$C25,防護具!$Q$13:$Q$29),CM27)-VLOOKUP($C25,$C$3:$D$15,2,FALSE)*CM$20&lt;0,0,
SUM(SUMIF(防護具!$Y$13:$Y$29,CN$17&amp;$C25,防護具!$Q$13:$Q$29),CM27)-VLOOKUP($C25,$C$3:$D$15,2,FALSE)*CM$20)</f>
        <v>0</v>
      </c>
      <c r="CO27" s="763">
        <f xml:space="preserve">
IF(
SUM(SUMIF(防護具!$Y$13:$Y$29,CO$17&amp;$C25,防護具!$Q$13:$Q$29),CN27)-VLOOKUP($C25,$C$3:$D$15,2,FALSE)*CN$20&lt;0,0,
SUM(SUMIF(防護具!$Y$13:$Y$29,CO$17&amp;$C25,防護具!$Q$13:$Q$29),CN27)-VLOOKUP($C25,$C$3:$D$15,2,FALSE)*CN$20)</f>
        <v>0</v>
      </c>
      <c r="CP27" s="763">
        <f xml:space="preserve">
IF(
SUM(SUMIF(防護具!$Y$13:$Y$29,CP$17&amp;$C25,防護具!$Q$13:$Q$29),CO27)-VLOOKUP($C25,$C$3:$D$15,2,FALSE)*CO$20&lt;0,0,
SUM(SUMIF(防護具!$Y$13:$Y$29,CP$17&amp;$C25,防護具!$Q$13:$Q$29),CO27)-VLOOKUP($C25,$C$3:$D$15,2,FALSE)*CO$20)</f>
        <v>0</v>
      </c>
      <c r="CQ27" s="763">
        <f xml:space="preserve">
IF(
SUM(SUMIF(防護具!$Y$13:$Y$29,CQ$17&amp;$C25,防護具!$Q$13:$Q$29),CP27)-VLOOKUP($C25,$C$3:$D$15,2,FALSE)*CP$20&lt;0,0,
SUM(SUMIF(防護具!$Y$13:$Y$29,CQ$17&amp;$C25,防護具!$Q$13:$Q$29),CP27)-VLOOKUP($C25,$C$3:$D$15,2,FALSE)*CP$20)</f>
        <v>0</v>
      </c>
      <c r="CR27" s="763">
        <f xml:space="preserve">
IF(
SUM(SUMIF(防護具!$Y$13:$Y$29,CR$17&amp;$C25,防護具!$Q$13:$Q$29),CQ27)-VLOOKUP($C25,$C$3:$D$15,2,FALSE)*CQ$20&lt;0,0,
SUM(SUMIF(防護具!$Y$13:$Y$29,CR$17&amp;$C25,防護具!$Q$13:$Q$29),CQ27)-VLOOKUP($C25,$C$3:$D$15,2,FALSE)*CQ$20)</f>
        <v>0</v>
      </c>
      <c r="CS27" s="763">
        <f xml:space="preserve">
IF(
SUM(SUMIF(防護具!$Y$13:$Y$29,CS$17&amp;$C25,防護具!$Q$13:$Q$29),CR27)-VLOOKUP($C25,$C$3:$D$15,2,FALSE)*CR$20&lt;0,0,
SUM(SUMIF(防護具!$Y$13:$Y$29,CS$17&amp;$C25,防護具!$Q$13:$Q$29),CR27)-VLOOKUP($C25,$C$3:$D$15,2,FALSE)*CR$20)</f>
        <v>0</v>
      </c>
      <c r="CT27" s="763">
        <f xml:space="preserve">
IF(
SUM(SUMIF(防護具!$Y$13:$Y$29,CT$17&amp;$C25,防護具!$Q$13:$Q$29),CS27)-VLOOKUP($C25,$C$3:$D$15,2,FALSE)*CS$20&lt;0,0,
SUM(SUMIF(防護具!$Y$13:$Y$29,CT$17&amp;$C25,防護具!$Q$13:$Q$29),CS27)-VLOOKUP($C25,$C$3:$D$15,2,FALSE)*CS$20)</f>
        <v>0</v>
      </c>
      <c r="CU27" s="763">
        <f xml:space="preserve">
IF(
SUM(SUMIF(防護具!$Y$13:$Y$29,CU$17&amp;$C25,防護具!$Q$13:$Q$29),CT27)-VLOOKUP($C25,$C$3:$D$15,2,FALSE)*CT$20&lt;0,0,
SUM(SUMIF(防護具!$Y$13:$Y$29,CU$17&amp;$C25,防護具!$Q$13:$Q$29),CT27)-VLOOKUP($C25,$C$3:$D$15,2,FALSE)*CT$20)</f>
        <v>0</v>
      </c>
      <c r="CV27" s="763">
        <f xml:space="preserve">
IF(
SUM(SUMIF(防護具!$Y$13:$Y$29,CV$17&amp;$C25,防護具!$Q$13:$Q$29),CU27)-VLOOKUP($C25,$C$3:$D$15,2,FALSE)*CU$20&lt;0,0,
SUM(SUMIF(防護具!$Y$13:$Y$29,CV$17&amp;$C25,防護具!$Q$13:$Q$29),CU27)-VLOOKUP($C25,$C$3:$D$15,2,FALSE)*CU$20)</f>
        <v>0</v>
      </c>
      <c r="CW27" s="763">
        <f xml:space="preserve">
IF(
SUM(SUMIF(防護具!$Y$13:$Y$29,CW$17&amp;$C25,防護具!$Q$13:$Q$29),CV27)-VLOOKUP($C25,$C$3:$D$15,2,FALSE)*CV$20&lt;0,0,
SUM(SUMIF(防護具!$Y$13:$Y$29,CW$17&amp;$C25,防護具!$Q$13:$Q$29),CV27)-VLOOKUP($C25,$C$3:$D$15,2,FALSE)*CV$20)</f>
        <v>0</v>
      </c>
      <c r="CX27" s="763">
        <f xml:space="preserve">
IF(
SUM(SUMIF(防護具!$Y$13:$Y$29,CX$17&amp;$C25,防護具!$Q$13:$Q$29),CW27)-VLOOKUP($C25,$C$3:$D$15,2,FALSE)*CW$20&lt;0,0,
SUM(SUMIF(防護具!$Y$13:$Y$29,CX$17&amp;$C25,防護具!$Q$13:$Q$29),CW27)-VLOOKUP($C25,$C$3:$D$15,2,FALSE)*CW$20)</f>
        <v>0</v>
      </c>
      <c r="CY27" s="763">
        <f xml:space="preserve">
IF(
SUM(SUMIF(防護具!$Y$13:$Y$29,CY$17&amp;$C25,防護具!$Q$13:$Q$29),CX27)-VLOOKUP($C25,$C$3:$D$15,2,FALSE)*CX$20&lt;0,0,
SUM(SUMIF(防護具!$Y$13:$Y$29,CY$17&amp;$C25,防護具!$Q$13:$Q$29),CX27)-VLOOKUP($C25,$C$3:$D$15,2,FALSE)*CX$20)</f>
        <v>0</v>
      </c>
      <c r="CZ27" s="763">
        <f xml:space="preserve">
IF(
SUM(SUMIF(防護具!$Y$13:$Y$29,CZ$17&amp;$C25,防護具!$Q$13:$Q$29),CY27)-VLOOKUP($C25,$C$3:$D$15,2,FALSE)*CY$20&lt;0,0,
SUM(SUMIF(防護具!$Y$13:$Y$29,CZ$17&amp;$C25,防護具!$Q$13:$Q$29),CY27)-VLOOKUP($C25,$C$3:$D$15,2,FALSE)*CY$20)</f>
        <v>0</v>
      </c>
      <c r="DA27" s="763">
        <f xml:space="preserve">
IF(
SUM(SUMIF(防護具!$Y$13:$Y$29,DA$17&amp;$C25,防護具!$Q$13:$Q$29),CZ27)-VLOOKUP($C25,$C$3:$D$15,2,FALSE)*CZ$20&lt;0,0,
SUM(SUMIF(防護具!$Y$13:$Y$29,DA$17&amp;$C25,防護具!$Q$13:$Q$29),CZ27)-VLOOKUP($C25,$C$3:$D$15,2,FALSE)*CZ$20)</f>
        <v>0</v>
      </c>
      <c r="DB27" s="763">
        <f xml:space="preserve">
IF(
SUM(SUMIF(防護具!$Y$13:$Y$29,DB$17&amp;$C25,防護具!$Q$13:$Q$29),DA27)-VLOOKUP($C25,$C$3:$D$15,2,FALSE)*DA$20&lt;0,0,
SUM(SUMIF(防護具!$Y$13:$Y$29,DB$17&amp;$C25,防護具!$Q$13:$Q$29),DA27)-VLOOKUP($C25,$C$3:$D$15,2,FALSE)*DA$20)</f>
        <v>0</v>
      </c>
      <c r="DC27" s="763">
        <f xml:space="preserve">
IF(
SUM(SUMIF(防護具!$Y$13:$Y$29,DC$17&amp;$C25,防護具!$Q$13:$Q$29),DB27)-VLOOKUP($C25,$C$3:$D$15,2,FALSE)*DB$20&lt;0,0,
SUM(SUMIF(防護具!$Y$13:$Y$29,DC$17&amp;$C25,防護具!$Q$13:$Q$29),DB27)-VLOOKUP($C25,$C$3:$D$15,2,FALSE)*DB$20)</f>
        <v>0</v>
      </c>
      <c r="DD27" s="763">
        <f xml:space="preserve">
IF(
SUM(SUMIF(防護具!$Y$13:$Y$29,DD$17&amp;$C25,防護具!$Q$13:$Q$29),DC27)-VLOOKUP($C25,$C$3:$D$15,2,FALSE)*DC$20&lt;0,0,
SUM(SUMIF(防護具!$Y$13:$Y$29,DD$17&amp;$C25,防護具!$Q$13:$Q$29),DC27)-VLOOKUP($C25,$C$3:$D$15,2,FALSE)*DC$20)</f>
        <v>0</v>
      </c>
      <c r="DE27" s="763">
        <f xml:space="preserve">
IF(
SUM(SUMIF(防護具!$Y$13:$Y$29,DE$17&amp;$C25,防護具!$Q$13:$Q$29),DD27)-VLOOKUP($C25,$C$3:$D$15,2,FALSE)*DD$20&lt;0,0,
SUM(SUMIF(防護具!$Y$13:$Y$29,DE$17&amp;$C25,防護具!$Q$13:$Q$29),DD27)-VLOOKUP($C25,$C$3:$D$15,2,FALSE)*DD$20)</f>
        <v>0</v>
      </c>
      <c r="DF27" s="763">
        <f xml:space="preserve">
IF(
SUM(SUMIF(防護具!$Y$13:$Y$29,DF$17&amp;$C25,防護具!$Q$13:$Q$29),DE27)-VLOOKUP($C25,$C$3:$D$15,2,FALSE)*DE$20&lt;0,0,
SUM(SUMIF(防護具!$Y$13:$Y$29,DF$17&amp;$C25,防護具!$Q$13:$Q$29),DE27)-VLOOKUP($C25,$C$3:$D$15,2,FALSE)*DE$20)</f>
        <v>0</v>
      </c>
      <c r="DG27" s="763">
        <f xml:space="preserve">
IF(
SUM(SUMIF(防護具!$Y$13:$Y$29,DG$17&amp;$C25,防護具!$Q$13:$Q$29),DF27)-VLOOKUP($C25,$C$3:$D$15,2,FALSE)*DF$20&lt;0,0,
SUM(SUMIF(防護具!$Y$13:$Y$29,DG$17&amp;$C25,防護具!$Q$13:$Q$29),DF27)-VLOOKUP($C25,$C$3:$D$15,2,FALSE)*DF$20)</f>
        <v>0</v>
      </c>
      <c r="DH27" s="763">
        <f xml:space="preserve">
IF(
SUM(SUMIF(防護具!$Y$13:$Y$29,DH$17&amp;$C25,防護具!$Q$13:$Q$29),DG27)-VLOOKUP($C25,$C$3:$D$15,2,FALSE)*DG$20&lt;0,0,
SUM(SUMIF(防護具!$Y$13:$Y$29,DH$17&amp;$C25,防護具!$Q$13:$Q$29),DG27)-VLOOKUP($C25,$C$3:$D$15,2,FALSE)*DG$20)</f>
        <v>0</v>
      </c>
      <c r="DI27" s="763">
        <f xml:space="preserve">
IF(
SUM(SUMIF(防護具!$Y$13:$Y$29,DI$17&amp;$C25,防護具!$Q$13:$Q$29),DH27)-VLOOKUP($C25,$C$3:$D$15,2,FALSE)*DH$20&lt;0,0,
SUM(SUMIF(防護具!$Y$13:$Y$29,DI$17&amp;$C25,防護具!$Q$13:$Q$29),DH27)-VLOOKUP($C25,$C$3:$D$15,2,FALSE)*DH$20)</f>
        <v>0</v>
      </c>
      <c r="DJ27" s="763">
        <f xml:space="preserve">
IF(
SUM(SUMIF(防護具!$Y$13:$Y$29,DJ$17&amp;$C25,防護具!$Q$13:$Q$29),DI27)-VLOOKUP($C25,$C$3:$D$15,2,FALSE)*DI$20&lt;0,0,
SUM(SUMIF(防護具!$Y$13:$Y$29,DJ$17&amp;$C25,防護具!$Q$13:$Q$29),DI27)-VLOOKUP($C25,$C$3:$D$15,2,FALSE)*DI$20)</f>
        <v>0</v>
      </c>
      <c r="DK27" s="763">
        <f xml:space="preserve">
IF(
SUM(SUMIF(防護具!$Y$13:$Y$29,DK$17&amp;$C25,防護具!$Q$13:$Q$29),DJ27)-VLOOKUP($C25,$C$3:$D$15,2,FALSE)*DJ$20&lt;0,0,
SUM(SUMIF(防護具!$Y$13:$Y$29,DK$17&amp;$C25,防護具!$Q$13:$Q$29),DJ27)-VLOOKUP($C25,$C$3:$D$15,2,FALSE)*DJ$20)</f>
        <v>0</v>
      </c>
      <c r="DL27" s="763">
        <f xml:space="preserve">
IF(
SUM(SUMIF(防護具!$Y$13:$Y$29,DL$17&amp;$C25,防護具!$Q$13:$Q$29),DK27)-VLOOKUP($C25,$C$3:$D$15,2,FALSE)*DK$20&lt;0,0,
SUM(SUMIF(防護具!$Y$13:$Y$29,DL$17&amp;$C25,防護具!$Q$13:$Q$29),DK27)-VLOOKUP($C25,$C$3:$D$15,2,FALSE)*DK$20)</f>
        <v>0</v>
      </c>
      <c r="DM27" s="763">
        <f xml:space="preserve">
IF(
SUM(SUMIF(防護具!$Y$13:$Y$29,DM$17&amp;$C25,防護具!$Q$13:$Q$29),DL27)-VLOOKUP($C25,$C$3:$D$15,2,FALSE)*DL$20&lt;0,0,
SUM(SUMIF(防護具!$Y$13:$Y$29,DM$17&amp;$C25,防護具!$Q$13:$Q$29),DL27)-VLOOKUP($C25,$C$3:$D$15,2,FALSE)*DL$20)</f>
        <v>0</v>
      </c>
      <c r="DN27" s="763">
        <f xml:space="preserve">
IF(
SUM(SUMIF(防護具!$Y$13:$Y$29,DN$17&amp;$C25,防護具!$Q$13:$Q$29),DM27)-VLOOKUP($C25,$C$3:$D$15,2,FALSE)*DM$20&lt;0,0,
SUM(SUMIF(防護具!$Y$13:$Y$29,DN$17&amp;$C25,防護具!$Q$13:$Q$29),DM27)-VLOOKUP($C25,$C$3:$D$15,2,FALSE)*DM$20)</f>
        <v>0</v>
      </c>
      <c r="DO27" s="763">
        <f xml:space="preserve">
IF(
SUM(SUMIF(防護具!$Y$13:$Y$29,DO$17&amp;$C25,防護具!$Q$13:$Q$29),DN27)-VLOOKUP($C25,$C$3:$D$15,2,FALSE)*DN$20&lt;0,0,
SUM(SUMIF(防護具!$Y$13:$Y$29,DO$17&amp;$C25,防護具!$Q$13:$Q$29),DN27)-VLOOKUP($C25,$C$3:$D$15,2,FALSE)*DN$20)</f>
        <v>0</v>
      </c>
      <c r="DP27" s="763">
        <f xml:space="preserve">
IF(
SUM(SUMIF(防護具!$Y$13:$Y$29,DP$17&amp;$C25,防護具!$Q$13:$Q$29),DO27)-VLOOKUP($C25,$C$3:$D$15,2,FALSE)*DO$20&lt;0,0,
SUM(SUMIF(防護具!$Y$13:$Y$29,DP$17&amp;$C25,防護具!$Q$13:$Q$29),DO27)-VLOOKUP($C25,$C$3:$D$15,2,FALSE)*DO$20)</f>
        <v>0</v>
      </c>
      <c r="DQ27" s="763">
        <f xml:space="preserve">
IF(
SUM(SUMIF(防護具!$Y$13:$Y$29,DQ$17&amp;$C25,防護具!$Q$13:$Q$29),DP27)-VLOOKUP($C25,$C$3:$D$15,2,FALSE)*DP$20&lt;0,0,
SUM(SUMIF(防護具!$Y$13:$Y$29,DQ$17&amp;$C25,防護具!$Q$13:$Q$29),DP27)-VLOOKUP($C25,$C$3:$D$15,2,FALSE)*DP$20)</f>
        <v>0</v>
      </c>
      <c r="DR27" s="763">
        <f xml:space="preserve">
IF(
SUM(SUMIF(防護具!$Y$13:$Y$29,DR$17&amp;$C25,防護具!$Q$13:$Q$29),DQ27)-VLOOKUP($C25,$C$3:$D$15,2,FALSE)*DQ$20&lt;0,0,
SUM(SUMIF(防護具!$Y$13:$Y$29,DR$17&amp;$C25,防護具!$Q$13:$Q$29),DQ27)-VLOOKUP($C25,$C$3:$D$15,2,FALSE)*DQ$20)</f>
        <v>0</v>
      </c>
      <c r="DS27" s="763">
        <f xml:space="preserve">
IF(
SUM(SUMIF(防護具!$Y$13:$Y$29,DS$17&amp;$C25,防護具!$Q$13:$Q$29),DR27)-VLOOKUP($C25,$C$3:$D$15,2,FALSE)*DR$20&lt;0,0,
SUM(SUMIF(防護具!$Y$13:$Y$29,DS$17&amp;$C25,防護具!$Q$13:$Q$29),DR27)-VLOOKUP($C25,$C$3:$D$15,2,FALSE)*DR$20)</f>
        <v>0</v>
      </c>
      <c r="DT27" s="763">
        <f xml:space="preserve">
IF(
SUM(SUMIF(防護具!$Y$13:$Y$29,DT$17&amp;$C25,防護具!$Q$13:$Q$29),DS27)-VLOOKUP($C25,$C$3:$D$15,2,FALSE)*DS$20&lt;0,0,
SUM(SUMIF(防護具!$Y$13:$Y$29,DT$17&amp;$C25,防護具!$Q$13:$Q$29),DS27)-VLOOKUP($C25,$C$3:$D$15,2,FALSE)*DS$20)</f>
        <v>0</v>
      </c>
      <c r="DU27" s="763">
        <f xml:space="preserve">
IF(
SUM(SUMIF(防護具!$Y$13:$Y$29,DU$17&amp;$C25,防護具!$Q$13:$Q$29),DT27)-VLOOKUP($C25,$C$3:$D$15,2,FALSE)*DT$20&lt;0,0,
SUM(SUMIF(防護具!$Y$13:$Y$29,DU$17&amp;$C25,防護具!$Q$13:$Q$29),DT27)-VLOOKUP($C25,$C$3:$D$15,2,FALSE)*DT$20)</f>
        <v>0</v>
      </c>
      <c r="DV27" s="763">
        <f xml:space="preserve">
IF(
SUM(SUMIF(防護具!$Y$13:$Y$29,DV$17&amp;$C25,防護具!$Q$13:$Q$29),DU27)-VLOOKUP($C25,$C$3:$D$15,2,FALSE)*DU$20&lt;0,0,
SUM(SUMIF(防護具!$Y$13:$Y$29,DV$17&amp;$C25,防護具!$Q$13:$Q$29),DU27)-VLOOKUP($C25,$C$3:$D$15,2,FALSE)*DU$20)</f>
        <v>0</v>
      </c>
      <c r="DW27" s="763">
        <f xml:space="preserve">
IF(
SUM(SUMIF(防護具!$Y$13:$Y$29,DW$17&amp;$C25,防護具!$Q$13:$Q$29),DV27)-VLOOKUP($C25,$C$3:$D$15,2,FALSE)*DV$20&lt;0,0,
SUM(SUMIF(防護具!$Y$13:$Y$29,DW$17&amp;$C25,防護具!$Q$13:$Q$29),DV27)-VLOOKUP($C25,$C$3:$D$15,2,FALSE)*DV$20)</f>
        <v>0</v>
      </c>
      <c r="DX27" s="763">
        <f xml:space="preserve">
IF(
SUM(SUMIF(防護具!$Y$13:$Y$29,DX$17&amp;$C25,防護具!$Q$13:$Q$29),DW27)-VLOOKUP($C25,$C$3:$D$15,2,FALSE)*DW$20&lt;0,0,
SUM(SUMIF(防護具!$Y$13:$Y$29,DX$17&amp;$C25,防護具!$Q$13:$Q$29),DW27)-VLOOKUP($C25,$C$3:$D$15,2,FALSE)*DW$20)</f>
        <v>0</v>
      </c>
      <c r="DY27" s="763">
        <f xml:space="preserve">
IF(
SUM(SUMIF(防護具!$Y$13:$Y$29,DY$17&amp;$C25,防護具!$Q$13:$Q$29),DX27)-VLOOKUP($C25,$C$3:$D$15,2,FALSE)*DX$20&lt;0,0,
SUM(SUMIF(防護具!$Y$13:$Y$29,DY$17&amp;$C25,防護具!$Q$13:$Q$29),DX27)-VLOOKUP($C25,$C$3:$D$15,2,FALSE)*DX$20)</f>
        <v>0</v>
      </c>
      <c r="DZ27" s="763">
        <f xml:space="preserve">
IF(
SUM(SUMIF(防護具!$Y$13:$Y$29,DZ$17&amp;$C25,防護具!$Q$13:$Q$29),DY27)-VLOOKUP($C25,$C$3:$D$15,2,FALSE)*DY$20&lt;0,0,
SUM(SUMIF(防護具!$Y$13:$Y$29,DZ$17&amp;$C25,防護具!$Q$13:$Q$29),DY27)-VLOOKUP($C25,$C$3:$D$15,2,FALSE)*DY$20)</f>
        <v>0</v>
      </c>
      <c r="EA27" s="763">
        <f xml:space="preserve">
IF(
SUM(SUMIF(防護具!$Y$13:$Y$29,EA$17&amp;$C25,防護具!$Q$13:$Q$29),DZ27)-VLOOKUP($C25,$C$3:$D$15,2,FALSE)*DZ$20&lt;0,0,
SUM(SUMIF(防護具!$Y$13:$Y$29,EA$17&amp;$C25,防護具!$Q$13:$Q$29),DZ27)-VLOOKUP($C25,$C$3:$D$15,2,FALSE)*DZ$20)</f>
        <v>0</v>
      </c>
      <c r="EB27" s="763">
        <f xml:space="preserve">
IF(
SUM(SUMIF(防護具!$Y$13:$Y$29,EB$17&amp;$C25,防護具!$Q$13:$Q$29),EA27)-VLOOKUP($C25,$C$3:$D$15,2,FALSE)*EA$20&lt;0,0,
SUM(SUMIF(防護具!$Y$13:$Y$29,EB$17&amp;$C25,防護具!$Q$13:$Q$29),EA27)-VLOOKUP($C25,$C$3:$D$15,2,FALSE)*EA$20)</f>
        <v>0</v>
      </c>
      <c r="EC27" s="763">
        <f xml:space="preserve">
IF(
SUM(SUMIF(防護具!$Y$13:$Y$29,EC$17&amp;$C25,防護具!$Q$13:$Q$29),EB27)-VLOOKUP($C25,$C$3:$D$15,2,FALSE)*EB$20&lt;0,0,
SUM(SUMIF(防護具!$Y$13:$Y$29,EC$17&amp;$C25,防護具!$Q$13:$Q$29),EB27)-VLOOKUP($C25,$C$3:$D$15,2,FALSE)*EB$20)</f>
        <v>0</v>
      </c>
      <c r="ED27" s="763">
        <f xml:space="preserve">
IF(
SUM(SUMIF(防護具!$Y$13:$Y$29,ED$17&amp;$C25,防護具!$Q$13:$Q$29),EC27)-VLOOKUP($C25,$C$3:$D$15,2,FALSE)*EC$20&lt;0,0,
SUM(SUMIF(防護具!$Y$13:$Y$29,ED$17&amp;$C25,防護具!$Q$13:$Q$29),EC27)-VLOOKUP($C25,$C$3:$D$15,2,FALSE)*EC$20)</f>
        <v>0</v>
      </c>
      <c r="EE27" s="763">
        <f xml:space="preserve">
IF(
SUM(SUMIF(防護具!$Y$13:$Y$29,EE$17&amp;$C25,防護具!$Q$13:$Q$29),ED27)-VLOOKUP($C25,$C$3:$D$15,2,FALSE)*ED$20&lt;0,0,
SUM(SUMIF(防護具!$Y$13:$Y$29,EE$17&amp;$C25,防護具!$Q$13:$Q$29),ED27)-VLOOKUP($C25,$C$3:$D$15,2,FALSE)*ED$20)</f>
        <v>0</v>
      </c>
      <c r="EF27" s="763">
        <f xml:space="preserve">
IF(
SUM(SUMIF(防護具!$Y$13:$Y$29,EF$17&amp;$C25,防護具!$Q$13:$Q$29),EE27)-VLOOKUP($C25,$C$3:$D$15,2,FALSE)*EE$20&lt;0,0,
SUM(SUMIF(防護具!$Y$13:$Y$29,EF$17&amp;$C25,防護具!$Q$13:$Q$29),EE27)-VLOOKUP($C25,$C$3:$D$15,2,FALSE)*EE$20)</f>
        <v>0</v>
      </c>
      <c r="EG27" s="763">
        <f xml:space="preserve">
IF(
SUM(SUMIF(防護具!$Y$13:$Y$29,EG$17&amp;$C25,防護具!$Q$13:$Q$29),EF27)-VLOOKUP($C25,$C$3:$D$15,2,FALSE)*EF$20&lt;0,0,
SUM(SUMIF(防護具!$Y$13:$Y$29,EG$17&amp;$C25,防護具!$Q$13:$Q$29),EF27)-VLOOKUP($C25,$C$3:$D$15,2,FALSE)*EF$20)</f>
        <v>0</v>
      </c>
      <c r="EH27" s="763">
        <f xml:space="preserve">
IF(
SUM(SUMIF(防護具!$Y$13:$Y$29,EH$17&amp;$C25,防護具!$Q$13:$Q$29),EG27)-VLOOKUP($C25,$C$3:$D$15,2,FALSE)*EG$20&lt;0,0,
SUM(SUMIF(防護具!$Y$13:$Y$29,EH$17&amp;$C25,防護具!$Q$13:$Q$29),EG27)-VLOOKUP($C25,$C$3:$D$15,2,FALSE)*EG$20)</f>
        <v>0</v>
      </c>
      <c r="EI27" s="763">
        <f xml:space="preserve">
IF(
SUM(SUMIF(防護具!$Y$13:$Y$29,EI$17&amp;$C25,防護具!$Q$13:$Q$29),EH27)-VLOOKUP($C25,$C$3:$D$15,2,FALSE)*EH$20&lt;0,0,
SUM(SUMIF(防護具!$Y$13:$Y$29,EI$17&amp;$C25,防護具!$Q$13:$Q$29),EH27)-VLOOKUP($C25,$C$3:$D$15,2,FALSE)*EH$20)</f>
        <v>0</v>
      </c>
      <c r="EJ27" s="763">
        <f xml:space="preserve">
IF(
SUM(SUMIF(防護具!$Y$13:$Y$29,EJ$17&amp;$C25,防護具!$Q$13:$Q$29),EI27)-VLOOKUP($C25,$C$3:$D$15,2,FALSE)*EI$20&lt;0,0,
SUM(SUMIF(防護具!$Y$13:$Y$29,EJ$17&amp;$C25,防護具!$Q$13:$Q$29),EI27)-VLOOKUP($C25,$C$3:$D$15,2,FALSE)*EI$20)</f>
        <v>0</v>
      </c>
      <c r="EK27" s="763">
        <f xml:space="preserve">
IF(
SUM(SUMIF(防護具!$Y$13:$Y$29,EK$17&amp;$C25,防護具!$Q$13:$Q$29),EJ27)-VLOOKUP($C25,$C$3:$D$15,2,FALSE)*EJ$20&lt;0,0,
SUM(SUMIF(防護具!$Y$13:$Y$29,EK$17&amp;$C25,防護具!$Q$13:$Q$29),EJ27)-VLOOKUP($C25,$C$3:$D$15,2,FALSE)*EJ$20)</f>
        <v>0</v>
      </c>
      <c r="EL27" s="763">
        <f xml:space="preserve">
IF(
SUM(SUMIF(防護具!$Y$13:$Y$29,EL$17&amp;$C25,防護具!$Q$13:$Q$29),EK27)-VLOOKUP($C25,$C$3:$D$15,2,FALSE)*EK$20&lt;0,0,
SUM(SUMIF(防護具!$Y$13:$Y$29,EL$17&amp;$C25,防護具!$Q$13:$Q$29),EK27)-VLOOKUP($C25,$C$3:$D$15,2,FALSE)*EK$20)</f>
        <v>0</v>
      </c>
      <c r="EM27" s="763">
        <f xml:space="preserve">
IF(
SUM(SUMIF(防護具!$Y$13:$Y$29,EM$17&amp;$C25,防護具!$Q$13:$Q$29),EL27)-VLOOKUP($C25,$C$3:$D$15,2,FALSE)*EL$20&lt;0,0,
SUM(SUMIF(防護具!$Y$13:$Y$29,EM$17&amp;$C25,防護具!$Q$13:$Q$29),EL27)-VLOOKUP($C25,$C$3:$D$15,2,FALSE)*EL$20)</f>
        <v>0</v>
      </c>
      <c r="EN27" s="763">
        <f xml:space="preserve">
IF(
SUM(SUMIF(防護具!$Y$13:$Y$29,EN$17&amp;$C25,防護具!$Q$13:$Q$29),EM27)-VLOOKUP($C25,$C$3:$D$15,2,FALSE)*EM$20&lt;0,0,
SUM(SUMIF(防護具!$Y$13:$Y$29,EN$17&amp;$C25,防護具!$Q$13:$Q$29),EM27)-VLOOKUP($C25,$C$3:$D$15,2,FALSE)*EM$20)</f>
        <v>0</v>
      </c>
      <c r="EO27" s="763">
        <f xml:space="preserve">
IF(
SUM(SUMIF(防護具!$Y$13:$Y$29,EO$17&amp;$C25,防護具!$Q$13:$Q$29),EN27)-VLOOKUP($C25,$C$3:$D$15,2,FALSE)*EN$20&lt;0,0,
SUM(SUMIF(防護具!$Y$13:$Y$29,EO$17&amp;$C25,防護具!$Q$13:$Q$29),EN27)-VLOOKUP($C25,$C$3:$D$15,2,FALSE)*EN$20)</f>
        <v>0</v>
      </c>
      <c r="EP27" s="763">
        <f xml:space="preserve">
IF(
SUM(SUMIF(防護具!$Y$13:$Y$29,EP$17&amp;$C25,防護具!$Q$13:$Q$29),EO27)-VLOOKUP($C25,$C$3:$D$15,2,FALSE)*EO$20&lt;0,0,
SUM(SUMIF(防護具!$Y$13:$Y$29,EP$17&amp;$C25,防護具!$Q$13:$Q$29),EO27)-VLOOKUP($C25,$C$3:$D$15,2,FALSE)*EO$20)</f>
        <v>0</v>
      </c>
      <c r="EQ27" s="763">
        <f xml:space="preserve">
IF(
SUM(SUMIF(防護具!$Y$13:$Y$29,EQ$17&amp;$C25,防護具!$Q$13:$Q$29),EP27)-VLOOKUP($C25,$C$3:$D$15,2,FALSE)*EP$20&lt;0,0,
SUM(SUMIF(防護具!$Y$13:$Y$29,EQ$17&amp;$C25,防護具!$Q$13:$Q$29),EP27)-VLOOKUP($C25,$C$3:$D$15,2,FALSE)*EP$20)</f>
        <v>0</v>
      </c>
      <c r="ER27" s="763">
        <f xml:space="preserve">
IF(
SUM(SUMIF(防護具!$Y$13:$Y$29,ER$17&amp;$C25,防護具!$Q$13:$Q$29),EQ27)-VLOOKUP($C25,$C$3:$D$15,2,FALSE)*EQ$20&lt;0,0,
SUM(SUMIF(防護具!$Y$13:$Y$29,ER$17&amp;$C25,防護具!$Q$13:$Q$29),EQ27)-VLOOKUP($C25,$C$3:$D$15,2,FALSE)*EQ$20)</f>
        <v>0</v>
      </c>
      <c r="ES27" s="763">
        <f xml:space="preserve">
IF(
SUM(SUMIF(防護具!$Y$13:$Y$29,ES$17&amp;$C25,防護具!$Q$13:$Q$29),ER27)-VLOOKUP($C25,$C$3:$D$15,2,FALSE)*ER$20&lt;0,0,
SUM(SUMIF(防護具!$Y$13:$Y$29,ES$17&amp;$C25,防護具!$Q$13:$Q$29),ER27)-VLOOKUP($C25,$C$3:$D$15,2,FALSE)*ER$20)</f>
        <v>0</v>
      </c>
      <c r="ET27" s="763">
        <f xml:space="preserve">
IF(
SUM(SUMIF(防護具!$Y$13:$Y$29,ET$17&amp;$C25,防護具!$Q$13:$Q$29),ES27)-VLOOKUP($C25,$C$3:$D$15,2,FALSE)*ES$20&lt;0,0,
SUM(SUMIF(防護具!$Y$13:$Y$29,ET$17&amp;$C25,防護具!$Q$13:$Q$29),ES27)-VLOOKUP($C25,$C$3:$D$15,2,FALSE)*ES$20)</f>
        <v>0</v>
      </c>
      <c r="EU27" s="763">
        <f xml:space="preserve">
IF(
SUM(SUMIF(防護具!$Y$13:$Y$29,EU$17&amp;$C25,防護具!$Q$13:$Q$29),ET27)-VLOOKUP($C25,$C$3:$D$15,2,FALSE)*ET$20&lt;0,0,
SUM(SUMIF(防護具!$Y$13:$Y$29,EU$17&amp;$C25,防護具!$Q$13:$Q$29),ET27)-VLOOKUP($C25,$C$3:$D$15,2,FALSE)*ET$20)</f>
        <v>0</v>
      </c>
      <c r="EV27" s="763">
        <f xml:space="preserve">
IF(
SUM(SUMIF(防護具!$Y$13:$Y$29,EV$17&amp;$C25,防護具!$Q$13:$Q$29),EU27)-VLOOKUP($C25,$C$3:$D$15,2,FALSE)*EU$20&lt;0,0,
SUM(SUMIF(防護具!$Y$13:$Y$29,EV$17&amp;$C25,防護具!$Q$13:$Q$29),EU27)-VLOOKUP($C25,$C$3:$D$15,2,FALSE)*EU$20)</f>
        <v>0</v>
      </c>
      <c r="EW27" s="763">
        <f xml:space="preserve">
IF(
SUM(SUMIF(防護具!$Y$13:$Y$29,EW$17&amp;$C25,防護具!$Q$13:$Q$29),EV27)-VLOOKUP($C25,$C$3:$D$15,2,FALSE)*EV$20&lt;0,0,
SUM(SUMIF(防護具!$Y$13:$Y$29,EW$17&amp;$C25,防護具!$Q$13:$Q$29),EV27)-VLOOKUP($C25,$C$3:$D$15,2,FALSE)*EV$20)</f>
        <v>0</v>
      </c>
      <c r="EX27" s="763">
        <f xml:space="preserve">
IF(
SUM(SUMIF(防護具!$Y$13:$Y$29,EX$17&amp;$C25,防護具!$Q$13:$Q$29),EW27)-VLOOKUP($C25,$C$3:$D$15,2,FALSE)*EW$20&lt;0,0,
SUM(SUMIF(防護具!$Y$13:$Y$29,EX$17&amp;$C25,防護具!$Q$13:$Q$29),EW27)-VLOOKUP($C25,$C$3:$D$15,2,FALSE)*EW$20)</f>
        <v>0</v>
      </c>
      <c r="EY27" s="763">
        <f xml:space="preserve">
IF(
SUM(SUMIF(防護具!$Y$13:$Y$29,EY$17&amp;$C25,防護具!$Q$13:$Q$29),EX27)-VLOOKUP($C25,$C$3:$D$15,2,FALSE)*EX$20&lt;0,0,
SUM(SUMIF(防護具!$Y$13:$Y$29,EY$17&amp;$C25,防護具!$Q$13:$Q$29),EX27)-VLOOKUP($C25,$C$3:$D$15,2,FALSE)*EX$20)</f>
        <v>0</v>
      </c>
      <c r="EZ27" s="763">
        <f xml:space="preserve">
IF(
SUM(SUMIF(防護具!$Y$13:$Y$29,EZ$17&amp;$C25,防護具!$Q$13:$Q$29),EY27)-VLOOKUP($C25,$C$3:$D$15,2,FALSE)*EY$20&lt;0,0,
SUM(SUMIF(防護具!$Y$13:$Y$29,EZ$17&amp;$C25,防護具!$Q$13:$Q$29),EY27)-VLOOKUP($C25,$C$3:$D$15,2,FALSE)*EY$20)</f>
        <v>0</v>
      </c>
      <c r="FA27" s="763">
        <f xml:space="preserve">
IF(
SUM(SUMIF(防護具!$Y$13:$Y$29,FA$17&amp;$C25,防護具!$Q$13:$Q$29),EZ27)-VLOOKUP($C25,$C$3:$D$15,2,FALSE)*EZ$20&lt;0,0,
SUM(SUMIF(防護具!$Y$13:$Y$29,FA$17&amp;$C25,防護具!$Q$13:$Q$29),EZ27)-VLOOKUP($C25,$C$3:$D$15,2,FALSE)*EZ$20)</f>
        <v>0</v>
      </c>
      <c r="FB27" s="763">
        <f xml:space="preserve">
IF(
SUM(SUMIF(防護具!$Y$13:$Y$29,FB$17&amp;$C25,防護具!$Q$13:$Q$29),FA27)-VLOOKUP($C25,$C$3:$D$15,2,FALSE)*FA$20&lt;0,0,
SUM(SUMIF(防護具!$Y$13:$Y$29,FB$17&amp;$C25,防護具!$Q$13:$Q$29),FA27)-VLOOKUP($C25,$C$3:$D$15,2,FALSE)*FA$20)</f>
        <v>0</v>
      </c>
      <c r="FC27" s="763">
        <f xml:space="preserve">
IF(
SUM(SUMIF(防護具!$Y$13:$Y$29,FC$17&amp;$C25,防護具!$Q$13:$Q$29),FB27)-VLOOKUP($C25,$C$3:$D$15,2,FALSE)*FB$20&lt;0,0,
SUM(SUMIF(防護具!$Y$13:$Y$29,FC$17&amp;$C25,防護具!$Q$13:$Q$29),FB27)-VLOOKUP($C25,$C$3:$D$15,2,FALSE)*FB$20)</f>
        <v>0</v>
      </c>
      <c r="FD27" s="763">
        <f xml:space="preserve">
IF(
SUM(SUMIF(防護具!$Y$13:$Y$29,FD$17&amp;$C25,防護具!$Q$13:$Q$29),FC27)-VLOOKUP($C25,$C$3:$D$15,2,FALSE)*FC$20&lt;0,0,
SUM(SUMIF(防護具!$Y$13:$Y$29,FD$17&amp;$C25,防護具!$Q$13:$Q$29),FC27)-VLOOKUP($C25,$C$3:$D$15,2,FALSE)*FC$20)</f>
        <v>0</v>
      </c>
      <c r="FE27" s="763">
        <f xml:space="preserve">
IF(
SUM(SUMIF(防護具!$Y$13:$Y$29,FE$17&amp;$C25,防護具!$Q$13:$Q$29),FD27)-VLOOKUP($C25,$C$3:$D$15,2,FALSE)*FD$20&lt;0,0,
SUM(SUMIF(防護具!$Y$13:$Y$29,FE$17&amp;$C25,防護具!$Q$13:$Q$29),FD27)-VLOOKUP($C25,$C$3:$D$15,2,FALSE)*FD$20)</f>
        <v>0</v>
      </c>
      <c r="FF27" s="763">
        <f xml:space="preserve">
IF(
SUM(SUMIF(防護具!$Y$13:$Y$29,FF$17&amp;$C25,防護具!$Q$13:$Q$29),FE27)-VLOOKUP($C25,$C$3:$D$15,2,FALSE)*FE$20&lt;0,0,
SUM(SUMIF(防護具!$Y$13:$Y$29,FF$17&amp;$C25,防護具!$Q$13:$Q$29),FE27)-VLOOKUP($C25,$C$3:$D$15,2,FALSE)*FE$20)</f>
        <v>0</v>
      </c>
      <c r="FG27" s="763">
        <f xml:space="preserve">
IF(
SUM(SUMIF(防護具!$Y$13:$Y$29,FG$17&amp;$C25,防護具!$Q$13:$Q$29),FF27)-VLOOKUP($C25,$C$3:$D$15,2,FALSE)*FF$20&lt;0,0,
SUM(SUMIF(防護具!$Y$13:$Y$29,FG$17&amp;$C25,防護具!$Q$13:$Q$29),FF27)-VLOOKUP($C25,$C$3:$D$15,2,FALSE)*FF$20)</f>
        <v>0</v>
      </c>
      <c r="FH27" s="763">
        <f xml:space="preserve">
IF(
SUM(SUMIF(防護具!$Y$13:$Y$29,FH$17&amp;$C25,防護具!$Q$13:$Q$29),FG27)-VLOOKUP($C25,$C$3:$D$15,2,FALSE)*FG$20&lt;0,0,
SUM(SUMIF(防護具!$Y$13:$Y$29,FH$17&amp;$C25,防護具!$Q$13:$Q$29),FG27)-VLOOKUP($C25,$C$3:$D$15,2,FALSE)*FG$20)</f>
        <v>0</v>
      </c>
      <c r="FI27" s="763">
        <f xml:space="preserve">
IF(
SUM(SUMIF(防護具!$Y$13:$Y$29,FI$17&amp;$C25,防護具!$Q$13:$Q$29),FH27)-VLOOKUP($C25,$C$3:$D$15,2,FALSE)*FH$20&lt;0,0,
SUM(SUMIF(防護具!$Y$13:$Y$29,FI$17&amp;$C25,防護具!$Q$13:$Q$29),FH27)-VLOOKUP($C25,$C$3:$D$15,2,FALSE)*FH$20)</f>
        <v>0</v>
      </c>
      <c r="FJ27" s="763">
        <f xml:space="preserve">
IF(
SUM(SUMIF(防護具!$Y$13:$Y$29,FJ$17&amp;$C25,防護具!$Q$13:$Q$29),FI27)-VLOOKUP($C25,$C$3:$D$15,2,FALSE)*FI$20&lt;0,0,
SUM(SUMIF(防護具!$Y$13:$Y$29,FJ$17&amp;$C25,防護具!$Q$13:$Q$29),FI27)-VLOOKUP($C25,$C$3:$D$15,2,FALSE)*FI$20)</f>
        <v>0</v>
      </c>
      <c r="FK27" s="763">
        <f xml:space="preserve">
IF(
SUM(SUMIF(防護具!$Y$13:$Y$29,FK$17&amp;$C25,防護具!$Q$13:$Q$29),FJ27)-VLOOKUP($C25,$C$3:$D$15,2,FALSE)*FJ$20&lt;0,0,
SUM(SUMIF(防護具!$Y$13:$Y$29,FK$17&amp;$C25,防護具!$Q$13:$Q$29),FJ27)-VLOOKUP($C25,$C$3:$D$15,2,FALSE)*FJ$20)</f>
        <v>0</v>
      </c>
      <c r="FL27" s="763">
        <f xml:space="preserve">
IF(
SUM(SUMIF(防護具!$Y$13:$Y$29,FL$17&amp;$C25,防護具!$Q$13:$Q$29),FK27)-VLOOKUP($C25,$C$3:$D$15,2,FALSE)*FK$20&lt;0,0,
SUM(SUMIF(防護具!$Y$13:$Y$29,FL$17&amp;$C25,防護具!$Q$13:$Q$29),FK27)-VLOOKUP($C25,$C$3:$D$15,2,FALSE)*FK$20)</f>
        <v>0</v>
      </c>
      <c r="FM27" s="763">
        <f xml:space="preserve">
IF(
SUM(SUMIF(防護具!$Y$13:$Y$29,FM$17&amp;$C25,防護具!$Q$13:$Q$29),FL27)-VLOOKUP($C25,$C$3:$D$15,2,FALSE)*FL$20&lt;0,0,
SUM(SUMIF(防護具!$Y$13:$Y$29,FM$17&amp;$C25,防護具!$Q$13:$Q$29),FL27)-VLOOKUP($C25,$C$3:$D$15,2,FALSE)*FL$20)</f>
        <v>0</v>
      </c>
      <c r="FN27" s="763">
        <f xml:space="preserve">
IF(
SUM(SUMIF(防護具!$Y$13:$Y$29,FN$17&amp;$C25,防護具!$Q$13:$Q$29),FM27)-VLOOKUP($C25,$C$3:$D$15,2,FALSE)*FM$20&lt;0,0,
SUM(SUMIF(防護具!$Y$13:$Y$29,FN$17&amp;$C25,防護具!$Q$13:$Q$29),FM27)-VLOOKUP($C25,$C$3:$D$15,2,FALSE)*FM$20)</f>
        <v>0</v>
      </c>
      <c r="FO27" s="763">
        <f xml:space="preserve">
IF(
SUM(SUMIF(防護具!$Y$13:$Y$29,FO$17&amp;$C25,防護具!$Q$13:$Q$29),FN27)-VLOOKUP($C25,$C$3:$D$15,2,FALSE)*FN$20&lt;0,0,
SUM(SUMIF(防護具!$Y$13:$Y$29,FO$17&amp;$C25,防護具!$Q$13:$Q$29),FN27)-VLOOKUP($C25,$C$3:$D$15,2,FALSE)*FN$20)</f>
        <v>0</v>
      </c>
      <c r="FP27" s="763">
        <f xml:space="preserve">
IF(
SUM(SUMIF(防護具!$Y$13:$Y$29,FP$17&amp;$C25,防護具!$Q$13:$Q$29),FO27)-VLOOKUP($C25,$C$3:$D$15,2,FALSE)*FO$20&lt;0,0,
SUM(SUMIF(防護具!$Y$13:$Y$29,FP$17&amp;$C25,防護具!$Q$13:$Q$29),FO27)-VLOOKUP($C25,$C$3:$D$15,2,FALSE)*FO$20)</f>
        <v>0</v>
      </c>
      <c r="FQ27" s="763">
        <f xml:space="preserve">
IF(
SUM(SUMIF(防護具!$Y$13:$Y$29,FQ$17&amp;$C25,防護具!$Q$13:$Q$29),FP27)-VLOOKUP($C25,$C$3:$D$15,2,FALSE)*FP$20&lt;0,0,
SUM(SUMIF(防護具!$Y$13:$Y$29,FQ$17&amp;$C25,防護具!$Q$13:$Q$29),FP27)-VLOOKUP($C25,$C$3:$D$15,2,FALSE)*FP$20)</f>
        <v>0</v>
      </c>
      <c r="FR27" s="763">
        <f xml:space="preserve">
IF(
SUM(SUMIF(防護具!$Y$13:$Y$29,FR$17&amp;$C25,防護具!$Q$13:$Q$29),FQ27)-VLOOKUP($C25,$C$3:$D$15,2,FALSE)*FQ$20&lt;0,0,
SUM(SUMIF(防護具!$Y$13:$Y$29,FR$17&amp;$C25,防護具!$Q$13:$Q$29),FQ27)-VLOOKUP($C25,$C$3:$D$15,2,FALSE)*FQ$20)</f>
        <v>0</v>
      </c>
      <c r="FS27" s="763">
        <f xml:space="preserve">
IF(
SUM(SUMIF(防護具!$Y$13:$Y$29,FS$17&amp;$C25,防護具!$Q$13:$Q$29),FR27)-VLOOKUP($C25,$C$3:$D$15,2,FALSE)*FR$20&lt;0,0,
SUM(SUMIF(防護具!$Y$13:$Y$29,FS$17&amp;$C25,防護具!$Q$13:$Q$29),FR27)-VLOOKUP($C25,$C$3:$D$15,2,FALSE)*FR$20)</f>
        <v>0</v>
      </c>
      <c r="FT27" s="763">
        <f xml:space="preserve">
IF(
SUM(SUMIF(防護具!$Y$13:$Y$29,FT$17&amp;$C25,防護具!$Q$13:$Q$29),FS27)-VLOOKUP($C25,$C$3:$D$15,2,FALSE)*FS$20&lt;0,0,
SUM(SUMIF(防護具!$Y$13:$Y$29,FT$17&amp;$C25,防護具!$Q$13:$Q$29),FS27)-VLOOKUP($C25,$C$3:$D$15,2,FALSE)*FS$20)</f>
        <v>0</v>
      </c>
      <c r="FU27" s="763">
        <f xml:space="preserve">
IF(
SUM(SUMIF(防護具!$Y$13:$Y$29,FU$17&amp;$C25,防護具!$Q$13:$Q$29),FT27)-VLOOKUP($C25,$C$3:$D$15,2,FALSE)*FT$20&lt;0,0,
SUM(SUMIF(防護具!$Y$13:$Y$29,FU$17&amp;$C25,防護具!$Q$13:$Q$29),FT27)-VLOOKUP($C25,$C$3:$D$15,2,FALSE)*FT$20)</f>
        <v>0</v>
      </c>
      <c r="FV27" s="763">
        <f xml:space="preserve">
IF(
SUM(SUMIF(防護具!$Y$13:$Y$29,FV$17&amp;$C25,防護具!$Q$13:$Q$29),FU27)-VLOOKUP($C25,$C$3:$D$15,2,FALSE)*FU$20&lt;0,0,
SUM(SUMIF(防護具!$Y$13:$Y$29,FV$17&amp;$C25,防護具!$Q$13:$Q$29),FU27)-VLOOKUP($C25,$C$3:$D$15,2,FALSE)*FU$20)</f>
        <v>0</v>
      </c>
      <c r="FW27" s="763">
        <f xml:space="preserve">
IF(
SUM(SUMIF(防護具!$Y$13:$Y$29,FW$17&amp;$C25,防護具!$Q$13:$Q$29),FV27)-VLOOKUP($C25,$C$3:$D$15,2,FALSE)*FV$20&lt;0,0,
SUM(SUMIF(防護具!$Y$13:$Y$29,FW$17&amp;$C25,防護具!$Q$13:$Q$29),FV27)-VLOOKUP($C25,$C$3:$D$15,2,FALSE)*FV$20)</f>
        <v>0</v>
      </c>
      <c r="FX27" s="763">
        <f xml:space="preserve">
IF(
SUM(SUMIF(防護具!$Y$13:$Y$29,FX$17&amp;$C25,防護具!$Q$13:$Q$29),FW27)-VLOOKUP($C25,$C$3:$D$15,2,FALSE)*FW$20&lt;0,0,
SUM(SUMIF(防護具!$Y$13:$Y$29,FX$17&amp;$C25,防護具!$Q$13:$Q$29),FW27)-VLOOKUP($C25,$C$3:$D$15,2,FALSE)*FW$20)</f>
        <v>0</v>
      </c>
      <c r="FY27" s="763">
        <f xml:space="preserve">
IF(
SUM(SUMIF(防護具!$Y$13:$Y$29,FY$17&amp;$C25,防護具!$Q$13:$Q$29),FX27)-VLOOKUP($C25,$C$3:$D$15,2,FALSE)*FX$20&lt;0,0,
SUM(SUMIF(防護具!$Y$13:$Y$29,FY$17&amp;$C25,防護具!$Q$13:$Q$29),FX27)-VLOOKUP($C25,$C$3:$D$15,2,FALSE)*FX$20)</f>
        <v>0</v>
      </c>
      <c r="FZ27" s="763">
        <f xml:space="preserve">
IF(
SUM(SUMIF(防護具!$Y$13:$Y$29,FZ$17&amp;$C25,防護具!$Q$13:$Q$29),FY27)-VLOOKUP($C25,$C$3:$D$15,2,FALSE)*FY$20&lt;0,0,
SUM(SUMIF(防護具!$Y$13:$Y$29,FZ$17&amp;$C25,防護具!$Q$13:$Q$29),FY27)-VLOOKUP($C25,$C$3:$D$15,2,FALSE)*FY$20)</f>
        <v>0</v>
      </c>
      <c r="GA27" s="763">
        <f xml:space="preserve">
IF(
SUM(SUMIF(防護具!$Y$13:$Y$29,GA$17&amp;$C25,防護具!$Q$13:$Q$29),FZ27)-VLOOKUP($C25,$C$3:$D$15,2,FALSE)*FZ$20&lt;0,0,
SUM(SUMIF(防護具!$Y$13:$Y$29,GA$17&amp;$C25,防護具!$Q$13:$Q$29),FZ27)-VLOOKUP($C25,$C$3:$D$15,2,FALSE)*FZ$20)</f>
        <v>0</v>
      </c>
      <c r="GB27" s="763">
        <f xml:space="preserve">
IF(
SUM(SUMIF(防護具!$Y$13:$Y$29,GB$17&amp;$C25,防護具!$Q$13:$Q$29),GA27)-VLOOKUP($C25,$C$3:$D$15,2,FALSE)*GA$20&lt;0,0,
SUM(SUMIF(防護具!$Y$13:$Y$29,GB$17&amp;$C25,防護具!$Q$13:$Q$29),GA27)-VLOOKUP($C25,$C$3:$D$15,2,FALSE)*GA$20)</f>
        <v>0</v>
      </c>
      <c r="GC27" s="763">
        <f xml:space="preserve">
IF(
SUM(SUMIF(防護具!$Y$13:$Y$29,GC$17&amp;$C25,防護具!$Q$13:$Q$29),GB27)-VLOOKUP($C25,$C$3:$D$15,2,FALSE)*GB$20&lt;0,0,
SUM(SUMIF(防護具!$Y$13:$Y$29,GC$17&amp;$C25,防護具!$Q$13:$Q$29),GB27)-VLOOKUP($C25,$C$3:$D$15,2,FALSE)*GB$20)</f>
        <v>0</v>
      </c>
      <c r="GD27" s="763">
        <f xml:space="preserve">
IF(
SUM(SUMIF(防護具!$Y$13:$Y$29,GD$17&amp;$C25,防護具!$Q$13:$Q$29),GC27)-VLOOKUP($C25,$C$3:$D$15,2,FALSE)*GC$20&lt;0,0,
SUM(SUMIF(防護具!$Y$13:$Y$29,GD$17&amp;$C25,防護具!$Q$13:$Q$29),GC27)-VLOOKUP($C25,$C$3:$D$15,2,FALSE)*GC$20)</f>
        <v>0</v>
      </c>
      <c r="GE27" s="763">
        <f xml:space="preserve">
IF(
SUM(SUMIF(防護具!$Y$13:$Y$29,GE$17&amp;$C25,防護具!$Q$13:$Q$29),GD27)-VLOOKUP($C25,$C$3:$D$15,2,FALSE)*GD$20&lt;0,0,
SUM(SUMIF(防護具!$Y$13:$Y$29,GE$17&amp;$C25,防護具!$Q$13:$Q$29),GD27)-VLOOKUP($C25,$C$3:$D$15,2,FALSE)*GD$20)</f>
        <v>0</v>
      </c>
      <c r="GF27" s="763">
        <f xml:space="preserve">
IF(
SUM(SUMIF(防護具!$Y$13:$Y$29,GF$17&amp;$C25,防護具!$Q$13:$Q$29),GE27)-VLOOKUP($C25,$C$3:$D$15,2,FALSE)*GE$20&lt;0,0,
SUM(SUMIF(防護具!$Y$13:$Y$29,GF$17&amp;$C25,防護具!$Q$13:$Q$29),GE27)-VLOOKUP($C25,$C$3:$D$15,2,FALSE)*GE$20)</f>
        <v>0</v>
      </c>
      <c r="GG27" s="763">
        <f xml:space="preserve">
IF(
SUM(SUMIF(防護具!$Y$13:$Y$29,GG$17&amp;$C25,防護具!$Q$13:$Q$29),GF27)-VLOOKUP($C25,$C$3:$D$15,2,FALSE)*GF$20&lt;0,0,
SUM(SUMIF(防護具!$Y$13:$Y$29,GG$17&amp;$C25,防護具!$Q$13:$Q$29),GF27)-VLOOKUP($C25,$C$3:$D$15,2,FALSE)*GF$20)</f>
        <v>0</v>
      </c>
      <c r="GH27" s="763">
        <f xml:space="preserve">
IF(
SUM(SUMIF(防護具!$Y$13:$Y$29,GH$17&amp;$C25,防護具!$Q$13:$Q$29),GG27)-VLOOKUP($C25,$C$3:$D$15,2,FALSE)*GG$20&lt;0,0,
SUM(SUMIF(防護具!$Y$13:$Y$29,GH$17&amp;$C25,防護具!$Q$13:$Q$29),GG27)-VLOOKUP($C25,$C$3:$D$15,2,FALSE)*GG$20)</f>
        <v>0</v>
      </c>
      <c r="GI27" s="763">
        <f xml:space="preserve">
IF(
SUM(SUMIF(防護具!$Y$13:$Y$29,GI$17&amp;$C25,防護具!$Q$13:$Q$29),GH27)-VLOOKUP($C25,$C$3:$D$15,2,FALSE)*GH$20&lt;0,0,
SUM(SUMIF(防護具!$Y$13:$Y$29,GI$17&amp;$C25,防護具!$Q$13:$Q$29),GH27)-VLOOKUP($C25,$C$3:$D$15,2,FALSE)*GH$20)</f>
        <v>0</v>
      </c>
      <c r="GJ27" s="763">
        <f xml:space="preserve">
IF(
SUM(SUMIF(防護具!$Y$13:$Y$29,GJ$17&amp;$C25,防護具!$Q$13:$Q$29),GI27)-VLOOKUP($C25,$C$3:$D$15,2,FALSE)*GI$20&lt;0,0,
SUM(SUMIF(防護具!$Y$13:$Y$29,GJ$17&amp;$C25,防護具!$Q$13:$Q$29),GI27)-VLOOKUP($C25,$C$3:$D$15,2,FALSE)*GI$20)</f>
        <v>0</v>
      </c>
    </row>
    <row r="28" spans="2:192" s="632" customFormat="1">
      <c r="B28" s="633"/>
      <c r="C28" s="625" t="s">
        <v>1380</v>
      </c>
      <c r="D28" s="701" t="s">
        <v>1423</v>
      </c>
      <c r="E28" s="706"/>
      <c r="F28" s="653"/>
      <c r="G28" s="762">
        <f xml:space="preserve">
MIN(G29,
IF((VLOOKUP($C28,$C$3:$D$15,2,FALSE)*G$20-G30)&lt;0,0,VLOOKUP($C28,$C$3:$D$15,2,FALSE)*G$20-G30))</f>
        <v>0</v>
      </c>
      <c r="H28" s="762">
        <f xml:space="preserve">
IF(G30&gt;=VLOOKUP($C28,$C$3:$D$15,2,FALSE)*H$20,0,
IF(AND(G30&lt;VLOOKUP($C28,$C$3:$D$15,2,FALSE)*H$20,H29&lt;=VLOOKUP($C28,$C$3:$D$15,2,FALSE)*H$20),IF(H29-G30&lt;0,0,H29-G30),
IF(AND(G30&lt;VLOOKUP($C28,$C$3:$D$15,2,FALSE)*H$20,H29&gt;VLOOKUP($C28,$C$3:$D$15,2,FALSE)*H$20),VLOOKUP($C28,$C$3:$D$15,2,FALSE)*H$20-G30)))</f>
        <v>0</v>
      </c>
      <c r="I28" s="762">
        <f t="shared" ref="I28:P28" si="474" xml:space="preserve">
IF(H30&gt;=VLOOKUP($C28,$C$3:$D$15,2,FALSE)*I$20,0,
IF(AND(H30&lt;VLOOKUP($C28,$C$3:$D$15,2,FALSE)*I$20,I29&lt;=VLOOKUP($C28,$C$3:$D$15,2,FALSE)*I$20),IF(I29-H30&lt;0,0,I29-H30),
IF(AND(H30&lt;VLOOKUP($C28,$C$3:$D$15,2,FALSE)*I$20,I29&gt;VLOOKUP($C28,$C$3:$D$15,2,FALSE)*I$20),VLOOKUP($C28,$C$3:$D$15,2,FALSE)*I$20-H30)))</f>
        <v>0</v>
      </c>
      <c r="J28" s="762">
        <f t="shared" si="474"/>
        <v>0</v>
      </c>
      <c r="K28" s="762">
        <f t="shared" si="474"/>
        <v>0</v>
      </c>
      <c r="L28" s="762">
        <f t="shared" si="474"/>
        <v>0</v>
      </c>
      <c r="M28" s="762">
        <f t="shared" si="474"/>
        <v>0</v>
      </c>
      <c r="N28" s="762">
        <f t="shared" si="474"/>
        <v>0</v>
      </c>
      <c r="O28" s="762">
        <f t="shared" si="474"/>
        <v>0</v>
      </c>
      <c r="P28" s="762">
        <f t="shared" si="474"/>
        <v>0</v>
      </c>
      <c r="Q28" s="762">
        <f t="shared" ref="Q28" si="475" xml:space="preserve">
IF(P30&gt;=VLOOKUP($C28,$C$3:$D$15,2,FALSE)*Q$20,0,
IF(AND(P30&lt;VLOOKUP($C28,$C$3:$D$15,2,FALSE)*Q$20,Q29&lt;=VLOOKUP($C28,$C$3:$D$15,2,FALSE)*Q$20),IF(Q29-P30&lt;0,0,Q29-P30),
IF(AND(P30&lt;VLOOKUP($C28,$C$3:$D$15,2,FALSE)*Q$20,Q29&gt;VLOOKUP($C28,$C$3:$D$15,2,FALSE)*Q$20),VLOOKUP($C28,$C$3:$D$15,2,FALSE)*Q$20-P30)))</f>
        <v>0</v>
      </c>
      <c r="R28" s="762">
        <f t="shared" ref="R28" si="476" xml:space="preserve">
IF(Q30&gt;=VLOOKUP($C28,$C$3:$D$15,2,FALSE)*R$20,0,
IF(AND(Q30&lt;VLOOKUP($C28,$C$3:$D$15,2,FALSE)*R$20,R29&lt;=VLOOKUP($C28,$C$3:$D$15,2,FALSE)*R$20),IF(R29-Q30&lt;0,0,R29-Q30),
IF(AND(Q30&lt;VLOOKUP($C28,$C$3:$D$15,2,FALSE)*R$20,R29&gt;VLOOKUP($C28,$C$3:$D$15,2,FALSE)*R$20),VLOOKUP($C28,$C$3:$D$15,2,FALSE)*R$20-Q30)))</f>
        <v>0</v>
      </c>
      <c r="S28" s="762">
        <f t="shared" ref="S28" si="477" xml:space="preserve">
IF(R30&gt;=VLOOKUP($C28,$C$3:$D$15,2,FALSE)*S$20,0,
IF(AND(R30&lt;VLOOKUP($C28,$C$3:$D$15,2,FALSE)*S$20,S29&lt;=VLOOKUP($C28,$C$3:$D$15,2,FALSE)*S$20),IF(S29-R30&lt;0,0,S29-R30),
IF(AND(R30&lt;VLOOKUP($C28,$C$3:$D$15,2,FALSE)*S$20,S29&gt;VLOOKUP($C28,$C$3:$D$15,2,FALSE)*S$20),VLOOKUP($C28,$C$3:$D$15,2,FALSE)*S$20-R30)))</f>
        <v>0</v>
      </c>
      <c r="T28" s="762">
        <f t="shared" ref="T28" si="478" xml:space="preserve">
IF(S30&gt;=VLOOKUP($C28,$C$3:$D$15,2,FALSE)*T$20,0,
IF(AND(S30&lt;VLOOKUP($C28,$C$3:$D$15,2,FALSE)*T$20,T29&lt;=VLOOKUP($C28,$C$3:$D$15,2,FALSE)*T$20),IF(T29-S30&lt;0,0,T29-S30),
IF(AND(S30&lt;VLOOKUP($C28,$C$3:$D$15,2,FALSE)*T$20,T29&gt;VLOOKUP($C28,$C$3:$D$15,2,FALSE)*T$20),VLOOKUP($C28,$C$3:$D$15,2,FALSE)*T$20-S30)))</f>
        <v>0</v>
      </c>
      <c r="U28" s="762">
        <f t="shared" ref="U28" si="479" xml:space="preserve">
IF(T30&gt;=VLOOKUP($C28,$C$3:$D$15,2,FALSE)*U$20,0,
IF(AND(T30&lt;VLOOKUP($C28,$C$3:$D$15,2,FALSE)*U$20,U29&lt;=VLOOKUP($C28,$C$3:$D$15,2,FALSE)*U$20),IF(U29-T30&lt;0,0,U29-T30),
IF(AND(T30&lt;VLOOKUP($C28,$C$3:$D$15,2,FALSE)*U$20,U29&gt;VLOOKUP($C28,$C$3:$D$15,2,FALSE)*U$20),VLOOKUP($C28,$C$3:$D$15,2,FALSE)*U$20-T30)))</f>
        <v>0</v>
      </c>
      <c r="V28" s="762">
        <f t="shared" ref="V28" si="480" xml:space="preserve">
IF(U30&gt;=VLOOKUP($C28,$C$3:$D$15,2,FALSE)*V$20,0,
IF(AND(U30&lt;VLOOKUP($C28,$C$3:$D$15,2,FALSE)*V$20,V29&lt;=VLOOKUP($C28,$C$3:$D$15,2,FALSE)*V$20),IF(V29-U30&lt;0,0,V29-U30),
IF(AND(U30&lt;VLOOKUP($C28,$C$3:$D$15,2,FALSE)*V$20,V29&gt;VLOOKUP($C28,$C$3:$D$15,2,FALSE)*V$20),VLOOKUP($C28,$C$3:$D$15,2,FALSE)*V$20-U30)))</f>
        <v>0</v>
      </c>
      <c r="W28" s="762">
        <f t="shared" ref="W28" si="481" xml:space="preserve">
IF(V30&gt;=VLOOKUP($C28,$C$3:$D$15,2,FALSE)*W$20,0,
IF(AND(V30&lt;VLOOKUP($C28,$C$3:$D$15,2,FALSE)*W$20,W29&lt;=VLOOKUP($C28,$C$3:$D$15,2,FALSE)*W$20),IF(W29-V30&lt;0,0,W29-V30),
IF(AND(V30&lt;VLOOKUP($C28,$C$3:$D$15,2,FALSE)*W$20,W29&gt;VLOOKUP($C28,$C$3:$D$15,2,FALSE)*W$20),VLOOKUP($C28,$C$3:$D$15,2,FALSE)*W$20-V30)))</f>
        <v>0</v>
      </c>
      <c r="X28" s="762">
        <f t="shared" ref="X28" si="482" xml:space="preserve">
IF(W30&gt;=VLOOKUP($C28,$C$3:$D$15,2,FALSE)*X$20,0,
IF(AND(W30&lt;VLOOKUP($C28,$C$3:$D$15,2,FALSE)*X$20,X29&lt;=VLOOKUP($C28,$C$3:$D$15,2,FALSE)*X$20),IF(X29-W30&lt;0,0,X29-W30),
IF(AND(W30&lt;VLOOKUP($C28,$C$3:$D$15,2,FALSE)*X$20,X29&gt;VLOOKUP($C28,$C$3:$D$15,2,FALSE)*X$20),VLOOKUP($C28,$C$3:$D$15,2,FALSE)*X$20-W30)))</f>
        <v>0</v>
      </c>
      <c r="Y28" s="762">
        <f t="shared" ref="Y28" si="483" xml:space="preserve">
IF(X30&gt;=VLOOKUP($C28,$C$3:$D$15,2,FALSE)*Y$20,0,
IF(AND(X30&lt;VLOOKUP($C28,$C$3:$D$15,2,FALSE)*Y$20,Y29&lt;=VLOOKUP($C28,$C$3:$D$15,2,FALSE)*Y$20),IF(Y29-X30&lt;0,0,Y29-X30),
IF(AND(X30&lt;VLOOKUP($C28,$C$3:$D$15,2,FALSE)*Y$20,Y29&gt;VLOOKUP($C28,$C$3:$D$15,2,FALSE)*Y$20),VLOOKUP($C28,$C$3:$D$15,2,FALSE)*Y$20-X30)))</f>
        <v>0</v>
      </c>
      <c r="Z28" s="762">
        <f t="shared" ref="Z28" si="484" xml:space="preserve">
IF(Y30&gt;=VLOOKUP($C28,$C$3:$D$15,2,FALSE)*Z$20,0,
IF(AND(Y30&lt;VLOOKUP($C28,$C$3:$D$15,2,FALSE)*Z$20,Z29&lt;=VLOOKUP($C28,$C$3:$D$15,2,FALSE)*Z$20),IF(Z29-Y30&lt;0,0,Z29-Y30),
IF(AND(Y30&lt;VLOOKUP($C28,$C$3:$D$15,2,FALSE)*Z$20,Z29&gt;VLOOKUP($C28,$C$3:$D$15,2,FALSE)*Z$20),VLOOKUP($C28,$C$3:$D$15,2,FALSE)*Z$20-Y30)))</f>
        <v>0</v>
      </c>
      <c r="AA28" s="762">
        <f t="shared" ref="AA28" si="485" xml:space="preserve">
IF(Z30&gt;=VLOOKUP($C28,$C$3:$D$15,2,FALSE)*AA$20,0,
IF(AND(Z30&lt;VLOOKUP($C28,$C$3:$D$15,2,FALSE)*AA$20,AA29&lt;=VLOOKUP($C28,$C$3:$D$15,2,FALSE)*AA$20),IF(AA29-Z30&lt;0,0,AA29-Z30),
IF(AND(Z30&lt;VLOOKUP($C28,$C$3:$D$15,2,FALSE)*AA$20,AA29&gt;VLOOKUP($C28,$C$3:$D$15,2,FALSE)*AA$20),VLOOKUP($C28,$C$3:$D$15,2,FALSE)*AA$20-Z30)))</f>
        <v>0</v>
      </c>
      <c r="AB28" s="762">
        <f t="shared" ref="AB28" si="486" xml:space="preserve">
IF(AA30&gt;=VLOOKUP($C28,$C$3:$D$15,2,FALSE)*AB$20,0,
IF(AND(AA30&lt;VLOOKUP($C28,$C$3:$D$15,2,FALSE)*AB$20,AB29&lt;=VLOOKUP($C28,$C$3:$D$15,2,FALSE)*AB$20),IF(AB29-AA30&lt;0,0,AB29-AA30),
IF(AND(AA30&lt;VLOOKUP($C28,$C$3:$D$15,2,FALSE)*AB$20,AB29&gt;VLOOKUP($C28,$C$3:$D$15,2,FALSE)*AB$20),VLOOKUP($C28,$C$3:$D$15,2,FALSE)*AB$20-AA30)))</f>
        <v>0</v>
      </c>
      <c r="AC28" s="762">
        <f t="shared" ref="AC28" si="487" xml:space="preserve">
IF(AB30&gt;=VLOOKUP($C28,$C$3:$D$15,2,FALSE)*AC$20,0,
IF(AND(AB30&lt;VLOOKUP($C28,$C$3:$D$15,2,FALSE)*AC$20,AC29&lt;=VLOOKUP($C28,$C$3:$D$15,2,FALSE)*AC$20),IF(AC29-AB30&lt;0,0,AC29-AB30),
IF(AND(AB30&lt;VLOOKUP($C28,$C$3:$D$15,2,FALSE)*AC$20,AC29&gt;VLOOKUP($C28,$C$3:$D$15,2,FALSE)*AC$20),VLOOKUP($C28,$C$3:$D$15,2,FALSE)*AC$20-AB30)))</f>
        <v>0</v>
      </c>
      <c r="AD28" s="762">
        <f t="shared" ref="AD28" si="488" xml:space="preserve">
IF(AC30&gt;=VLOOKUP($C28,$C$3:$D$15,2,FALSE)*AD$20,0,
IF(AND(AC30&lt;VLOOKUP($C28,$C$3:$D$15,2,FALSE)*AD$20,AD29&lt;=VLOOKUP($C28,$C$3:$D$15,2,FALSE)*AD$20),IF(AD29-AC30&lt;0,0,AD29-AC30),
IF(AND(AC30&lt;VLOOKUP($C28,$C$3:$D$15,2,FALSE)*AD$20,AD29&gt;VLOOKUP($C28,$C$3:$D$15,2,FALSE)*AD$20),VLOOKUP($C28,$C$3:$D$15,2,FALSE)*AD$20-AC30)))</f>
        <v>0</v>
      </c>
      <c r="AE28" s="762">
        <f t="shared" ref="AE28" si="489" xml:space="preserve">
IF(AD30&gt;=VLOOKUP($C28,$C$3:$D$15,2,FALSE)*AE$20,0,
IF(AND(AD30&lt;VLOOKUP($C28,$C$3:$D$15,2,FALSE)*AE$20,AE29&lt;=VLOOKUP($C28,$C$3:$D$15,2,FALSE)*AE$20),IF(AE29-AD30&lt;0,0,AE29-AD30),
IF(AND(AD30&lt;VLOOKUP($C28,$C$3:$D$15,2,FALSE)*AE$20,AE29&gt;VLOOKUP($C28,$C$3:$D$15,2,FALSE)*AE$20),VLOOKUP($C28,$C$3:$D$15,2,FALSE)*AE$20-AD30)))</f>
        <v>0</v>
      </c>
      <c r="AF28" s="762">
        <f t="shared" ref="AF28" si="490" xml:space="preserve">
IF(AE30&gt;=VLOOKUP($C28,$C$3:$D$15,2,FALSE)*AF$20,0,
IF(AND(AE30&lt;VLOOKUP($C28,$C$3:$D$15,2,FALSE)*AF$20,AF29&lt;=VLOOKUP($C28,$C$3:$D$15,2,FALSE)*AF$20),IF(AF29-AE30&lt;0,0,AF29-AE30),
IF(AND(AE30&lt;VLOOKUP($C28,$C$3:$D$15,2,FALSE)*AF$20,AF29&gt;VLOOKUP($C28,$C$3:$D$15,2,FALSE)*AF$20),VLOOKUP($C28,$C$3:$D$15,2,FALSE)*AF$20-AE30)))</f>
        <v>0</v>
      </c>
      <c r="AG28" s="762">
        <f t="shared" ref="AG28" si="491" xml:space="preserve">
IF(AF30&gt;=VLOOKUP($C28,$C$3:$D$15,2,FALSE)*AG$20,0,
IF(AND(AF30&lt;VLOOKUP($C28,$C$3:$D$15,2,FALSE)*AG$20,AG29&lt;=VLOOKUP($C28,$C$3:$D$15,2,FALSE)*AG$20),IF(AG29-AF30&lt;0,0,AG29-AF30),
IF(AND(AF30&lt;VLOOKUP($C28,$C$3:$D$15,2,FALSE)*AG$20,AG29&gt;VLOOKUP($C28,$C$3:$D$15,2,FALSE)*AG$20),VLOOKUP($C28,$C$3:$D$15,2,FALSE)*AG$20-AF30)))</f>
        <v>0</v>
      </c>
      <c r="AH28" s="762">
        <f t="shared" ref="AH28" si="492" xml:space="preserve">
IF(AG30&gt;=VLOOKUP($C28,$C$3:$D$15,2,FALSE)*AH$20,0,
IF(AND(AG30&lt;VLOOKUP($C28,$C$3:$D$15,2,FALSE)*AH$20,AH29&lt;=VLOOKUP($C28,$C$3:$D$15,2,FALSE)*AH$20),IF(AH29-AG30&lt;0,0,AH29-AG30),
IF(AND(AG30&lt;VLOOKUP($C28,$C$3:$D$15,2,FALSE)*AH$20,AH29&gt;VLOOKUP($C28,$C$3:$D$15,2,FALSE)*AH$20),VLOOKUP($C28,$C$3:$D$15,2,FALSE)*AH$20-AG30)))</f>
        <v>0</v>
      </c>
      <c r="AI28" s="762">
        <f t="shared" ref="AI28" si="493" xml:space="preserve">
IF(AH30&gt;=VLOOKUP($C28,$C$3:$D$15,2,FALSE)*AI$20,0,
IF(AND(AH30&lt;VLOOKUP($C28,$C$3:$D$15,2,FALSE)*AI$20,AI29&lt;=VLOOKUP($C28,$C$3:$D$15,2,FALSE)*AI$20),IF(AI29-AH30&lt;0,0,AI29-AH30),
IF(AND(AH30&lt;VLOOKUP($C28,$C$3:$D$15,2,FALSE)*AI$20,AI29&gt;VLOOKUP($C28,$C$3:$D$15,2,FALSE)*AI$20),VLOOKUP($C28,$C$3:$D$15,2,FALSE)*AI$20-AH30)))</f>
        <v>0</v>
      </c>
      <c r="AJ28" s="762">
        <f t="shared" ref="AJ28" si="494" xml:space="preserve">
IF(AI30&gt;=VLOOKUP($C28,$C$3:$D$15,2,FALSE)*AJ$20,0,
IF(AND(AI30&lt;VLOOKUP($C28,$C$3:$D$15,2,FALSE)*AJ$20,AJ29&lt;=VLOOKUP($C28,$C$3:$D$15,2,FALSE)*AJ$20),IF(AJ29-AI30&lt;0,0,AJ29-AI30),
IF(AND(AI30&lt;VLOOKUP($C28,$C$3:$D$15,2,FALSE)*AJ$20,AJ29&gt;VLOOKUP($C28,$C$3:$D$15,2,FALSE)*AJ$20),VLOOKUP($C28,$C$3:$D$15,2,FALSE)*AJ$20-AI30)))</f>
        <v>0</v>
      </c>
      <c r="AK28" s="762">
        <f t="shared" ref="AK28" si="495" xml:space="preserve">
IF(AJ30&gt;=VLOOKUP($C28,$C$3:$D$15,2,FALSE)*AK$20,0,
IF(AND(AJ30&lt;VLOOKUP($C28,$C$3:$D$15,2,FALSE)*AK$20,AK29&lt;=VLOOKUP($C28,$C$3:$D$15,2,FALSE)*AK$20),IF(AK29-AJ30&lt;0,0,AK29-AJ30),
IF(AND(AJ30&lt;VLOOKUP($C28,$C$3:$D$15,2,FALSE)*AK$20,AK29&gt;VLOOKUP($C28,$C$3:$D$15,2,FALSE)*AK$20),VLOOKUP($C28,$C$3:$D$15,2,FALSE)*AK$20-AJ30)))</f>
        <v>0</v>
      </c>
      <c r="AL28" s="762">
        <f t="shared" ref="AL28" si="496" xml:space="preserve">
IF(AK30&gt;=VLOOKUP($C28,$C$3:$D$15,2,FALSE)*AL$20,0,
IF(AND(AK30&lt;VLOOKUP($C28,$C$3:$D$15,2,FALSE)*AL$20,AL29&lt;=VLOOKUP($C28,$C$3:$D$15,2,FALSE)*AL$20),IF(AL29-AK30&lt;0,0,AL29-AK30),
IF(AND(AK30&lt;VLOOKUP($C28,$C$3:$D$15,2,FALSE)*AL$20,AL29&gt;VLOOKUP($C28,$C$3:$D$15,2,FALSE)*AL$20),VLOOKUP($C28,$C$3:$D$15,2,FALSE)*AL$20-AK30)))</f>
        <v>0</v>
      </c>
      <c r="AM28" s="762">
        <f t="shared" ref="AM28" si="497" xml:space="preserve">
IF(AL30&gt;=VLOOKUP($C28,$C$3:$D$15,2,FALSE)*AM$20,0,
IF(AND(AL30&lt;VLOOKUP($C28,$C$3:$D$15,2,FALSE)*AM$20,AM29&lt;=VLOOKUP($C28,$C$3:$D$15,2,FALSE)*AM$20),IF(AM29-AL30&lt;0,0,AM29-AL30),
IF(AND(AL30&lt;VLOOKUP($C28,$C$3:$D$15,2,FALSE)*AM$20,AM29&gt;VLOOKUP($C28,$C$3:$D$15,2,FALSE)*AM$20),VLOOKUP($C28,$C$3:$D$15,2,FALSE)*AM$20-AL30)))</f>
        <v>0</v>
      </c>
      <c r="AN28" s="762">
        <f t="shared" ref="AN28" si="498" xml:space="preserve">
IF(AM30&gt;=VLOOKUP($C28,$C$3:$D$15,2,FALSE)*AN$20,0,
IF(AND(AM30&lt;VLOOKUP($C28,$C$3:$D$15,2,FALSE)*AN$20,AN29&lt;=VLOOKUP($C28,$C$3:$D$15,2,FALSE)*AN$20),IF(AN29-AM30&lt;0,0,AN29-AM30),
IF(AND(AM30&lt;VLOOKUP($C28,$C$3:$D$15,2,FALSE)*AN$20,AN29&gt;VLOOKUP($C28,$C$3:$D$15,2,FALSE)*AN$20),VLOOKUP($C28,$C$3:$D$15,2,FALSE)*AN$20-AM30)))</f>
        <v>0</v>
      </c>
      <c r="AO28" s="762">
        <f t="shared" ref="AO28" si="499" xml:space="preserve">
IF(AN30&gt;=VLOOKUP($C28,$C$3:$D$15,2,FALSE)*AO$20,0,
IF(AND(AN30&lt;VLOOKUP($C28,$C$3:$D$15,2,FALSE)*AO$20,AO29&lt;=VLOOKUP($C28,$C$3:$D$15,2,FALSE)*AO$20),IF(AO29-AN30&lt;0,0,AO29-AN30),
IF(AND(AN30&lt;VLOOKUP($C28,$C$3:$D$15,2,FALSE)*AO$20,AO29&gt;VLOOKUP($C28,$C$3:$D$15,2,FALSE)*AO$20),VLOOKUP($C28,$C$3:$D$15,2,FALSE)*AO$20-AN30)))</f>
        <v>0</v>
      </c>
      <c r="AP28" s="762">
        <f t="shared" ref="AP28" si="500" xml:space="preserve">
IF(AO30&gt;=VLOOKUP($C28,$C$3:$D$15,2,FALSE)*AP$20,0,
IF(AND(AO30&lt;VLOOKUP($C28,$C$3:$D$15,2,FALSE)*AP$20,AP29&lt;=VLOOKUP($C28,$C$3:$D$15,2,FALSE)*AP$20),IF(AP29-AO30&lt;0,0,AP29-AO30),
IF(AND(AO30&lt;VLOOKUP($C28,$C$3:$D$15,2,FALSE)*AP$20,AP29&gt;VLOOKUP($C28,$C$3:$D$15,2,FALSE)*AP$20),VLOOKUP($C28,$C$3:$D$15,2,FALSE)*AP$20-AO30)))</f>
        <v>0</v>
      </c>
      <c r="AQ28" s="762">
        <f t="shared" ref="AQ28" si="501" xml:space="preserve">
IF(AP30&gt;=VLOOKUP($C28,$C$3:$D$15,2,FALSE)*AQ$20,0,
IF(AND(AP30&lt;VLOOKUP($C28,$C$3:$D$15,2,FALSE)*AQ$20,AQ29&lt;=VLOOKUP($C28,$C$3:$D$15,2,FALSE)*AQ$20),IF(AQ29-AP30&lt;0,0,AQ29-AP30),
IF(AND(AP30&lt;VLOOKUP($C28,$C$3:$D$15,2,FALSE)*AQ$20,AQ29&gt;VLOOKUP($C28,$C$3:$D$15,2,FALSE)*AQ$20),VLOOKUP($C28,$C$3:$D$15,2,FALSE)*AQ$20-AP30)))</f>
        <v>0</v>
      </c>
      <c r="AR28" s="762">
        <f t="shared" ref="AR28" si="502" xml:space="preserve">
IF(AQ30&gt;=VLOOKUP($C28,$C$3:$D$15,2,FALSE)*AR$20,0,
IF(AND(AQ30&lt;VLOOKUP($C28,$C$3:$D$15,2,FALSE)*AR$20,AR29&lt;=VLOOKUP($C28,$C$3:$D$15,2,FALSE)*AR$20),IF(AR29-AQ30&lt;0,0,AR29-AQ30),
IF(AND(AQ30&lt;VLOOKUP($C28,$C$3:$D$15,2,FALSE)*AR$20,AR29&gt;VLOOKUP($C28,$C$3:$D$15,2,FALSE)*AR$20),VLOOKUP($C28,$C$3:$D$15,2,FALSE)*AR$20-AQ30)))</f>
        <v>0</v>
      </c>
      <c r="AS28" s="762">
        <f t="shared" ref="AS28" si="503" xml:space="preserve">
IF(AR30&gt;=VLOOKUP($C28,$C$3:$D$15,2,FALSE)*AS$20,0,
IF(AND(AR30&lt;VLOOKUP($C28,$C$3:$D$15,2,FALSE)*AS$20,AS29&lt;=VLOOKUP($C28,$C$3:$D$15,2,FALSE)*AS$20),IF(AS29-AR30&lt;0,0,AS29-AR30),
IF(AND(AR30&lt;VLOOKUP($C28,$C$3:$D$15,2,FALSE)*AS$20,AS29&gt;VLOOKUP($C28,$C$3:$D$15,2,FALSE)*AS$20),VLOOKUP($C28,$C$3:$D$15,2,FALSE)*AS$20-AR30)))</f>
        <v>0</v>
      </c>
      <c r="AT28" s="762">
        <f t="shared" ref="AT28" si="504" xml:space="preserve">
IF(AS30&gt;=VLOOKUP($C28,$C$3:$D$15,2,FALSE)*AT$20,0,
IF(AND(AS30&lt;VLOOKUP($C28,$C$3:$D$15,2,FALSE)*AT$20,AT29&lt;=VLOOKUP($C28,$C$3:$D$15,2,FALSE)*AT$20),IF(AT29-AS30&lt;0,0,AT29-AS30),
IF(AND(AS30&lt;VLOOKUP($C28,$C$3:$D$15,2,FALSE)*AT$20,AT29&gt;VLOOKUP($C28,$C$3:$D$15,2,FALSE)*AT$20),VLOOKUP($C28,$C$3:$D$15,2,FALSE)*AT$20-AS30)))</f>
        <v>0</v>
      </c>
      <c r="AU28" s="762">
        <f t="shared" ref="AU28" si="505" xml:space="preserve">
IF(AT30&gt;=VLOOKUP($C28,$C$3:$D$15,2,FALSE)*AU$20,0,
IF(AND(AT30&lt;VLOOKUP($C28,$C$3:$D$15,2,FALSE)*AU$20,AU29&lt;=VLOOKUP($C28,$C$3:$D$15,2,FALSE)*AU$20),IF(AU29-AT30&lt;0,0,AU29-AT30),
IF(AND(AT30&lt;VLOOKUP($C28,$C$3:$D$15,2,FALSE)*AU$20,AU29&gt;VLOOKUP($C28,$C$3:$D$15,2,FALSE)*AU$20),VLOOKUP($C28,$C$3:$D$15,2,FALSE)*AU$20-AT30)))</f>
        <v>0</v>
      </c>
      <c r="AV28" s="762">
        <f t="shared" ref="AV28" si="506" xml:space="preserve">
IF(AU30&gt;=VLOOKUP($C28,$C$3:$D$15,2,FALSE)*AV$20,0,
IF(AND(AU30&lt;VLOOKUP($C28,$C$3:$D$15,2,FALSE)*AV$20,AV29&lt;=VLOOKUP($C28,$C$3:$D$15,2,FALSE)*AV$20),IF(AV29-AU30&lt;0,0,AV29-AU30),
IF(AND(AU30&lt;VLOOKUP($C28,$C$3:$D$15,2,FALSE)*AV$20,AV29&gt;VLOOKUP($C28,$C$3:$D$15,2,FALSE)*AV$20),VLOOKUP($C28,$C$3:$D$15,2,FALSE)*AV$20-AU30)))</f>
        <v>0</v>
      </c>
      <c r="AW28" s="762">
        <f t="shared" ref="AW28" si="507" xml:space="preserve">
IF(AV30&gt;=VLOOKUP($C28,$C$3:$D$15,2,FALSE)*AW$20,0,
IF(AND(AV30&lt;VLOOKUP($C28,$C$3:$D$15,2,FALSE)*AW$20,AW29&lt;=VLOOKUP($C28,$C$3:$D$15,2,FALSE)*AW$20),IF(AW29-AV30&lt;0,0,AW29-AV30),
IF(AND(AV30&lt;VLOOKUP($C28,$C$3:$D$15,2,FALSE)*AW$20,AW29&gt;VLOOKUP($C28,$C$3:$D$15,2,FALSE)*AW$20),VLOOKUP($C28,$C$3:$D$15,2,FALSE)*AW$20-AV30)))</f>
        <v>0</v>
      </c>
      <c r="AX28" s="762">
        <f t="shared" ref="AX28" si="508" xml:space="preserve">
IF(AW30&gt;=VLOOKUP($C28,$C$3:$D$15,2,FALSE)*AX$20,0,
IF(AND(AW30&lt;VLOOKUP($C28,$C$3:$D$15,2,FALSE)*AX$20,AX29&lt;=VLOOKUP($C28,$C$3:$D$15,2,FALSE)*AX$20),IF(AX29-AW30&lt;0,0,AX29-AW30),
IF(AND(AW30&lt;VLOOKUP($C28,$C$3:$D$15,2,FALSE)*AX$20,AX29&gt;VLOOKUP($C28,$C$3:$D$15,2,FALSE)*AX$20),VLOOKUP($C28,$C$3:$D$15,2,FALSE)*AX$20-AW30)))</f>
        <v>0</v>
      </c>
      <c r="AY28" s="762">
        <f t="shared" ref="AY28" si="509" xml:space="preserve">
IF(AX30&gt;=VLOOKUP($C28,$C$3:$D$15,2,FALSE)*AY$20,0,
IF(AND(AX30&lt;VLOOKUP($C28,$C$3:$D$15,2,FALSE)*AY$20,AY29&lt;=VLOOKUP($C28,$C$3:$D$15,2,FALSE)*AY$20),IF(AY29-AX30&lt;0,0,AY29-AX30),
IF(AND(AX30&lt;VLOOKUP($C28,$C$3:$D$15,2,FALSE)*AY$20,AY29&gt;VLOOKUP($C28,$C$3:$D$15,2,FALSE)*AY$20),VLOOKUP($C28,$C$3:$D$15,2,FALSE)*AY$20-AX30)))</f>
        <v>0</v>
      </c>
      <c r="AZ28" s="762">
        <f t="shared" ref="AZ28" si="510" xml:space="preserve">
IF(AY30&gt;=VLOOKUP($C28,$C$3:$D$15,2,FALSE)*AZ$20,0,
IF(AND(AY30&lt;VLOOKUP($C28,$C$3:$D$15,2,FALSE)*AZ$20,AZ29&lt;=VLOOKUP($C28,$C$3:$D$15,2,FALSE)*AZ$20),IF(AZ29-AY30&lt;0,0,AZ29-AY30),
IF(AND(AY30&lt;VLOOKUP($C28,$C$3:$D$15,2,FALSE)*AZ$20,AZ29&gt;VLOOKUP($C28,$C$3:$D$15,2,FALSE)*AZ$20),VLOOKUP($C28,$C$3:$D$15,2,FALSE)*AZ$20-AY30)))</f>
        <v>0</v>
      </c>
      <c r="BA28" s="762">
        <f t="shared" ref="BA28" si="511" xml:space="preserve">
IF(AZ30&gt;=VLOOKUP($C28,$C$3:$D$15,2,FALSE)*BA$20,0,
IF(AND(AZ30&lt;VLOOKUP($C28,$C$3:$D$15,2,FALSE)*BA$20,BA29&lt;=VLOOKUP($C28,$C$3:$D$15,2,FALSE)*BA$20),IF(BA29-AZ30&lt;0,0,BA29-AZ30),
IF(AND(AZ30&lt;VLOOKUP($C28,$C$3:$D$15,2,FALSE)*BA$20,BA29&gt;VLOOKUP($C28,$C$3:$D$15,2,FALSE)*BA$20),VLOOKUP($C28,$C$3:$D$15,2,FALSE)*BA$20-AZ30)))</f>
        <v>0</v>
      </c>
      <c r="BB28" s="762">
        <f t="shared" ref="BB28" si="512" xml:space="preserve">
IF(BA30&gt;=VLOOKUP($C28,$C$3:$D$15,2,FALSE)*BB$20,0,
IF(AND(BA30&lt;VLOOKUP($C28,$C$3:$D$15,2,FALSE)*BB$20,BB29&lt;=VLOOKUP($C28,$C$3:$D$15,2,FALSE)*BB$20),IF(BB29-BA30&lt;0,0,BB29-BA30),
IF(AND(BA30&lt;VLOOKUP($C28,$C$3:$D$15,2,FALSE)*BB$20,BB29&gt;VLOOKUP($C28,$C$3:$D$15,2,FALSE)*BB$20),VLOOKUP($C28,$C$3:$D$15,2,FALSE)*BB$20-BA30)))</f>
        <v>0</v>
      </c>
      <c r="BC28" s="762">
        <f t="shared" ref="BC28" si="513" xml:space="preserve">
IF(BB30&gt;=VLOOKUP($C28,$C$3:$D$15,2,FALSE)*BC$20,0,
IF(AND(BB30&lt;VLOOKUP($C28,$C$3:$D$15,2,FALSE)*BC$20,BC29&lt;=VLOOKUP($C28,$C$3:$D$15,2,FALSE)*BC$20),IF(BC29-BB30&lt;0,0,BC29-BB30),
IF(AND(BB30&lt;VLOOKUP($C28,$C$3:$D$15,2,FALSE)*BC$20,BC29&gt;VLOOKUP($C28,$C$3:$D$15,2,FALSE)*BC$20),VLOOKUP($C28,$C$3:$D$15,2,FALSE)*BC$20-BB30)))</f>
        <v>0</v>
      </c>
      <c r="BD28" s="762">
        <f t="shared" ref="BD28" si="514" xml:space="preserve">
IF(BC30&gt;=VLOOKUP($C28,$C$3:$D$15,2,FALSE)*BD$20,0,
IF(AND(BC30&lt;VLOOKUP($C28,$C$3:$D$15,2,FALSE)*BD$20,BD29&lt;=VLOOKUP($C28,$C$3:$D$15,2,FALSE)*BD$20),IF(BD29-BC30&lt;0,0,BD29-BC30),
IF(AND(BC30&lt;VLOOKUP($C28,$C$3:$D$15,2,FALSE)*BD$20,BD29&gt;VLOOKUP($C28,$C$3:$D$15,2,FALSE)*BD$20),VLOOKUP($C28,$C$3:$D$15,2,FALSE)*BD$20-BC30)))</f>
        <v>0</v>
      </c>
      <c r="BE28" s="762">
        <f t="shared" ref="BE28" si="515" xml:space="preserve">
IF(BD30&gt;=VLOOKUP($C28,$C$3:$D$15,2,FALSE)*BE$20,0,
IF(AND(BD30&lt;VLOOKUP($C28,$C$3:$D$15,2,FALSE)*BE$20,BE29&lt;=VLOOKUP($C28,$C$3:$D$15,2,FALSE)*BE$20),IF(BE29-BD30&lt;0,0,BE29-BD30),
IF(AND(BD30&lt;VLOOKUP($C28,$C$3:$D$15,2,FALSE)*BE$20,BE29&gt;VLOOKUP($C28,$C$3:$D$15,2,FALSE)*BE$20),VLOOKUP($C28,$C$3:$D$15,2,FALSE)*BE$20-BD30)))</f>
        <v>0</v>
      </c>
      <c r="BF28" s="762">
        <f t="shared" ref="BF28" si="516" xml:space="preserve">
IF(BE30&gt;=VLOOKUP($C28,$C$3:$D$15,2,FALSE)*BF$20,0,
IF(AND(BE30&lt;VLOOKUP($C28,$C$3:$D$15,2,FALSE)*BF$20,BF29&lt;=VLOOKUP($C28,$C$3:$D$15,2,FALSE)*BF$20),IF(BF29-BE30&lt;0,0,BF29-BE30),
IF(AND(BE30&lt;VLOOKUP($C28,$C$3:$D$15,2,FALSE)*BF$20,BF29&gt;VLOOKUP($C28,$C$3:$D$15,2,FALSE)*BF$20),VLOOKUP($C28,$C$3:$D$15,2,FALSE)*BF$20-BE30)))</f>
        <v>0</v>
      </c>
      <c r="BG28" s="762">
        <f t="shared" ref="BG28" si="517" xml:space="preserve">
IF(BF30&gt;=VLOOKUP($C28,$C$3:$D$15,2,FALSE)*BG$20,0,
IF(AND(BF30&lt;VLOOKUP($C28,$C$3:$D$15,2,FALSE)*BG$20,BG29&lt;=VLOOKUP($C28,$C$3:$D$15,2,FALSE)*BG$20),IF(BG29-BF30&lt;0,0,BG29-BF30),
IF(AND(BF30&lt;VLOOKUP($C28,$C$3:$D$15,2,FALSE)*BG$20,BG29&gt;VLOOKUP($C28,$C$3:$D$15,2,FALSE)*BG$20),VLOOKUP($C28,$C$3:$D$15,2,FALSE)*BG$20-BF30)))</f>
        <v>0</v>
      </c>
      <c r="BH28" s="762">
        <f t="shared" ref="BH28" si="518" xml:space="preserve">
IF(BG30&gt;=VLOOKUP($C28,$C$3:$D$15,2,FALSE)*BH$20,0,
IF(AND(BG30&lt;VLOOKUP($C28,$C$3:$D$15,2,FALSE)*BH$20,BH29&lt;=VLOOKUP($C28,$C$3:$D$15,2,FALSE)*BH$20),IF(BH29-BG30&lt;0,0,BH29-BG30),
IF(AND(BG30&lt;VLOOKUP($C28,$C$3:$D$15,2,FALSE)*BH$20,BH29&gt;VLOOKUP($C28,$C$3:$D$15,2,FALSE)*BH$20),VLOOKUP($C28,$C$3:$D$15,2,FALSE)*BH$20-BG30)))</f>
        <v>0</v>
      </c>
      <c r="BI28" s="762">
        <f t="shared" ref="BI28" si="519" xml:space="preserve">
IF(BH30&gt;=VLOOKUP($C28,$C$3:$D$15,2,FALSE)*BI$20,0,
IF(AND(BH30&lt;VLOOKUP($C28,$C$3:$D$15,2,FALSE)*BI$20,BI29&lt;=VLOOKUP($C28,$C$3:$D$15,2,FALSE)*BI$20),IF(BI29-BH30&lt;0,0,BI29-BH30),
IF(AND(BH30&lt;VLOOKUP($C28,$C$3:$D$15,2,FALSE)*BI$20,BI29&gt;VLOOKUP($C28,$C$3:$D$15,2,FALSE)*BI$20),VLOOKUP($C28,$C$3:$D$15,2,FALSE)*BI$20-BH30)))</f>
        <v>0</v>
      </c>
      <c r="BJ28" s="762">
        <f t="shared" ref="BJ28" si="520" xml:space="preserve">
IF(BI30&gt;=VLOOKUP($C28,$C$3:$D$15,2,FALSE)*BJ$20,0,
IF(AND(BI30&lt;VLOOKUP($C28,$C$3:$D$15,2,FALSE)*BJ$20,BJ29&lt;=VLOOKUP($C28,$C$3:$D$15,2,FALSE)*BJ$20),IF(BJ29-BI30&lt;0,0,BJ29-BI30),
IF(AND(BI30&lt;VLOOKUP($C28,$C$3:$D$15,2,FALSE)*BJ$20,BJ29&gt;VLOOKUP($C28,$C$3:$D$15,2,FALSE)*BJ$20),VLOOKUP($C28,$C$3:$D$15,2,FALSE)*BJ$20-BI30)))</f>
        <v>0</v>
      </c>
      <c r="BK28" s="762">
        <f t="shared" ref="BK28" si="521" xml:space="preserve">
IF(BJ30&gt;=VLOOKUP($C28,$C$3:$D$15,2,FALSE)*BK$20,0,
IF(AND(BJ30&lt;VLOOKUP($C28,$C$3:$D$15,2,FALSE)*BK$20,BK29&lt;=VLOOKUP($C28,$C$3:$D$15,2,FALSE)*BK$20),IF(BK29-BJ30&lt;0,0,BK29-BJ30),
IF(AND(BJ30&lt;VLOOKUP($C28,$C$3:$D$15,2,FALSE)*BK$20,BK29&gt;VLOOKUP($C28,$C$3:$D$15,2,FALSE)*BK$20),VLOOKUP($C28,$C$3:$D$15,2,FALSE)*BK$20-BJ30)))</f>
        <v>0</v>
      </c>
      <c r="BL28" s="762">
        <f t="shared" ref="BL28" si="522" xml:space="preserve">
IF(BK30&gt;=VLOOKUP($C28,$C$3:$D$15,2,FALSE)*BL$20,0,
IF(AND(BK30&lt;VLOOKUP($C28,$C$3:$D$15,2,FALSE)*BL$20,BL29&lt;=VLOOKUP($C28,$C$3:$D$15,2,FALSE)*BL$20),IF(BL29-BK30&lt;0,0,BL29-BK30),
IF(AND(BK30&lt;VLOOKUP($C28,$C$3:$D$15,2,FALSE)*BL$20,BL29&gt;VLOOKUP($C28,$C$3:$D$15,2,FALSE)*BL$20),VLOOKUP($C28,$C$3:$D$15,2,FALSE)*BL$20-BK30)))</f>
        <v>0</v>
      </c>
      <c r="BM28" s="762">
        <f t="shared" ref="BM28" si="523" xml:space="preserve">
IF(BL30&gt;=VLOOKUP($C28,$C$3:$D$15,2,FALSE)*BM$20,0,
IF(AND(BL30&lt;VLOOKUP($C28,$C$3:$D$15,2,FALSE)*BM$20,BM29&lt;=VLOOKUP($C28,$C$3:$D$15,2,FALSE)*BM$20),IF(BM29-BL30&lt;0,0,BM29-BL30),
IF(AND(BL30&lt;VLOOKUP($C28,$C$3:$D$15,2,FALSE)*BM$20,BM29&gt;VLOOKUP($C28,$C$3:$D$15,2,FALSE)*BM$20),VLOOKUP($C28,$C$3:$D$15,2,FALSE)*BM$20-BL30)))</f>
        <v>0</v>
      </c>
      <c r="BN28" s="762">
        <f t="shared" ref="BN28" si="524" xml:space="preserve">
IF(BM30&gt;=VLOOKUP($C28,$C$3:$D$15,2,FALSE)*BN$20,0,
IF(AND(BM30&lt;VLOOKUP($C28,$C$3:$D$15,2,FALSE)*BN$20,BN29&lt;=VLOOKUP($C28,$C$3:$D$15,2,FALSE)*BN$20),IF(BN29-BM30&lt;0,0,BN29-BM30),
IF(AND(BM30&lt;VLOOKUP($C28,$C$3:$D$15,2,FALSE)*BN$20,BN29&gt;VLOOKUP($C28,$C$3:$D$15,2,FALSE)*BN$20),VLOOKUP($C28,$C$3:$D$15,2,FALSE)*BN$20-BM30)))</f>
        <v>0</v>
      </c>
      <c r="BO28" s="762">
        <f t="shared" ref="BO28" si="525" xml:space="preserve">
IF(BN30&gt;=VLOOKUP($C28,$C$3:$D$15,2,FALSE)*BO$20,0,
IF(AND(BN30&lt;VLOOKUP($C28,$C$3:$D$15,2,FALSE)*BO$20,BO29&lt;=VLOOKUP($C28,$C$3:$D$15,2,FALSE)*BO$20),IF(BO29-BN30&lt;0,0,BO29-BN30),
IF(AND(BN30&lt;VLOOKUP($C28,$C$3:$D$15,2,FALSE)*BO$20,BO29&gt;VLOOKUP($C28,$C$3:$D$15,2,FALSE)*BO$20),VLOOKUP($C28,$C$3:$D$15,2,FALSE)*BO$20-BN30)))</f>
        <v>0</v>
      </c>
      <c r="BP28" s="762">
        <f t="shared" ref="BP28" si="526" xml:space="preserve">
IF(BO30&gt;=VLOOKUP($C28,$C$3:$D$15,2,FALSE)*BP$20,0,
IF(AND(BO30&lt;VLOOKUP($C28,$C$3:$D$15,2,FALSE)*BP$20,BP29&lt;=VLOOKUP($C28,$C$3:$D$15,2,FALSE)*BP$20),IF(BP29-BO30&lt;0,0,BP29-BO30),
IF(AND(BO30&lt;VLOOKUP($C28,$C$3:$D$15,2,FALSE)*BP$20,BP29&gt;VLOOKUP($C28,$C$3:$D$15,2,FALSE)*BP$20),VLOOKUP($C28,$C$3:$D$15,2,FALSE)*BP$20-BO30)))</f>
        <v>0</v>
      </c>
      <c r="BQ28" s="762">
        <f t="shared" ref="BQ28" si="527" xml:space="preserve">
IF(BP30&gt;=VLOOKUP($C28,$C$3:$D$15,2,FALSE)*BQ$20,0,
IF(AND(BP30&lt;VLOOKUP($C28,$C$3:$D$15,2,FALSE)*BQ$20,BQ29&lt;=VLOOKUP($C28,$C$3:$D$15,2,FALSE)*BQ$20),IF(BQ29-BP30&lt;0,0,BQ29-BP30),
IF(AND(BP30&lt;VLOOKUP($C28,$C$3:$D$15,2,FALSE)*BQ$20,BQ29&gt;VLOOKUP($C28,$C$3:$D$15,2,FALSE)*BQ$20),VLOOKUP($C28,$C$3:$D$15,2,FALSE)*BQ$20-BP30)))</f>
        <v>0</v>
      </c>
      <c r="BR28" s="762">
        <f t="shared" ref="BR28" si="528" xml:space="preserve">
IF(BQ30&gt;=VLOOKUP($C28,$C$3:$D$15,2,FALSE)*BR$20,0,
IF(AND(BQ30&lt;VLOOKUP($C28,$C$3:$D$15,2,FALSE)*BR$20,BR29&lt;=VLOOKUP($C28,$C$3:$D$15,2,FALSE)*BR$20),IF(BR29-BQ30&lt;0,0,BR29-BQ30),
IF(AND(BQ30&lt;VLOOKUP($C28,$C$3:$D$15,2,FALSE)*BR$20,BR29&gt;VLOOKUP($C28,$C$3:$D$15,2,FALSE)*BR$20),VLOOKUP($C28,$C$3:$D$15,2,FALSE)*BR$20-BQ30)))</f>
        <v>0</v>
      </c>
      <c r="BS28" s="762">
        <f t="shared" ref="BS28" si="529" xml:space="preserve">
IF(BR30&gt;=VLOOKUP($C28,$C$3:$D$15,2,FALSE)*BS$20,0,
IF(AND(BR30&lt;VLOOKUP($C28,$C$3:$D$15,2,FALSE)*BS$20,BS29&lt;=VLOOKUP($C28,$C$3:$D$15,2,FALSE)*BS$20),IF(BS29-BR30&lt;0,0,BS29-BR30),
IF(AND(BR30&lt;VLOOKUP($C28,$C$3:$D$15,2,FALSE)*BS$20,BS29&gt;VLOOKUP($C28,$C$3:$D$15,2,FALSE)*BS$20),VLOOKUP($C28,$C$3:$D$15,2,FALSE)*BS$20-BR30)))</f>
        <v>0</v>
      </c>
      <c r="BT28" s="762">
        <f t="shared" ref="BT28" si="530" xml:space="preserve">
IF(BS30&gt;=VLOOKUP($C28,$C$3:$D$15,2,FALSE)*BT$20,0,
IF(AND(BS30&lt;VLOOKUP($C28,$C$3:$D$15,2,FALSE)*BT$20,BT29&lt;=VLOOKUP($C28,$C$3:$D$15,2,FALSE)*BT$20),IF(BT29-BS30&lt;0,0,BT29-BS30),
IF(AND(BS30&lt;VLOOKUP($C28,$C$3:$D$15,2,FALSE)*BT$20,BT29&gt;VLOOKUP($C28,$C$3:$D$15,2,FALSE)*BT$20),VLOOKUP($C28,$C$3:$D$15,2,FALSE)*BT$20-BS30)))</f>
        <v>0</v>
      </c>
      <c r="BU28" s="762">
        <f t="shared" ref="BU28" si="531" xml:space="preserve">
IF(BT30&gt;=VLOOKUP($C28,$C$3:$D$15,2,FALSE)*BU$20,0,
IF(AND(BT30&lt;VLOOKUP($C28,$C$3:$D$15,2,FALSE)*BU$20,BU29&lt;=VLOOKUP($C28,$C$3:$D$15,2,FALSE)*BU$20),IF(BU29-BT30&lt;0,0,BU29-BT30),
IF(AND(BT30&lt;VLOOKUP($C28,$C$3:$D$15,2,FALSE)*BU$20,BU29&gt;VLOOKUP($C28,$C$3:$D$15,2,FALSE)*BU$20),VLOOKUP($C28,$C$3:$D$15,2,FALSE)*BU$20-BT30)))</f>
        <v>0</v>
      </c>
      <c r="BV28" s="762">
        <f t="shared" ref="BV28" si="532" xml:space="preserve">
IF(BU30&gt;=VLOOKUP($C28,$C$3:$D$15,2,FALSE)*BV$20,0,
IF(AND(BU30&lt;VLOOKUP($C28,$C$3:$D$15,2,FALSE)*BV$20,BV29&lt;=VLOOKUP($C28,$C$3:$D$15,2,FALSE)*BV$20),IF(BV29-BU30&lt;0,0,BV29-BU30),
IF(AND(BU30&lt;VLOOKUP($C28,$C$3:$D$15,2,FALSE)*BV$20,BV29&gt;VLOOKUP($C28,$C$3:$D$15,2,FALSE)*BV$20),VLOOKUP($C28,$C$3:$D$15,2,FALSE)*BV$20-BU30)))</f>
        <v>0</v>
      </c>
      <c r="BW28" s="762">
        <f t="shared" ref="BW28" si="533" xml:space="preserve">
IF(BV30&gt;=VLOOKUP($C28,$C$3:$D$15,2,FALSE)*BW$20,0,
IF(AND(BV30&lt;VLOOKUP($C28,$C$3:$D$15,2,FALSE)*BW$20,BW29&lt;=VLOOKUP($C28,$C$3:$D$15,2,FALSE)*BW$20),IF(BW29-BV30&lt;0,0,BW29-BV30),
IF(AND(BV30&lt;VLOOKUP($C28,$C$3:$D$15,2,FALSE)*BW$20,BW29&gt;VLOOKUP($C28,$C$3:$D$15,2,FALSE)*BW$20),VLOOKUP($C28,$C$3:$D$15,2,FALSE)*BW$20-BV30)))</f>
        <v>0</v>
      </c>
      <c r="BX28" s="762">
        <f t="shared" ref="BX28" si="534" xml:space="preserve">
IF(BW30&gt;=VLOOKUP($C28,$C$3:$D$15,2,FALSE)*BX$20,0,
IF(AND(BW30&lt;VLOOKUP($C28,$C$3:$D$15,2,FALSE)*BX$20,BX29&lt;=VLOOKUP($C28,$C$3:$D$15,2,FALSE)*BX$20),IF(BX29-BW30&lt;0,0,BX29-BW30),
IF(AND(BW30&lt;VLOOKUP($C28,$C$3:$D$15,2,FALSE)*BX$20,BX29&gt;VLOOKUP($C28,$C$3:$D$15,2,FALSE)*BX$20),VLOOKUP($C28,$C$3:$D$15,2,FALSE)*BX$20-BW30)))</f>
        <v>0</v>
      </c>
      <c r="BY28" s="762">
        <f t="shared" ref="BY28" si="535" xml:space="preserve">
IF(BX30&gt;=VLOOKUP($C28,$C$3:$D$15,2,FALSE)*BY$20,0,
IF(AND(BX30&lt;VLOOKUP($C28,$C$3:$D$15,2,FALSE)*BY$20,BY29&lt;=VLOOKUP($C28,$C$3:$D$15,2,FALSE)*BY$20),IF(BY29-BX30&lt;0,0,BY29-BX30),
IF(AND(BX30&lt;VLOOKUP($C28,$C$3:$D$15,2,FALSE)*BY$20,BY29&gt;VLOOKUP($C28,$C$3:$D$15,2,FALSE)*BY$20),VLOOKUP($C28,$C$3:$D$15,2,FALSE)*BY$20-BX30)))</f>
        <v>0</v>
      </c>
      <c r="BZ28" s="762">
        <f t="shared" ref="BZ28" si="536" xml:space="preserve">
IF(BY30&gt;=VLOOKUP($C28,$C$3:$D$15,2,FALSE)*BZ$20,0,
IF(AND(BY30&lt;VLOOKUP($C28,$C$3:$D$15,2,FALSE)*BZ$20,BZ29&lt;=VLOOKUP($C28,$C$3:$D$15,2,FALSE)*BZ$20),IF(BZ29-BY30&lt;0,0,BZ29-BY30),
IF(AND(BY30&lt;VLOOKUP($C28,$C$3:$D$15,2,FALSE)*BZ$20,BZ29&gt;VLOOKUP($C28,$C$3:$D$15,2,FALSE)*BZ$20),VLOOKUP($C28,$C$3:$D$15,2,FALSE)*BZ$20-BY30)))</f>
        <v>0</v>
      </c>
      <c r="CA28" s="762">
        <f t="shared" ref="CA28" si="537" xml:space="preserve">
IF(BZ30&gt;=VLOOKUP($C28,$C$3:$D$15,2,FALSE)*CA$20,0,
IF(AND(BZ30&lt;VLOOKUP($C28,$C$3:$D$15,2,FALSE)*CA$20,CA29&lt;=VLOOKUP($C28,$C$3:$D$15,2,FALSE)*CA$20),IF(CA29-BZ30&lt;0,0,CA29-BZ30),
IF(AND(BZ30&lt;VLOOKUP($C28,$C$3:$D$15,2,FALSE)*CA$20,CA29&gt;VLOOKUP($C28,$C$3:$D$15,2,FALSE)*CA$20),VLOOKUP($C28,$C$3:$D$15,2,FALSE)*CA$20-BZ30)))</f>
        <v>0</v>
      </c>
      <c r="CB28" s="762">
        <f t="shared" ref="CB28" si="538" xml:space="preserve">
IF(CA30&gt;=VLOOKUP($C28,$C$3:$D$15,2,FALSE)*CB$20,0,
IF(AND(CA30&lt;VLOOKUP($C28,$C$3:$D$15,2,FALSE)*CB$20,CB29&lt;=VLOOKUP($C28,$C$3:$D$15,2,FALSE)*CB$20),IF(CB29-CA30&lt;0,0,CB29-CA30),
IF(AND(CA30&lt;VLOOKUP($C28,$C$3:$D$15,2,FALSE)*CB$20,CB29&gt;VLOOKUP($C28,$C$3:$D$15,2,FALSE)*CB$20),VLOOKUP($C28,$C$3:$D$15,2,FALSE)*CB$20-CA30)))</f>
        <v>0</v>
      </c>
      <c r="CC28" s="762">
        <f t="shared" ref="CC28" si="539" xml:space="preserve">
IF(CB30&gt;=VLOOKUP($C28,$C$3:$D$15,2,FALSE)*CC$20,0,
IF(AND(CB30&lt;VLOOKUP($C28,$C$3:$D$15,2,FALSE)*CC$20,CC29&lt;=VLOOKUP($C28,$C$3:$D$15,2,FALSE)*CC$20),IF(CC29-CB30&lt;0,0,CC29-CB30),
IF(AND(CB30&lt;VLOOKUP($C28,$C$3:$D$15,2,FALSE)*CC$20,CC29&gt;VLOOKUP($C28,$C$3:$D$15,2,FALSE)*CC$20),VLOOKUP($C28,$C$3:$D$15,2,FALSE)*CC$20-CB30)))</f>
        <v>0</v>
      </c>
      <c r="CD28" s="762">
        <f t="shared" ref="CD28" si="540" xml:space="preserve">
IF(CC30&gt;=VLOOKUP($C28,$C$3:$D$15,2,FALSE)*CD$20,0,
IF(AND(CC30&lt;VLOOKUP($C28,$C$3:$D$15,2,FALSE)*CD$20,CD29&lt;=VLOOKUP($C28,$C$3:$D$15,2,FALSE)*CD$20),IF(CD29-CC30&lt;0,0,CD29-CC30),
IF(AND(CC30&lt;VLOOKUP($C28,$C$3:$D$15,2,FALSE)*CD$20,CD29&gt;VLOOKUP($C28,$C$3:$D$15,2,FALSE)*CD$20),VLOOKUP($C28,$C$3:$D$15,2,FALSE)*CD$20-CC30)))</f>
        <v>0</v>
      </c>
      <c r="CE28" s="762">
        <f t="shared" ref="CE28" si="541" xml:space="preserve">
IF(CD30&gt;=VLOOKUP($C28,$C$3:$D$15,2,FALSE)*CE$20,0,
IF(AND(CD30&lt;VLOOKUP($C28,$C$3:$D$15,2,FALSE)*CE$20,CE29&lt;=VLOOKUP($C28,$C$3:$D$15,2,FALSE)*CE$20),IF(CE29-CD30&lt;0,0,CE29-CD30),
IF(AND(CD30&lt;VLOOKUP($C28,$C$3:$D$15,2,FALSE)*CE$20,CE29&gt;VLOOKUP($C28,$C$3:$D$15,2,FALSE)*CE$20),VLOOKUP($C28,$C$3:$D$15,2,FALSE)*CE$20-CD30)))</f>
        <v>0</v>
      </c>
      <c r="CF28" s="762">
        <f t="shared" ref="CF28" si="542" xml:space="preserve">
IF(CE30&gt;=VLOOKUP($C28,$C$3:$D$15,2,FALSE)*CF$20,0,
IF(AND(CE30&lt;VLOOKUP($C28,$C$3:$D$15,2,FALSE)*CF$20,CF29&lt;=VLOOKUP($C28,$C$3:$D$15,2,FALSE)*CF$20),IF(CF29-CE30&lt;0,0,CF29-CE30),
IF(AND(CE30&lt;VLOOKUP($C28,$C$3:$D$15,2,FALSE)*CF$20,CF29&gt;VLOOKUP($C28,$C$3:$D$15,2,FALSE)*CF$20),VLOOKUP($C28,$C$3:$D$15,2,FALSE)*CF$20-CE30)))</f>
        <v>0</v>
      </c>
      <c r="CG28" s="762">
        <f t="shared" ref="CG28" si="543" xml:space="preserve">
IF(CF30&gt;=VLOOKUP($C28,$C$3:$D$15,2,FALSE)*CG$20,0,
IF(AND(CF30&lt;VLOOKUP($C28,$C$3:$D$15,2,FALSE)*CG$20,CG29&lt;=VLOOKUP($C28,$C$3:$D$15,2,FALSE)*CG$20),IF(CG29-CF30&lt;0,0,CG29-CF30),
IF(AND(CF30&lt;VLOOKUP($C28,$C$3:$D$15,2,FALSE)*CG$20,CG29&gt;VLOOKUP($C28,$C$3:$D$15,2,FALSE)*CG$20),VLOOKUP($C28,$C$3:$D$15,2,FALSE)*CG$20-CF30)))</f>
        <v>0</v>
      </c>
      <c r="CH28" s="762">
        <f t="shared" ref="CH28" si="544" xml:space="preserve">
IF(CG30&gt;=VLOOKUP($C28,$C$3:$D$15,2,FALSE)*CH$20,0,
IF(AND(CG30&lt;VLOOKUP($C28,$C$3:$D$15,2,FALSE)*CH$20,CH29&lt;=VLOOKUP($C28,$C$3:$D$15,2,FALSE)*CH$20),IF(CH29-CG30&lt;0,0,CH29-CG30),
IF(AND(CG30&lt;VLOOKUP($C28,$C$3:$D$15,2,FALSE)*CH$20,CH29&gt;VLOOKUP($C28,$C$3:$D$15,2,FALSE)*CH$20),VLOOKUP($C28,$C$3:$D$15,2,FALSE)*CH$20-CG30)))</f>
        <v>0</v>
      </c>
      <c r="CI28" s="762">
        <f t="shared" ref="CI28" si="545" xml:space="preserve">
IF(CH30&gt;=VLOOKUP($C28,$C$3:$D$15,2,FALSE)*CI$20,0,
IF(AND(CH30&lt;VLOOKUP($C28,$C$3:$D$15,2,FALSE)*CI$20,CI29&lt;=VLOOKUP($C28,$C$3:$D$15,2,FALSE)*CI$20),IF(CI29-CH30&lt;0,0,CI29-CH30),
IF(AND(CH30&lt;VLOOKUP($C28,$C$3:$D$15,2,FALSE)*CI$20,CI29&gt;VLOOKUP($C28,$C$3:$D$15,2,FALSE)*CI$20),VLOOKUP($C28,$C$3:$D$15,2,FALSE)*CI$20-CH30)))</f>
        <v>0</v>
      </c>
      <c r="CJ28" s="762">
        <f t="shared" ref="CJ28" si="546" xml:space="preserve">
IF(CI30&gt;=VLOOKUP($C28,$C$3:$D$15,2,FALSE)*CJ$20,0,
IF(AND(CI30&lt;VLOOKUP($C28,$C$3:$D$15,2,FALSE)*CJ$20,CJ29&lt;=VLOOKUP($C28,$C$3:$D$15,2,FALSE)*CJ$20),IF(CJ29-CI30&lt;0,0,CJ29-CI30),
IF(AND(CI30&lt;VLOOKUP($C28,$C$3:$D$15,2,FALSE)*CJ$20,CJ29&gt;VLOOKUP($C28,$C$3:$D$15,2,FALSE)*CJ$20),VLOOKUP($C28,$C$3:$D$15,2,FALSE)*CJ$20-CI30)))</f>
        <v>0</v>
      </c>
      <c r="CK28" s="762">
        <f t="shared" ref="CK28" si="547" xml:space="preserve">
IF(CJ30&gt;=VLOOKUP($C28,$C$3:$D$15,2,FALSE)*CK$20,0,
IF(AND(CJ30&lt;VLOOKUP($C28,$C$3:$D$15,2,FALSE)*CK$20,CK29&lt;=VLOOKUP($C28,$C$3:$D$15,2,FALSE)*CK$20),IF(CK29-CJ30&lt;0,0,CK29-CJ30),
IF(AND(CJ30&lt;VLOOKUP($C28,$C$3:$D$15,2,FALSE)*CK$20,CK29&gt;VLOOKUP($C28,$C$3:$D$15,2,FALSE)*CK$20),VLOOKUP($C28,$C$3:$D$15,2,FALSE)*CK$20-CJ30)))</f>
        <v>0</v>
      </c>
      <c r="CL28" s="762">
        <f t="shared" ref="CL28" si="548" xml:space="preserve">
IF(CK30&gt;=VLOOKUP($C28,$C$3:$D$15,2,FALSE)*CL$20,0,
IF(AND(CK30&lt;VLOOKUP($C28,$C$3:$D$15,2,FALSE)*CL$20,CL29&lt;=VLOOKUP($C28,$C$3:$D$15,2,FALSE)*CL$20),IF(CL29-CK30&lt;0,0,CL29-CK30),
IF(AND(CK30&lt;VLOOKUP($C28,$C$3:$D$15,2,FALSE)*CL$20,CL29&gt;VLOOKUP($C28,$C$3:$D$15,2,FALSE)*CL$20),VLOOKUP($C28,$C$3:$D$15,2,FALSE)*CL$20-CK30)))</f>
        <v>0</v>
      </c>
      <c r="CM28" s="762">
        <f t="shared" ref="CM28" si="549" xml:space="preserve">
IF(CL30&gt;=VLOOKUP($C28,$C$3:$D$15,2,FALSE)*CM$20,0,
IF(AND(CL30&lt;VLOOKUP($C28,$C$3:$D$15,2,FALSE)*CM$20,CM29&lt;=VLOOKUP($C28,$C$3:$D$15,2,FALSE)*CM$20),IF(CM29-CL30&lt;0,0,CM29-CL30),
IF(AND(CL30&lt;VLOOKUP($C28,$C$3:$D$15,2,FALSE)*CM$20,CM29&gt;VLOOKUP($C28,$C$3:$D$15,2,FALSE)*CM$20),VLOOKUP($C28,$C$3:$D$15,2,FALSE)*CM$20-CL30)))</f>
        <v>0</v>
      </c>
      <c r="CN28" s="762">
        <f t="shared" ref="CN28" si="550" xml:space="preserve">
IF(CM30&gt;=VLOOKUP($C28,$C$3:$D$15,2,FALSE)*CN$20,0,
IF(AND(CM30&lt;VLOOKUP($C28,$C$3:$D$15,2,FALSE)*CN$20,CN29&lt;=VLOOKUP($C28,$C$3:$D$15,2,FALSE)*CN$20),IF(CN29-CM30&lt;0,0,CN29-CM30),
IF(AND(CM30&lt;VLOOKUP($C28,$C$3:$D$15,2,FALSE)*CN$20,CN29&gt;VLOOKUP($C28,$C$3:$D$15,2,FALSE)*CN$20),VLOOKUP($C28,$C$3:$D$15,2,FALSE)*CN$20-CM30)))</f>
        <v>0</v>
      </c>
      <c r="CO28" s="762">
        <f t="shared" ref="CO28" si="551" xml:space="preserve">
IF(CN30&gt;=VLOOKUP($C28,$C$3:$D$15,2,FALSE)*CO$20,0,
IF(AND(CN30&lt;VLOOKUP($C28,$C$3:$D$15,2,FALSE)*CO$20,CO29&lt;=VLOOKUP($C28,$C$3:$D$15,2,FALSE)*CO$20),IF(CO29-CN30&lt;0,0,CO29-CN30),
IF(AND(CN30&lt;VLOOKUP($C28,$C$3:$D$15,2,FALSE)*CO$20,CO29&gt;VLOOKUP($C28,$C$3:$D$15,2,FALSE)*CO$20),VLOOKUP($C28,$C$3:$D$15,2,FALSE)*CO$20-CN30)))</f>
        <v>0</v>
      </c>
      <c r="CP28" s="762">
        <f t="shared" ref="CP28" si="552" xml:space="preserve">
IF(CO30&gt;=VLOOKUP($C28,$C$3:$D$15,2,FALSE)*CP$20,0,
IF(AND(CO30&lt;VLOOKUP($C28,$C$3:$D$15,2,FALSE)*CP$20,CP29&lt;=VLOOKUP($C28,$C$3:$D$15,2,FALSE)*CP$20),IF(CP29-CO30&lt;0,0,CP29-CO30),
IF(AND(CO30&lt;VLOOKUP($C28,$C$3:$D$15,2,FALSE)*CP$20,CP29&gt;VLOOKUP($C28,$C$3:$D$15,2,FALSE)*CP$20),VLOOKUP($C28,$C$3:$D$15,2,FALSE)*CP$20-CO30)))</f>
        <v>0</v>
      </c>
      <c r="CQ28" s="762">
        <f t="shared" ref="CQ28" si="553" xml:space="preserve">
IF(CP30&gt;=VLOOKUP($C28,$C$3:$D$15,2,FALSE)*CQ$20,0,
IF(AND(CP30&lt;VLOOKUP($C28,$C$3:$D$15,2,FALSE)*CQ$20,CQ29&lt;=VLOOKUP($C28,$C$3:$D$15,2,FALSE)*CQ$20),IF(CQ29-CP30&lt;0,0,CQ29-CP30),
IF(AND(CP30&lt;VLOOKUP($C28,$C$3:$D$15,2,FALSE)*CQ$20,CQ29&gt;VLOOKUP($C28,$C$3:$D$15,2,FALSE)*CQ$20),VLOOKUP($C28,$C$3:$D$15,2,FALSE)*CQ$20-CP30)))</f>
        <v>0</v>
      </c>
      <c r="CR28" s="762">
        <f t="shared" ref="CR28" si="554" xml:space="preserve">
IF(CQ30&gt;=VLOOKUP($C28,$C$3:$D$15,2,FALSE)*CR$20,0,
IF(AND(CQ30&lt;VLOOKUP($C28,$C$3:$D$15,2,FALSE)*CR$20,CR29&lt;=VLOOKUP($C28,$C$3:$D$15,2,FALSE)*CR$20),IF(CR29-CQ30&lt;0,0,CR29-CQ30),
IF(AND(CQ30&lt;VLOOKUP($C28,$C$3:$D$15,2,FALSE)*CR$20,CR29&gt;VLOOKUP($C28,$C$3:$D$15,2,FALSE)*CR$20),VLOOKUP($C28,$C$3:$D$15,2,FALSE)*CR$20-CQ30)))</f>
        <v>0</v>
      </c>
      <c r="CS28" s="762">
        <f t="shared" ref="CS28" si="555" xml:space="preserve">
IF(CR30&gt;=VLOOKUP($C28,$C$3:$D$15,2,FALSE)*CS$20,0,
IF(AND(CR30&lt;VLOOKUP($C28,$C$3:$D$15,2,FALSE)*CS$20,CS29&lt;=VLOOKUP($C28,$C$3:$D$15,2,FALSE)*CS$20),IF(CS29-CR30&lt;0,0,CS29-CR30),
IF(AND(CR30&lt;VLOOKUP($C28,$C$3:$D$15,2,FALSE)*CS$20,CS29&gt;VLOOKUP($C28,$C$3:$D$15,2,FALSE)*CS$20),VLOOKUP($C28,$C$3:$D$15,2,FALSE)*CS$20-CR30)))</f>
        <v>0</v>
      </c>
      <c r="CT28" s="762">
        <f t="shared" ref="CT28" si="556" xml:space="preserve">
IF(CS30&gt;=VLOOKUP($C28,$C$3:$D$15,2,FALSE)*CT$20,0,
IF(AND(CS30&lt;VLOOKUP($C28,$C$3:$D$15,2,FALSE)*CT$20,CT29&lt;=VLOOKUP($C28,$C$3:$D$15,2,FALSE)*CT$20),IF(CT29-CS30&lt;0,0,CT29-CS30),
IF(AND(CS30&lt;VLOOKUP($C28,$C$3:$D$15,2,FALSE)*CT$20,CT29&gt;VLOOKUP($C28,$C$3:$D$15,2,FALSE)*CT$20),VLOOKUP($C28,$C$3:$D$15,2,FALSE)*CT$20-CS30)))</f>
        <v>0</v>
      </c>
      <c r="CU28" s="762">
        <f t="shared" ref="CU28" si="557" xml:space="preserve">
IF(CT30&gt;=VLOOKUP($C28,$C$3:$D$15,2,FALSE)*CU$20,0,
IF(AND(CT30&lt;VLOOKUP($C28,$C$3:$D$15,2,FALSE)*CU$20,CU29&lt;=VLOOKUP($C28,$C$3:$D$15,2,FALSE)*CU$20),IF(CU29-CT30&lt;0,0,CU29-CT30),
IF(AND(CT30&lt;VLOOKUP($C28,$C$3:$D$15,2,FALSE)*CU$20,CU29&gt;VLOOKUP($C28,$C$3:$D$15,2,FALSE)*CU$20),VLOOKUP($C28,$C$3:$D$15,2,FALSE)*CU$20-CT30)))</f>
        <v>0</v>
      </c>
      <c r="CV28" s="762">
        <f t="shared" ref="CV28" si="558" xml:space="preserve">
IF(CU30&gt;=VLOOKUP($C28,$C$3:$D$15,2,FALSE)*CV$20,0,
IF(AND(CU30&lt;VLOOKUP($C28,$C$3:$D$15,2,FALSE)*CV$20,CV29&lt;=VLOOKUP($C28,$C$3:$D$15,2,FALSE)*CV$20),IF(CV29-CU30&lt;0,0,CV29-CU30),
IF(AND(CU30&lt;VLOOKUP($C28,$C$3:$D$15,2,FALSE)*CV$20,CV29&gt;VLOOKUP($C28,$C$3:$D$15,2,FALSE)*CV$20),VLOOKUP($C28,$C$3:$D$15,2,FALSE)*CV$20-CU30)))</f>
        <v>0</v>
      </c>
      <c r="CW28" s="762">
        <f t="shared" ref="CW28" si="559" xml:space="preserve">
IF(CV30&gt;=VLOOKUP($C28,$C$3:$D$15,2,FALSE)*CW$20,0,
IF(AND(CV30&lt;VLOOKUP($C28,$C$3:$D$15,2,FALSE)*CW$20,CW29&lt;=VLOOKUP($C28,$C$3:$D$15,2,FALSE)*CW$20),IF(CW29-CV30&lt;0,0,CW29-CV30),
IF(AND(CV30&lt;VLOOKUP($C28,$C$3:$D$15,2,FALSE)*CW$20,CW29&gt;VLOOKUP($C28,$C$3:$D$15,2,FALSE)*CW$20),VLOOKUP($C28,$C$3:$D$15,2,FALSE)*CW$20-CV30)))</f>
        <v>0</v>
      </c>
      <c r="CX28" s="762">
        <f t="shared" ref="CX28" si="560" xml:space="preserve">
IF(CW30&gt;=VLOOKUP($C28,$C$3:$D$15,2,FALSE)*CX$20,0,
IF(AND(CW30&lt;VLOOKUP($C28,$C$3:$D$15,2,FALSE)*CX$20,CX29&lt;=VLOOKUP($C28,$C$3:$D$15,2,FALSE)*CX$20),IF(CX29-CW30&lt;0,0,CX29-CW30),
IF(AND(CW30&lt;VLOOKUP($C28,$C$3:$D$15,2,FALSE)*CX$20,CX29&gt;VLOOKUP($C28,$C$3:$D$15,2,FALSE)*CX$20),VLOOKUP($C28,$C$3:$D$15,2,FALSE)*CX$20-CW30)))</f>
        <v>0</v>
      </c>
      <c r="CY28" s="762">
        <f t="shared" ref="CY28" si="561" xml:space="preserve">
IF(CX30&gt;=VLOOKUP($C28,$C$3:$D$15,2,FALSE)*CY$20,0,
IF(AND(CX30&lt;VLOOKUP($C28,$C$3:$D$15,2,FALSE)*CY$20,CY29&lt;=VLOOKUP($C28,$C$3:$D$15,2,FALSE)*CY$20),IF(CY29-CX30&lt;0,0,CY29-CX30),
IF(AND(CX30&lt;VLOOKUP($C28,$C$3:$D$15,2,FALSE)*CY$20,CY29&gt;VLOOKUP($C28,$C$3:$D$15,2,FALSE)*CY$20),VLOOKUP($C28,$C$3:$D$15,2,FALSE)*CY$20-CX30)))</f>
        <v>0</v>
      </c>
      <c r="CZ28" s="762">
        <f t="shared" ref="CZ28" si="562" xml:space="preserve">
IF(CY30&gt;=VLOOKUP($C28,$C$3:$D$15,2,FALSE)*CZ$20,0,
IF(AND(CY30&lt;VLOOKUP($C28,$C$3:$D$15,2,FALSE)*CZ$20,CZ29&lt;=VLOOKUP($C28,$C$3:$D$15,2,FALSE)*CZ$20),IF(CZ29-CY30&lt;0,0,CZ29-CY30),
IF(AND(CY30&lt;VLOOKUP($C28,$C$3:$D$15,2,FALSE)*CZ$20,CZ29&gt;VLOOKUP($C28,$C$3:$D$15,2,FALSE)*CZ$20),VLOOKUP($C28,$C$3:$D$15,2,FALSE)*CZ$20-CY30)))</f>
        <v>0</v>
      </c>
      <c r="DA28" s="762">
        <f t="shared" ref="DA28" si="563" xml:space="preserve">
IF(CZ30&gt;=VLOOKUP($C28,$C$3:$D$15,2,FALSE)*DA$20,0,
IF(AND(CZ30&lt;VLOOKUP($C28,$C$3:$D$15,2,FALSE)*DA$20,DA29&lt;=VLOOKUP($C28,$C$3:$D$15,2,FALSE)*DA$20),IF(DA29-CZ30&lt;0,0,DA29-CZ30),
IF(AND(CZ30&lt;VLOOKUP($C28,$C$3:$D$15,2,FALSE)*DA$20,DA29&gt;VLOOKUP($C28,$C$3:$D$15,2,FALSE)*DA$20),VLOOKUP($C28,$C$3:$D$15,2,FALSE)*DA$20-CZ30)))</f>
        <v>0</v>
      </c>
      <c r="DB28" s="762">
        <f t="shared" ref="DB28" si="564" xml:space="preserve">
IF(DA30&gt;=VLOOKUP($C28,$C$3:$D$15,2,FALSE)*DB$20,0,
IF(AND(DA30&lt;VLOOKUP($C28,$C$3:$D$15,2,FALSE)*DB$20,DB29&lt;=VLOOKUP($C28,$C$3:$D$15,2,FALSE)*DB$20),IF(DB29-DA30&lt;0,0,DB29-DA30),
IF(AND(DA30&lt;VLOOKUP($C28,$C$3:$D$15,2,FALSE)*DB$20,DB29&gt;VLOOKUP($C28,$C$3:$D$15,2,FALSE)*DB$20),VLOOKUP($C28,$C$3:$D$15,2,FALSE)*DB$20-DA30)))</f>
        <v>0</v>
      </c>
      <c r="DC28" s="762">
        <f t="shared" ref="DC28" si="565" xml:space="preserve">
IF(DB30&gt;=VLOOKUP($C28,$C$3:$D$15,2,FALSE)*DC$20,0,
IF(AND(DB30&lt;VLOOKUP($C28,$C$3:$D$15,2,FALSE)*DC$20,DC29&lt;=VLOOKUP($C28,$C$3:$D$15,2,FALSE)*DC$20),IF(DC29-DB30&lt;0,0,DC29-DB30),
IF(AND(DB30&lt;VLOOKUP($C28,$C$3:$D$15,2,FALSE)*DC$20,DC29&gt;VLOOKUP($C28,$C$3:$D$15,2,FALSE)*DC$20),VLOOKUP($C28,$C$3:$D$15,2,FALSE)*DC$20-DB30)))</f>
        <v>0</v>
      </c>
      <c r="DD28" s="762">
        <f t="shared" ref="DD28" si="566" xml:space="preserve">
IF(DC30&gt;=VLOOKUP($C28,$C$3:$D$15,2,FALSE)*DD$20,0,
IF(AND(DC30&lt;VLOOKUP($C28,$C$3:$D$15,2,FALSE)*DD$20,DD29&lt;=VLOOKUP($C28,$C$3:$D$15,2,FALSE)*DD$20),IF(DD29-DC30&lt;0,0,DD29-DC30),
IF(AND(DC30&lt;VLOOKUP($C28,$C$3:$D$15,2,FALSE)*DD$20,DD29&gt;VLOOKUP($C28,$C$3:$D$15,2,FALSE)*DD$20),VLOOKUP($C28,$C$3:$D$15,2,FALSE)*DD$20-DC30)))</f>
        <v>0</v>
      </c>
      <c r="DE28" s="762">
        <f t="shared" ref="DE28" si="567" xml:space="preserve">
IF(DD30&gt;=VLOOKUP($C28,$C$3:$D$15,2,FALSE)*DE$20,0,
IF(AND(DD30&lt;VLOOKUP($C28,$C$3:$D$15,2,FALSE)*DE$20,DE29&lt;=VLOOKUP($C28,$C$3:$D$15,2,FALSE)*DE$20),IF(DE29-DD30&lt;0,0,DE29-DD30),
IF(AND(DD30&lt;VLOOKUP($C28,$C$3:$D$15,2,FALSE)*DE$20,DE29&gt;VLOOKUP($C28,$C$3:$D$15,2,FALSE)*DE$20),VLOOKUP($C28,$C$3:$D$15,2,FALSE)*DE$20-DD30)))</f>
        <v>0</v>
      </c>
      <c r="DF28" s="762">
        <f t="shared" ref="DF28" si="568" xml:space="preserve">
IF(DE30&gt;=VLOOKUP($C28,$C$3:$D$15,2,FALSE)*DF$20,0,
IF(AND(DE30&lt;VLOOKUP($C28,$C$3:$D$15,2,FALSE)*DF$20,DF29&lt;=VLOOKUP($C28,$C$3:$D$15,2,FALSE)*DF$20),IF(DF29-DE30&lt;0,0,DF29-DE30),
IF(AND(DE30&lt;VLOOKUP($C28,$C$3:$D$15,2,FALSE)*DF$20,DF29&gt;VLOOKUP($C28,$C$3:$D$15,2,FALSE)*DF$20),VLOOKUP($C28,$C$3:$D$15,2,FALSE)*DF$20-DE30)))</f>
        <v>0</v>
      </c>
      <c r="DG28" s="762">
        <f t="shared" ref="DG28" si="569" xml:space="preserve">
IF(DF30&gt;=VLOOKUP($C28,$C$3:$D$15,2,FALSE)*DG$20,0,
IF(AND(DF30&lt;VLOOKUP($C28,$C$3:$D$15,2,FALSE)*DG$20,DG29&lt;=VLOOKUP($C28,$C$3:$D$15,2,FALSE)*DG$20),IF(DG29-DF30&lt;0,0,DG29-DF30),
IF(AND(DF30&lt;VLOOKUP($C28,$C$3:$D$15,2,FALSE)*DG$20,DG29&gt;VLOOKUP($C28,$C$3:$D$15,2,FALSE)*DG$20),VLOOKUP($C28,$C$3:$D$15,2,FALSE)*DG$20-DF30)))</f>
        <v>0</v>
      </c>
      <c r="DH28" s="762">
        <f t="shared" ref="DH28" si="570" xml:space="preserve">
IF(DG30&gt;=VLOOKUP($C28,$C$3:$D$15,2,FALSE)*DH$20,0,
IF(AND(DG30&lt;VLOOKUP($C28,$C$3:$D$15,2,FALSE)*DH$20,DH29&lt;=VLOOKUP($C28,$C$3:$D$15,2,FALSE)*DH$20),IF(DH29-DG30&lt;0,0,DH29-DG30),
IF(AND(DG30&lt;VLOOKUP($C28,$C$3:$D$15,2,FALSE)*DH$20,DH29&gt;VLOOKUP($C28,$C$3:$D$15,2,FALSE)*DH$20),VLOOKUP($C28,$C$3:$D$15,2,FALSE)*DH$20-DG30)))</f>
        <v>0</v>
      </c>
      <c r="DI28" s="762">
        <f t="shared" ref="DI28" si="571" xml:space="preserve">
IF(DH30&gt;=VLOOKUP($C28,$C$3:$D$15,2,FALSE)*DI$20,0,
IF(AND(DH30&lt;VLOOKUP($C28,$C$3:$D$15,2,FALSE)*DI$20,DI29&lt;=VLOOKUP($C28,$C$3:$D$15,2,FALSE)*DI$20),IF(DI29-DH30&lt;0,0,DI29-DH30),
IF(AND(DH30&lt;VLOOKUP($C28,$C$3:$D$15,2,FALSE)*DI$20,DI29&gt;VLOOKUP($C28,$C$3:$D$15,2,FALSE)*DI$20),VLOOKUP($C28,$C$3:$D$15,2,FALSE)*DI$20-DH30)))</f>
        <v>0</v>
      </c>
      <c r="DJ28" s="762">
        <f t="shared" ref="DJ28" si="572" xml:space="preserve">
IF(DI30&gt;=VLOOKUP($C28,$C$3:$D$15,2,FALSE)*DJ$20,0,
IF(AND(DI30&lt;VLOOKUP($C28,$C$3:$D$15,2,FALSE)*DJ$20,DJ29&lt;=VLOOKUP($C28,$C$3:$D$15,2,FALSE)*DJ$20),IF(DJ29-DI30&lt;0,0,DJ29-DI30),
IF(AND(DI30&lt;VLOOKUP($C28,$C$3:$D$15,2,FALSE)*DJ$20,DJ29&gt;VLOOKUP($C28,$C$3:$D$15,2,FALSE)*DJ$20),VLOOKUP($C28,$C$3:$D$15,2,FALSE)*DJ$20-DI30)))</f>
        <v>0</v>
      </c>
      <c r="DK28" s="762">
        <f t="shared" ref="DK28" si="573" xml:space="preserve">
IF(DJ30&gt;=VLOOKUP($C28,$C$3:$D$15,2,FALSE)*DK$20,0,
IF(AND(DJ30&lt;VLOOKUP($C28,$C$3:$D$15,2,FALSE)*DK$20,DK29&lt;=VLOOKUP($C28,$C$3:$D$15,2,FALSE)*DK$20),IF(DK29-DJ30&lt;0,0,DK29-DJ30),
IF(AND(DJ30&lt;VLOOKUP($C28,$C$3:$D$15,2,FALSE)*DK$20,DK29&gt;VLOOKUP($C28,$C$3:$D$15,2,FALSE)*DK$20),VLOOKUP($C28,$C$3:$D$15,2,FALSE)*DK$20-DJ30)))</f>
        <v>0</v>
      </c>
      <c r="DL28" s="762">
        <f t="shared" ref="DL28" si="574" xml:space="preserve">
IF(DK30&gt;=VLOOKUP($C28,$C$3:$D$15,2,FALSE)*DL$20,0,
IF(AND(DK30&lt;VLOOKUP($C28,$C$3:$D$15,2,FALSE)*DL$20,DL29&lt;=VLOOKUP($C28,$C$3:$D$15,2,FALSE)*DL$20),IF(DL29-DK30&lt;0,0,DL29-DK30),
IF(AND(DK30&lt;VLOOKUP($C28,$C$3:$D$15,2,FALSE)*DL$20,DL29&gt;VLOOKUP($C28,$C$3:$D$15,2,FALSE)*DL$20),VLOOKUP($C28,$C$3:$D$15,2,FALSE)*DL$20-DK30)))</f>
        <v>0</v>
      </c>
      <c r="DM28" s="762">
        <f t="shared" ref="DM28" si="575" xml:space="preserve">
IF(DL30&gt;=VLOOKUP($C28,$C$3:$D$15,2,FALSE)*DM$20,0,
IF(AND(DL30&lt;VLOOKUP($C28,$C$3:$D$15,2,FALSE)*DM$20,DM29&lt;=VLOOKUP($C28,$C$3:$D$15,2,FALSE)*DM$20),IF(DM29-DL30&lt;0,0,DM29-DL30),
IF(AND(DL30&lt;VLOOKUP($C28,$C$3:$D$15,2,FALSE)*DM$20,DM29&gt;VLOOKUP($C28,$C$3:$D$15,2,FALSE)*DM$20),VLOOKUP($C28,$C$3:$D$15,2,FALSE)*DM$20-DL30)))</f>
        <v>0</v>
      </c>
      <c r="DN28" s="762">
        <f t="shared" ref="DN28" si="576" xml:space="preserve">
IF(DM30&gt;=VLOOKUP($C28,$C$3:$D$15,2,FALSE)*DN$20,0,
IF(AND(DM30&lt;VLOOKUP($C28,$C$3:$D$15,2,FALSE)*DN$20,DN29&lt;=VLOOKUP($C28,$C$3:$D$15,2,FALSE)*DN$20),IF(DN29-DM30&lt;0,0,DN29-DM30),
IF(AND(DM30&lt;VLOOKUP($C28,$C$3:$D$15,2,FALSE)*DN$20,DN29&gt;VLOOKUP($C28,$C$3:$D$15,2,FALSE)*DN$20),VLOOKUP($C28,$C$3:$D$15,2,FALSE)*DN$20-DM30)))</f>
        <v>0</v>
      </c>
      <c r="DO28" s="762">
        <f t="shared" ref="DO28" si="577" xml:space="preserve">
IF(DN30&gt;=VLOOKUP($C28,$C$3:$D$15,2,FALSE)*DO$20,0,
IF(AND(DN30&lt;VLOOKUP($C28,$C$3:$D$15,2,FALSE)*DO$20,DO29&lt;=VLOOKUP($C28,$C$3:$D$15,2,FALSE)*DO$20),IF(DO29-DN30&lt;0,0,DO29-DN30),
IF(AND(DN30&lt;VLOOKUP($C28,$C$3:$D$15,2,FALSE)*DO$20,DO29&gt;VLOOKUP($C28,$C$3:$D$15,2,FALSE)*DO$20),VLOOKUP($C28,$C$3:$D$15,2,FALSE)*DO$20-DN30)))</f>
        <v>0</v>
      </c>
      <c r="DP28" s="762">
        <f t="shared" ref="DP28" si="578" xml:space="preserve">
IF(DO30&gt;=VLOOKUP($C28,$C$3:$D$15,2,FALSE)*DP$20,0,
IF(AND(DO30&lt;VLOOKUP($C28,$C$3:$D$15,2,FALSE)*DP$20,DP29&lt;=VLOOKUP($C28,$C$3:$D$15,2,FALSE)*DP$20),IF(DP29-DO30&lt;0,0,DP29-DO30),
IF(AND(DO30&lt;VLOOKUP($C28,$C$3:$D$15,2,FALSE)*DP$20,DP29&gt;VLOOKUP($C28,$C$3:$D$15,2,FALSE)*DP$20),VLOOKUP($C28,$C$3:$D$15,2,FALSE)*DP$20-DO30)))</f>
        <v>0</v>
      </c>
      <c r="DQ28" s="762">
        <f t="shared" ref="DQ28" si="579" xml:space="preserve">
IF(DP30&gt;=VLOOKUP($C28,$C$3:$D$15,2,FALSE)*DQ$20,0,
IF(AND(DP30&lt;VLOOKUP($C28,$C$3:$D$15,2,FALSE)*DQ$20,DQ29&lt;=VLOOKUP($C28,$C$3:$D$15,2,FALSE)*DQ$20),IF(DQ29-DP30&lt;0,0,DQ29-DP30),
IF(AND(DP30&lt;VLOOKUP($C28,$C$3:$D$15,2,FALSE)*DQ$20,DQ29&gt;VLOOKUP($C28,$C$3:$D$15,2,FALSE)*DQ$20),VLOOKUP($C28,$C$3:$D$15,2,FALSE)*DQ$20-DP30)))</f>
        <v>0</v>
      </c>
      <c r="DR28" s="762">
        <f t="shared" ref="DR28" si="580" xml:space="preserve">
IF(DQ30&gt;=VLOOKUP($C28,$C$3:$D$15,2,FALSE)*DR$20,0,
IF(AND(DQ30&lt;VLOOKUP($C28,$C$3:$D$15,2,FALSE)*DR$20,DR29&lt;=VLOOKUP($C28,$C$3:$D$15,2,FALSE)*DR$20),IF(DR29-DQ30&lt;0,0,DR29-DQ30),
IF(AND(DQ30&lt;VLOOKUP($C28,$C$3:$D$15,2,FALSE)*DR$20,DR29&gt;VLOOKUP($C28,$C$3:$D$15,2,FALSE)*DR$20),VLOOKUP($C28,$C$3:$D$15,2,FALSE)*DR$20-DQ30)))</f>
        <v>0</v>
      </c>
      <c r="DS28" s="762">
        <f t="shared" ref="DS28" si="581" xml:space="preserve">
IF(DR30&gt;=VLOOKUP($C28,$C$3:$D$15,2,FALSE)*DS$20,0,
IF(AND(DR30&lt;VLOOKUP($C28,$C$3:$D$15,2,FALSE)*DS$20,DS29&lt;=VLOOKUP($C28,$C$3:$D$15,2,FALSE)*DS$20),IF(DS29-DR30&lt;0,0,DS29-DR30),
IF(AND(DR30&lt;VLOOKUP($C28,$C$3:$D$15,2,FALSE)*DS$20,DS29&gt;VLOOKUP($C28,$C$3:$D$15,2,FALSE)*DS$20),VLOOKUP($C28,$C$3:$D$15,2,FALSE)*DS$20-DR30)))</f>
        <v>0</v>
      </c>
      <c r="DT28" s="762">
        <f t="shared" ref="DT28" si="582" xml:space="preserve">
IF(DS30&gt;=VLOOKUP($C28,$C$3:$D$15,2,FALSE)*DT$20,0,
IF(AND(DS30&lt;VLOOKUP($C28,$C$3:$D$15,2,FALSE)*DT$20,DT29&lt;=VLOOKUP($C28,$C$3:$D$15,2,FALSE)*DT$20),IF(DT29-DS30&lt;0,0,DT29-DS30),
IF(AND(DS30&lt;VLOOKUP($C28,$C$3:$D$15,2,FALSE)*DT$20,DT29&gt;VLOOKUP($C28,$C$3:$D$15,2,FALSE)*DT$20),VLOOKUP($C28,$C$3:$D$15,2,FALSE)*DT$20-DS30)))</f>
        <v>0</v>
      </c>
      <c r="DU28" s="762">
        <f t="shared" ref="DU28" si="583" xml:space="preserve">
IF(DT30&gt;=VLOOKUP($C28,$C$3:$D$15,2,FALSE)*DU$20,0,
IF(AND(DT30&lt;VLOOKUP($C28,$C$3:$D$15,2,FALSE)*DU$20,DU29&lt;=VLOOKUP($C28,$C$3:$D$15,2,FALSE)*DU$20),IF(DU29-DT30&lt;0,0,DU29-DT30),
IF(AND(DT30&lt;VLOOKUP($C28,$C$3:$D$15,2,FALSE)*DU$20,DU29&gt;VLOOKUP($C28,$C$3:$D$15,2,FALSE)*DU$20),VLOOKUP($C28,$C$3:$D$15,2,FALSE)*DU$20-DT30)))</f>
        <v>0</v>
      </c>
      <c r="DV28" s="762">
        <f t="shared" ref="DV28" si="584" xml:space="preserve">
IF(DU30&gt;=VLOOKUP($C28,$C$3:$D$15,2,FALSE)*DV$20,0,
IF(AND(DU30&lt;VLOOKUP($C28,$C$3:$D$15,2,FALSE)*DV$20,DV29&lt;=VLOOKUP($C28,$C$3:$D$15,2,FALSE)*DV$20),IF(DV29-DU30&lt;0,0,DV29-DU30),
IF(AND(DU30&lt;VLOOKUP($C28,$C$3:$D$15,2,FALSE)*DV$20,DV29&gt;VLOOKUP($C28,$C$3:$D$15,2,FALSE)*DV$20),VLOOKUP($C28,$C$3:$D$15,2,FALSE)*DV$20-DU30)))</f>
        <v>0</v>
      </c>
      <c r="DW28" s="762">
        <f t="shared" ref="DW28" si="585" xml:space="preserve">
IF(DV30&gt;=VLOOKUP($C28,$C$3:$D$15,2,FALSE)*DW$20,0,
IF(AND(DV30&lt;VLOOKUP($C28,$C$3:$D$15,2,FALSE)*DW$20,DW29&lt;=VLOOKUP($C28,$C$3:$D$15,2,FALSE)*DW$20),IF(DW29-DV30&lt;0,0,DW29-DV30),
IF(AND(DV30&lt;VLOOKUP($C28,$C$3:$D$15,2,FALSE)*DW$20,DW29&gt;VLOOKUP($C28,$C$3:$D$15,2,FALSE)*DW$20),VLOOKUP($C28,$C$3:$D$15,2,FALSE)*DW$20-DV30)))</f>
        <v>0</v>
      </c>
      <c r="DX28" s="762">
        <f t="shared" ref="DX28" si="586" xml:space="preserve">
IF(DW30&gt;=VLOOKUP($C28,$C$3:$D$15,2,FALSE)*DX$20,0,
IF(AND(DW30&lt;VLOOKUP($C28,$C$3:$D$15,2,FALSE)*DX$20,DX29&lt;=VLOOKUP($C28,$C$3:$D$15,2,FALSE)*DX$20),IF(DX29-DW30&lt;0,0,DX29-DW30),
IF(AND(DW30&lt;VLOOKUP($C28,$C$3:$D$15,2,FALSE)*DX$20,DX29&gt;VLOOKUP($C28,$C$3:$D$15,2,FALSE)*DX$20),VLOOKUP($C28,$C$3:$D$15,2,FALSE)*DX$20-DW30)))</f>
        <v>0</v>
      </c>
      <c r="DY28" s="762">
        <f t="shared" ref="DY28" si="587" xml:space="preserve">
IF(DX30&gt;=VLOOKUP($C28,$C$3:$D$15,2,FALSE)*DY$20,0,
IF(AND(DX30&lt;VLOOKUP($C28,$C$3:$D$15,2,FALSE)*DY$20,DY29&lt;=VLOOKUP($C28,$C$3:$D$15,2,FALSE)*DY$20),IF(DY29-DX30&lt;0,0,DY29-DX30),
IF(AND(DX30&lt;VLOOKUP($C28,$C$3:$D$15,2,FALSE)*DY$20,DY29&gt;VLOOKUP($C28,$C$3:$D$15,2,FALSE)*DY$20),VLOOKUP($C28,$C$3:$D$15,2,FALSE)*DY$20-DX30)))</f>
        <v>0</v>
      </c>
      <c r="DZ28" s="762">
        <f t="shared" ref="DZ28" si="588" xml:space="preserve">
IF(DY30&gt;=VLOOKUP($C28,$C$3:$D$15,2,FALSE)*DZ$20,0,
IF(AND(DY30&lt;VLOOKUP($C28,$C$3:$D$15,2,FALSE)*DZ$20,DZ29&lt;=VLOOKUP($C28,$C$3:$D$15,2,FALSE)*DZ$20),IF(DZ29-DY30&lt;0,0,DZ29-DY30),
IF(AND(DY30&lt;VLOOKUP($C28,$C$3:$D$15,2,FALSE)*DZ$20,DZ29&gt;VLOOKUP($C28,$C$3:$D$15,2,FALSE)*DZ$20),VLOOKUP($C28,$C$3:$D$15,2,FALSE)*DZ$20-DY30)))</f>
        <v>0</v>
      </c>
      <c r="EA28" s="762">
        <f t="shared" ref="EA28" si="589" xml:space="preserve">
IF(DZ30&gt;=VLOOKUP($C28,$C$3:$D$15,2,FALSE)*EA$20,0,
IF(AND(DZ30&lt;VLOOKUP($C28,$C$3:$D$15,2,FALSE)*EA$20,EA29&lt;=VLOOKUP($C28,$C$3:$D$15,2,FALSE)*EA$20),IF(EA29-DZ30&lt;0,0,EA29-DZ30),
IF(AND(DZ30&lt;VLOOKUP($C28,$C$3:$D$15,2,FALSE)*EA$20,EA29&gt;VLOOKUP($C28,$C$3:$D$15,2,FALSE)*EA$20),VLOOKUP($C28,$C$3:$D$15,2,FALSE)*EA$20-DZ30)))</f>
        <v>0</v>
      </c>
      <c r="EB28" s="762">
        <f t="shared" ref="EB28" si="590" xml:space="preserve">
IF(EA30&gt;=VLOOKUP($C28,$C$3:$D$15,2,FALSE)*EB$20,0,
IF(AND(EA30&lt;VLOOKUP($C28,$C$3:$D$15,2,FALSE)*EB$20,EB29&lt;=VLOOKUP($C28,$C$3:$D$15,2,FALSE)*EB$20),IF(EB29-EA30&lt;0,0,EB29-EA30),
IF(AND(EA30&lt;VLOOKUP($C28,$C$3:$D$15,2,FALSE)*EB$20,EB29&gt;VLOOKUP($C28,$C$3:$D$15,2,FALSE)*EB$20),VLOOKUP($C28,$C$3:$D$15,2,FALSE)*EB$20-EA30)))</f>
        <v>0</v>
      </c>
      <c r="EC28" s="762">
        <f t="shared" ref="EC28" si="591" xml:space="preserve">
IF(EB30&gt;=VLOOKUP($C28,$C$3:$D$15,2,FALSE)*EC$20,0,
IF(AND(EB30&lt;VLOOKUP($C28,$C$3:$D$15,2,FALSE)*EC$20,EC29&lt;=VLOOKUP($C28,$C$3:$D$15,2,FALSE)*EC$20),IF(EC29-EB30&lt;0,0,EC29-EB30),
IF(AND(EB30&lt;VLOOKUP($C28,$C$3:$D$15,2,FALSE)*EC$20,EC29&gt;VLOOKUP($C28,$C$3:$D$15,2,FALSE)*EC$20),VLOOKUP($C28,$C$3:$D$15,2,FALSE)*EC$20-EB30)))</f>
        <v>0</v>
      </c>
      <c r="ED28" s="762">
        <f t="shared" ref="ED28" si="592" xml:space="preserve">
IF(EC30&gt;=VLOOKUP($C28,$C$3:$D$15,2,FALSE)*ED$20,0,
IF(AND(EC30&lt;VLOOKUP($C28,$C$3:$D$15,2,FALSE)*ED$20,ED29&lt;=VLOOKUP($C28,$C$3:$D$15,2,FALSE)*ED$20),IF(ED29-EC30&lt;0,0,ED29-EC30),
IF(AND(EC30&lt;VLOOKUP($C28,$C$3:$D$15,2,FALSE)*ED$20,ED29&gt;VLOOKUP($C28,$C$3:$D$15,2,FALSE)*ED$20),VLOOKUP($C28,$C$3:$D$15,2,FALSE)*ED$20-EC30)))</f>
        <v>0</v>
      </c>
      <c r="EE28" s="762">
        <f t="shared" ref="EE28" si="593" xml:space="preserve">
IF(ED30&gt;=VLOOKUP($C28,$C$3:$D$15,2,FALSE)*EE$20,0,
IF(AND(ED30&lt;VLOOKUP($C28,$C$3:$D$15,2,FALSE)*EE$20,EE29&lt;=VLOOKUP($C28,$C$3:$D$15,2,FALSE)*EE$20),IF(EE29-ED30&lt;0,0,EE29-ED30),
IF(AND(ED30&lt;VLOOKUP($C28,$C$3:$D$15,2,FALSE)*EE$20,EE29&gt;VLOOKUP($C28,$C$3:$D$15,2,FALSE)*EE$20),VLOOKUP($C28,$C$3:$D$15,2,FALSE)*EE$20-ED30)))</f>
        <v>0</v>
      </c>
      <c r="EF28" s="762">
        <f t="shared" ref="EF28" si="594" xml:space="preserve">
IF(EE30&gt;=VLOOKUP($C28,$C$3:$D$15,2,FALSE)*EF$20,0,
IF(AND(EE30&lt;VLOOKUP($C28,$C$3:$D$15,2,FALSE)*EF$20,EF29&lt;=VLOOKUP($C28,$C$3:$D$15,2,FALSE)*EF$20),IF(EF29-EE30&lt;0,0,EF29-EE30),
IF(AND(EE30&lt;VLOOKUP($C28,$C$3:$D$15,2,FALSE)*EF$20,EF29&gt;VLOOKUP($C28,$C$3:$D$15,2,FALSE)*EF$20),VLOOKUP($C28,$C$3:$D$15,2,FALSE)*EF$20-EE30)))</f>
        <v>0</v>
      </c>
      <c r="EG28" s="762">
        <f t="shared" ref="EG28" si="595" xml:space="preserve">
IF(EF30&gt;=VLOOKUP($C28,$C$3:$D$15,2,FALSE)*EG$20,0,
IF(AND(EF30&lt;VLOOKUP($C28,$C$3:$D$15,2,FALSE)*EG$20,EG29&lt;=VLOOKUP($C28,$C$3:$D$15,2,FALSE)*EG$20),IF(EG29-EF30&lt;0,0,EG29-EF30),
IF(AND(EF30&lt;VLOOKUP($C28,$C$3:$D$15,2,FALSE)*EG$20,EG29&gt;VLOOKUP($C28,$C$3:$D$15,2,FALSE)*EG$20),VLOOKUP($C28,$C$3:$D$15,2,FALSE)*EG$20-EF30)))</f>
        <v>0</v>
      </c>
      <c r="EH28" s="762">
        <f t="shared" ref="EH28" si="596" xml:space="preserve">
IF(EG30&gt;=VLOOKUP($C28,$C$3:$D$15,2,FALSE)*EH$20,0,
IF(AND(EG30&lt;VLOOKUP($C28,$C$3:$D$15,2,FALSE)*EH$20,EH29&lt;=VLOOKUP($C28,$C$3:$D$15,2,FALSE)*EH$20),IF(EH29-EG30&lt;0,0,EH29-EG30),
IF(AND(EG30&lt;VLOOKUP($C28,$C$3:$D$15,2,FALSE)*EH$20,EH29&gt;VLOOKUP($C28,$C$3:$D$15,2,FALSE)*EH$20),VLOOKUP($C28,$C$3:$D$15,2,FALSE)*EH$20-EG30)))</f>
        <v>0</v>
      </c>
      <c r="EI28" s="762">
        <f t="shared" ref="EI28" si="597" xml:space="preserve">
IF(EH30&gt;=VLOOKUP($C28,$C$3:$D$15,2,FALSE)*EI$20,0,
IF(AND(EH30&lt;VLOOKUP($C28,$C$3:$D$15,2,FALSE)*EI$20,EI29&lt;=VLOOKUP($C28,$C$3:$D$15,2,FALSE)*EI$20),IF(EI29-EH30&lt;0,0,EI29-EH30),
IF(AND(EH30&lt;VLOOKUP($C28,$C$3:$D$15,2,FALSE)*EI$20,EI29&gt;VLOOKUP($C28,$C$3:$D$15,2,FALSE)*EI$20),VLOOKUP($C28,$C$3:$D$15,2,FALSE)*EI$20-EH30)))</f>
        <v>0</v>
      </c>
      <c r="EJ28" s="762">
        <f t="shared" ref="EJ28" si="598" xml:space="preserve">
IF(EI30&gt;=VLOOKUP($C28,$C$3:$D$15,2,FALSE)*EJ$20,0,
IF(AND(EI30&lt;VLOOKUP($C28,$C$3:$D$15,2,FALSE)*EJ$20,EJ29&lt;=VLOOKUP($C28,$C$3:$D$15,2,FALSE)*EJ$20),IF(EJ29-EI30&lt;0,0,EJ29-EI30),
IF(AND(EI30&lt;VLOOKUP($C28,$C$3:$D$15,2,FALSE)*EJ$20,EJ29&gt;VLOOKUP($C28,$C$3:$D$15,2,FALSE)*EJ$20),VLOOKUP($C28,$C$3:$D$15,2,FALSE)*EJ$20-EI30)))</f>
        <v>0</v>
      </c>
      <c r="EK28" s="762">
        <f t="shared" ref="EK28" si="599" xml:space="preserve">
IF(EJ30&gt;=VLOOKUP($C28,$C$3:$D$15,2,FALSE)*EK$20,0,
IF(AND(EJ30&lt;VLOOKUP($C28,$C$3:$D$15,2,FALSE)*EK$20,EK29&lt;=VLOOKUP($C28,$C$3:$D$15,2,FALSE)*EK$20),IF(EK29-EJ30&lt;0,0,EK29-EJ30),
IF(AND(EJ30&lt;VLOOKUP($C28,$C$3:$D$15,2,FALSE)*EK$20,EK29&gt;VLOOKUP($C28,$C$3:$D$15,2,FALSE)*EK$20),VLOOKUP($C28,$C$3:$D$15,2,FALSE)*EK$20-EJ30)))</f>
        <v>0</v>
      </c>
      <c r="EL28" s="762">
        <f t="shared" ref="EL28" si="600" xml:space="preserve">
IF(EK30&gt;=VLOOKUP($C28,$C$3:$D$15,2,FALSE)*EL$20,0,
IF(AND(EK30&lt;VLOOKUP($C28,$C$3:$D$15,2,FALSE)*EL$20,EL29&lt;=VLOOKUP($C28,$C$3:$D$15,2,FALSE)*EL$20),IF(EL29-EK30&lt;0,0,EL29-EK30),
IF(AND(EK30&lt;VLOOKUP($C28,$C$3:$D$15,2,FALSE)*EL$20,EL29&gt;VLOOKUP($C28,$C$3:$D$15,2,FALSE)*EL$20),VLOOKUP($C28,$C$3:$D$15,2,FALSE)*EL$20-EK30)))</f>
        <v>0</v>
      </c>
      <c r="EM28" s="762">
        <f t="shared" ref="EM28" si="601" xml:space="preserve">
IF(EL30&gt;=VLOOKUP($C28,$C$3:$D$15,2,FALSE)*EM$20,0,
IF(AND(EL30&lt;VLOOKUP($C28,$C$3:$D$15,2,FALSE)*EM$20,EM29&lt;=VLOOKUP($C28,$C$3:$D$15,2,FALSE)*EM$20),IF(EM29-EL30&lt;0,0,EM29-EL30),
IF(AND(EL30&lt;VLOOKUP($C28,$C$3:$D$15,2,FALSE)*EM$20,EM29&gt;VLOOKUP($C28,$C$3:$D$15,2,FALSE)*EM$20),VLOOKUP($C28,$C$3:$D$15,2,FALSE)*EM$20-EL30)))</f>
        <v>0</v>
      </c>
      <c r="EN28" s="762">
        <f t="shared" ref="EN28" si="602" xml:space="preserve">
IF(EM30&gt;=VLOOKUP($C28,$C$3:$D$15,2,FALSE)*EN$20,0,
IF(AND(EM30&lt;VLOOKUP($C28,$C$3:$D$15,2,FALSE)*EN$20,EN29&lt;=VLOOKUP($C28,$C$3:$D$15,2,FALSE)*EN$20),IF(EN29-EM30&lt;0,0,EN29-EM30),
IF(AND(EM30&lt;VLOOKUP($C28,$C$3:$D$15,2,FALSE)*EN$20,EN29&gt;VLOOKUP($C28,$C$3:$D$15,2,FALSE)*EN$20),VLOOKUP($C28,$C$3:$D$15,2,FALSE)*EN$20-EM30)))</f>
        <v>0</v>
      </c>
      <c r="EO28" s="762">
        <f t="shared" ref="EO28" si="603" xml:space="preserve">
IF(EN30&gt;=VLOOKUP($C28,$C$3:$D$15,2,FALSE)*EO$20,0,
IF(AND(EN30&lt;VLOOKUP($C28,$C$3:$D$15,2,FALSE)*EO$20,EO29&lt;=VLOOKUP($C28,$C$3:$D$15,2,FALSE)*EO$20),IF(EO29-EN30&lt;0,0,EO29-EN30),
IF(AND(EN30&lt;VLOOKUP($C28,$C$3:$D$15,2,FALSE)*EO$20,EO29&gt;VLOOKUP($C28,$C$3:$D$15,2,FALSE)*EO$20),VLOOKUP($C28,$C$3:$D$15,2,FALSE)*EO$20-EN30)))</f>
        <v>0</v>
      </c>
      <c r="EP28" s="762">
        <f t="shared" ref="EP28" si="604" xml:space="preserve">
IF(EO30&gt;=VLOOKUP($C28,$C$3:$D$15,2,FALSE)*EP$20,0,
IF(AND(EO30&lt;VLOOKUP($C28,$C$3:$D$15,2,FALSE)*EP$20,EP29&lt;=VLOOKUP($C28,$C$3:$D$15,2,FALSE)*EP$20),IF(EP29-EO30&lt;0,0,EP29-EO30),
IF(AND(EO30&lt;VLOOKUP($C28,$C$3:$D$15,2,FALSE)*EP$20,EP29&gt;VLOOKUP($C28,$C$3:$D$15,2,FALSE)*EP$20),VLOOKUP($C28,$C$3:$D$15,2,FALSE)*EP$20-EO30)))</f>
        <v>0</v>
      </c>
      <c r="EQ28" s="762">
        <f t="shared" ref="EQ28" si="605" xml:space="preserve">
IF(EP30&gt;=VLOOKUP($C28,$C$3:$D$15,2,FALSE)*EQ$20,0,
IF(AND(EP30&lt;VLOOKUP($C28,$C$3:$D$15,2,FALSE)*EQ$20,EQ29&lt;=VLOOKUP($C28,$C$3:$D$15,2,FALSE)*EQ$20),IF(EQ29-EP30&lt;0,0,EQ29-EP30),
IF(AND(EP30&lt;VLOOKUP($C28,$C$3:$D$15,2,FALSE)*EQ$20,EQ29&gt;VLOOKUP($C28,$C$3:$D$15,2,FALSE)*EQ$20),VLOOKUP($C28,$C$3:$D$15,2,FALSE)*EQ$20-EP30)))</f>
        <v>0</v>
      </c>
      <c r="ER28" s="762">
        <f t="shared" ref="ER28" si="606" xml:space="preserve">
IF(EQ30&gt;=VLOOKUP($C28,$C$3:$D$15,2,FALSE)*ER$20,0,
IF(AND(EQ30&lt;VLOOKUP($C28,$C$3:$D$15,2,FALSE)*ER$20,ER29&lt;=VLOOKUP($C28,$C$3:$D$15,2,FALSE)*ER$20),IF(ER29-EQ30&lt;0,0,ER29-EQ30),
IF(AND(EQ30&lt;VLOOKUP($C28,$C$3:$D$15,2,FALSE)*ER$20,ER29&gt;VLOOKUP($C28,$C$3:$D$15,2,FALSE)*ER$20),VLOOKUP($C28,$C$3:$D$15,2,FALSE)*ER$20-EQ30)))</f>
        <v>0</v>
      </c>
      <c r="ES28" s="762">
        <f t="shared" ref="ES28" si="607" xml:space="preserve">
IF(ER30&gt;=VLOOKUP($C28,$C$3:$D$15,2,FALSE)*ES$20,0,
IF(AND(ER30&lt;VLOOKUP($C28,$C$3:$D$15,2,FALSE)*ES$20,ES29&lt;=VLOOKUP($C28,$C$3:$D$15,2,FALSE)*ES$20),IF(ES29-ER30&lt;0,0,ES29-ER30),
IF(AND(ER30&lt;VLOOKUP($C28,$C$3:$D$15,2,FALSE)*ES$20,ES29&gt;VLOOKUP($C28,$C$3:$D$15,2,FALSE)*ES$20),VLOOKUP($C28,$C$3:$D$15,2,FALSE)*ES$20-ER30)))</f>
        <v>0</v>
      </c>
      <c r="ET28" s="762">
        <f t="shared" ref="ET28" si="608" xml:space="preserve">
IF(ES30&gt;=VLOOKUP($C28,$C$3:$D$15,2,FALSE)*ET$20,0,
IF(AND(ES30&lt;VLOOKUP($C28,$C$3:$D$15,2,FALSE)*ET$20,ET29&lt;=VLOOKUP($C28,$C$3:$D$15,2,FALSE)*ET$20),IF(ET29-ES30&lt;0,0,ET29-ES30),
IF(AND(ES30&lt;VLOOKUP($C28,$C$3:$D$15,2,FALSE)*ET$20,ET29&gt;VLOOKUP($C28,$C$3:$D$15,2,FALSE)*ET$20),VLOOKUP($C28,$C$3:$D$15,2,FALSE)*ET$20-ES30)))</f>
        <v>0</v>
      </c>
      <c r="EU28" s="762">
        <f t="shared" ref="EU28" si="609" xml:space="preserve">
IF(ET30&gt;=VLOOKUP($C28,$C$3:$D$15,2,FALSE)*EU$20,0,
IF(AND(ET30&lt;VLOOKUP($C28,$C$3:$D$15,2,FALSE)*EU$20,EU29&lt;=VLOOKUP($C28,$C$3:$D$15,2,FALSE)*EU$20),IF(EU29-ET30&lt;0,0,EU29-ET30),
IF(AND(ET30&lt;VLOOKUP($C28,$C$3:$D$15,2,FALSE)*EU$20,EU29&gt;VLOOKUP($C28,$C$3:$D$15,2,FALSE)*EU$20),VLOOKUP($C28,$C$3:$D$15,2,FALSE)*EU$20-ET30)))</f>
        <v>0</v>
      </c>
      <c r="EV28" s="762">
        <f t="shared" ref="EV28" si="610" xml:space="preserve">
IF(EU30&gt;=VLOOKUP($C28,$C$3:$D$15,2,FALSE)*EV$20,0,
IF(AND(EU30&lt;VLOOKUP($C28,$C$3:$D$15,2,FALSE)*EV$20,EV29&lt;=VLOOKUP($C28,$C$3:$D$15,2,FALSE)*EV$20),IF(EV29-EU30&lt;0,0,EV29-EU30),
IF(AND(EU30&lt;VLOOKUP($C28,$C$3:$D$15,2,FALSE)*EV$20,EV29&gt;VLOOKUP($C28,$C$3:$D$15,2,FALSE)*EV$20),VLOOKUP($C28,$C$3:$D$15,2,FALSE)*EV$20-EU30)))</f>
        <v>0</v>
      </c>
      <c r="EW28" s="762">
        <f t="shared" ref="EW28" si="611" xml:space="preserve">
IF(EV30&gt;=VLOOKUP($C28,$C$3:$D$15,2,FALSE)*EW$20,0,
IF(AND(EV30&lt;VLOOKUP($C28,$C$3:$D$15,2,FALSE)*EW$20,EW29&lt;=VLOOKUP($C28,$C$3:$D$15,2,FALSE)*EW$20),IF(EW29-EV30&lt;0,0,EW29-EV30),
IF(AND(EV30&lt;VLOOKUP($C28,$C$3:$D$15,2,FALSE)*EW$20,EW29&gt;VLOOKUP($C28,$C$3:$D$15,2,FALSE)*EW$20),VLOOKUP($C28,$C$3:$D$15,2,FALSE)*EW$20-EV30)))</f>
        <v>0</v>
      </c>
      <c r="EX28" s="762">
        <f t="shared" ref="EX28" si="612" xml:space="preserve">
IF(EW30&gt;=VLOOKUP($C28,$C$3:$D$15,2,FALSE)*EX$20,0,
IF(AND(EW30&lt;VLOOKUP($C28,$C$3:$D$15,2,FALSE)*EX$20,EX29&lt;=VLOOKUP($C28,$C$3:$D$15,2,FALSE)*EX$20),IF(EX29-EW30&lt;0,0,EX29-EW30),
IF(AND(EW30&lt;VLOOKUP($C28,$C$3:$D$15,2,FALSE)*EX$20,EX29&gt;VLOOKUP($C28,$C$3:$D$15,2,FALSE)*EX$20),VLOOKUP($C28,$C$3:$D$15,2,FALSE)*EX$20-EW30)))</f>
        <v>0</v>
      </c>
      <c r="EY28" s="762">
        <f t="shared" ref="EY28" si="613" xml:space="preserve">
IF(EX30&gt;=VLOOKUP($C28,$C$3:$D$15,2,FALSE)*EY$20,0,
IF(AND(EX30&lt;VLOOKUP($C28,$C$3:$D$15,2,FALSE)*EY$20,EY29&lt;=VLOOKUP($C28,$C$3:$D$15,2,FALSE)*EY$20),IF(EY29-EX30&lt;0,0,EY29-EX30),
IF(AND(EX30&lt;VLOOKUP($C28,$C$3:$D$15,2,FALSE)*EY$20,EY29&gt;VLOOKUP($C28,$C$3:$D$15,2,FALSE)*EY$20),VLOOKUP($C28,$C$3:$D$15,2,FALSE)*EY$20-EX30)))</f>
        <v>0</v>
      </c>
      <c r="EZ28" s="762">
        <f t="shared" ref="EZ28" si="614" xml:space="preserve">
IF(EY30&gt;=VLOOKUP($C28,$C$3:$D$15,2,FALSE)*EZ$20,0,
IF(AND(EY30&lt;VLOOKUP($C28,$C$3:$D$15,2,FALSE)*EZ$20,EZ29&lt;=VLOOKUP($C28,$C$3:$D$15,2,FALSE)*EZ$20),IF(EZ29-EY30&lt;0,0,EZ29-EY30),
IF(AND(EY30&lt;VLOOKUP($C28,$C$3:$D$15,2,FALSE)*EZ$20,EZ29&gt;VLOOKUP($C28,$C$3:$D$15,2,FALSE)*EZ$20),VLOOKUP($C28,$C$3:$D$15,2,FALSE)*EZ$20-EY30)))</f>
        <v>0</v>
      </c>
      <c r="FA28" s="762">
        <f t="shared" ref="FA28" si="615" xml:space="preserve">
IF(EZ30&gt;=VLOOKUP($C28,$C$3:$D$15,2,FALSE)*FA$20,0,
IF(AND(EZ30&lt;VLOOKUP($C28,$C$3:$D$15,2,FALSE)*FA$20,FA29&lt;=VLOOKUP($C28,$C$3:$D$15,2,FALSE)*FA$20),IF(FA29-EZ30&lt;0,0,FA29-EZ30),
IF(AND(EZ30&lt;VLOOKUP($C28,$C$3:$D$15,2,FALSE)*FA$20,FA29&gt;VLOOKUP($C28,$C$3:$D$15,2,FALSE)*FA$20),VLOOKUP($C28,$C$3:$D$15,2,FALSE)*FA$20-EZ30)))</f>
        <v>0</v>
      </c>
      <c r="FB28" s="762">
        <f t="shared" ref="FB28" si="616" xml:space="preserve">
IF(FA30&gt;=VLOOKUP($C28,$C$3:$D$15,2,FALSE)*FB$20,0,
IF(AND(FA30&lt;VLOOKUP($C28,$C$3:$D$15,2,FALSE)*FB$20,FB29&lt;=VLOOKUP($C28,$C$3:$D$15,2,FALSE)*FB$20),IF(FB29-FA30&lt;0,0,FB29-FA30),
IF(AND(FA30&lt;VLOOKUP($C28,$C$3:$D$15,2,FALSE)*FB$20,FB29&gt;VLOOKUP($C28,$C$3:$D$15,2,FALSE)*FB$20),VLOOKUP($C28,$C$3:$D$15,2,FALSE)*FB$20-FA30)))</f>
        <v>0</v>
      </c>
      <c r="FC28" s="762">
        <f t="shared" ref="FC28" si="617" xml:space="preserve">
IF(FB30&gt;=VLOOKUP($C28,$C$3:$D$15,2,FALSE)*FC$20,0,
IF(AND(FB30&lt;VLOOKUP($C28,$C$3:$D$15,2,FALSE)*FC$20,FC29&lt;=VLOOKUP($C28,$C$3:$D$15,2,FALSE)*FC$20),IF(FC29-FB30&lt;0,0,FC29-FB30),
IF(AND(FB30&lt;VLOOKUP($C28,$C$3:$D$15,2,FALSE)*FC$20,FC29&gt;VLOOKUP($C28,$C$3:$D$15,2,FALSE)*FC$20),VLOOKUP($C28,$C$3:$D$15,2,FALSE)*FC$20-FB30)))</f>
        <v>0</v>
      </c>
      <c r="FD28" s="762">
        <f t="shared" ref="FD28" si="618" xml:space="preserve">
IF(FC30&gt;=VLOOKUP($C28,$C$3:$D$15,2,FALSE)*FD$20,0,
IF(AND(FC30&lt;VLOOKUP($C28,$C$3:$D$15,2,FALSE)*FD$20,FD29&lt;=VLOOKUP($C28,$C$3:$D$15,2,FALSE)*FD$20),IF(FD29-FC30&lt;0,0,FD29-FC30),
IF(AND(FC30&lt;VLOOKUP($C28,$C$3:$D$15,2,FALSE)*FD$20,FD29&gt;VLOOKUP($C28,$C$3:$D$15,2,FALSE)*FD$20),VLOOKUP($C28,$C$3:$D$15,2,FALSE)*FD$20-FC30)))</f>
        <v>0</v>
      </c>
      <c r="FE28" s="762">
        <f t="shared" ref="FE28" si="619" xml:space="preserve">
IF(FD30&gt;=VLOOKUP($C28,$C$3:$D$15,2,FALSE)*FE$20,0,
IF(AND(FD30&lt;VLOOKUP($C28,$C$3:$D$15,2,FALSE)*FE$20,FE29&lt;=VLOOKUP($C28,$C$3:$D$15,2,FALSE)*FE$20),IF(FE29-FD30&lt;0,0,FE29-FD30),
IF(AND(FD30&lt;VLOOKUP($C28,$C$3:$D$15,2,FALSE)*FE$20,FE29&gt;VLOOKUP($C28,$C$3:$D$15,2,FALSE)*FE$20),VLOOKUP($C28,$C$3:$D$15,2,FALSE)*FE$20-FD30)))</f>
        <v>0</v>
      </c>
      <c r="FF28" s="762">
        <f t="shared" ref="FF28" si="620" xml:space="preserve">
IF(FE30&gt;=VLOOKUP($C28,$C$3:$D$15,2,FALSE)*FF$20,0,
IF(AND(FE30&lt;VLOOKUP($C28,$C$3:$D$15,2,FALSE)*FF$20,FF29&lt;=VLOOKUP($C28,$C$3:$D$15,2,FALSE)*FF$20),IF(FF29-FE30&lt;0,0,FF29-FE30),
IF(AND(FE30&lt;VLOOKUP($C28,$C$3:$D$15,2,FALSE)*FF$20,FF29&gt;VLOOKUP($C28,$C$3:$D$15,2,FALSE)*FF$20),VLOOKUP($C28,$C$3:$D$15,2,FALSE)*FF$20-FE30)))</f>
        <v>0</v>
      </c>
      <c r="FG28" s="762">
        <f t="shared" ref="FG28" si="621" xml:space="preserve">
IF(FF30&gt;=VLOOKUP($C28,$C$3:$D$15,2,FALSE)*FG$20,0,
IF(AND(FF30&lt;VLOOKUP($C28,$C$3:$D$15,2,FALSE)*FG$20,FG29&lt;=VLOOKUP($C28,$C$3:$D$15,2,FALSE)*FG$20),IF(FG29-FF30&lt;0,0,FG29-FF30),
IF(AND(FF30&lt;VLOOKUP($C28,$C$3:$D$15,2,FALSE)*FG$20,FG29&gt;VLOOKUP($C28,$C$3:$D$15,2,FALSE)*FG$20),VLOOKUP($C28,$C$3:$D$15,2,FALSE)*FG$20-FF30)))</f>
        <v>0</v>
      </c>
      <c r="FH28" s="762">
        <f t="shared" ref="FH28" si="622" xml:space="preserve">
IF(FG30&gt;=VLOOKUP($C28,$C$3:$D$15,2,FALSE)*FH$20,0,
IF(AND(FG30&lt;VLOOKUP($C28,$C$3:$D$15,2,FALSE)*FH$20,FH29&lt;=VLOOKUP($C28,$C$3:$D$15,2,FALSE)*FH$20),IF(FH29-FG30&lt;0,0,FH29-FG30),
IF(AND(FG30&lt;VLOOKUP($C28,$C$3:$D$15,2,FALSE)*FH$20,FH29&gt;VLOOKUP($C28,$C$3:$D$15,2,FALSE)*FH$20),VLOOKUP($C28,$C$3:$D$15,2,FALSE)*FH$20-FG30)))</f>
        <v>0</v>
      </c>
      <c r="FI28" s="762">
        <f t="shared" ref="FI28" si="623" xml:space="preserve">
IF(FH30&gt;=VLOOKUP($C28,$C$3:$D$15,2,FALSE)*FI$20,0,
IF(AND(FH30&lt;VLOOKUP($C28,$C$3:$D$15,2,FALSE)*FI$20,FI29&lt;=VLOOKUP($C28,$C$3:$D$15,2,FALSE)*FI$20),IF(FI29-FH30&lt;0,0,FI29-FH30),
IF(AND(FH30&lt;VLOOKUP($C28,$C$3:$D$15,2,FALSE)*FI$20,FI29&gt;VLOOKUP($C28,$C$3:$D$15,2,FALSE)*FI$20),VLOOKUP($C28,$C$3:$D$15,2,FALSE)*FI$20-FH30)))</f>
        <v>0</v>
      </c>
      <c r="FJ28" s="762">
        <f t="shared" ref="FJ28" si="624" xml:space="preserve">
IF(FI30&gt;=VLOOKUP($C28,$C$3:$D$15,2,FALSE)*FJ$20,0,
IF(AND(FI30&lt;VLOOKUP($C28,$C$3:$D$15,2,FALSE)*FJ$20,FJ29&lt;=VLOOKUP($C28,$C$3:$D$15,2,FALSE)*FJ$20),IF(FJ29-FI30&lt;0,0,FJ29-FI30),
IF(AND(FI30&lt;VLOOKUP($C28,$C$3:$D$15,2,FALSE)*FJ$20,FJ29&gt;VLOOKUP($C28,$C$3:$D$15,2,FALSE)*FJ$20),VLOOKUP($C28,$C$3:$D$15,2,FALSE)*FJ$20-FI30)))</f>
        <v>0</v>
      </c>
      <c r="FK28" s="762">
        <f t="shared" ref="FK28" si="625" xml:space="preserve">
IF(FJ30&gt;=VLOOKUP($C28,$C$3:$D$15,2,FALSE)*FK$20,0,
IF(AND(FJ30&lt;VLOOKUP($C28,$C$3:$D$15,2,FALSE)*FK$20,FK29&lt;=VLOOKUP($C28,$C$3:$D$15,2,FALSE)*FK$20),IF(FK29-FJ30&lt;0,0,FK29-FJ30),
IF(AND(FJ30&lt;VLOOKUP($C28,$C$3:$D$15,2,FALSE)*FK$20,FK29&gt;VLOOKUP($C28,$C$3:$D$15,2,FALSE)*FK$20),VLOOKUP($C28,$C$3:$D$15,2,FALSE)*FK$20-FJ30)))</f>
        <v>0</v>
      </c>
      <c r="FL28" s="762">
        <f t="shared" ref="FL28" si="626" xml:space="preserve">
IF(FK30&gt;=VLOOKUP($C28,$C$3:$D$15,2,FALSE)*FL$20,0,
IF(AND(FK30&lt;VLOOKUP($C28,$C$3:$D$15,2,FALSE)*FL$20,FL29&lt;=VLOOKUP($C28,$C$3:$D$15,2,FALSE)*FL$20),IF(FL29-FK30&lt;0,0,FL29-FK30),
IF(AND(FK30&lt;VLOOKUP($C28,$C$3:$D$15,2,FALSE)*FL$20,FL29&gt;VLOOKUP($C28,$C$3:$D$15,2,FALSE)*FL$20),VLOOKUP($C28,$C$3:$D$15,2,FALSE)*FL$20-FK30)))</f>
        <v>0</v>
      </c>
      <c r="FM28" s="762">
        <f t="shared" ref="FM28" si="627" xml:space="preserve">
IF(FL30&gt;=VLOOKUP($C28,$C$3:$D$15,2,FALSE)*FM$20,0,
IF(AND(FL30&lt;VLOOKUP($C28,$C$3:$D$15,2,FALSE)*FM$20,FM29&lt;=VLOOKUP($C28,$C$3:$D$15,2,FALSE)*FM$20),IF(FM29-FL30&lt;0,0,FM29-FL30),
IF(AND(FL30&lt;VLOOKUP($C28,$C$3:$D$15,2,FALSE)*FM$20,FM29&gt;VLOOKUP($C28,$C$3:$D$15,2,FALSE)*FM$20),VLOOKUP($C28,$C$3:$D$15,2,FALSE)*FM$20-FL30)))</f>
        <v>0</v>
      </c>
      <c r="FN28" s="762">
        <f t="shared" ref="FN28" si="628" xml:space="preserve">
IF(FM30&gt;=VLOOKUP($C28,$C$3:$D$15,2,FALSE)*FN$20,0,
IF(AND(FM30&lt;VLOOKUP($C28,$C$3:$D$15,2,FALSE)*FN$20,FN29&lt;=VLOOKUP($C28,$C$3:$D$15,2,FALSE)*FN$20),IF(FN29-FM30&lt;0,0,FN29-FM30),
IF(AND(FM30&lt;VLOOKUP($C28,$C$3:$D$15,2,FALSE)*FN$20,FN29&gt;VLOOKUP($C28,$C$3:$D$15,2,FALSE)*FN$20),VLOOKUP($C28,$C$3:$D$15,2,FALSE)*FN$20-FM30)))</f>
        <v>0</v>
      </c>
      <c r="FO28" s="762">
        <f t="shared" ref="FO28" si="629" xml:space="preserve">
IF(FN30&gt;=VLOOKUP($C28,$C$3:$D$15,2,FALSE)*FO$20,0,
IF(AND(FN30&lt;VLOOKUP($C28,$C$3:$D$15,2,FALSE)*FO$20,FO29&lt;=VLOOKUP($C28,$C$3:$D$15,2,FALSE)*FO$20),IF(FO29-FN30&lt;0,0,FO29-FN30),
IF(AND(FN30&lt;VLOOKUP($C28,$C$3:$D$15,2,FALSE)*FO$20,FO29&gt;VLOOKUP($C28,$C$3:$D$15,2,FALSE)*FO$20),VLOOKUP($C28,$C$3:$D$15,2,FALSE)*FO$20-FN30)))</f>
        <v>0</v>
      </c>
      <c r="FP28" s="762">
        <f t="shared" ref="FP28" si="630" xml:space="preserve">
IF(FO30&gt;=VLOOKUP($C28,$C$3:$D$15,2,FALSE)*FP$20,0,
IF(AND(FO30&lt;VLOOKUP($C28,$C$3:$D$15,2,FALSE)*FP$20,FP29&lt;=VLOOKUP($C28,$C$3:$D$15,2,FALSE)*FP$20),IF(FP29-FO30&lt;0,0,FP29-FO30),
IF(AND(FO30&lt;VLOOKUP($C28,$C$3:$D$15,2,FALSE)*FP$20,FP29&gt;VLOOKUP($C28,$C$3:$D$15,2,FALSE)*FP$20),VLOOKUP($C28,$C$3:$D$15,2,FALSE)*FP$20-FO30)))</f>
        <v>0</v>
      </c>
      <c r="FQ28" s="762">
        <f t="shared" ref="FQ28" si="631" xml:space="preserve">
IF(FP30&gt;=VLOOKUP($C28,$C$3:$D$15,2,FALSE)*FQ$20,0,
IF(AND(FP30&lt;VLOOKUP($C28,$C$3:$D$15,2,FALSE)*FQ$20,FQ29&lt;=VLOOKUP($C28,$C$3:$D$15,2,FALSE)*FQ$20),IF(FQ29-FP30&lt;0,0,FQ29-FP30),
IF(AND(FP30&lt;VLOOKUP($C28,$C$3:$D$15,2,FALSE)*FQ$20,FQ29&gt;VLOOKUP($C28,$C$3:$D$15,2,FALSE)*FQ$20),VLOOKUP($C28,$C$3:$D$15,2,FALSE)*FQ$20-FP30)))</f>
        <v>0</v>
      </c>
      <c r="FR28" s="762">
        <f t="shared" ref="FR28" si="632" xml:space="preserve">
IF(FQ30&gt;=VLOOKUP($C28,$C$3:$D$15,2,FALSE)*FR$20,0,
IF(AND(FQ30&lt;VLOOKUP($C28,$C$3:$D$15,2,FALSE)*FR$20,FR29&lt;=VLOOKUP($C28,$C$3:$D$15,2,FALSE)*FR$20),IF(FR29-FQ30&lt;0,0,FR29-FQ30),
IF(AND(FQ30&lt;VLOOKUP($C28,$C$3:$D$15,2,FALSE)*FR$20,FR29&gt;VLOOKUP($C28,$C$3:$D$15,2,FALSE)*FR$20),VLOOKUP($C28,$C$3:$D$15,2,FALSE)*FR$20-FQ30)))</f>
        <v>0</v>
      </c>
      <c r="FS28" s="762">
        <f t="shared" ref="FS28" si="633" xml:space="preserve">
IF(FR30&gt;=VLOOKUP($C28,$C$3:$D$15,2,FALSE)*FS$20,0,
IF(AND(FR30&lt;VLOOKUP($C28,$C$3:$D$15,2,FALSE)*FS$20,FS29&lt;=VLOOKUP($C28,$C$3:$D$15,2,FALSE)*FS$20),IF(FS29-FR30&lt;0,0,FS29-FR30),
IF(AND(FR30&lt;VLOOKUP($C28,$C$3:$D$15,2,FALSE)*FS$20,FS29&gt;VLOOKUP($C28,$C$3:$D$15,2,FALSE)*FS$20),VLOOKUP($C28,$C$3:$D$15,2,FALSE)*FS$20-FR30)))</f>
        <v>0</v>
      </c>
      <c r="FT28" s="762">
        <f t="shared" ref="FT28" si="634" xml:space="preserve">
IF(FS30&gt;=VLOOKUP($C28,$C$3:$D$15,2,FALSE)*FT$20,0,
IF(AND(FS30&lt;VLOOKUP($C28,$C$3:$D$15,2,FALSE)*FT$20,FT29&lt;=VLOOKUP($C28,$C$3:$D$15,2,FALSE)*FT$20),IF(FT29-FS30&lt;0,0,FT29-FS30),
IF(AND(FS30&lt;VLOOKUP($C28,$C$3:$D$15,2,FALSE)*FT$20,FT29&gt;VLOOKUP($C28,$C$3:$D$15,2,FALSE)*FT$20),VLOOKUP($C28,$C$3:$D$15,2,FALSE)*FT$20-FS30)))</f>
        <v>0</v>
      </c>
      <c r="FU28" s="762">
        <f t="shared" ref="FU28" si="635" xml:space="preserve">
IF(FT30&gt;=VLOOKUP($C28,$C$3:$D$15,2,FALSE)*FU$20,0,
IF(AND(FT30&lt;VLOOKUP($C28,$C$3:$D$15,2,FALSE)*FU$20,FU29&lt;=VLOOKUP($C28,$C$3:$D$15,2,FALSE)*FU$20),IF(FU29-FT30&lt;0,0,FU29-FT30),
IF(AND(FT30&lt;VLOOKUP($C28,$C$3:$D$15,2,FALSE)*FU$20,FU29&gt;VLOOKUP($C28,$C$3:$D$15,2,FALSE)*FU$20),VLOOKUP($C28,$C$3:$D$15,2,FALSE)*FU$20-FT30)))</f>
        <v>0</v>
      </c>
      <c r="FV28" s="762">
        <f t="shared" ref="FV28" si="636" xml:space="preserve">
IF(FU30&gt;=VLOOKUP($C28,$C$3:$D$15,2,FALSE)*FV$20,0,
IF(AND(FU30&lt;VLOOKUP($C28,$C$3:$D$15,2,FALSE)*FV$20,FV29&lt;=VLOOKUP($C28,$C$3:$D$15,2,FALSE)*FV$20),IF(FV29-FU30&lt;0,0,FV29-FU30),
IF(AND(FU30&lt;VLOOKUP($C28,$C$3:$D$15,2,FALSE)*FV$20,FV29&gt;VLOOKUP($C28,$C$3:$D$15,2,FALSE)*FV$20),VLOOKUP($C28,$C$3:$D$15,2,FALSE)*FV$20-FU30)))</f>
        <v>0</v>
      </c>
      <c r="FW28" s="762">
        <f t="shared" ref="FW28" si="637" xml:space="preserve">
IF(FV30&gt;=VLOOKUP($C28,$C$3:$D$15,2,FALSE)*FW$20,0,
IF(AND(FV30&lt;VLOOKUP($C28,$C$3:$D$15,2,FALSE)*FW$20,FW29&lt;=VLOOKUP($C28,$C$3:$D$15,2,FALSE)*FW$20),IF(FW29-FV30&lt;0,0,FW29-FV30),
IF(AND(FV30&lt;VLOOKUP($C28,$C$3:$D$15,2,FALSE)*FW$20,FW29&gt;VLOOKUP($C28,$C$3:$D$15,2,FALSE)*FW$20),VLOOKUP($C28,$C$3:$D$15,2,FALSE)*FW$20-FV30)))</f>
        <v>0</v>
      </c>
      <c r="FX28" s="762">
        <f t="shared" ref="FX28" si="638" xml:space="preserve">
IF(FW30&gt;=VLOOKUP($C28,$C$3:$D$15,2,FALSE)*FX$20,0,
IF(AND(FW30&lt;VLOOKUP($C28,$C$3:$D$15,2,FALSE)*FX$20,FX29&lt;=VLOOKUP($C28,$C$3:$D$15,2,FALSE)*FX$20),IF(FX29-FW30&lt;0,0,FX29-FW30),
IF(AND(FW30&lt;VLOOKUP($C28,$C$3:$D$15,2,FALSE)*FX$20,FX29&gt;VLOOKUP($C28,$C$3:$D$15,2,FALSE)*FX$20),VLOOKUP($C28,$C$3:$D$15,2,FALSE)*FX$20-FW30)))</f>
        <v>0</v>
      </c>
      <c r="FY28" s="762">
        <f t="shared" ref="FY28" si="639" xml:space="preserve">
IF(FX30&gt;=VLOOKUP($C28,$C$3:$D$15,2,FALSE)*FY$20,0,
IF(AND(FX30&lt;VLOOKUP($C28,$C$3:$D$15,2,FALSE)*FY$20,FY29&lt;=VLOOKUP($C28,$C$3:$D$15,2,FALSE)*FY$20),IF(FY29-FX30&lt;0,0,FY29-FX30),
IF(AND(FX30&lt;VLOOKUP($C28,$C$3:$D$15,2,FALSE)*FY$20,FY29&gt;VLOOKUP($C28,$C$3:$D$15,2,FALSE)*FY$20),VLOOKUP($C28,$C$3:$D$15,2,FALSE)*FY$20-FX30)))</f>
        <v>0</v>
      </c>
      <c r="FZ28" s="762">
        <f t="shared" ref="FZ28" si="640" xml:space="preserve">
IF(FY30&gt;=VLOOKUP($C28,$C$3:$D$15,2,FALSE)*FZ$20,0,
IF(AND(FY30&lt;VLOOKUP($C28,$C$3:$D$15,2,FALSE)*FZ$20,FZ29&lt;=VLOOKUP($C28,$C$3:$D$15,2,FALSE)*FZ$20),IF(FZ29-FY30&lt;0,0,FZ29-FY30),
IF(AND(FY30&lt;VLOOKUP($C28,$C$3:$D$15,2,FALSE)*FZ$20,FZ29&gt;VLOOKUP($C28,$C$3:$D$15,2,FALSE)*FZ$20),VLOOKUP($C28,$C$3:$D$15,2,FALSE)*FZ$20-FY30)))</f>
        <v>0</v>
      </c>
      <c r="GA28" s="762">
        <f t="shared" ref="GA28" si="641" xml:space="preserve">
IF(FZ30&gt;=VLOOKUP($C28,$C$3:$D$15,2,FALSE)*GA$20,0,
IF(AND(FZ30&lt;VLOOKUP($C28,$C$3:$D$15,2,FALSE)*GA$20,GA29&lt;=VLOOKUP($C28,$C$3:$D$15,2,FALSE)*GA$20),IF(GA29-FZ30&lt;0,0,GA29-FZ30),
IF(AND(FZ30&lt;VLOOKUP($C28,$C$3:$D$15,2,FALSE)*GA$20,GA29&gt;VLOOKUP($C28,$C$3:$D$15,2,FALSE)*GA$20),VLOOKUP($C28,$C$3:$D$15,2,FALSE)*GA$20-FZ30)))</f>
        <v>0</v>
      </c>
      <c r="GB28" s="762">
        <f t="shared" ref="GB28" si="642" xml:space="preserve">
IF(GA30&gt;=VLOOKUP($C28,$C$3:$D$15,2,FALSE)*GB$20,0,
IF(AND(GA30&lt;VLOOKUP($C28,$C$3:$D$15,2,FALSE)*GB$20,GB29&lt;=VLOOKUP($C28,$C$3:$D$15,2,FALSE)*GB$20),IF(GB29-GA30&lt;0,0,GB29-GA30),
IF(AND(GA30&lt;VLOOKUP($C28,$C$3:$D$15,2,FALSE)*GB$20,GB29&gt;VLOOKUP($C28,$C$3:$D$15,2,FALSE)*GB$20),VLOOKUP($C28,$C$3:$D$15,2,FALSE)*GB$20-GA30)))</f>
        <v>0</v>
      </c>
      <c r="GC28" s="762">
        <f t="shared" ref="GC28" si="643" xml:space="preserve">
IF(GB30&gt;=VLOOKUP($C28,$C$3:$D$15,2,FALSE)*GC$20,0,
IF(AND(GB30&lt;VLOOKUP($C28,$C$3:$D$15,2,FALSE)*GC$20,GC29&lt;=VLOOKUP($C28,$C$3:$D$15,2,FALSE)*GC$20),IF(GC29-GB30&lt;0,0,GC29-GB30),
IF(AND(GB30&lt;VLOOKUP($C28,$C$3:$D$15,2,FALSE)*GC$20,GC29&gt;VLOOKUP($C28,$C$3:$D$15,2,FALSE)*GC$20),VLOOKUP($C28,$C$3:$D$15,2,FALSE)*GC$20-GB30)))</f>
        <v>0</v>
      </c>
      <c r="GD28" s="762">
        <f t="shared" ref="GD28" si="644" xml:space="preserve">
IF(GC30&gt;=VLOOKUP($C28,$C$3:$D$15,2,FALSE)*GD$20,0,
IF(AND(GC30&lt;VLOOKUP($C28,$C$3:$D$15,2,FALSE)*GD$20,GD29&lt;=VLOOKUP($C28,$C$3:$D$15,2,FALSE)*GD$20),IF(GD29-GC30&lt;0,0,GD29-GC30),
IF(AND(GC30&lt;VLOOKUP($C28,$C$3:$D$15,2,FALSE)*GD$20,GD29&gt;VLOOKUP($C28,$C$3:$D$15,2,FALSE)*GD$20),VLOOKUP($C28,$C$3:$D$15,2,FALSE)*GD$20-GC30)))</f>
        <v>0</v>
      </c>
      <c r="GE28" s="762">
        <f t="shared" ref="GE28" si="645" xml:space="preserve">
IF(GD30&gt;=VLOOKUP($C28,$C$3:$D$15,2,FALSE)*GE$20,0,
IF(AND(GD30&lt;VLOOKUP($C28,$C$3:$D$15,2,FALSE)*GE$20,GE29&lt;=VLOOKUP($C28,$C$3:$D$15,2,FALSE)*GE$20),IF(GE29-GD30&lt;0,0,GE29-GD30),
IF(AND(GD30&lt;VLOOKUP($C28,$C$3:$D$15,2,FALSE)*GE$20,GE29&gt;VLOOKUP($C28,$C$3:$D$15,2,FALSE)*GE$20),VLOOKUP($C28,$C$3:$D$15,2,FALSE)*GE$20-GD30)))</f>
        <v>0</v>
      </c>
      <c r="GF28" s="762">
        <f t="shared" ref="GF28" si="646" xml:space="preserve">
IF(GE30&gt;=VLOOKUP($C28,$C$3:$D$15,2,FALSE)*GF$20,0,
IF(AND(GE30&lt;VLOOKUP($C28,$C$3:$D$15,2,FALSE)*GF$20,GF29&lt;=VLOOKUP($C28,$C$3:$D$15,2,FALSE)*GF$20),IF(GF29-GE30&lt;0,0,GF29-GE30),
IF(AND(GE30&lt;VLOOKUP($C28,$C$3:$D$15,2,FALSE)*GF$20,GF29&gt;VLOOKUP($C28,$C$3:$D$15,2,FALSE)*GF$20),VLOOKUP($C28,$C$3:$D$15,2,FALSE)*GF$20-GE30)))</f>
        <v>0</v>
      </c>
      <c r="GG28" s="762">
        <f t="shared" ref="GG28" si="647" xml:space="preserve">
IF(GF30&gt;=VLOOKUP($C28,$C$3:$D$15,2,FALSE)*GG$20,0,
IF(AND(GF30&lt;VLOOKUP($C28,$C$3:$D$15,2,FALSE)*GG$20,GG29&lt;=VLOOKUP($C28,$C$3:$D$15,2,FALSE)*GG$20),IF(GG29-GF30&lt;0,0,GG29-GF30),
IF(AND(GF30&lt;VLOOKUP($C28,$C$3:$D$15,2,FALSE)*GG$20,GG29&gt;VLOOKUP($C28,$C$3:$D$15,2,FALSE)*GG$20),VLOOKUP($C28,$C$3:$D$15,2,FALSE)*GG$20-GF30)))</f>
        <v>0</v>
      </c>
      <c r="GH28" s="762">
        <f t="shared" ref="GH28" si="648" xml:space="preserve">
IF(GG30&gt;=VLOOKUP($C28,$C$3:$D$15,2,FALSE)*GH$20,0,
IF(AND(GG30&lt;VLOOKUP($C28,$C$3:$D$15,2,FALSE)*GH$20,GH29&lt;=VLOOKUP($C28,$C$3:$D$15,2,FALSE)*GH$20),IF(GH29-GG30&lt;0,0,GH29-GG30),
IF(AND(GG30&lt;VLOOKUP($C28,$C$3:$D$15,2,FALSE)*GH$20,GH29&gt;VLOOKUP($C28,$C$3:$D$15,2,FALSE)*GH$20),VLOOKUP($C28,$C$3:$D$15,2,FALSE)*GH$20-GG30)))</f>
        <v>0</v>
      </c>
      <c r="GI28" s="762">
        <f t="shared" ref="GI28" si="649" xml:space="preserve">
IF(GH30&gt;=VLOOKUP($C28,$C$3:$D$15,2,FALSE)*GI$20,0,
IF(AND(GH30&lt;VLOOKUP($C28,$C$3:$D$15,2,FALSE)*GI$20,GI29&lt;=VLOOKUP($C28,$C$3:$D$15,2,FALSE)*GI$20),IF(GI29-GH30&lt;0,0,GI29-GH30),
IF(AND(GH30&lt;VLOOKUP($C28,$C$3:$D$15,2,FALSE)*GI$20,GI29&gt;VLOOKUP($C28,$C$3:$D$15,2,FALSE)*GI$20),VLOOKUP($C28,$C$3:$D$15,2,FALSE)*GI$20-GH30)))</f>
        <v>0</v>
      </c>
      <c r="GJ28" s="762">
        <f t="shared" ref="GJ28" si="650" xml:space="preserve">
IF(GI30&gt;=VLOOKUP($C28,$C$3:$D$15,2,FALSE)*GJ$20,0,
IF(AND(GI30&lt;VLOOKUP($C28,$C$3:$D$15,2,FALSE)*GJ$20,GJ29&lt;=VLOOKUP($C28,$C$3:$D$15,2,FALSE)*GJ$20),IF(GJ29-GI30&lt;0,0,GJ29-GI30),
IF(AND(GI30&lt;VLOOKUP($C28,$C$3:$D$15,2,FALSE)*GJ$20,GJ29&gt;VLOOKUP($C28,$C$3:$D$15,2,FALSE)*GJ$20),VLOOKUP($C28,$C$3:$D$15,2,FALSE)*GJ$20-GI30)))</f>
        <v>0</v>
      </c>
    </row>
    <row r="29" spans="2:192" s="632" customFormat="1" ht="9.75" customHeight="1">
      <c r="B29" s="633"/>
      <c r="C29" s="625"/>
      <c r="D29" s="703" t="s">
        <v>1424</v>
      </c>
      <c r="E29" s="708"/>
      <c r="F29" s="653"/>
      <c r="G29" s="762">
        <f>SUMIF(防護具!$Y$30:$Y$212,G$17&amp;$C28,防護具!$Q$30:$Q$212)</f>
        <v>0</v>
      </c>
      <c r="H29" s="764">
        <f>IFERROR(
SUM(G29,SUMIF(防護具!$Y$30:$Y$212,H$17&amp;$C28,防護具!$Q$30:$Q$212))-G28,0)</f>
        <v>0</v>
      </c>
      <c r="I29" s="764">
        <f>IFERROR(
SUM(H29,SUMIF(防護具!$Y$30:$Y$212,I$17&amp;$C28,防護具!$Q$30:$Q$212))-H28,0)</f>
        <v>0</v>
      </c>
      <c r="J29" s="764">
        <f>IFERROR(
SUM(I29,SUMIF(防護具!$Y$30:$Y$212,J$17&amp;$C28,防護具!$Q$30:$Q$212))-I28,0)</f>
        <v>0</v>
      </c>
      <c r="K29" s="764">
        <f>IFERROR(
SUM(J29,SUMIF(防護具!$Y$30:$Y$212,K$17&amp;$C28,防護具!$Q$30:$Q$212))-J28,0)</f>
        <v>0</v>
      </c>
      <c r="L29" s="764">
        <f>IFERROR(
SUM(K29,SUMIF(防護具!$Y$30:$Y$212,L$17&amp;$C28,防護具!$Q$30:$Q$212))-K28,0)</f>
        <v>0</v>
      </c>
      <c r="M29" s="764">
        <f>IFERROR(
SUM(L29,SUMIF(防護具!$Y$30:$Y$212,M$17&amp;$C28,防護具!$Q$30:$Q$212))-L28,0)</f>
        <v>0</v>
      </c>
      <c r="N29" s="764">
        <f>IFERROR(
SUM(M29,SUMIF(防護具!$Y$30:$Y$212,N$17&amp;$C28,防護具!$Q$30:$Q$212))-M28,0)</f>
        <v>0</v>
      </c>
      <c r="O29" s="764">
        <f>IFERROR(
SUM(N29,SUMIF(防護具!$Y$30:$Y$212,O$17&amp;$C28,防護具!$Q$30:$Q$212))-N28,0)</f>
        <v>0</v>
      </c>
      <c r="P29" s="764">
        <f>IFERROR(
SUM(O29,SUMIF(防護具!$Y$30:$Y$212,P$17&amp;$C28,防護具!$Q$30:$Q$212))-O28,0)</f>
        <v>0</v>
      </c>
      <c r="Q29" s="764">
        <f>IFERROR(
SUM(P29,SUMIF(防護具!$Y$30:$Y$212,Q$17&amp;$C28,防護具!$Q$30:$Q$212))-P28,0)</f>
        <v>0</v>
      </c>
      <c r="R29" s="764">
        <f>IFERROR(
SUM(Q29,SUMIF(防護具!$Y$30:$Y$212,R$17&amp;$C28,防護具!$Q$30:$Q$212))-Q28,0)</f>
        <v>0</v>
      </c>
      <c r="S29" s="764">
        <f>IFERROR(
SUM(R29,SUMIF(防護具!$Y$30:$Y$212,S$17&amp;$C28,防護具!$Q$30:$Q$212))-R28,0)</f>
        <v>0</v>
      </c>
      <c r="T29" s="764">
        <f>IFERROR(
SUM(S29,SUMIF(防護具!$Y$30:$Y$212,T$17&amp;$C28,防護具!$Q$30:$Q$212))-S28,0)</f>
        <v>0</v>
      </c>
      <c r="U29" s="764">
        <f>IFERROR(
SUM(T29,SUMIF(防護具!$Y$30:$Y$212,U$17&amp;$C28,防護具!$Q$30:$Q$212))-T28,0)</f>
        <v>0</v>
      </c>
      <c r="V29" s="764">
        <f>IFERROR(
SUM(U29,SUMIF(防護具!$Y$30:$Y$212,V$17&amp;$C28,防護具!$Q$30:$Q$212))-U28,0)</f>
        <v>0</v>
      </c>
      <c r="W29" s="764">
        <f>IFERROR(
SUM(V29,SUMIF(防護具!$Y$30:$Y$212,W$17&amp;$C28,防護具!$Q$30:$Q$212))-V28,0)</f>
        <v>0</v>
      </c>
      <c r="X29" s="764">
        <f>IFERROR(
SUM(W29,SUMIF(防護具!$Y$30:$Y$212,X$17&amp;$C28,防護具!$Q$30:$Q$212))-W28,0)</f>
        <v>0</v>
      </c>
      <c r="Y29" s="764">
        <f>IFERROR(
SUM(X29,SUMIF(防護具!$Y$30:$Y$212,Y$17&amp;$C28,防護具!$Q$30:$Q$212))-X28,0)</f>
        <v>0</v>
      </c>
      <c r="Z29" s="764">
        <f>IFERROR(
SUM(Y29,SUMIF(防護具!$Y$30:$Y$212,Z$17&amp;$C28,防護具!$Q$30:$Q$212))-Y28,0)</f>
        <v>0</v>
      </c>
      <c r="AA29" s="764">
        <f>IFERROR(
SUM(Z29,SUMIF(防護具!$Y$30:$Y$212,AA$17&amp;$C28,防護具!$Q$30:$Q$212))-Z28,0)</f>
        <v>0</v>
      </c>
      <c r="AB29" s="764">
        <f>IFERROR(
SUM(AA29,SUMIF(防護具!$Y$30:$Y$212,AB$17&amp;$C28,防護具!$Q$30:$Q$212))-AA28,0)</f>
        <v>0</v>
      </c>
      <c r="AC29" s="764">
        <f>IFERROR(
SUM(AB29,SUMIF(防護具!$Y$30:$Y$212,AC$17&amp;$C28,防護具!$Q$30:$Q$212))-AB28,0)</f>
        <v>0</v>
      </c>
      <c r="AD29" s="764">
        <f>IFERROR(
SUM(AC29,SUMIF(防護具!$Y$30:$Y$212,AD$17&amp;$C28,防護具!$Q$30:$Q$212))-AC28,0)</f>
        <v>0</v>
      </c>
      <c r="AE29" s="764">
        <f>IFERROR(
SUM(AD29,SUMIF(防護具!$Y$30:$Y$212,AE$17&amp;$C28,防護具!$Q$30:$Q$212))-AD28,0)</f>
        <v>0</v>
      </c>
      <c r="AF29" s="764">
        <f>IFERROR(
SUM(AE29,SUMIF(防護具!$Y$30:$Y$212,AF$17&amp;$C28,防護具!$Q$30:$Q$212))-AE28,0)</f>
        <v>0</v>
      </c>
      <c r="AG29" s="764">
        <f>IFERROR(
SUM(AF29,SUMIF(防護具!$Y$30:$Y$212,AG$17&amp;$C28,防護具!$Q$30:$Q$212))-AF28,0)</f>
        <v>0</v>
      </c>
      <c r="AH29" s="764">
        <f>IFERROR(
SUM(AG29,SUMIF(防護具!$Y$30:$Y$212,AH$17&amp;$C28,防護具!$Q$30:$Q$212))-AG28,0)</f>
        <v>0</v>
      </c>
      <c r="AI29" s="764">
        <f>IFERROR(
SUM(AH29,SUMIF(防護具!$Y$30:$Y$212,AI$17&amp;$C28,防護具!$Q$30:$Q$212))-AH28,0)</f>
        <v>0</v>
      </c>
      <c r="AJ29" s="764">
        <f>IFERROR(
SUM(AI29,SUMIF(防護具!$Y$30:$Y$212,AJ$17&amp;$C28,防護具!$Q$30:$Q$212))-AI28,0)</f>
        <v>0</v>
      </c>
      <c r="AK29" s="764">
        <f>IFERROR(
SUM(AJ29,SUMIF(防護具!$Y$30:$Y$212,AK$17&amp;$C28,防護具!$Q$30:$Q$212))-AJ28,0)</f>
        <v>0</v>
      </c>
      <c r="AL29" s="764">
        <f>IFERROR(
SUM(AK29,SUMIF(防護具!$Y$30:$Y$212,AL$17&amp;$C28,防護具!$Q$30:$Q$212))-AK28,0)</f>
        <v>0</v>
      </c>
      <c r="AM29" s="764">
        <f>IFERROR(
SUM(AL29,SUMIF(防護具!$Y$30:$Y$212,AM$17&amp;$C28,防護具!$Q$30:$Q$212))-AL28,0)</f>
        <v>0</v>
      </c>
      <c r="AN29" s="764">
        <f>IFERROR(
SUM(AM29,SUMIF(防護具!$Y$30:$Y$212,AN$17&amp;$C28,防護具!$Q$30:$Q$212))-AM28,0)</f>
        <v>0</v>
      </c>
      <c r="AO29" s="764">
        <f>IFERROR(
SUM(AN29,SUMIF(防護具!$Y$30:$Y$212,AO$17&amp;$C28,防護具!$Q$30:$Q$212))-AN28,0)</f>
        <v>0</v>
      </c>
      <c r="AP29" s="764">
        <f>IFERROR(
SUM(AO29,SUMIF(防護具!$Y$30:$Y$212,AP$17&amp;$C28,防護具!$Q$30:$Q$212))-AO28,0)</f>
        <v>0</v>
      </c>
      <c r="AQ29" s="764">
        <f>IFERROR(
SUM(AP29,SUMIF(防護具!$Y$30:$Y$212,AQ$17&amp;$C28,防護具!$Q$30:$Q$212))-AP28,0)</f>
        <v>0</v>
      </c>
      <c r="AR29" s="764">
        <f>IFERROR(
SUM(AQ29,SUMIF(防護具!$Y$30:$Y$212,AR$17&amp;$C28,防護具!$Q$30:$Q$212))-AQ28,0)</f>
        <v>0</v>
      </c>
      <c r="AS29" s="764">
        <f>IFERROR(
SUM(AR29,SUMIF(防護具!$Y$30:$Y$212,AS$17&amp;$C28,防護具!$Q$30:$Q$212))-AR28,0)</f>
        <v>0</v>
      </c>
      <c r="AT29" s="764">
        <f>IFERROR(
SUM(AS29,SUMIF(防護具!$Y$30:$Y$212,AT$17&amp;$C28,防護具!$Q$30:$Q$212))-AS28,0)</f>
        <v>0</v>
      </c>
      <c r="AU29" s="764">
        <f>IFERROR(
SUM(AT29,SUMIF(防護具!$Y$30:$Y$212,AU$17&amp;$C28,防護具!$Q$30:$Q$212))-AT28,0)</f>
        <v>0</v>
      </c>
      <c r="AV29" s="764">
        <f>IFERROR(
SUM(AU29,SUMIF(防護具!$Y$30:$Y$212,AV$17&amp;$C28,防護具!$Q$30:$Q$212))-AU28,0)</f>
        <v>0</v>
      </c>
      <c r="AW29" s="764">
        <f>IFERROR(
SUM(AV29,SUMIF(防護具!$Y$30:$Y$212,AW$17&amp;$C28,防護具!$Q$30:$Q$212))-AV28,0)</f>
        <v>0</v>
      </c>
      <c r="AX29" s="764">
        <f>IFERROR(
SUM(AW29,SUMIF(防護具!$Y$30:$Y$212,AX$17&amp;$C28,防護具!$Q$30:$Q$212))-AW28,0)</f>
        <v>0</v>
      </c>
      <c r="AY29" s="764">
        <f>IFERROR(
SUM(AX29,SUMIF(防護具!$Y$30:$Y$212,AY$17&amp;$C28,防護具!$Q$30:$Q$212))-AX28,0)</f>
        <v>0</v>
      </c>
      <c r="AZ29" s="764">
        <f>IFERROR(
SUM(AY29,SUMIF(防護具!$Y$30:$Y$212,AZ$17&amp;$C28,防護具!$Q$30:$Q$212))-AY28,0)</f>
        <v>0</v>
      </c>
      <c r="BA29" s="764">
        <f>IFERROR(
SUM(AZ29,SUMIF(防護具!$Y$30:$Y$212,BA$17&amp;$C28,防護具!$Q$30:$Q$212))-AZ28,0)</f>
        <v>0</v>
      </c>
      <c r="BB29" s="764">
        <f>IFERROR(
SUM(BA29,SUMIF(防護具!$Y$30:$Y$212,BB$17&amp;$C28,防護具!$Q$30:$Q$212))-BA28,0)</f>
        <v>0</v>
      </c>
      <c r="BC29" s="764">
        <f>IFERROR(
SUM(BB29,SUMIF(防護具!$Y$30:$Y$212,BC$17&amp;$C28,防護具!$Q$30:$Q$212))-BB28,0)</f>
        <v>0</v>
      </c>
      <c r="BD29" s="764">
        <f>IFERROR(
SUM(BC29,SUMIF(防護具!$Y$30:$Y$212,BD$17&amp;$C28,防護具!$Q$30:$Q$212))-BC28,0)</f>
        <v>0</v>
      </c>
      <c r="BE29" s="764">
        <f>IFERROR(
SUM(BD29,SUMIF(防護具!$Y$30:$Y$212,BE$17&amp;$C28,防護具!$Q$30:$Q$212))-BD28,0)</f>
        <v>0</v>
      </c>
      <c r="BF29" s="764">
        <f>IFERROR(
SUM(BE29,SUMIF(防護具!$Y$30:$Y$212,BF$17&amp;$C28,防護具!$Q$30:$Q$212))-BE28,0)</f>
        <v>0</v>
      </c>
      <c r="BG29" s="764">
        <f>IFERROR(
SUM(BF29,SUMIF(防護具!$Y$30:$Y$212,BG$17&amp;$C28,防護具!$Q$30:$Q$212))-BF28,0)</f>
        <v>0</v>
      </c>
      <c r="BH29" s="764">
        <f>IFERROR(
SUM(BG29,SUMIF(防護具!$Y$30:$Y$212,BH$17&amp;$C28,防護具!$Q$30:$Q$212))-BG28,0)</f>
        <v>0</v>
      </c>
      <c r="BI29" s="764">
        <f>IFERROR(
SUM(BH29,SUMIF(防護具!$Y$30:$Y$212,BI$17&amp;$C28,防護具!$Q$30:$Q$212))-BH28,0)</f>
        <v>0</v>
      </c>
      <c r="BJ29" s="764">
        <f>IFERROR(
SUM(BI29,SUMIF(防護具!$Y$30:$Y$212,BJ$17&amp;$C28,防護具!$Q$30:$Q$212))-BI28,0)</f>
        <v>0</v>
      </c>
      <c r="BK29" s="764">
        <f>IFERROR(
SUM(BJ29,SUMIF(防護具!$Y$30:$Y$212,BK$17&amp;$C28,防護具!$Q$30:$Q$212))-BJ28,0)</f>
        <v>0</v>
      </c>
      <c r="BL29" s="764">
        <f>IFERROR(
SUM(BK29,SUMIF(防護具!$Y$30:$Y$212,BL$17&amp;$C28,防護具!$Q$30:$Q$212))-BK28,0)</f>
        <v>0</v>
      </c>
      <c r="BM29" s="764">
        <f>IFERROR(
SUM(BL29,SUMIF(防護具!$Y$30:$Y$212,BM$17&amp;$C28,防護具!$Q$30:$Q$212))-BL28,0)</f>
        <v>0</v>
      </c>
      <c r="BN29" s="764">
        <f>IFERROR(
SUM(BM29,SUMIF(防護具!$Y$30:$Y$212,BN$17&amp;$C28,防護具!$Q$30:$Q$212))-BM28,0)</f>
        <v>0</v>
      </c>
      <c r="BO29" s="764">
        <f>IFERROR(
SUM(BN29,SUMIF(防護具!$Y$30:$Y$212,BO$17&amp;$C28,防護具!$Q$30:$Q$212))-BN28,0)</f>
        <v>0</v>
      </c>
      <c r="BP29" s="764">
        <f>IFERROR(
SUM(BO29,SUMIF(防護具!$Y$30:$Y$212,BP$17&amp;$C28,防護具!$Q$30:$Q$212))-BO28,0)</f>
        <v>0</v>
      </c>
      <c r="BQ29" s="764">
        <f>IFERROR(
SUM(BP29,SUMIF(防護具!$Y$30:$Y$212,BQ$17&amp;$C28,防護具!$Q$30:$Q$212))-BP28,0)</f>
        <v>0</v>
      </c>
      <c r="BR29" s="764">
        <f>IFERROR(
SUM(BQ29,SUMIF(防護具!$Y$30:$Y$212,BR$17&amp;$C28,防護具!$Q$30:$Q$212))-BQ28,0)</f>
        <v>0</v>
      </c>
      <c r="BS29" s="764">
        <f>IFERROR(
SUM(BR29,SUMIF(防護具!$Y$30:$Y$212,BS$17&amp;$C28,防護具!$Q$30:$Q$212))-BR28,0)</f>
        <v>0</v>
      </c>
      <c r="BT29" s="764">
        <f>IFERROR(
SUM(BS29,SUMIF(防護具!$Y$30:$Y$212,BT$17&amp;$C28,防護具!$Q$30:$Q$212))-BS28,0)</f>
        <v>0</v>
      </c>
      <c r="BU29" s="764">
        <f>IFERROR(
SUM(BT29,SUMIF(防護具!$Y$30:$Y$212,BU$17&amp;$C28,防護具!$Q$30:$Q$212))-BT28,0)</f>
        <v>0</v>
      </c>
      <c r="BV29" s="764">
        <f>IFERROR(
SUM(BU29,SUMIF(防護具!$Y$30:$Y$212,BV$17&amp;$C28,防護具!$Q$30:$Q$212))-BU28,0)</f>
        <v>0</v>
      </c>
      <c r="BW29" s="764">
        <f>IFERROR(
SUM(BV29,SUMIF(防護具!$Y$30:$Y$212,BW$17&amp;$C28,防護具!$Q$30:$Q$212))-BV28,0)</f>
        <v>0</v>
      </c>
      <c r="BX29" s="764">
        <f>IFERROR(
SUM(BW29,SUMIF(防護具!$Y$30:$Y$212,BX$17&amp;$C28,防護具!$Q$30:$Q$212))-BW28,0)</f>
        <v>0</v>
      </c>
      <c r="BY29" s="764">
        <f>IFERROR(
SUM(BX29,SUMIF(防護具!$Y$30:$Y$212,BY$17&amp;$C28,防護具!$Q$30:$Q$212))-BX28,0)</f>
        <v>0</v>
      </c>
      <c r="BZ29" s="764">
        <f>IFERROR(
SUM(BY29,SUMIF(防護具!$Y$30:$Y$212,BZ$17&amp;$C28,防護具!$Q$30:$Q$212))-BY28,0)</f>
        <v>0</v>
      </c>
      <c r="CA29" s="764">
        <f>IFERROR(
SUM(BZ29,SUMIF(防護具!$Y$30:$Y$212,CA$17&amp;$C28,防護具!$Q$30:$Q$212))-BZ28,0)</f>
        <v>0</v>
      </c>
      <c r="CB29" s="764">
        <f>IFERROR(
SUM(CA29,SUMIF(防護具!$Y$30:$Y$212,CB$17&amp;$C28,防護具!$Q$30:$Q$212))-CA28,0)</f>
        <v>0</v>
      </c>
      <c r="CC29" s="764">
        <f>IFERROR(
SUM(CB29,SUMIF(防護具!$Y$30:$Y$212,CC$17&amp;$C28,防護具!$Q$30:$Q$212))-CB28,0)</f>
        <v>0</v>
      </c>
      <c r="CD29" s="764">
        <f>IFERROR(
SUM(CC29,SUMIF(防護具!$Y$30:$Y$212,CD$17&amp;$C28,防護具!$Q$30:$Q$212))-CC28,0)</f>
        <v>0</v>
      </c>
      <c r="CE29" s="764">
        <f>IFERROR(
SUM(CD29,SUMIF(防護具!$Y$30:$Y$212,CE$17&amp;$C28,防護具!$Q$30:$Q$212))-CD28,0)</f>
        <v>0</v>
      </c>
      <c r="CF29" s="764">
        <f>IFERROR(
SUM(CE29,SUMIF(防護具!$Y$30:$Y$212,CF$17&amp;$C28,防護具!$Q$30:$Q$212))-CE28,0)</f>
        <v>0</v>
      </c>
      <c r="CG29" s="764">
        <f>IFERROR(
SUM(CF29,SUMIF(防護具!$Y$30:$Y$212,CG$17&amp;$C28,防護具!$Q$30:$Q$212))-CF28,0)</f>
        <v>0</v>
      </c>
      <c r="CH29" s="764">
        <f>IFERROR(
SUM(CG29,SUMIF(防護具!$Y$30:$Y$212,CH$17&amp;$C28,防護具!$Q$30:$Q$212))-CG28,0)</f>
        <v>0</v>
      </c>
      <c r="CI29" s="764">
        <f>IFERROR(
SUM(CH29,SUMIF(防護具!$Y$30:$Y$212,CI$17&amp;$C28,防護具!$Q$30:$Q$212))-CH28,0)</f>
        <v>0</v>
      </c>
      <c r="CJ29" s="764">
        <f>IFERROR(
SUM(CI29,SUMIF(防護具!$Y$30:$Y$212,CJ$17&amp;$C28,防護具!$Q$30:$Q$212))-CI28,0)</f>
        <v>0</v>
      </c>
      <c r="CK29" s="764">
        <f>IFERROR(
SUM(CJ29,SUMIF(防護具!$Y$30:$Y$212,CK$17&amp;$C28,防護具!$Q$30:$Q$212))-CJ28,0)</f>
        <v>0</v>
      </c>
      <c r="CL29" s="764">
        <f>IFERROR(
SUM(CK29,SUMIF(防護具!$Y$30:$Y$212,CL$17&amp;$C28,防護具!$Q$30:$Q$212))-CK28,0)</f>
        <v>0</v>
      </c>
      <c r="CM29" s="764">
        <f>IFERROR(
SUM(CL29,SUMIF(防護具!$Y$30:$Y$212,CM$17&amp;$C28,防護具!$Q$30:$Q$212))-CL28,0)</f>
        <v>0</v>
      </c>
      <c r="CN29" s="764">
        <f>IFERROR(
SUM(CM29,SUMIF(防護具!$Y$30:$Y$212,CN$17&amp;$C28,防護具!$Q$30:$Q$212))-CM28,0)</f>
        <v>0</v>
      </c>
      <c r="CO29" s="764">
        <f>IFERROR(
SUM(CN29,SUMIF(防護具!$Y$30:$Y$212,CO$17&amp;$C28,防護具!$Q$30:$Q$212))-CN28,0)</f>
        <v>0</v>
      </c>
      <c r="CP29" s="764">
        <f>IFERROR(
SUM(CO29,SUMIF(防護具!$Y$30:$Y$212,CP$17&amp;$C28,防護具!$Q$30:$Q$212))-CO28,0)</f>
        <v>0</v>
      </c>
      <c r="CQ29" s="764">
        <f>IFERROR(
SUM(CP29,SUMIF(防護具!$Y$30:$Y$212,CQ$17&amp;$C28,防護具!$Q$30:$Q$212))-CP28,0)</f>
        <v>0</v>
      </c>
      <c r="CR29" s="764">
        <f>IFERROR(
SUM(CQ29,SUMIF(防護具!$Y$30:$Y$212,CR$17&amp;$C28,防護具!$Q$30:$Q$212))-CQ28,0)</f>
        <v>0</v>
      </c>
      <c r="CS29" s="764">
        <f>IFERROR(
SUM(CR29,SUMIF(防護具!$Y$30:$Y$212,CS$17&amp;$C28,防護具!$Q$30:$Q$212))-CR28,0)</f>
        <v>0</v>
      </c>
      <c r="CT29" s="764">
        <f>IFERROR(
SUM(CS29,SUMIF(防護具!$Y$30:$Y$212,CT$17&amp;$C28,防護具!$Q$30:$Q$212))-CS28,0)</f>
        <v>0</v>
      </c>
      <c r="CU29" s="764">
        <f>IFERROR(
SUM(CT29,SUMIF(防護具!$Y$30:$Y$212,CU$17&amp;$C28,防護具!$Q$30:$Q$212))-CT28,0)</f>
        <v>0</v>
      </c>
      <c r="CV29" s="764">
        <f>IFERROR(
SUM(CU29,SUMIF(防護具!$Y$30:$Y$212,CV$17&amp;$C28,防護具!$Q$30:$Q$212))-CU28,0)</f>
        <v>0</v>
      </c>
      <c r="CW29" s="764">
        <f>IFERROR(
SUM(CV29,SUMIF(防護具!$Y$30:$Y$212,CW$17&amp;$C28,防護具!$Q$30:$Q$212))-CV28,0)</f>
        <v>0</v>
      </c>
      <c r="CX29" s="764">
        <f>IFERROR(
SUM(CW29,SUMIF(防護具!$Y$30:$Y$212,CX$17&amp;$C28,防護具!$Q$30:$Q$212))-CW28,0)</f>
        <v>0</v>
      </c>
      <c r="CY29" s="764">
        <f>IFERROR(
SUM(CX29,SUMIF(防護具!$Y$30:$Y$212,CY$17&amp;$C28,防護具!$Q$30:$Q$212))-CX28,0)</f>
        <v>0</v>
      </c>
      <c r="CZ29" s="764">
        <f>IFERROR(
SUM(CY29,SUMIF(防護具!$Y$30:$Y$212,CZ$17&amp;$C28,防護具!$Q$30:$Q$212))-CY28,0)</f>
        <v>0</v>
      </c>
      <c r="DA29" s="764">
        <f>IFERROR(
SUM(CZ29,SUMIF(防護具!$Y$30:$Y$212,DA$17&amp;$C28,防護具!$Q$30:$Q$212))-CZ28,0)</f>
        <v>0</v>
      </c>
      <c r="DB29" s="764">
        <f>IFERROR(
SUM(DA29,SUMIF(防護具!$Y$30:$Y$212,DB$17&amp;$C28,防護具!$Q$30:$Q$212))-DA28,0)</f>
        <v>0</v>
      </c>
      <c r="DC29" s="764">
        <f>IFERROR(
SUM(DB29,SUMIF(防護具!$Y$30:$Y$212,DC$17&amp;$C28,防護具!$Q$30:$Q$212))-DB28,0)</f>
        <v>0</v>
      </c>
      <c r="DD29" s="764">
        <f>IFERROR(
SUM(DC29,SUMIF(防護具!$Y$30:$Y$212,DD$17&amp;$C28,防護具!$Q$30:$Q$212))-DC28,0)</f>
        <v>0</v>
      </c>
      <c r="DE29" s="764">
        <f>IFERROR(
SUM(DD29,SUMIF(防護具!$Y$30:$Y$212,DE$17&amp;$C28,防護具!$Q$30:$Q$212))-DD28,0)</f>
        <v>0</v>
      </c>
      <c r="DF29" s="764">
        <f>IFERROR(
SUM(DE29,SUMIF(防護具!$Y$30:$Y$212,DF$17&amp;$C28,防護具!$Q$30:$Q$212))-DE28,0)</f>
        <v>0</v>
      </c>
      <c r="DG29" s="764">
        <f>IFERROR(
SUM(DF29,SUMIF(防護具!$Y$30:$Y$212,DG$17&amp;$C28,防護具!$Q$30:$Q$212))-DF28,0)</f>
        <v>0</v>
      </c>
      <c r="DH29" s="764">
        <f>IFERROR(
SUM(DG29,SUMIF(防護具!$Y$30:$Y$212,DH$17&amp;$C28,防護具!$Q$30:$Q$212))-DG28,0)</f>
        <v>0</v>
      </c>
      <c r="DI29" s="764">
        <f>IFERROR(
SUM(DH29,SUMIF(防護具!$Y$30:$Y$212,DI$17&amp;$C28,防護具!$Q$30:$Q$212))-DH28,0)</f>
        <v>0</v>
      </c>
      <c r="DJ29" s="764">
        <f>IFERROR(
SUM(DI29,SUMIF(防護具!$Y$30:$Y$212,DJ$17&amp;$C28,防護具!$Q$30:$Q$212))-DI28,0)</f>
        <v>0</v>
      </c>
      <c r="DK29" s="764">
        <f>IFERROR(
SUM(DJ29,SUMIF(防護具!$Y$30:$Y$212,DK$17&amp;$C28,防護具!$Q$30:$Q$212))-DJ28,0)</f>
        <v>0</v>
      </c>
      <c r="DL29" s="764">
        <f>IFERROR(
SUM(DK29,SUMIF(防護具!$Y$30:$Y$212,DL$17&amp;$C28,防護具!$Q$30:$Q$212))-DK28,0)</f>
        <v>0</v>
      </c>
      <c r="DM29" s="764">
        <f>IFERROR(
SUM(DL29,SUMIF(防護具!$Y$30:$Y$212,DM$17&amp;$C28,防護具!$Q$30:$Q$212))-DL28,0)</f>
        <v>0</v>
      </c>
      <c r="DN29" s="764">
        <f>IFERROR(
SUM(DM29,SUMIF(防護具!$Y$30:$Y$212,DN$17&amp;$C28,防護具!$Q$30:$Q$212))-DM28,0)</f>
        <v>0</v>
      </c>
      <c r="DO29" s="764">
        <f>IFERROR(
SUM(DN29,SUMIF(防護具!$Y$30:$Y$212,DO$17&amp;$C28,防護具!$Q$30:$Q$212))-DN28,0)</f>
        <v>0</v>
      </c>
      <c r="DP29" s="764">
        <f>IFERROR(
SUM(DO29,SUMIF(防護具!$Y$30:$Y$212,DP$17&amp;$C28,防護具!$Q$30:$Q$212))-DO28,0)</f>
        <v>0</v>
      </c>
      <c r="DQ29" s="764">
        <f>IFERROR(
SUM(DP29,SUMIF(防護具!$Y$30:$Y$212,DQ$17&amp;$C28,防護具!$Q$30:$Q$212))-DP28,0)</f>
        <v>0</v>
      </c>
      <c r="DR29" s="764">
        <f>IFERROR(
SUM(DQ29,SUMIF(防護具!$Y$30:$Y$212,DR$17&amp;$C28,防護具!$Q$30:$Q$212))-DQ28,0)</f>
        <v>0</v>
      </c>
      <c r="DS29" s="764">
        <f>IFERROR(
SUM(DR29,SUMIF(防護具!$Y$30:$Y$212,DS$17&amp;$C28,防護具!$Q$30:$Q$212))-DR28,0)</f>
        <v>0</v>
      </c>
      <c r="DT29" s="764">
        <f>IFERROR(
SUM(DS29,SUMIF(防護具!$Y$30:$Y$212,DT$17&amp;$C28,防護具!$Q$30:$Q$212))-DS28,0)</f>
        <v>0</v>
      </c>
      <c r="DU29" s="764">
        <f>IFERROR(
SUM(DT29,SUMIF(防護具!$Y$30:$Y$212,DU$17&amp;$C28,防護具!$Q$30:$Q$212))-DT28,0)</f>
        <v>0</v>
      </c>
      <c r="DV29" s="764">
        <f>IFERROR(
SUM(DU29,SUMIF(防護具!$Y$30:$Y$212,DV$17&amp;$C28,防護具!$Q$30:$Q$212))-DU28,0)</f>
        <v>0</v>
      </c>
      <c r="DW29" s="764">
        <f>IFERROR(
SUM(DV29,SUMIF(防護具!$Y$30:$Y$212,DW$17&amp;$C28,防護具!$Q$30:$Q$212))-DV28,0)</f>
        <v>0</v>
      </c>
      <c r="DX29" s="764">
        <f>IFERROR(
SUM(DW29,SUMIF(防護具!$Y$30:$Y$212,DX$17&amp;$C28,防護具!$Q$30:$Q$212))-DW28,0)</f>
        <v>0</v>
      </c>
      <c r="DY29" s="764">
        <f>IFERROR(
SUM(DX29,SUMIF(防護具!$Y$30:$Y$212,DY$17&amp;$C28,防護具!$Q$30:$Q$212))-DX28,0)</f>
        <v>0</v>
      </c>
      <c r="DZ29" s="764">
        <f>IFERROR(
SUM(DY29,SUMIF(防護具!$Y$30:$Y$212,DZ$17&amp;$C28,防護具!$Q$30:$Q$212))-DY28,0)</f>
        <v>0</v>
      </c>
      <c r="EA29" s="764">
        <f>IFERROR(
SUM(DZ29,SUMIF(防護具!$Y$30:$Y$212,EA$17&amp;$C28,防護具!$Q$30:$Q$212))-DZ28,0)</f>
        <v>0</v>
      </c>
      <c r="EB29" s="764">
        <f>IFERROR(
SUM(EA29,SUMIF(防護具!$Y$30:$Y$212,EB$17&amp;$C28,防護具!$Q$30:$Q$212))-EA28,0)</f>
        <v>0</v>
      </c>
      <c r="EC29" s="764">
        <f>IFERROR(
SUM(EB29,SUMIF(防護具!$Y$30:$Y$212,EC$17&amp;$C28,防護具!$Q$30:$Q$212))-EB28,0)</f>
        <v>0</v>
      </c>
      <c r="ED29" s="764">
        <f>IFERROR(
SUM(EC29,SUMIF(防護具!$Y$30:$Y$212,ED$17&amp;$C28,防護具!$Q$30:$Q$212))-EC28,0)</f>
        <v>0</v>
      </c>
      <c r="EE29" s="764">
        <f>IFERROR(
SUM(ED29,SUMIF(防護具!$Y$30:$Y$212,EE$17&amp;$C28,防護具!$Q$30:$Q$212))-ED28,0)</f>
        <v>0</v>
      </c>
      <c r="EF29" s="764">
        <f>IFERROR(
SUM(EE29,SUMIF(防護具!$Y$30:$Y$212,EF$17&amp;$C28,防護具!$Q$30:$Q$212))-EE28,0)</f>
        <v>0</v>
      </c>
      <c r="EG29" s="764">
        <f>IFERROR(
SUM(EF29,SUMIF(防護具!$Y$30:$Y$212,EG$17&amp;$C28,防護具!$Q$30:$Q$212))-EF28,0)</f>
        <v>0</v>
      </c>
      <c r="EH29" s="764">
        <f>IFERROR(
SUM(EG29,SUMIF(防護具!$Y$30:$Y$212,EH$17&amp;$C28,防護具!$Q$30:$Q$212))-EG28,0)</f>
        <v>0</v>
      </c>
      <c r="EI29" s="764">
        <f>IFERROR(
SUM(EH29,SUMIF(防護具!$Y$30:$Y$212,EI$17&amp;$C28,防護具!$Q$30:$Q$212))-EH28,0)</f>
        <v>0</v>
      </c>
      <c r="EJ29" s="764">
        <f>IFERROR(
SUM(EI29,SUMIF(防護具!$Y$30:$Y$212,EJ$17&amp;$C28,防護具!$Q$30:$Q$212))-EI28,0)</f>
        <v>0</v>
      </c>
      <c r="EK29" s="764">
        <f>IFERROR(
SUM(EJ29,SUMIF(防護具!$Y$30:$Y$212,EK$17&amp;$C28,防護具!$Q$30:$Q$212))-EJ28,0)</f>
        <v>0</v>
      </c>
      <c r="EL29" s="764">
        <f>IFERROR(
SUM(EK29,SUMIF(防護具!$Y$30:$Y$212,EL$17&amp;$C28,防護具!$Q$30:$Q$212))-EK28,0)</f>
        <v>0</v>
      </c>
      <c r="EM29" s="764">
        <f>IFERROR(
SUM(EL29,SUMIF(防護具!$Y$30:$Y$212,EM$17&amp;$C28,防護具!$Q$30:$Q$212))-EL28,0)</f>
        <v>0</v>
      </c>
      <c r="EN29" s="764">
        <f>IFERROR(
SUM(EM29,SUMIF(防護具!$Y$30:$Y$212,EN$17&amp;$C28,防護具!$Q$30:$Q$212))-EM28,0)</f>
        <v>0</v>
      </c>
      <c r="EO29" s="764">
        <f>IFERROR(
SUM(EN29,SUMIF(防護具!$Y$30:$Y$212,EO$17&amp;$C28,防護具!$Q$30:$Q$212))-EN28,0)</f>
        <v>0</v>
      </c>
      <c r="EP29" s="764">
        <f>IFERROR(
SUM(EO29,SUMIF(防護具!$Y$30:$Y$212,EP$17&amp;$C28,防護具!$Q$30:$Q$212))-EO28,0)</f>
        <v>0</v>
      </c>
      <c r="EQ29" s="764">
        <f>IFERROR(
SUM(EP29,SUMIF(防護具!$Y$30:$Y$212,EQ$17&amp;$C28,防護具!$Q$30:$Q$212))-EP28,0)</f>
        <v>0</v>
      </c>
      <c r="ER29" s="764">
        <f>IFERROR(
SUM(EQ29,SUMIF(防護具!$Y$30:$Y$212,ER$17&amp;$C28,防護具!$Q$30:$Q$212))-EQ28,0)</f>
        <v>0</v>
      </c>
      <c r="ES29" s="764">
        <f>IFERROR(
SUM(ER29,SUMIF(防護具!$Y$30:$Y$212,ES$17&amp;$C28,防護具!$Q$30:$Q$212))-ER28,0)</f>
        <v>0</v>
      </c>
      <c r="ET29" s="764">
        <f>IFERROR(
SUM(ES29,SUMIF(防護具!$Y$30:$Y$212,ET$17&amp;$C28,防護具!$Q$30:$Q$212))-ES28,0)</f>
        <v>0</v>
      </c>
      <c r="EU29" s="764">
        <f>IFERROR(
SUM(ET29,SUMIF(防護具!$Y$30:$Y$212,EU$17&amp;$C28,防護具!$Q$30:$Q$212))-ET28,0)</f>
        <v>0</v>
      </c>
      <c r="EV29" s="764">
        <f>IFERROR(
SUM(EU29,SUMIF(防護具!$Y$30:$Y$212,EV$17&amp;$C28,防護具!$Q$30:$Q$212))-EU28,0)</f>
        <v>0</v>
      </c>
      <c r="EW29" s="764">
        <f>IFERROR(
SUM(EV29,SUMIF(防護具!$Y$30:$Y$212,EW$17&amp;$C28,防護具!$Q$30:$Q$212))-EV28,0)</f>
        <v>0</v>
      </c>
      <c r="EX29" s="764">
        <f>IFERROR(
SUM(EW29,SUMIF(防護具!$Y$30:$Y$212,EX$17&amp;$C28,防護具!$Q$30:$Q$212))-EW28,0)</f>
        <v>0</v>
      </c>
      <c r="EY29" s="764">
        <f>IFERROR(
SUM(EX29,SUMIF(防護具!$Y$30:$Y$212,EY$17&amp;$C28,防護具!$Q$30:$Q$212))-EX28,0)</f>
        <v>0</v>
      </c>
      <c r="EZ29" s="764">
        <f>IFERROR(
SUM(EY29,SUMIF(防護具!$Y$30:$Y$212,EZ$17&amp;$C28,防護具!$Q$30:$Q$212))-EY28,0)</f>
        <v>0</v>
      </c>
      <c r="FA29" s="764">
        <f>IFERROR(
SUM(EZ29,SUMIF(防護具!$Y$30:$Y$212,FA$17&amp;$C28,防護具!$Q$30:$Q$212))-EZ28,0)</f>
        <v>0</v>
      </c>
      <c r="FB29" s="764">
        <f>IFERROR(
SUM(FA29,SUMIF(防護具!$Y$30:$Y$212,FB$17&amp;$C28,防護具!$Q$30:$Q$212))-FA28,0)</f>
        <v>0</v>
      </c>
      <c r="FC29" s="764">
        <f>IFERROR(
SUM(FB29,SUMIF(防護具!$Y$30:$Y$212,FC$17&amp;$C28,防護具!$Q$30:$Q$212))-FB28,0)</f>
        <v>0</v>
      </c>
      <c r="FD29" s="764">
        <f>IFERROR(
SUM(FC29,SUMIF(防護具!$Y$30:$Y$212,FD$17&amp;$C28,防護具!$Q$30:$Q$212))-FC28,0)</f>
        <v>0</v>
      </c>
      <c r="FE29" s="764">
        <f>IFERROR(
SUM(FD29,SUMIF(防護具!$Y$30:$Y$212,FE$17&amp;$C28,防護具!$Q$30:$Q$212))-FD28,0)</f>
        <v>0</v>
      </c>
      <c r="FF29" s="764">
        <f>IFERROR(
SUM(FE29,SUMIF(防護具!$Y$30:$Y$212,FF$17&amp;$C28,防護具!$Q$30:$Q$212))-FE28,0)</f>
        <v>0</v>
      </c>
      <c r="FG29" s="764">
        <f>IFERROR(
SUM(FF29,SUMIF(防護具!$Y$30:$Y$212,FG$17&amp;$C28,防護具!$Q$30:$Q$212))-FF28,0)</f>
        <v>0</v>
      </c>
      <c r="FH29" s="764">
        <f>IFERROR(
SUM(FG29,SUMIF(防護具!$Y$30:$Y$212,FH$17&amp;$C28,防護具!$Q$30:$Q$212))-FG28,0)</f>
        <v>0</v>
      </c>
      <c r="FI29" s="764">
        <f>IFERROR(
SUM(FH29,SUMIF(防護具!$Y$30:$Y$212,FI$17&amp;$C28,防護具!$Q$30:$Q$212))-FH28,0)</f>
        <v>0</v>
      </c>
      <c r="FJ29" s="764">
        <f>IFERROR(
SUM(FI29,SUMIF(防護具!$Y$30:$Y$212,FJ$17&amp;$C28,防護具!$Q$30:$Q$212))-FI28,0)</f>
        <v>0</v>
      </c>
      <c r="FK29" s="764">
        <f>IFERROR(
SUM(FJ29,SUMIF(防護具!$Y$30:$Y$212,FK$17&amp;$C28,防護具!$Q$30:$Q$212))-FJ28,0)</f>
        <v>0</v>
      </c>
      <c r="FL29" s="764">
        <f>IFERROR(
SUM(FK29,SUMIF(防護具!$Y$30:$Y$212,FL$17&amp;$C28,防護具!$Q$30:$Q$212))-FK28,0)</f>
        <v>0</v>
      </c>
      <c r="FM29" s="764">
        <f>IFERROR(
SUM(FL29,SUMIF(防護具!$Y$30:$Y$212,FM$17&amp;$C28,防護具!$Q$30:$Q$212))-FL28,0)</f>
        <v>0</v>
      </c>
      <c r="FN29" s="764">
        <f>IFERROR(
SUM(FM29,SUMIF(防護具!$Y$30:$Y$212,FN$17&amp;$C28,防護具!$Q$30:$Q$212))-FM28,0)</f>
        <v>0</v>
      </c>
      <c r="FO29" s="764">
        <f>IFERROR(
SUM(FN29,SUMIF(防護具!$Y$30:$Y$212,FO$17&amp;$C28,防護具!$Q$30:$Q$212))-FN28,0)</f>
        <v>0</v>
      </c>
      <c r="FP29" s="764">
        <f>IFERROR(
SUM(FO29,SUMIF(防護具!$Y$30:$Y$212,FP$17&amp;$C28,防護具!$Q$30:$Q$212))-FO28,0)</f>
        <v>0</v>
      </c>
      <c r="FQ29" s="764">
        <f>IFERROR(
SUM(FP29,SUMIF(防護具!$Y$30:$Y$212,FQ$17&amp;$C28,防護具!$Q$30:$Q$212))-FP28,0)</f>
        <v>0</v>
      </c>
      <c r="FR29" s="764">
        <f>IFERROR(
SUM(FQ29,SUMIF(防護具!$Y$30:$Y$212,FR$17&amp;$C28,防護具!$Q$30:$Q$212))-FQ28,0)</f>
        <v>0</v>
      </c>
      <c r="FS29" s="764">
        <f>IFERROR(
SUM(FR29,SUMIF(防護具!$Y$30:$Y$212,FS$17&amp;$C28,防護具!$Q$30:$Q$212))-FR28,0)</f>
        <v>0</v>
      </c>
      <c r="FT29" s="764">
        <f>IFERROR(
SUM(FS29,SUMIF(防護具!$Y$30:$Y$212,FT$17&amp;$C28,防護具!$Q$30:$Q$212))-FS28,0)</f>
        <v>0</v>
      </c>
      <c r="FU29" s="764">
        <f>IFERROR(
SUM(FT29,SUMIF(防護具!$Y$30:$Y$212,FU$17&amp;$C28,防護具!$Q$30:$Q$212))-FT28,0)</f>
        <v>0</v>
      </c>
      <c r="FV29" s="764">
        <f>IFERROR(
SUM(FU29,SUMIF(防護具!$Y$30:$Y$212,FV$17&amp;$C28,防護具!$Q$30:$Q$212))-FU28,0)</f>
        <v>0</v>
      </c>
      <c r="FW29" s="764">
        <f>IFERROR(
SUM(FV29,SUMIF(防護具!$Y$30:$Y$212,FW$17&amp;$C28,防護具!$Q$30:$Q$212))-FV28,0)</f>
        <v>0</v>
      </c>
      <c r="FX29" s="764">
        <f>IFERROR(
SUM(FW29,SUMIF(防護具!$Y$30:$Y$212,FX$17&amp;$C28,防護具!$Q$30:$Q$212))-FW28,0)</f>
        <v>0</v>
      </c>
      <c r="FY29" s="764">
        <f>IFERROR(
SUM(FX29,SUMIF(防護具!$Y$30:$Y$212,FY$17&amp;$C28,防護具!$Q$30:$Q$212))-FX28,0)</f>
        <v>0</v>
      </c>
      <c r="FZ29" s="764">
        <f>IFERROR(
SUM(FY29,SUMIF(防護具!$Y$30:$Y$212,FZ$17&amp;$C28,防護具!$Q$30:$Q$212))-FY28,0)</f>
        <v>0</v>
      </c>
      <c r="GA29" s="764">
        <f>IFERROR(
SUM(FZ29,SUMIF(防護具!$Y$30:$Y$212,GA$17&amp;$C28,防護具!$Q$30:$Q$212))-FZ28,0)</f>
        <v>0</v>
      </c>
      <c r="GB29" s="764">
        <f>IFERROR(
SUM(GA29,SUMIF(防護具!$Y$30:$Y$212,GB$17&amp;$C28,防護具!$Q$30:$Q$212))-GA28,0)</f>
        <v>0</v>
      </c>
      <c r="GC29" s="764">
        <f>IFERROR(
SUM(GB29,SUMIF(防護具!$Y$30:$Y$212,GC$17&amp;$C28,防護具!$Q$30:$Q$212))-GB28,0)</f>
        <v>0</v>
      </c>
      <c r="GD29" s="764">
        <f>IFERROR(
SUM(GC29,SUMIF(防護具!$Y$30:$Y$212,GD$17&amp;$C28,防護具!$Q$30:$Q$212))-GC28,0)</f>
        <v>0</v>
      </c>
      <c r="GE29" s="764">
        <f>IFERROR(
SUM(GD29,SUMIF(防護具!$Y$30:$Y$212,GE$17&amp;$C28,防護具!$Q$30:$Q$212))-GD28,0)</f>
        <v>0</v>
      </c>
      <c r="GF29" s="764">
        <f>IFERROR(
SUM(GE29,SUMIF(防護具!$Y$30:$Y$212,GF$17&amp;$C28,防護具!$Q$30:$Q$212))-GE28,0)</f>
        <v>0</v>
      </c>
      <c r="GG29" s="764">
        <f>IFERROR(
SUM(GF29,SUMIF(防護具!$Y$30:$Y$212,GG$17&amp;$C28,防護具!$Q$30:$Q$212))-GF28,0)</f>
        <v>0</v>
      </c>
      <c r="GH29" s="764">
        <f>IFERROR(
SUM(GG29,SUMIF(防護具!$Y$30:$Y$212,GH$17&amp;$C28,防護具!$Q$30:$Q$212))-GG28,0)</f>
        <v>0</v>
      </c>
      <c r="GI29" s="764">
        <f>IFERROR(
SUM(GH29,SUMIF(防護具!$Y$30:$Y$212,GI$17&amp;$C28,防護具!$Q$30:$Q$212))-GH28,0)</f>
        <v>0</v>
      </c>
      <c r="GJ29" s="764">
        <f>IFERROR(
SUM(GI29,SUMIF(防護具!$Y$30:$Y$212,GJ$17&amp;$C28,防護具!$Q$30:$Q$212))-GI28,0)</f>
        <v>0</v>
      </c>
    </row>
    <row r="30" spans="2:192" s="632" customFormat="1">
      <c r="B30" s="633"/>
      <c r="C30" s="625"/>
      <c r="D30" s="703" t="s">
        <v>1425</v>
      </c>
      <c r="E30" s="708"/>
      <c r="F30" s="653"/>
      <c r="G30" s="762">
        <f xml:space="preserve">
IF(
SUM(SUMIF(防護具!$Y$13:$Y$29,G$17&amp;$C28,防護具!$Q$13:$Q$29),F30)-VLOOKUP($C28,$C$3:$D$15,2,FALSE)*F26&lt;0,0,
SUM(SUMIF(防護具!$Y$13:$Y$29,G$17&amp;$C28,防護具!$Q$13:$Q$29),F30)-VLOOKUP($C28,$C$3:$D$15,2,FALSE)*F26)</f>
        <v>0</v>
      </c>
      <c r="H30" s="762">
        <f xml:space="preserve">
IF(
SUM(SUMIF(防護具!$Y$13:$Y$29,H$17&amp;$C28,防護具!$Q$13:$Q$29),G30)-VLOOKUP($C28,$C$3:$D$15,2,FALSE)*G26&lt;0,0,
SUM(SUMIF(防護具!$Y$13:$Y$29,H$17&amp;$C28,防護具!$Q$13:$Q$29),G30)-VLOOKUP($C28,$C$3:$D$15,2,FALSE)*G26)</f>
        <v>0</v>
      </c>
      <c r="I30" s="762">
        <f xml:space="preserve">
IF(
SUM(SUMIF(防護具!$Y$13:$Y$29,I$17&amp;$C28,防護具!$Q$13:$Q$29),H30)-VLOOKUP($C28,$C$3:$D$15,2,FALSE)*H26&lt;0,0,
SUM(SUMIF(防護具!$Y$13:$Y$29,I$17&amp;$C28,防護具!$Q$13:$Q$29),H30)-VLOOKUP($C28,$C$3:$D$15,2,FALSE)*H26)</f>
        <v>0</v>
      </c>
      <c r="J30" s="762">
        <f xml:space="preserve">
IF(
SUM(SUMIF(防護具!$Y$13:$Y$29,J$17&amp;$C28,防護具!$Q$13:$Q$29),I30)-VLOOKUP($C28,$C$3:$D$15,2,FALSE)*I26&lt;0,0,
SUM(SUMIF(防護具!$Y$13:$Y$29,J$17&amp;$C28,防護具!$Q$13:$Q$29),I30)-VLOOKUP($C28,$C$3:$D$15,2,FALSE)*I26)</f>
        <v>0</v>
      </c>
      <c r="K30" s="762">
        <f xml:space="preserve">
IF(
SUM(SUMIF(防護具!$Y$13:$Y$29,K$17&amp;$C28,防護具!$Q$13:$Q$29),J30)-VLOOKUP($C28,$C$3:$D$15,2,FALSE)*J26&lt;0,0,
SUM(SUMIF(防護具!$Y$13:$Y$29,K$17&amp;$C28,防護具!$Q$13:$Q$29),J30)-VLOOKUP($C28,$C$3:$D$15,2,FALSE)*J26)</f>
        <v>0</v>
      </c>
      <c r="L30" s="762">
        <f xml:space="preserve">
IF(
SUM(SUMIF(防護具!$Y$13:$Y$29,L$17&amp;$C28,防護具!$Q$13:$Q$29),K30)-VLOOKUP($C28,$C$3:$D$15,2,FALSE)*K26&lt;0,0,
SUM(SUMIF(防護具!$Y$13:$Y$29,L$17&amp;$C28,防護具!$Q$13:$Q$29),K30)-VLOOKUP($C28,$C$3:$D$15,2,FALSE)*K26)</f>
        <v>0</v>
      </c>
      <c r="M30" s="762">
        <f xml:space="preserve">
IF(
SUM(SUMIF(防護具!$Y$13:$Y$29,M$17&amp;$C28,防護具!$Q$13:$Q$29),L30)-VLOOKUP($C28,$C$3:$D$15,2,FALSE)*L26&lt;0,0,
SUM(SUMIF(防護具!$Y$13:$Y$29,M$17&amp;$C28,防護具!$Q$13:$Q$29),L30)-VLOOKUP($C28,$C$3:$D$15,2,FALSE)*L26)</f>
        <v>0</v>
      </c>
      <c r="N30" s="762">
        <f xml:space="preserve">
IF(
SUM(SUMIF(防護具!$Y$13:$Y$29,N$17&amp;$C28,防護具!$Q$13:$Q$29),M30)-VLOOKUP($C28,$C$3:$D$15,2,FALSE)*M26&lt;0,0,
SUM(SUMIF(防護具!$Y$13:$Y$29,N$17&amp;$C28,防護具!$Q$13:$Q$29),M30)-VLOOKUP($C28,$C$3:$D$15,2,FALSE)*M26)</f>
        <v>0</v>
      </c>
      <c r="O30" s="762">
        <f xml:space="preserve">
IF(
SUM(SUMIF(防護具!$Y$13:$Y$29,O$17&amp;$C28,防護具!$Q$13:$Q$29),N30)-VLOOKUP($C28,$C$3:$D$15,2,FALSE)*N26&lt;0,0,
SUM(SUMIF(防護具!$Y$13:$Y$29,O$17&amp;$C28,防護具!$Q$13:$Q$29),N30)-VLOOKUP($C28,$C$3:$D$15,2,FALSE)*N26)</f>
        <v>0</v>
      </c>
      <c r="P30" s="762">
        <f xml:space="preserve">
IF(
SUM(SUMIF(防護具!$Y$13:$Y$29,P$17&amp;$C28,防護具!$Q$13:$Q$29),O30)-VLOOKUP($C28,$C$3:$D$15,2,FALSE)*O26&lt;0,0,
SUM(SUMIF(防護具!$Y$13:$Y$29,P$17&amp;$C28,防護具!$Q$13:$Q$29),O30)-VLOOKUP($C28,$C$3:$D$15,2,FALSE)*O26)</f>
        <v>0</v>
      </c>
      <c r="Q30" s="762">
        <f xml:space="preserve">
IF(
SUM(SUMIF(防護具!$Y$13:$Y$29,Q$17&amp;$C28,防護具!$Q$13:$Q$29),P30)-VLOOKUP($C28,$C$3:$D$15,2,FALSE)*P$20&lt;0,0,
SUM(SUMIF(防護具!$Y$13:$Y$29,Q$17&amp;$C28,防護具!$Q$13:$Q$29),P30)-VLOOKUP($C28,$C$3:$D$15,2,FALSE)*P$20)</f>
        <v>0</v>
      </c>
      <c r="R30" s="762">
        <f xml:space="preserve">
IF(
SUM(SUMIF(防護具!$Y$13:$Y$29,R$17&amp;$C28,防護具!$Q$13:$Q$29),Q30)-VLOOKUP($C28,$C$3:$D$15,2,FALSE)*Q$20&lt;0,0,
SUM(SUMIF(防護具!$Y$13:$Y$29,R$17&amp;$C28,防護具!$Q$13:$Q$29),Q30)-VLOOKUP($C28,$C$3:$D$15,2,FALSE)*Q$20)</f>
        <v>0</v>
      </c>
      <c r="S30" s="762">
        <f xml:space="preserve">
IF(
SUM(SUMIF(防護具!$Y$13:$Y$29,S$17&amp;$C28,防護具!$Q$13:$Q$29),R30)-VLOOKUP($C28,$C$3:$D$15,2,FALSE)*R$20&lt;0,0,
SUM(SUMIF(防護具!$Y$13:$Y$29,S$17&amp;$C28,防護具!$Q$13:$Q$29),R30)-VLOOKUP($C28,$C$3:$D$15,2,FALSE)*R$20)</f>
        <v>0</v>
      </c>
      <c r="T30" s="762">
        <f xml:space="preserve">
IF(
SUM(SUMIF(防護具!$Y$13:$Y$29,T$17&amp;$C28,防護具!$Q$13:$Q$29),S30)-VLOOKUP($C28,$C$3:$D$15,2,FALSE)*S$20&lt;0,0,
SUM(SUMIF(防護具!$Y$13:$Y$29,T$17&amp;$C28,防護具!$Q$13:$Q$29),S30)-VLOOKUP($C28,$C$3:$D$15,2,FALSE)*S$20)</f>
        <v>0</v>
      </c>
      <c r="U30" s="762">
        <f xml:space="preserve">
IF(
SUM(SUMIF(防護具!$Y$13:$Y$29,U$17&amp;$C28,防護具!$Q$13:$Q$29),T30)-VLOOKUP($C28,$C$3:$D$15,2,FALSE)*T$20&lt;0,0,
SUM(SUMIF(防護具!$Y$13:$Y$29,U$17&amp;$C28,防護具!$Q$13:$Q$29),T30)-VLOOKUP($C28,$C$3:$D$15,2,FALSE)*T$20)</f>
        <v>0</v>
      </c>
      <c r="V30" s="762">
        <f xml:space="preserve">
IF(
SUM(SUMIF(防護具!$Y$13:$Y$29,V$17&amp;$C28,防護具!$Q$13:$Q$29),U30)-VLOOKUP($C28,$C$3:$D$15,2,FALSE)*U$20&lt;0,0,
SUM(SUMIF(防護具!$Y$13:$Y$29,V$17&amp;$C28,防護具!$Q$13:$Q$29),U30)-VLOOKUP($C28,$C$3:$D$15,2,FALSE)*U$20)</f>
        <v>0</v>
      </c>
      <c r="W30" s="762">
        <f xml:space="preserve">
IF(
SUM(SUMIF(防護具!$Y$13:$Y$29,W$17&amp;$C28,防護具!$Q$13:$Q$29),V30)-VLOOKUP($C28,$C$3:$D$15,2,FALSE)*V$20&lt;0,0,
SUM(SUMIF(防護具!$Y$13:$Y$29,W$17&amp;$C28,防護具!$Q$13:$Q$29),V30)-VLOOKUP($C28,$C$3:$D$15,2,FALSE)*V$20)</f>
        <v>0</v>
      </c>
      <c r="X30" s="762">
        <f xml:space="preserve">
IF(
SUM(SUMIF(防護具!$Y$13:$Y$29,X$17&amp;$C28,防護具!$Q$13:$Q$29),W30)-VLOOKUP($C28,$C$3:$D$15,2,FALSE)*W$20&lt;0,0,
SUM(SUMIF(防護具!$Y$13:$Y$29,X$17&amp;$C28,防護具!$Q$13:$Q$29),W30)-VLOOKUP($C28,$C$3:$D$15,2,FALSE)*W$20)</f>
        <v>0</v>
      </c>
      <c r="Y30" s="762">
        <f xml:space="preserve">
IF(
SUM(SUMIF(防護具!$Y$13:$Y$29,Y$17&amp;$C28,防護具!$Q$13:$Q$29),X30)-VLOOKUP($C28,$C$3:$D$15,2,FALSE)*X$20&lt;0,0,
SUM(SUMIF(防護具!$Y$13:$Y$29,Y$17&amp;$C28,防護具!$Q$13:$Q$29),X30)-VLOOKUP($C28,$C$3:$D$15,2,FALSE)*X$20)</f>
        <v>0</v>
      </c>
      <c r="Z30" s="762">
        <f xml:space="preserve">
IF(
SUM(SUMIF(防護具!$Y$13:$Y$29,Z$17&amp;$C28,防護具!$Q$13:$Q$29),Y30)-VLOOKUP($C28,$C$3:$D$15,2,FALSE)*Y$20&lt;0,0,
SUM(SUMIF(防護具!$Y$13:$Y$29,Z$17&amp;$C28,防護具!$Q$13:$Q$29),Y30)-VLOOKUP($C28,$C$3:$D$15,2,FALSE)*Y$20)</f>
        <v>0</v>
      </c>
      <c r="AA30" s="762">
        <f xml:space="preserve">
IF(
SUM(SUMIF(防護具!$Y$13:$Y$29,AA$17&amp;$C28,防護具!$Q$13:$Q$29),Z30)-VLOOKUP($C28,$C$3:$D$15,2,FALSE)*Z$20&lt;0,0,
SUM(SUMIF(防護具!$Y$13:$Y$29,AA$17&amp;$C28,防護具!$Q$13:$Q$29),Z30)-VLOOKUP($C28,$C$3:$D$15,2,FALSE)*Z$20)</f>
        <v>0</v>
      </c>
      <c r="AB30" s="762">
        <f xml:space="preserve">
IF(
SUM(SUMIF(防護具!$Y$13:$Y$29,AB$17&amp;$C28,防護具!$Q$13:$Q$29),AA30)-VLOOKUP($C28,$C$3:$D$15,2,FALSE)*AA$20&lt;0,0,
SUM(SUMIF(防護具!$Y$13:$Y$29,AB$17&amp;$C28,防護具!$Q$13:$Q$29),AA30)-VLOOKUP($C28,$C$3:$D$15,2,FALSE)*AA$20)</f>
        <v>0</v>
      </c>
      <c r="AC30" s="762">
        <f xml:space="preserve">
IF(
SUM(SUMIF(防護具!$Y$13:$Y$29,AC$17&amp;$C28,防護具!$Q$13:$Q$29),AB30)-VLOOKUP($C28,$C$3:$D$15,2,FALSE)*AB$20&lt;0,0,
SUM(SUMIF(防護具!$Y$13:$Y$29,AC$17&amp;$C28,防護具!$Q$13:$Q$29),AB30)-VLOOKUP($C28,$C$3:$D$15,2,FALSE)*AB$20)</f>
        <v>0</v>
      </c>
      <c r="AD30" s="762">
        <f xml:space="preserve">
IF(
SUM(SUMIF(防護具!$Y$13:$Y$29,AD$17&amp;$C28,防護具!$Q$13:$Q$29),AC30)-VLOOKUP($C28,$C$3:$D$15,2,FALSE)*AC$20&lt;0,0,
SUM(SUMIF(防護具!$Y$13:$Y$29,AD$17&amp;$C28,防護具!$Q$13:$Q$29),AC30)-VLOOKUP($C28,$C$3:$D$15,2,FALSE)*AC$20)</f>
        <v>0</v>
      </c>
      <c r="AE30" s="762">
        <f xml:space="preserve">
IF(
SUM(SUMIF(防護具!$Y$13:$Y$29,AE$17&amp;$C28,防護具!$Q$13:$Q$29),AD30)-VLOOKUP($C28,$C$3:$D$15,2,FALSE)*AD$20&lt;0,0,
SUM(SUMIF(防護具!$Y$13:$Y$29,AE$17&amp;$C28,防護具!$Q$13:$Q$29),AD30)-VLOOKUP($C28,$C$3:$D$15,2,FALSE)*AD$20)</f>
        <v>0</v>
      </c>
      <c r="AF30" s="762">
        <f xml:space="preserve">
IF(
SUM(SUMIF(防護具!$Y$13:$Y$29,AF$17&amp;$C28,防護具!$Q$13:$Q$29),AE30)-VLOOKUP($C28,$C$3:$D$15,2,FALSE)*AE$20&lt;0,0,
SUM(SUMIF(防護具!$Y$13:$Y$29,AF$17&amp;$C28,防護具!$Q$13:$Q$29),AE30)-VLOOKUP($C28,$C$3:$D$15,2,FALSE)*AE$20)</f>
        <v>0</v>
      </c>
      <c r="AG30" s="762">
        <f xml:space="preserve">
IF(
SUM(SUMIF(防護具!$Y$13:$Y$29,AG$17&amp;$C28,防護具!$Q$13:$Q$29),AF30)-VLOOKUP($C28,$C$3:$D$15,2,FALSE)*AF$20&lt;0,0,
SUM(SUMIF(防護具!$Y$13:$Y$29,AG$17&amp;$C28,防護具!$Q$13:$Q$29),AF30)-VLOOKUP($C28,$C$3:$D$15,2,FALSE)*AF$20)</f>
        <v>0</v>
      </c>
      <c r="AH30" s="762">
        <f xml:space="preserve">
IF(
SUM(SUMIF(防護具!$Y$13:$Y$29,AH$17&amp;$C28,防護具!$Q$13:$Q$29),AG30)-VLOOKUP($C28,$C$3:$D$15,2,FALSE)*AG$20&lt;0,0,
SUM(SUMIF(防護具!$Y$13:$Y$29,AH$17&amp;$C28,防護具!$Q$13:$Q$29),AG30)-VLOOKUP($C28,$C$3:$D$15,2,FALSE)*AG$20)</f>
        <v>0</v>
      </c>
      <c r="AI30" s="762">
        <f xml:space="preserve">
IF(
SUM(SUMIF(防護具!$Y$13:$Y$29,AI$17&amp;$C28,防護具!$Q$13:$Q$29),AH30)-VLOOKUP($C28,$C$3:$D$15,2,FALSE)*AH$20&lt;0,0,
SUM(SUMIF(防護具!$Y$13:$Y$29,AI$17&amp;$C28,防護具!$Q$13:$Q$29),AH30)-VLOOKUP($C28,$C$3:$D$15,2,FALSE)*AH$20)</f>
        <v>0</v>
      </c>
      <c r="AJ30" s="762">
        <f xml:space="preserve">
IF(
SUM(SUMIF(防護具!$Y$13:$Y$29,AJ$17&amp;$C28,防護具!$Q$13:$Q$29),AI30)-VLOOKUP($C28,$C$3:$D$15,2,FALSE)*AI$20&lt;0,0,
SUM(SUMIF(防護具!$Y$13:$Y$29,AJ$17&amp;$C28,防護具!$Q$13:$Q$29),AI30)-VLOOKUP($C28,$C$3:$D$15,2,FALSE)*AI$20)</f>
        <v>0</v>
      </c>
      <c r="AK30" s="762">
        <f xml:space="preserve">
IF(
SUM(SUMIF(防護具!$Y$13:$Y$29,AK$17&amp;$C28,防護具!$Q$13:$Q$29),AJ30)-VLOOKUP($C28,$C$3:$D$15,2,FALSE)*AJ$20&lt;0,0,
SUM(SUMIF(防護具!$Y$13:$Y$29,AK$17&amp;$C28,防護具!$Q$13:$Q$29),AJ30)-VLOOKUP($C28,$C$3:$D$15,2,FALSE)*AJ$20)</f>
        <v>0</v>
      </c>
      <c r="AL30" s="762">
        <f xml:space="preserve">
IF(
SUM(SUMIF(防護具!$Y$13:$Y$29,AL$17&amp;$C28,防護具!$Q$13:$Q$29),AK30)-VLOOKUP($C28,$C$3:$D$15,2,FALSE)*AK$20&lt;0,0,
SUM(SUMIF(防護具!$Y$13:$Y$29,AL$17&amp;$C28,防護具!$Q$13:$Q$29),AK30)-VLOOKUP($C28,$C$3:$D$15,2,FALSE)*AK$20)</f>
        <v>0</v>
      </c>
      <c r="AM30" s="762">
        <f xml:space="preserve">
IF(
SUM(SUMIF(防護具!$Y$13:$Y$29,AM$17&amp;$C28,防護具!$Q$13:$Q$29),AL30)-VLOOKUP($C28,$C$3:$D$15,2,FALSE)*AL$20&lt;0,0,
SUM(SUMIF(防護具!$Y$13:$Y$29,AM$17&amp;$C28,防護具!$Q$13:$Q$29),AL30)-VLOOKUP($C28,$C$3:$D$15,2,FALSE)*AL$20)</f>
        <v>0</v>
      </c>
      <c r="AN30" s="762">
        <f xml:space="preserve">
IF(
SUM(SUMIF(防護具!$Y$13:$Y$29,AN$17&amp;$C28,防護具!$Q$13:$Q$29),AM30)-VLOOKUP($C28,$C$3:$D$15,2,FALSE)*AM$20&lt;0,0,
SUM(SUMIF(防護具!$Y$13:$Y$29,AN$17&amp;$C28,防護具!$Q$13:$Q$29),AM30)-VLOOKUP($C28,$C$3:$D$15,2,FALSE)*AM$20)</f>
        <v>0</v>
      </c>
      <c r="AO30" s="762">
        <f xml:space="preserve">
IF(
SUM(SUMIF(防護具!$Y$13:$Y$29,AO$17&amp;$C28,防護具!$Q$13:$Q$29),AN30)-VLOOKUP($C28,$C$3:$D$15,2,FALSE)*AN$20&lt;0,0,
SUM(SUMIF(防護具!$Y$13:$Y$29,AO$17&amp;$C28,防護具!$Q$13:$Q$29),AN30)-VLOOKUP($C28,$C$3:$D$15,2,FALSE)*AN$20)</f>
        <v>0</v>
      </c>
      <c r="AP30" s="762">
        <f xml:space="preserve">
IF(
SUM(SUMIF(防護具!$Y$13:$Y$29,AP$17&amp;$C28,防護具!$Q$13:$Q$29),AO30)-VLOOKUP($C28,$C$3:$D$15,2,FALSE)*AO$20&lt;0,0,
SUM(SUMIF(防護具!$Y$13:$Y$29,AP$17&amp;$C28,防護具!$Q$13:$Q$29),AO30)-VLOOKUP($C28,$C$3:$D$15,2,FALSE)*AO$20)</f>
        <v>0</v>
      </c>
      <c r="AQ30" s="762">
        <f xml:space="preserve">
IF(
SUM(SUMIF(防護具!$Y$13:$Y$29,AQ$17&amp;$C28,防護具!$Q$13:$Q$29),AP30)-VLOOKUP($C28,$C$3:$D$15,2,FALSE)*AP$20&lt;0,0,
SUM(SUMIF(防護具!$Y$13:$Y$29,AQ$17&amp;$C28,防護具!$Q$13:$Q$29),AP30)-VLOOKUP($C28,$C$3:$D$15,2,FALSE)*AP$20)</f>
        <v>0</v>
      </c>
      <c r="AR30" s="762">
        <f xml:space="preserve">
IF(
SUM(SUMIF(防護具!$Y$13:$Y$29,AR$17&amp;$C28,防護具!$Q$13:$Q$29),AQ30)-VLOOKUP($C28,$C$3:$D$15,2,FALSE)*AQ$20&lt;0,0,
SUM(SUMIF(防護具!$Y$13:$Y$29,AR$17&amp;$C28,防護具!$Q$13:$Q$29),AQ30)-VLOOKUP($C28,$C$3:$D$15,2,FALSE)*AQ$20)</f>
        <v>0</v>
      </c>
      <c r="AS30" s="762">
        <f xml:space="preserve">
IF(
SUM(SUMIF(防護具!$Y$13:$Y$29,AS$17&amp;$C28,防護具!$Q$13:$Q$29),AR30)-VLOOKUP($C28,$C$3:$D$15,2,FALSE)*AR$20&lt;0,0,
SUM(SUMIF(防護具!$Y$13:$Y$29,AS$17&amp;$C28,防護具!$Q$13:$Q$29),AR30)-VLOOKUP($C28,$C$3:$D$15,2,FALSE)*AR$20)</f>
        <v>0</v>
      </c>
      <c r="AT30" s="762">
        <f xml:space="preserve">
IF(
SUM(SUMIF(防護具!$Y$13:$Y$29,AT$17&amp;$C28,防護具!$Q$13:$Q$29),AS30)-VLOOKUP($C28,$C$3:$D$15,2,FALSE)*AS$20&lt;0,0,
SUM(SUMIF(防護具!$Y$13:$Y$29,AT$17&amp;$C28,防護具!$Q$13:$Q$29),AS30)-VLOOKUP($C28,$C$3:$D$15,2,FALSE)*AS$20)</f>
        <v>0</v>
      </c>
      <c r="AU30" s="762">
        <f xml:space="preserve">
IF(
SUM(SUMIF(防護具!$Y$13:$Y$29,AU$17&amp;$C28,防護具!$Q$13:$Q$29),AT30)-VLOOKUP($C28,$C$3:$D$15,2,FALSE)*AT$20&lt;0,0,
SUM(SUMIF(防護具!$Y$13:$Y$29,AU$17&amp;$C28,防護具!$Q$13:$Q$29),AT30)-VLOOKUP($C28,$C$3:$D$15,2,FALSE)*AT$20)</f>
        <v>0</v>
      </c>
      <c r="AV30" s="762">
        <f xml:space="preserve">
IF(
SUM(SUMIF(防護具!$Y$13:$Y$29,AV$17&amp;$C28,防護具!$Q$13:$Q$29),AU30)-VLOOKUP($C28,$C$3:$D$15,2,FALSE)*AU$20&lt;0,0,
SUM(SUMIF(防護具!$Y$13:$Y$29,AV$17&amp;$C28,防護具!$Q$13:$Q$29),AU30)-VLOOKUP($C28,$C$3:$D$15,2,FALSE)*AU$20)</f>
        <v>0</v>
      </c>
      <c r="AW30" s="762">
        <f xml:space="preserve">
IF(
SUM(SUMIF(防護具!$Y$13:$Y$29,AW$17&amp;$C28,防護具!$Q$13:$Q$29),AV30)-VLOOKUP($C28,$C$3:$D$15,2,FALSE)*AV$20&lt;0,0,
SUM(SUMIF(防護具!$Y$13:$Y$29,AW$17&amp;$C28,防護具!$Q$13:$Q$29),AV30)-VLOOKUP($C28,$C$3:$D$15,2,FALSE)*AV$20)</f>
        <v>0</v>
      </c>
      <c r="AX30" s="762">
        <f xml:space="preserve">
IF(
SUM(SUMIF(防護具!$Y$13:$Y$29,AX$17&amp;$C28,防護具!$Q$13:$Q$29),AW30)-VLOOKUP($C28,$C$3:$D$15,2,FALSE)*AW$20&lt;0,0,
SUM(SUMIF(防護具!$Y$13:$Y$29,AX$17&amp;$C28,防護具!$Q$13:$Q$29),AW30)-VLOOKUP($C28,$C$3:$D$15,2,FALSE)*AW$20)</f>
        <v>0</v>
      </c>
      <c r="AY30" s="762">
        <f xml:space="preserve">
IF(
SUM(SUMIF(防護具!$Y$13:$Y$29,AY$17&amp;$C28,防護具!$Q$13:$Q$29),AX30)-VLOOKUP($C28,$C$3:$D$15,2,FALSE)*AX$20&lt;0,0,
SUM(SUMIF(防護具!$Y$13:$Y$29,AY$17&amp;$C28,防護具!$Q$13:$Q$29),AX30)-VLOOKUP($C28,$C$3:$D$15,2,FALSE)*AX$20)</f>
        <v>0</v>
      </c>
      <c r="AZ30" s="762">
        <f xml:space="preserve">
IF(
SUM(SUMIF(防護具!$Y$13:$Y$29,AZ$17&amp;$C28,防護具!$Q$13:$Q$29),AY30)-VLOOKUP($C28,$C$3:$D$15,2,FALSE)*AY$20&lt;0,0,
SUM(SUMIF(防護具!$Y$13:$Y$29,AZ$17&amp;$C28,防護具!$Q$13:$Q$29),AY30)-VLOOKUP($C28,$C$3:$D$15,2,FALSE)*AY$20)</f>
        <v>0</v>
      </c>
      <c r="BA30" s="762">
        <f xml:space="preserve">
IF(
SUM(SUMIF(防護具!$Y$13:$Y$29,BA$17&amp;$C28,防護具!$Q$13:$Q$29),AZ30)-VLOOKUP($C28,$C$3:$D$15,2,FALSE)*AZ$20&lt;0,0,
SUM(SUMIF(防護具!$Y$13:$Y$29,BA$17&amp;$C28,防護具!$Q$13:$Q$29),AZ30)-VLOOKUP($C28,$C$3:$D$15,2,FALSE)*AZ$20)</f>
        <v>0</v>
      </c>
      <c r="BB30" s="762">
        <f xml:space="preserve">
IF(
SUM(SUMIF(防護具!$Y$13:$Y$29,BB$17&amp;$C28,防護具!$Q$13:$Q$29),BA30)-VLOOKUP($C28,$C$3:$D$15,2,FALSE)*BA$20&lt;0,0,
SUM(SUMIF(防護具!$Y$13:$Y$29,BB$17&amp;$C28,防護具!$Q$13:$Q$29),BA30)-VLOOKUP($C28,$C$3:$D$15,2,FALSE)*BA$20)</f>
        <v>0</v>
      </c>
      <c r="BC30" s="762">
        <f xml:space="preserve">
IF(
SUM(SUMIF(防護具!$Y$13:$Y$29,BC$17&amp;$C28,防護具!$Q$13:$Q$29),BB30)-VLOOKUP($C28,$C$3:$D$15,2,FALSE)*BB$20&lt;0,0,
SUM(SUMIF(防護具!$Y$13:$Y$29,BC$17&amp;$C28,防護具!$Q$13:$Q$29),BB30)-VLOOKUP($C28,$C$3:$D$15,2,FALSE)*BB$20)</f>
        <v>0</v>
      </c>
      <c r="BD30" s="762">
        <f xml:space="preserve">
IF(
SUM(SUMIF(防護具!$Y$13:$Y$29,BD$17&amp;$C28,防護具!$Q$13:$Q$29),BC30)-VLOOKUP($C28,$C$3:$D$15,2,FALSE)*BC$20&lt;0,0,
SUM(SUMIF(防護具!$Y$13:$Y$29,BD$17&amp;$C28,防護具!$Q$13:$Q$29),BC30)-VLOOKUP($C28,$C$3:$D$15,2,FALSE)*BC$20)</f>
        <v>0</v>
      </c>
      <c r="BE30" s="762">
        <f xml:space="preserve">
IF(
SUM(SUMIF(防護具!$Y$13:$Y$29,BE$17&amp;$C28,防護具!$Q$13:$Q$29),BD30)-VLOOKUP($C28,$C$3:$D$15,2,FALSE)*BD$20&lt;0,0,
SUM(SUMIF(防護具!$Y$13:$Y$29,BE$17&amp;$C28,防護具!$Q$13:$Q$29),BD30)-VLOOKUP($C28,$C$3:$D$15,2,FALSE)*BD$20)</f>
        <v>0</v>
      </c>
      <c r="BF30" s="762">
        <f xml:space="preserve">
IF(
SUM(SUMIF(防護具!$Y$13:$Y$29,BF$17&amp;$C28,防護具!$Q$13:$Q$29),BE30)-VLOOKUP($C28,$C$3:$D$15,2,FALSE)*BE$20&lt;0,0,
SUM(SUMIF(防護具!$Y$13:$Y$29,BF$17&amp;$C28,防護具!$Q$13:$Q$29),BE30)-VLOOKUP($C28,$C$3:$D$15,2,FALSE)*BE$20)</f>
        <v>0</v>
      </c>
      <c r="BG30" s="762">
        <f xml:space="preserve">
IF(
SUM(SUMIF(防護具!$Y$13:$Y$29,BG$17&amp;$C28,防護具!$Q$13:$Q$29),BF30)-VLOOKUP($C28,$C$3:$D$15,2,FALSE)*BF$20&lt;0,0,
SUM(SUMIF(防護具!$Y$13:$Y$29,BG$17&amp;$C28,防護具!$Q$13:$Q$29),BF30)-VLOOKUP($C28,$C$3:$D$15,2,FALSE)*BF$20)</f>
        <v>0</v>
      </c>
      <c r="BH30" s="762">
        <f xml:space="preserve">
IF(
SUM(SUMIF(防護具!$Y$13:$Y$29,BH$17&amp;$C28,防護具!$Q$13:$Q$29),BG30)-VLOOKUP($C28,$C$3:$D$15,2,FALSE)*BG$20&lt;0,0,
SUM(SUMIF(防護具!$Y$13:$Y$29,BH$17&amp;$C28,防護具!$Q$13:$Q$29),BG30)-VLOOKUP($C28,$C$3:$D$15,2,FALSE)*BG$20)</f>
        <v>0</v>
      </c>
      <c r="BI30" s="762">
        <f xml:space="preserve">
IF(
SUM(SUMIF(防護具!$Y$13:$Y$29,BI$17&amp;$C28,防護具!$Q$13:$Q$29),BH30)-VLOOKUP($C28,$C$3:$D$15,2,FALSE)*BH$20&lt;0,0,
SUM(SUMIF(防護具!$Y$13:$Y$29,BI$17&amp;$C28,防護具!$Q$13:$Q$29),BH30)-VLOOKUP($C28,$C$3:$D$15,2,FALSE)*BH$20)</f>
        <v>0</v>
      </c>
      <c r="BJ30" s="762">
        <f xml:space="preserve">
IF(
SUM(SUMIF(防護具!$Y$13:$Y$29,BJ$17&amp;$C28,防護具!$Q$13:$Q$29),BI30)-VLOOKUP($C28,$C$3:$D$15,2,FALSE)*BI$20&lt;0,0,
SUM(SUMIF(防護具!$Y$13:$Y$29,BJ$17&amp;$C28,防護具!$Q$13:$Q$29),BI30)-VLOOKUP($C28,$C$3:$D$15,2,FALSE)*BI$20)</f>
        <v>0</v>
      </c>
      <c r="BK30" s="762">
        <f xml:space="preserve">
IF(
SUM(SUMIF(防護具!$Y$13:$Y$29,BK$17&amp;$C28,防護具!$Q$13:$Q$29),BJ30)-VLOOKUP($C28,$C$3:$D$15,2,FALSE)*BJ$20&lt;0,0,
SUM(SUMIF(防護具!$Y$13:$Y$29,BK$17&amp;$C28,防護具!$Q$13:$Q$29),BJ30)-VLOOKUP($C28,$C$3:$D$15,2,FALSE)*BJ$20)</f>
        <v>0</v>
      </c>
      <c r="BL30" s="762">
        <f xml:space="preserve">
IF(
SUM(SUMIF(防護具!$Y$13:$Y$29,BL$17&amp;$C28,防護具!$Q$13:$Q$29),BK30)-VLOOKUP($C28,$C$3:$D$15,2,FALSE)*BK$20&lt;0,0,
SUM(SUMIF(防護具!$Y$13:$Y$29,BL$17&amp;$C28,防護具!$Q$13:$Q$29),BK30)-VLOOKUP($C28,$C$3:$D$15,2,FALSE)*BK$20)</f>
        <v>0</v>
      </c>
      <c r="BM30" s="762">
        <f xml:space="preserve">
IF(
SUM(SUMIF(防護具!$Y$13:$Y$29,BM$17&amp;$C28,防護具!$Q$13:$Q$29),BL30)-VLOOKUP($C28,$C$3:$D$15,2,FALSE)*BL$20&lt;0,0,
SUM(SUMIF(防護具!$Y$13:$Y$29,BM$17&amp;$C28,防護具!$Q$13:$Q$29),BL30)-VLOOKUP($C28,$C$3:$D$15,2,FALSE)*BL$20)</f>
        <v>0</v>
      </c>
      <c r="BN30" s="762">
        <f xml:space="preserve">
IF(
SUM(SUMIF(防護具!$Y$13:$Y$29,BN$17&amp;$C28,防護具!$Q$13:$Q$29),BM30)-VLOOKUP($C28,$C$3:$D$15,2,FALSE)*BM$20&lt;0,0,
SUM(SUMIF(防護具!$Y$13:$Y$29,BN$17&amp;$C28,防護具!$Q$13:$Q$29),BM30)-VLOOKUP($C28,$C$3:$D$15,2,FALSE)*BM$20)</f>
        <v>0</v>
      </c>
      <c r="BO30" s="762">
        <f xml:space="preserve">
IF(
SUM(SUMIF(防護具!$Y$13:$Y$29,BO$17&amp;$C28,防護具!$Q$13:$Q$29),BN30)-VLOOKUP($C28,$C$3:$D$15,2,FALSE)*BN$20&lt;0,0,
SUM(SUMIF(防護具!$Y$13:$Y$29,BO$17&amp;$C28,防護具!$Q$13:$Q$29),BN30)-VLOOKUP($C28,$C$3:$D$15,2,FALSE)*BN$20)</f>
        <v>0</v>
      </c>
      <c r="BP30" s="762">
        <f xml:space="preserve">
IF(
SUM(SUMIF(防護具!$Y$13:$Y$29,BP$17&amp;$C28,防護具!$Q$13:$Q$29),BO30)-VLOOKUP($C28,$C$3:$D$15,2,FALSE)*BO$20&lt;0,0,
SUM(SUMIF(防護具!$Y$13:$Y$29,BP$17&amp;$C28,防護具!$Q$13:$Q$29),BO30)-VLOOKUP($C28,$C$3:$D$15,2,FALSE)*BO$20)</f>
        <v>0</v>
      </c>
      <c r="BQ30" s="762">
        <f xml:space="preserve">
IF(
SUM(SUMIF(防護具!$Y$13:$Y$29,BQ$17&amp;$C28,防護具!$Q$13:$Q$29),BP30)-VLOOKUP($C28,$C$3:$D$15,2,FALSE)*BP$20&lt;0,0,
SUM(SUMIF(防護具!$Y$13:$Y$29,BQ$17&amp;$C28,防護具!$Q$13:$Q$29),BP30)-VLOOKUP($C28,$C$3:$D$15,2,FALSE)*BP$20)</f>
        <v>0</v>
      </c>
      <c r="BR30" s="762">
        <f xml:space="preserve">
IF(
SUM(SUMIF(防護具!$Y$13:$Y$29,BR$17&amp;$C28,防護具!$Q$13:$Q$29),BQ30)-VLOOKUP($C28,$C$3:$D$15,2,FALSE)*BQ$20&lt;0,0,
SUM(SUMIF(防護具!$Y$13:$Y$29,BR$17&amp;$C28,防護具!$Q$13:$Q$29),BQ30)-VLOOKUP($C28,$C$3:$D$15,2,FALSE)*BQ$20)</f>
        <v>0</v>
      </c>
      <c r="BS30" s="762">
        <f xml:space="preserve">
IF(
SUM(SUMIF(防護具!$Y$13:$Y$29,BS$17&amp;$C28,防護具!$Q$13:$Q$29),BR30)-VLOOKUP($C28,$C$3:$D$15,2,FALSE)*BR$20&lt;0,0,
SUM(SUMIF(防護具!$Y$13:$Y$29,BS$17&amp;$C28,防護具!$Q$13:$Q$29),BR30)-VLOOKUP($C28,$C$3:$D$15,2,FALSE)*BR$20)</f>
        <v>0</v>
      </c>
      <c r="BT30" s="762">
        <f xml:space="preserve">
IF(
SUM(SUMIF(防護具!$Y$13:$Y$29,BT$17&amp;$C28,防護具!$Q$13:$Q$29),BS30)-VLOOKUP($C28,$C$3:$D$15,2,FALSE)*BS$20&lt;0,0,
SUM(SUMIF(防護具!$Y$13:$Y$29,BT$17&amp;$C28,防護具!$Q$13:$Q$29),BS30)-VLOOKUP($C28,$C$3:$D$15,2,FALSE)*BS$20)</f>
        <v>0</v>
      </c>
      <c r="BU30" s="762">
        <f xml:space="preserve">
IF(
SUM(SUMIF(防護具!$Y$13:$Y$29,BU$17&amp;$C28,防護具!$Q$13:$Q$29),BT30)-VLOOKUP($C28,$C$3:$D$15,2,FALSE)*BT$20&lt;0,0,
SUM(SUMIF(防護具!$Y$13:$Y$29,BU$17&amp;$C28,防護具!$Q$13:$Q$29),BT30)-VLOOKUP($C28,$C$3:$D$15,2,FALSE)*BT$20)</f>
        <v>0</v>
      </c>
      <c r="BV30" s="762">
        <f xml:space="preserve">
IF(
SUM(SUMIF(防護具!$Y$13:$Y$29,BV$17&amp;$C28,防護具!$Q$13:$Q$29),BU30)-VLOOKUP($C28,$C$3:$D$15,2,FALSE)*BU$20&lt;0,0,
SUM(SUMIF(防護具!$Y$13:$Y$29,BV$17&amp;$C28,防護具!$Q$13:$Q$29),BU30)-VLOOKUP($C28,$C$3:$D$15,2,FALSE)*BU$20)</f>
        <v>0</v>
      </c>
      <c r="BW30" s="762">
        <f xml:space="preserve">
IF(
SUM(SUMIF(防護具!$Y$13:$Y$29,BW$17&amp;$C28,防護具!$Q$13:$Q$29),BV30)-VLOOKUP($C28,$C$3:$D$15,2,FALSE)*BV$20&lt;0,0,
SUM(SUMIF(防護具!$Y$13:$Y$29,BW$17&amp;$C28,防護具!$Q$13:$Q$29),BV30)-VLOOKUP($C28,$C$3:$D$15,2,FALSE)*BV$20)</f>
        <v>0</v>
      </c>
      <c r="BX30" s="762">
        <f xml:space="preserve">
IF(
SUM(SUMIF(防護具!$Y$13:$Y$29,BX$17&amp;$C28,防護具!$Q$13:$Q$29),BW30)-VLOOKUP($C28,$C$3:$D$15,2,FALSE)*BW$20&lt;0,0,
SUM(SUMIF(防護具!$Y$13:$Y$29,BX$17&amp;$C28,防護具!$Q$13:$Q$29),BW30)-VLOOKUP($C28,$C$3:$D$15,2,FALSE)*BW$20)</f>
        <v>0</v>
      </c>
      <c r="BY30" s="762">
        <f xml:space="preserve">
IF(
SUM(SUMIF(防護具!$Y$13:$Y$29,BY$17&amp;$C28,防護具!$Q$13:$Q$29),BX30)-VLOOKUP($C28,$C$3:$D$15,2,FALSE)*BX$20&lt;0,0,
SUM(SUMIF(防護具!$Y$13:$Y$29,BY$17&amp;$C28,防護具!$Q$13:$Q$29),BX30)-VLOOKUP($C28,$C$3:$D$15,2,FALSE)*BX$20)</f>
        <v>0</v>
      </c>
      <c r="BZ30" s="762">
        <f xml:space="preserve">
IF(
SUM(SUMIF(防護具!$Y$13:$Y$29,BZ$17&amp;$C28,防護具!$Q$13:$Q$29),BY30)-VLOOKUP($C28,$C$3:$D$15,2,FALSE)*BY$20&lt;0,0,
SUM(SUMIF(防護具!$Y$13:$Y$29,BZ$17&amp;$C28,防護具!$Q$13:$Q$29),BY30)-VLOOKUP($C28,$C$3:$D$15,2,FALSE)*BY$20)</f>
        <v>0</v>
      </c>
      <c r="CA30" s="762">
        <f xml:space="preserve">
IF(
SUM(SUMIF(防護具!$Y$13:$Y$29,CA$17&amp;$C28,防護具!$Q$13:$Q$29),BZ30)-VLOOKUP($C28,$C$3:$D$15,2,FALSE)*BZ$20&lt;0,0,
SUM(SUMIF(防護具!$Y$13:$Y$29,CA$17&amp;$C28,防護具!$Q$13:$Q$29),BZ30)-VLOOKUP($C28,$C$3:$D$15,2,FALSE)*BZ$20)</f>
        <v>0</v>
      </c>
      <c r="CB30" s="762">
        <f xml:space="preserve">
IF(
SUM(SUMIF(防護具!$Y$13:$Y$29,CB$17&amp;$C28,防護具!$Q$13:$Q$29),CA30)-VLOOKUP($C28,$C$3:$D$15,2,FALSE)*CA$20&lt;0,0,
SUM(SUMIF(防護具!$Y$13:$Y$29,CB$17&amp;$C28,防護具!$Q$13:$Q$29),CA30)-VLOOKUP($C28,$C$3:$D$15,2,FALSE)*CA$20)</f>
        <v>0</v>
      </c>
      <c r="CC30" s="762">
        <f xml:space="preserve">
IF(
SUM(SUMIF(防護具!$Y$13:$Y$29,CC$17&amp;$C28,防護具!$Q$13:$Q$29),CB30)-VLOOKUP($C28,$C$3:$D$15,2,FALSE)*CB$20&lt;0,0,
SUM(SUMIF(防護具!$Y$13:$Y$29,CC$17&amp;$C28,防護具!$Q$13:$Q$29),CB30)-VLOOKUP($C28,$C$3:$D$15,2,FALSE)*CB$20)</f>
        <v>0</v>
      </c>
      <c r="CD30" s="762">
        <f xml:space="preserve">
IF(
SUM(SUMIF(防護具!$Y$13:$Y$29,CD$17&amp;$C28,防護具!$Q$13:$Q$29),CC30)-VLOOKUP($C28,$C$3:$D$15,2,FALSE)*CC$20&lt;0,0,
SUM(SUMIF(防護具!$Y$13:$Y$29,CD$17&amp;$C28,防護具!$Q$13:$Q$29),CC30)-VLOOKUP($C28,$C$3:$D$15,2,FALSE)*CC$20)</f>
        <v>0</v>
      </c>
      <c r="CE30" s="762">
        <f xml:space="preserve">
IF(
SUM(SUMIF(防護具!$Y$13:$Y$29,CE$17&amp;$C28,防護具!$Q$13:$Q$29),CD30)-VLOOKUP($C28,$C$3:$D$15,2,FALSE)*CD$20&lt;0,0,
SUM(SUMIF(防護具!$Y$13:$Y$29,CE$17&amp;$C28,防護具!$Q$13:$Q$29),CD30)-VLOOKUP($C28,$C$3:$D$15,2,FALSE)*CD$20)</f>
        <v>0</v>
      </c>
      <c r="CF30" s="762">
        <f xml:space="preserve">
IF(
SUM(SUMIF(防護具!$Y$13:$Y$29,CF$17&amp;$C28,防護具!$Q$13:$Q$29),CE30)-VLOOKUP($C28,$C$3:$D$15,2,FALSE)*CE$20&lt;0,0,
SUM(SUMIF(防護具!$Y$13:$Y$29,CF$17&amp;$C28,防護具!$Q$13:$Q$29),CE30)-VLOOKUP($C28,$C$3:$D$15,2,FALSE)*CE$20)</f>
        <v>0</v>
      </c>
      <c r="CG30" s="762">
        <f xml:space="preserve">
IF(
SUM(SUMIF(防護具!$Y$13:$Y$29,CG$17&amp;$C28,防護具!$Q$13:$Q$29),CF30)-VLOOKUP($C28,$C$3:$D$15,2,FALSE)*CF$20&lt;0,0,
SUM(SUMIF(防護具!$Y$13:$Y$29,CG$17&amp;$C28,防護具!$Q$13:$Q$29),CF30)-VLOOKUP($C28,$C$3:$D$15,2,FALSE)*CF$20)</f>
        <v>0</v>
      </c>
      <c r="CH30" s="762">
        <f xml:space="preserve">
IF(
SUM(SUMIF(防護具!$Y$13:$Y$29,CH$17&amp;$C28,防護具!$Q$13:$Q$29),CG30)-VLOOKUP($C28,$C$3:$D$15,2,FALSE)*CG$20&lt;0,0,
SUM(SUMIF(防護具!$Y$13:$Y$29,CH$17&amp;$C28,防護具!$Q$13:$Q$29),CG30)-VLOOKUP($C28,$C$3:$D$15,2,FALSE)*CG$20)</f>
        <v>0</v>
      </c>
      <c r="CI30" s="762">
        <f xml:space="preserve">
IF(
SUM(SUMIF(防護具!$Y$13:$Y$29,CI$17&amp;$C28,防護具!$Q$13:$Q$29),CH30)-VLOOKUP($C28,$C$3:$D$15,2,FALSE)*CH$20&lt;0,0,
SUM(SUMIF(防護具!$Y$13:$Y$29,CI$17&amp;$C28,防護具!$Q$13:$Q$29),CH30)-VLOOKUP($C28,$C$3:$D$15,2,FALSE)*CH$20)</f>
        <v>0</v>
      </c>
      <c r="CJ30" s="762">
        <f xml:space="preserve">
IF(
SUM(SUMIF(防護具!$Y$13:$Y$29,CJ$17&amp;$C28,防護具!$Q$13:$Q$29),CI30)-VLOOKUP($C28,$C$3:$D$15,2,FALSE)*CI$20&lt;0,0,
SUM(SUMIF(防護具!$Y$13:$Y$29,CJ$17&amp;$C28,防護具!$Q$13:$Q$29),CI30)-VLOOKUP($C28,$C$3:$D$15,2,FALSE)*CI$20)</f>
        <v>0</v>
      </c>
      <c r="CK30" s="762">
        <f xml:space="preserve">
IF(
SUM(SUMIF(防護具!$Y$13:$Y$29,CK$17&amp;$C28,防護具!$Q$13:$Q$29),CJ30)-VLOOKUP($C28,$C$3:$D$15,2,FALSE)*CJ$20&lt;0,0,
SUM(SUMIF(防護具!$Y$13:$Y$29,CK$17&amp;$C28,防護具!$Q$13:$Q$29),CJ30)-VLOOKUP($C28,$C$3:$D$15,2,FALSE)*CJ$20)</f>
        <v>0</v>
      </c>
      <c r="CL30" s="762">
        <f xml:space="preserve">
IF(
SUM(SUMIF(防護具!$Y$13:$Y$29,CL$17&amp;$C28,防護具!$Q$13:$Q$29),CK30)-VLOOKUP($C28,$C$3:$D$15,2,FALSE)*CK$20&lt;0,0,
SUM(SUMIF(防護具!$Y$13:$Y$29,CL$17&amp;$C28,防護具!$Q$13:$Q$29),CK30)-VLOOKUP($C28,$C$3:$D$15,2,FALSE)*CK$20)</f>
        <v>0</v>
      </c>
      <c r="CM30" s="762">
        <f xml:space="preserve">
IF(
SUM(SUMIF(防護具!$Y$13:$Y$29,CM$17&amp;$C28,防護具!$Q$13:$Q$29),CL30)-VLOOKUP($C28,$C$3:$D$15,2,FALSE)*CL$20&lt;0,0,
SUM(SUMIF(防護具!$Y$13:$Y$29,CM$17&amp;$C28,防護具!$Q$13:$Q$29),CL30)-VLOOKUP($C28,$C$3:$D$15,2,FALSE)*CL$20)</f>
        <v>0</v>
      </c>
      <c r="CN30" s="762">
        <f xml:space="preserve">
IF(
SUM(SUMIF(防護具!$Y$13:$Y$29,CN$17&amp;$C28,防護具!$Q$13:$Q$29),CM30)-VLOOKUP($C28,$C$3:$D$15,2,FALSE)*CM$20&lt;0,0,
SUM(SUMIF(防護具!$Y$13:$Y$29,CN$17&amp;$C28,防護具!$Q$13:$Q$29),CM30)-VLOOKUP($C28,$C$3:$D$15,2,FALSE)*CM$20)</f>
        <v>0</v>
      </c>
      <c r="CO30" s="762">
        <f xml:space="preserve">
IF(
SUM(SUMIF(防護具!$Y$13:$Y$29,CO$17&amp;$C28,防護具!$Q$13:$Q$29),CN30)-VLOOKUP($C28,$C$3:$D$15,2,FALSE)*CN$20&lt;0,0,
SUM(SUMIF(防護具!$Y$13:$Y$29,CO$17&amp;$C28,防護具!$Q$13:$Q$29),CN30)-VLOOKUP($C28,$C$3:$D$15,2,FALSE)*CN$20)</f>
        <v>0</v>
      </c>
      <c r="CP30" s="762">
        <f xml:space="preserve">
IF(
SUM(SUMIF(防護具!$Y$13:$Y$29,CP$17&amp;$C28,防護具!$Q$13:$Q$29),CO30)-VLOOKUP($C28,$C$3:$D$15,2,FALSE)*CO$20&lt;0,0,
SUM(SUMIF(防護具!$Y$13:$Y$29,CP$17&amp;$C28,防護具!$Q$13:$Q$29),CO30)-VLOOKUP($C28,$C$3:$D$15,2,FALSE)*CO$20)</f>
        <v>0</v>
      </c>
      <c r="CQ30" s="762">
        <f xml:space="preserve">
IF(
SUM(SUMIF(防護具!$Y$13:$Y$29,CQ$17&amp;$C28,防護具!$Q$13:$Q$29),CP30)-VLOOKUP($C28,$C$3:$D$15,2,FALSE)*CP$20&lt;0,0,
SUM(SUMIF(防護具!$Y$13:$Y$29,CQ$17&amp;$C28,防護具!$Q$13:$Q$29),CP30)-VLOOKUP($C28,$C$3:$D$15,2,FALSE)*CP$20)</f>
        <v>0</v>
      </c>
      <c r="CR30" s="762">
        <f xml:space="preserve">
IF(
SUM(SUMIF(防護具!$Y$13:$Y$29,CR$17&amp;$C28,防護具!$Q$13:$Q$29),CQ30)-VLOOKUP($C28,$C$3:$D$15,2,FALSE)*CQ$20&lt;0,0,
SUM(SUMIF(防護具!$Y$13:$Y$29,CR$17&amp;$C28,防護具!$Q$13:$Q$29),CQ30)-VLOOKUP($C28,$C$3:$D$15,2,FALSE)*CQ$20)</f>
        <v>0</v>
      </c>
      <c r="CS30" s="762">
        <f xml:space="preserve">
IF(
SUM(SUMIF(防護具!$Y$13:$Y$29,CS$17&amp;$C28,防護具!$Q$13:$Q$29),CR30)-VLOOKUP($C28,$C$3:$D$15,2,FALSE)*CR$20&lt;0,0,
SUM(SUMIF(防護具!$Y$13:$Y$29,CS$17&amp;$C28,防護具!$Q$13:$Q$29),CR30)-VLOOKUP($C28,$C$3:$D$15,2,FALSE)*CR$20)</f>
        <v>0</v>
      </c>
      <c r="CT30" s="762">
        <f xml:space="preserve">
IF(
SUM(SUMIF(防護具!$Y$13:$Y$29,CT$17&amp;$C28,防護具!$Q$13:$Q$29),CS30)-VLOOKUP($C28,$C$3:$D$15,2,FALSE)*CS$20&lt;0,0,
SUM(SUMIF(防護具!$Y$13:$Y$29,CT$17&amp;$C28,防護具!$Q$13:$Q$29),CS30)-VLOOKUP($C28,$C$3:$D$15,2,FALSE)*CS$20)</f>
        <v>0</v>
      </c>
      <c r="CU30" s="762">
        <f xml:space="preserve">
IF(
SUM(SUMIF(防護具!$Y$13:$Y$29,CU$17&amp;$C28,防護具!$Q$13:$Q$29),CT30)-VLOOKUP($C28,$C$3:$D$15,2,FALSE)*CT$20&lt;0,0,
SUM(SUMIF(防護具!$Y$13:$Y$29,CU$17&amp;$C28,防護具!$Q$13:$Q$29),CT30)-VLOOKUP($C28,$C$3:$D$15,2,FALSE)*CT$20)</f>
        <v>0</v>
      </c>
      <c r="CV30" s="762">
        <f xml:space="preserve">
IF(
SUM(SUMIF(防護具!$Y$13:$Y$29,CV$17&amp;$C28,防護具!$Q$13:$Q$29),CU30)-VLOOKUP($C28,$C$3:$D$15,2,FALSE)*CU$20&lt;0,0,
SUM(SUMIF(防護具!$Y$13:$Y$29,CV$17&amp;$C28,防護具!$Q$13:$Q$29),CU30)-VLOOKUP($C28,$C$3:$D$15,2,FALSE)*CU$20)</f>
        <v>0</v>
      </c>
      <c r="CW30" s="762">
        <f xml:space="preserve">
IF(
SUM(SUMIF(防護具!$Y$13:$Y$29,CW$17&amp;$C28,防護具!$Q$13:$Q$29),CV30)-VLOOKUP($C28,$C$3:$D$15,2,FALSE)*CV$20&lt;0,0,
SUM(SUMIF(防護具!$Y$13:$Y$29,CW$17&amp;$C28,防護具!$Q$13:$Q$29),CV30)-VLOOKUP($C28,$C$3:$D$15,2,FALSE)*CV$20)</f>
        <v>0</v>
      </c>
      <c r="CX30" s="762">
        <f xml:space="preserve">
IF(
SUM(SUMIF(防護具!$Y$13:$Y$29,CX$17&amp;$C28,防護具!$Q$13:$Q$29),CW30)-VLOOKUP($C28,$C$3:$D$15,2,FALSE)*CW$20&lt;0,0,
SUM(SUMIF(防護具!$Y$13:$Y$29,CX$17&amp;$C28,防護具!$Q$13:$Q$29),CW30)-VLOOKUP($C28,$C$3:$D$15,2,FALSE)*CW$20)</f>
        <v>0</v>
      </c>
      <c r="CY30" s="762">
        <f xml:space="preserve">
IF(
SUM(SUMIF(防護具!$Y$13:$Y$29,CY$17&amp;$C28,防護具!$Q$13:$Q$29),CX30)-VLOOKUP($C28,$C$3:$D$15,2,FALSE)*CX$20&lt;0,0,
SUM(SUMIF(防護具!$Y$13:$Y$29,CY$17&amp;$C28,防護具!$Q$13:$Q$29),CX30)-VLOOKUP($C28,$C$3:$D$15,2,FALSE)*CX$20)</f>
        <v>0</v>
      </c>
      <c r="CZ30" s="762">
        <f xml:space="preserve">
IF(
SUM(SUMIF(防護具!$Y$13:$Y$29,CZ$17&amp;$C28,防護具!$Q$13:$Q$29),CY30)-VLOOKUP($C28,$C$3:$D$15,2,FALSE)*CY$20&lt;0,0,
SUM(SUMIF(防護具!$Y$13:$Y$29,CZ$17&amp;$C28,防護具!$Q$13:$Q$29),CY30)-VLOOKUP($C28,$C$3:$D$15,2,FALSE)*CY$20)</f>
        <v>0</v>
      </c>
      <c r="DA30" s="762">
        <f xml:space="preserve">
IF(
SUM(SUMIF(防護具!$Y$13:$Y$29,DA$17&amp;$C28,防護具!$Q$13:$Q$29),CZ30)-VLOOKUP($C28,$C$3:$D$15,2,FALSE)*CZ$20&lt;0,0,
SUM(SUMIF(防護具!$Y$13:$Y$29,DA$17&amp;$C28,防護具!$Q$13:$Q$29),CZ30)-VLOOKUP($C28,$C$3:$D$15,2,FALSE)*CZ$20)</f>
        <v>0</v>
      </c>
      <c r="DB30" s="762">
        <f xml:space="preserve">
IF(
SUM(SUMIF(防護具!$Y$13:$Y$29,DB$17&amp;$C28,防護具!$Q$13:$Q$29),DA30)-VLOOKUP($C28,$C$3:$D$15,2,FALSE)*DA$20&lt;0,0,
SUM(SUMIF(防護具!$Y$13:$Y$29,DB$17&amp;$C28,防護具!$Q$13:$Q$29),DA30)-VLOOKUP($C28,$C$3:$D$15,2,FALSE)*DA$20)</f>
        <v>0</v>
      </c>
      <c r="DC30" s="762">
        <f xml:space="preserve">
IF(
SUM(SUMIF(防護具!$Y$13:$Y$29,DC$17&amp;$C28,防護具!$Q$13:$Q$29),DB30)-VLOOKUP($C28,$C$3:$D$15,2,FALSE)*DB$20&lt;0,0,
SUM(SUMIF(防護具!$Y$13:$Y$29,DC$17&amp;$C28,防護具!$Q$13:$Q$29),DB30)-VLOOKUP($C28,$C$3:$D$15,2,FALSE)*DB$20)</f>
        <v>0</v>
      </c>
      <c r="DD30" s="762">
        <f xml:space="preserve">
IF(
SUM(SUMIF(防護具!$Y$13:$Y$29,DD$17&amp;$C28,防護具!$Q$13:$Q$29),DC30)-VLOOKUP($C28,$C$3:$D$15,2,FALSE)*DC$20&lt;0,0,
SUM(SUMIF(防護具!$Y$13:$Y$29,DD$17&amp;$C28,防護具!$Q$13:$Q$29),DC30)-VLOOKUP($C28,$C$3:$D$15,2,FALSE)*DC$20)</f>
        <v>0</v>
      </c>
      <c r="DE30" s="762">
        <f xml:space="preserve">
IF(
SUM(SUMIF(防護具!$Y$13:$Y$29,DE$17&amp;$C28,防護具!$Q$13:$Q$29),DD30)-VLOOKUP($C28,$C$3:$D$15,2,FALSE)*DD$20&lt;0,0,
SUM(SUMIF(防護具!$Y$13:$Y$29,DE$17&amp;$C28,防護具!$Q$13:$Q$29),DD30)-VLOOKUP($C28,$C$3:$D$15,2,FALSE)*DD$20)</f>
        <v>0</v>
      </c>
      <c r="DF30" s="762">
        <f xml:space="preserve">
IF(
SUM(SUMIF(防護具!$Y$13:$Y$29,DF$17&amp;$C28,防護具!$Q$13:$Q$29),DE30)-VLOOKUP($C28,$C$3:$D$15,2,FALSE)*DE$20&lt;0,0,
SUM(SUMIF(防護具!$Y$13:$Y$29,DF$17&amp;$C28,防護具!$Q$13:$Q$29),DE30)-VLOOKUP($C28,$C$3:$D$15,2,FALSE)*DE$20)</f>
        <v>0</v>
      </c>
      <c r="DG30" s="762">
        <f xml:space="preserve">
IF(
SUM(SUMIF(防護具!$Y$13:$Y$29,DG$17&amp;$C28,防護具!$Q$13:$Q$29),DF30)-VLOOKUP($C28,$C$3:$D$15,2,FALSE)*DF$20&lt;0,0,
SUM(SUMIF(防護具!$Y$13:$Y$29,DG$17&amp;$C28,防護具!$Q$13:$Q$29),DF30)-VLOOKUP($C28,$C$3:$D$15,2,FALSE)*DF$20)</f>
        <v>0</v>
      </c>
      <c r="DH30" s="762">
        <f xml:space="preserve">
IF(
SUM(SUMIF(防護具!$Y$13:$Y$29,DH$17&amp;$C28,防護具!$Q$13:$Q$29),DG30)-VLOOKUP($C28,$C$3:$D$15,2,FALSE)*DG$20&lt;0,0,
SUM(SUMIF(防護具!$Y$13:$Y$29,DH$17&amp;$C28,防護具!$Q$13:$Q$29),DG30)-VLOOKUP($C28,$C$3:$D$15,2,FALSE)*DG$20)</f>
        <v>0</v>
      </c>
      <c r="DI30" s="762">
        <f xml:space="preserve">
IF(
SUM(SUMIF(防護具!$Y$13:$Y$29,DI$17&amp;$C28,防護具!$Q$13:$Q$29),DH30)-VLOOKUP($C28,$C$3:$D$15,2,FALSE)*DH$20&lt;0,0,
SUM(SUMIF(防護具!$Y$13:$Y$29,DI$17&amp;$C28,防護具!$Q$13:$Q$29),DH30)-VLOOKUP($C28,$C$3:$D$15,2,FALSE)*DH$20)</f>
        <v>0</v>
      </c>
      <c r="DJ30" s="762">
        <f xml:space="preserve">
IF(
SUM(SUMIF(防護具!$Y$13:$Y$29,DJ$17&amp;$C28,防護具!$Q$13:$Q$29),DI30)-VLOOKUP($C28,$C$3:$D$15,2,FALSE)*DI$20&lt;0,0,
SUM(SUMIF(防護具!$Y$13:$Y$29,DJ$17&amp;$C28,防護具!$Q$13:$Q$29),DI30)-VLOOKUP($C28,$C$3:$D$15,2,FALSE)*DI$20)</f>
        <v>0</v>
      </c>
      <c r="DK30" s="762">
        <f xml:space="preserve">
IF(
SUM(SUMIF(防護具!$Y$13:$Y$29,DK$17&amp;$C28,防護具!$Q$13:$Q$29),DJ30)-VLOOKUP($C28,$C$3:$D$15,2,FALSE)*DJ$20&lt;0,0,
SUM(SUMIF(防護具!$Y$13:$Y$29,DK$17&amp;$C28,防護具!$Q$13:$Q$29),DJ30)-VLOOKUP($C28,$C$3:$D$15,2,FALSE)*DJ$20)</f>
        <v>0</v>
      </c>
      <c r="DL30" s="762">
        <f xml:space="preserve">
IF(
SUM(SUMIF(防護具!$Y$13:$Y$29,DL$17&amp;$C28,防護具!$Q$13:$Q$29),DK30)-VLOOKUP($C28,$C$3:$D$15,2,FALSE)*DK$20&lt;0,0,
SUM(SUMIF(防護具!$Y$13:$Y$29,DL$17&amp;$C28,防護具!$Q$13:$Q$29),DK30)-VLOOKUP($C28,$C$3:$D$15,2,FALSE)*DK$20)</f>
        <v>0</v>
      </c>
      <c r="DM30" s="762">
        <f xml:space="preserve">
IF(
SUM(SUMIF(防護具!$Y$13:$Y$29,DM$17&amp;$C28,防護具!$Q$13:$Q$29),DL30)-VLOOKUP($C28,$C$3:$D$15,2,FALSE)*DL$20&lt;0,0,
SUM(SUMIF(防護具!$Y$13:$Y$29,DM$17&amp;$C28,防護具!$Q$13:$Q$29),DL30)-VLOOKUP($C28,$C$3:$D$15,2,FALSE)*DL$20)</f>
        <v>0</v>
      </c>
      <c r="DN30" s="762">
        <f xml:space="preserve">
IF(
SUM(SUMIF(防護具!$Y$13:$Y$29,DN$17&amp;$C28,防護具!$Q$13:$Q$29),DM30)-VLOOKUP($C28,$C$3:$D$15,2,FALSE)*DM$20&lt;0,0,
SUM(SUMIF(防護具!$Y$13:$Y$29,DN$17&amp;$C28,防護具!$Q$13:$Q$29),DM30)-VLOOKUP($C28,$C$3:$D$15,2,FALSE)*DM$20)</f>
        <v>0</v>
      </c>
      <c r="DO30" s="762">
        <f xml:space="preserve">
IF(
SUM(SUMIF(防護具!$Y$13:$Y$29,DO$17&amp;$C28,防護具!$Q$13:$Q$29),DN30)-VLOOKUP($C28,$C$3:$D$15,2,FALSE)*DN$20&lt;0,0,
SUM(SUMIF(防護具!$Y$13:$Y$29,DO$17&amp;$C28,防護具!$Q$13:$Q$29),DN30)-VLOOKUP($C28,$C$3:$D$15,2,FALSE)*DN$20)</f>
        <v>0</v>
      </c>
      <c r="DP30" s="762">
        <f xml:space="preserve">
IF(
SUM(SUMIF(防護具!$Y$13:$Y$29,DP$17&amp;$C28,防護具!$Q$13:$Q$29),DO30)-VLOOKUP($C28,$C$3:$D$15,2,FALSE)*DO$20&lt;0,0,
SUM(SUMIF(防護具!$Y$13:$Y$29,DP$17&amp;$C28,防護具!$Q$13:$Q$29),DO30)-VLOOKUP($C28,$C$3:$D$15,2,FALSE)*DO$20)</f>
        <v>0</v>
      </c>
      <c r="DQ30" s="762">
        <f xml:space="preserve">
IF(
SUM(SUMIF(防護具!$Y$13:$Y$29,DQ$17&amp;$C28,防護具!$Q$13:$Q$29),DP30)-VLOOKUP($C28,$C$3:$D$15,2,FALSE)*DP$20&lt;0,0,
SUM(SUMIF(防護具!$Y$13:$Y$29,DQ$17&amp;$C28,防護具!$Q$13:$Q$29),DP30)-VLOOKUP($C28,$C$3:$D$15,2,FALSE)*DP$20)</f>
        <v>0</v>
      </c>
      <c r="DR30" s="762">
        <f xml:space="preserve">
IF(
SUM(SUMIF(防護具!$Y$13:$Y$29,DR$17&amp;$C28,防護具!$Q$13:$Q$29),DQ30)-VLOOKUP($C28,$C$3:$D$15,2,FALSE)*DQ$20&lt;0,0,
SUM(SUMIF(防護具!$Y$13:$Y$29,DR$17&amp;$C28,防護具!$Q$13:$Q$29),DQ30)-VLOOKUP($C28,$C$3:$D$15,2,FALSE)*DQ$20)</f>
        <v>0</v>
      </c>
      <c r="DS30" s="762">
        <f xml:space="preserve">
IF(
SUM(SUMIF(防護具!$Y$13:$Y$29,DS$17&amp;$C28,防護具!$Q$13:$Q$29),DR30)-VLOOKUP($C28,$C$3:$D$15,2,FALSE)*DR$20&lt;0,0,
SUM(SUMIF(防護具!$Y$13:$Y$29,DS$17&amp;$C28,防護具!$Q$13:$Q$29),DR30)-VLOOKUP($C28,$C$3:$D$15,2,FALSE)*DR$20)</f>
        <v>0</v>
      </c>
      <c r="DT30" s="762">
        <f xml:space="preserve">
IF(
SUM(SUMIF(防護具!$Y$13:$Y$29,DT$17&amp;$C28,防護具!$Q$13:$Q$29),DS30)-VLOOKUP($C28,$C$3:$D$15,2,FALSE)*DS$20&lt;0,0,
SUM(SUMIF(防護具!$Y$13:$Y$29,DT$17&amp;$C28,防護具!$Q$13:$Q$29),DS30)-VLOOKUP($C28,$C$3:$D$15,2,FALSE)*DS$20)</f>
        <v>0</v>
      </c>
      <c r="DU30" s="762">
        <f xml:space="preserve">
IF(
SUM(SUMIF(防護具!$Y$13:$Y$29,DU$17&amp;$C28,防護具!$Q$13:$Q$29),DT30)-VLOOKUP($C28,$C$3:$D$15,2,FALSE)*DT$20&lt;0,0,
SUM(SUMIF(防護具!$Y$13:$Y$29,DU$17&amp;$C28,防護具!$Q$13:$Q$29),DT30)-VLOOKUP($C28,$C$3:$D$15,2,FALSE)*DT$20)</f>
        <v>0</v>
      </c>
      <c r="DV30" s="762">
        <f xml:space="preserve">
IF(
SUM(SUMIF(防護具!$Y$13:$Y$29,DV$17&amp;$C28,防護具!$Q$13:$Q$29),DU30)-VLOOKUP($C28,$C$3:$D$15,2,FALSE)*DU$20&lt;0,0,
SUM(SUMIF(防護具!$Y$13:$Y$29,DV$17&amp;$C28,防護具!$Q$13:$Q$29),DU30)-VLOOKUP($C28,$C$3:$D$15,2,FALSE)*DU$20)</f>
        <v>0</v>
      </c>
      <c r="DW30" s="762">
        <f xml:space="preserve">
IF(
SUM(SUMIF(防護具!$Y$13:$Y$29,DW$17&amp;$C28,防護具!$Q$13:$Q$29),DV30)-VLOOKUP($C28,$C$3:$D$15,2,FALSE)*DV$20&lt;0,0,
SUM(SUMIF(防護具!$Y$13:$Y$29,DW$17&amp;$C28,防護具!$Q$13:$Q$29),DV30)-VLOOKUP($C28,$C$3:$D$15,2,FALSE)*DV$20)</f>
        <v>0</v>
      </c>
      <c r="DX30" s="762">
        <f xml:space="preserve">
IF(
SUM(SUMIF(防護具!$Y$13:$Y$29,DX$17&amp;$C28,防護具!$Q$13:$Q$29),DW30)-VLOOKUP($C28,$C$3:$D$15,2,FALSE)*DW$20&lt;0,0,
SUM(SUMIF(防護具!$Y$13:$Y$29,DX$17&amp;$C28,防護具!$Q$13:$Q$29),DW30)-VLOOKUP($C28,$C$3:$D$15,2,FALSE)*DW$20)</f>
        <v>0</v>
      </c>
      <c r="DY30" s="762">
        <f xml:space="preserve">
IF(
SUM(SUMIF(防護具!$Y$13:$Y$29,DY$17&amp;$C28,防護具!$Q$13:$Q$29),DX30)-VLOOKUP($C28,$C$3:$D$15,2,FALSE)*DX$20&lt;0,0,
SUM(SUMIF(防護具!$Y$13:$Y$29,DY$17&amp;$C28,防護具!$Q$13:$Q$29),DX30)-VLOOKUP($C28,$C$3:$D$15,2,FALSE)*DX$20)</f>
        <v>0</v>
      </c>
      <c r="DZ30" s="762">
        <f xml:space="preserve">
IF(
SUM(SUMIF(防護具!$Y$13:$Y$29,DZ$17&amp;$C28,防護具!$Q$13:$Q$29),DY30)-VLOOKUP($C28,$C$3:$D$15,2,FALSE)*DY$20&lt;0,0,
SUM(SUMIF(防護具!$Y$13:$Y$29,DZ$17&amp;$C28,防護具!$Q$13:$Q$29),DY30)-VLOOKUP($C28,$C$3:$D$15,2,FALSE)*DY$20)</f>
        <v>0</v>
      </c>
      <c r="EA30" s="762">
        <f xml:space="preserve">
IF(
SUM(SUMIF(防護具!$Y$13:$Y$29,EA$17&amp;$C28,防護具!$Q$13:$Q$29),DZ30)-VLOOKUP($C28,$C$3:$D$15,2,FALSE)*DZ$20&lt;0,0,
SUM(SUMIF(防護具!$Y$13:$Y$29,EA$17&amp;$C28,防護具!$Q$13:$Q$29),DZ30)-VLOOKUP($C28,$C$3:$D$15,2,FALSE)*DZ$20)</f>
        <v>0</v>
      </c>
      <c r="EB30" s="762">
        <f xml:space="preserve">
IF(
SUM(SUMIF(防護具!$Y$13:$Y$29,EB$17&amp;$C28,防護具!$Q$13:$Q$29),EA30)-VLOOKUP($C28,$C$3:$D$15,2,FALSE)*EA$20&lt;0,0,
SUM(SUMIF(防護具!$Y$13:$Y$29,EB$17&amp;$C28,防護具!$Q$13:$Q$29),EA30)-VLOOKUP($C28,$C$3:$D$15,2,FALSE)*EA$20)</f>
        <v>0</v>
      </c>
      <c r="EC30" s="762">
        <f xml:space="preserve">
IF(
SUM(SUMIF(防護具!$Y$13:$Y$29,EC$17&amp;$C28,防護具!$Q$13:$Q$29),EB30)-VLOOKUP($C28,$C$3:$D$15,2,FALSE)*EB$20&lt;0,0,
SUM(SUMIF(防護具!$Y$13:$Y$29,EC$17&amp;$C28,防護具!$Q$13:$Q$29),EB30)-VLOOKUP($C28,$C$3:$D$15,2,FALSE)*EB$20)</f>
        <v>0</v>
      </c>
      <c r="ED30" s="762">
        <f xml:space="preserve">
IF(
SUM(SUMIF(防護具!$Y$13:$Y$29,ED$17&amp;$C28,防護具!$Q$13:$Q$29),EC30)-VLOOKUP($C28,$C$3:$D$15,2,FALSE)*EC$20&lt;0,0,
SUM(SUMIF(防護具!$Y$13:$Y$29,ED$17&amp;$C28,防護具!$Q$13:$Q$29),EC30)-VLOOKUP($C28,$C$3:$D$15,2,FALSE)*EC$20)</f>
        <v>0</v>
      </c>
      <c r="EE30" s="762">
        <f xml:space="preserve">
IF(
SUM(SUMIF(防護具!$Y$13:$Y$29,EE$17&amp;$C28,防護具!$Q$13:$Q$29),ED30)-VLOOKUP($C28,$C$3:$D$15,2,FALSE)*ED$20&lt;0,0,
SUM(SUMIF(防護具!$Y$13:$Y$29,EE$17&amp;$C28,防護具!$Q$13:$Q$29),ED30)-VLOOKUP($C28,$C$3:$D$15,2,FALSE)*ED$20)</f>
        <v>0</v>
      </c>
      <c r="EF30" s="762">
        <f xml:space="preserve">
IF(
SUM(SUMIF(防護具!$Y$13:$Y$29,EF$17&amp;$C28,防護具!$Q$13:$Q$29),EE30)-VLOOKUP($C28,$C$3:$D$15,2,FALSE)*EE$20&lt;0,0,
SUM(SUMIF(防護具!$Y$13:$Y$29,EF$17&amp;$C28,防護具!$Q$13:$Q$29),EE30)-VLOOKUP($C28,$C$3:$D$15,2,FALSE)*EE$20)</f>
        <v>0</v>
      </c>
      <c r="EG30" s="762">
        <f xml:space="preserve">
IF(
SUM(SUMIF(防護具!$Y$13:$Y$29,EG$17&amp;$C28,防護具!$Q$13:$Q$29),EF30)-VLOOKUP($C28,$C$3:$D$15,2,FALSE)*EF$20&lt;0,0,
SUM(SUMIF(防護具!$Y$13:$Y$29,EG$17&amp;$C28,防護具!$Q$13:$Q$29),EF30)-VLOOKUP($C28,$C$3:$D$15,2,FALSE)*EF$20)</f>
        <v>0</v>
      </c>
      <c r="EH30" s="762">
        <f xml:space="preserve">
IF(
SUM(SUMIF(防護具!$Y$13:$Y$29,EH$17&amp;$C28,防護具!$Q$13:$Q$29),EG30)-VLOOKUP($C28,$C$3:$D$15,2,FALSE)*EG$20&lt;0,0,
SUM(SUMIF(防護具!$Y$13:$Y$29,EH$17&amp;$C28,防護具!$Q$13:$Q$29),EG30)-VLOOKUP($C28,$C$3:$D$15,2,FALSE)*EG$20)</f>
        <v>0</v>
      </c>
      <c r="EI30" s="762">
        <f xml:space="preserve">
IF(
SUM(SUMIF(防護具!$Y$13:$Y$29,EI$17&amp;$C28,防護具!$Q$13:$Q$29),EH30)-VLOOKUP($C28,$C$3:$D$15,2,FALSE)*EH$20&lt;0,0,
SUM(SUMIF(防護具!$Y$13:$Y$29,EI$17&amp;$C28,防護具!$Q$13:$Q$29),EH30)-VLOOKUP($C28,$C$3:$D$15,2,FALSE)*EH$20)</f>
        <v>0</v>
      </c>
      <c r="EJ30" s="762">
        <f xml:space="preserve">
IF(
SUM(SUMIF(防護具!$Y$13:$Y$29,EJ$17&amp;$C28,防護具!$Q$13:$Q$29),EI30)-VLOOKUP($C28,$C$3:$D$15,2,FALSE)*EI$20&lt;0,0,
SUM(SUMIF(防護具!$Y$13:$Y$29,EJ$17&amp;$C28,防護具!$Q$13:$Q$29),EI30)-VLOOKUP($C28,$C$3:$D$15,2,FALSE)*EI$20)</f>
        <v>0</v>
      </c>
      <c r="EK30" s="762">
        <f xml:space="preserve">
IF(
SUM(SUMIF(防護具!$Y$13:$Y$29,EK$17&amp;$C28,防護具!$Q$13:$Q$29),EJ30)-VLOOKUP($C28,$C$3:$D$15,2,FALSE)*EJ$20&lt;0,0,
SUM(SUMIF(防護具!$Y$13:$Y$29,EK$17&amp;$C28,防護具!$Q$13:$Q$29),EJ30)-VLOOKUP($C28,$C$3:$D$15,2,FALSE)*EJ$20)</f>
        <v>0</v>
      </c>
      <c r="EL30" s="762">
        <f xml:space="preserve">
IF(
SUM(SUMIF(防護具!$Y$13:$Y$29,EL$17&amp;$C28,防護具!$Q$13:$Q$29),EK30)-VLOOKUP($C28,$C$3:$D$15,2,FALSE)*EK$20&lt;0,0,
SUM(SUMIF(防護具!$Y$13:$Y$29,EL$17&amp;$C28,防護具!$Q$13:$Q$29),EK30)-VLOOKUP($C28,$C$3:$D$15,2,FALSE)*EK$20)</f>
        <v>0</v>
      </c>
      <c r="EM30" s="762">
        <f xml:space="preserve">
IF(
SUM(SUMIF(防護具!$Y$13:$Y$29,EM$17&amp;$C28,防護具!$Q$13:$Q$29),EL30)-VLOOKUP($C28,$C$3:$D$15,2,FALSE)*EL$20&lt;0,0,
SUM(SUMIF(防護具!$Y$13:$Y$29,EM$17&amp;$C28,防護具!$Q$13:$Q$29),EL30)-VLOOKUP($C28,$C$3:$D$15,2,FALSE)*EL$20)</f>
        <v>0</v>
      </c>
      <c r="EN30" s="762">
        <f xml:space="preserve">
IF(
SUM(SUMIF(防護具!$Y$13:$Y$29,EN$17&amp;$C28,防護具!$Q$13:$Q$29),EM30)-VLOOKUP($C28,$C$3:$D$15,2,FALSE)*EM$20&lt;0,0,
SUM(SUMIF(防護具!$Y$13:$Y$29,EN$17&amp;$C28,防護具!$Q$13:$Q$29),EM30)-VLOOKUP($C28,$C$3:$D$15,2,FALSE)*EM$20)</f>
        <v>0</v>
      </c>
      <c r="EO30" s="762">
        <f xml:space="preserve">
IF(
SUM(SUMIF(防護具!$Y$13:$Y$29,EO$17&amp;$C28,防護具!$Q$13:$Q$29),EN30)-VLOOKUP($C28,$C$3:$D$15,2,FALSE)*EN$20&lt;0,0,
SUM(SUMIF(防護具!$Y$13:$Y$29,EO$17&amp;$C28,防護具!$Q$13:$Q$29),EN30)-VLOOKUP($C28,$C$3:$D$15,2,FALSE)*EN$20)</f>
        <v>0</v>
      </c>
      <c r="EP30" s="762">
        <f xml:space="preserve">
IF(
SUM(SUMIF(防護具!$Y$13:$Y$29,EP$17&amp;$C28,防護具!$Q$13:$Q$29),EO30)-VLOOKUP($C28,$C$3:$D$15,2,FALSE)*EO$20&lt;0,0,
SUM(SUMIF(防護具!$Y$13:$Y$29,EP$17&amp;$C28,防護具!$Q$13:$Q$29),EO30)-VLOOKUP($C28,$C$3:$D$15,2,FALSE)*EO$20)</f>
        <v>0</v>
      </c>
      <c r="EQ30" s="762">
        <f xml:space="preserve">
IF(
SUM(SUMIF(防護具!$Y$13:$Y$29,EQ$17&amp;$C28,防護具!$Q$13:$Q$29),EP30)-VLOOKUP($C28,$C$3:$D$15,2,FALSE)*EP$20&lt;0,0,
SUM(SUMIF(防護具!$Y$13:$Y$29,EQ$17&amp;$C28,防護具!$Q$13:$Q$29),EP30)-VLOOKUP($C28,$C$3:$D$15,2,FALSE)*EP$20)</f>
        <v>0</v>
      </c>
      <c r="ER30" s="762">
        <f xml:space="preserve">
IF(
SUM(SUMIF(防護具!$Y$13:$Y$29,ER$17&amp;$C28,防護具!$Q$13:$Q$29),EQ30)-VLOOKUP($C28,$C$3:$D$15,2,FALSE)*EQ$20&lt;0,0,
SUM(SUMIF(防護具!$Y$13:$Y$29,ER$17&amp;$C28,防護具!$Q$13:$Q$29),EQ30)-VLOOKUP($C28,$C$3:$D$15,2,FALSE)*EQ$20)</f>
        <v>0</v>
      </c>
      <c r="ES30" s="762">
        <f xml:space="preserve">
IF(
SUM(SUMIF(防護具!$Y$13:$Y$29,ES$17&amp;$C28,防護具!$Q$13:$Q$29),ER30)-VLOOKUP($C28,$C$3:$D$15,2,FALSE)*ER$20&lt;0,0,
SUM(SUMIF(防護具!$Y$13:$Y$29,ES$17&amp;$C28,防護具!$Q$13:$Q$29),ER30)-VLOOKUP($C28,$C$3:$D$15,2,FALSE)*ER$20)</f>
        <v>0</v>
      </c>
      <c r="ET30" s="762">
        <f xml:space="preserve">
IF(
SUM(SUMIF(防護具!$Y$13:$Y$29,ET$17&amp;$C28,防護具!$Q$13:$Q$29),ES30)-VLOOKUP($C28,$C$3:$D$15,2,FALSE)*ES$20&lt;0,0,
SUM(SUMIF(防護具!$Y$13:$Y$29,ET$17&amp;$C28,防護具!$Q$13:$Q$29),ES30)-VLOOKUP($C28,$C$3:$D$15,2,FALSE)*ES$20)</f>
        <v>0</v>
      </c>
      <c r="EU30" s="762">
        <f xml:space="preserve">
IF(
SUM(SUMIF(防護具!$Y$13:$Y$29,EU$17&amp;$C28,防護具!$Q$13:$Q$29),ET30)-VLOOKUP($C28,$C$3:$D$15,2,FALSE)*ET$20&lt;0,0,
SUM(SUMIF(防護具!$Y$13:$Y$29,EU$17&amp;$C28,防護具!$Q$13:$Q$29),ET30)-VLOOKUP($C28,$C$3:$D$15,2,FALSE)*ET$20)</f>
        <v>0</v>
      </c>
      <c r="EV30" s="762">
        <f xml:space="preserve">
IF(
SUM(SUMIF(防護具!$Y$13:$Y$29,EV$17&amp;$C28,防護具!$Q$13:$Q$29),EU30)-VLOOKUP($C28,$C$3:$D$15,2,FALSE)*EU$20&lt;0,0,
SUM(SUMIF(防護具!$Y$13:$Y$29,EV$17&amp;$C28,防護具!$Q$13:$Q$29),EU30)-VLOOKUP($C28,$C$3:$D$15,2,FALSE)*EU$20)</f>
        <v>0</v>
      </c>
      <c r="EW30" s="762">
        <f xml:space="preserve">
IF(
SUM(SUMIF(防護具!$Y$13:$Y$29,EW$17&amp;$C28,防護具!$Q$13:$Q$29),EV30)-VLOOKUP($C28,$C$3:$D$15,2,FALSE)*EV$20&lt;0,0,
SUM(SUMIF(防護具!$Y$13:$Y$29,EW$17&amp;$C28,防護具!$Q$13:$Q$29),EV30)-VLOOKUP($C28,$C$3:$D$15,2,FALSE)*EV$20)</f>
        <v>0</v>
      </c>
      <c r="EX30" s="762">
        <f xml:space="preserve">
IF(
SUM(SUMIF(防護具!$Y$13:$Y$29,EX$17&amp;$C28,防護具!$Q$13:$Q$29),EW30)-VLOOKUP($C28,$C$3:$D$15,2,FALSE)*EW$20&lt;0,0,
SUM(SUMIF(防護具!$Y$13:$Y$29,EX$17&amp;$C28,防護具!$Q$13:$Q$29),EW30)-VLOOKUP($C28,$C$3:$D$15,2,FALSE)*EW$20)</f>
        <v>0</v>
      </c>
      <c r="EY30" s="762">
        <f xml:space="preserve">
IF(
SUM(SUMIF(防護具!$Y$13:$Y$29,EY$17&amp;$C28,防護具!$Q$13:$Q$29),EX30)-VLOOKUP($C28,$C$3:$D$15,2,FALSE)*EX$20&lt;0,0,
SUM(SUMIF(防護具!$Y$13:$Y$29,EY$17&amp;$C28,防護具!$Q$13:$Q$29),EX30)-VLOOKUP($C28,$C$3:$D$15,2,FALSE)*EX$20)</f>
        <v>0</v>
      </c>
      <c r="EZ30" s="762">
        <f xml:space="preserve">
IF(
SUM(SUMIF(防護具!$Y$13:$Y$29,EZ$17&amp;$C28,防護具!$Q$13:$Q$29),EY30)-VLOOKUP($C28,$C$3:$D$15,2,FALSE)*EY$20&lt;0,0,
SUM(SUMIF(防護具!$Y$13:$Y$29,EZ$17&amp;$C28,防護具!$Q$13:$Q$29),EY30)-VLOOKUP($C28,$C$3:$D$15,2,FALSE)*EY$20)</f>
        <v>0</v>
      </c>
      <c r="FA30" s="762">
        <f xml:space="preserve">
IF(
SUM(SUMIF(防護具!$Y$13:$Y$29,FA$17&amp;$C28,防護具!$Q$13:$Q$29),EZ30)-VLOOKUP($C28,$C$3:$D$15,2,FALSE)*EZ$20&lt;0,0,
SUM(SUMIF(防護具!$Y$13:$Y$29,FA$17&amp;$C28,防護具!$Q$13:$Q$29),EZ30)-VLOOKUP($C28,$C$3:$D$15,2,FALSE)*EZ$20)</f>
        <v>0</v>
      </c>
      <c r="FB30" s="762">
        <f xml:space="preserve">
IF(
SUM(SUMIF(防護具!$Y$13:$Y$29,FB$17&amp;$C28,防護具!$Q$13:$Q$29),FA30)-VLOOKUP($C28,$C$3:$D$15,2,FALSE)*FA$20&lt;0,0,
SUM(SUMIF(防護具!$Y$13:$Y$29,FB$17&amp;$C28,防護具!$Q$13:$Q$29),FA30)-VLOOKUP($C28,$C$3:$D$15,2,FALSE)*FA$20)</f>
        <v>0</v>
      </c>
      <c r="FC30" s="762">
        <f xml:space="preserve">
IF(
SUM(SUMIF(防護具!$Y$13:$Y$29,FC$17&amp;$C28,防護具!$Q$13:$Q$29),FB30)-VLOOKUP($C28,$C$3:$D$15,2,FALSE)*FB$20&lt;0,0,
SUM(SUMIF(防護具!$Y$13:$Y$29,FC$17&amp;$C28,防護具!$Q$13:$Q$29),FB30)-VLOOKUP($C28,$C$3:$D$15,2,FALSE)*FB$20)</f>
        <v>0</v>
      </c>
      <c r="FD30" s="762">
        <f xml:space="preserve">
IF(
SUM(SUMIF(防護具!$Y$13:$Y$29,FD$17&amp;$C28,防護具!$Q$13:$Q$29),FC30)-VLOOKUP($C28,$C$3:$D$15,2,FALSE)*FC$20&lt;0,0,
SUM(SUMIF(防護具!$Y$13:$Y$29,FD$17&amp;$C28,防護具!$Q$13:$Q$29),FC30)-VLOOKUP($C28,$C$3:$D$15,2,FALSE)*FC$20)</f>
        <v>0</v>
      </c>
      <c r="FE30" s="762">
        <f xml:space="preserve">
IF(
SUM(SUMIF(防護具!$Y$13:$Y$29,FE$17&amp;$C28,防護具!$Q$13:$Q$29),FD30)-VLOOKUP($C28,$C$3:$D$15,2,FALSE)*FD$20&lt;0,0,
SUM(SUMIF(防護具!$Y$13:$Y$29,FE$17&amp;$C28,防護具!$Q$13:$Q$29),FD30)-VLOOKUP($C28,$C$3:$D$15,2,FALSE)*FD$20)</f>
        <v>0</v>
      </c>
      <c r="FF30" s="762">
        <f xml:space="preserve">
IF(
SUM(SUMIF(防護具!$Y$13:$Y$29,FF$17&amp;$C28,防護具!$Q$13:$Q$29),FE30)-VLOOKUP($C28,$C$3:$D$15,2,FALSE)*FE$20&lt;0,0,
SUM(SUMIF(防護具!$Y$13:$Y$29,FF$17&amp;$C28,防護具!$Q$13:$Q$29),FE30)-VLOOKUP($C28,$C$3:$D$15,2,FALSE)*FE$20)</f>
        <v>0</v>
      </c>
      <c r="FG30" s="762">
        <f xml:space="preserve">
IF(
SUM(SUMIF(防護具!$Y$13:$Y$29,FG$17&amp;$C28,防護具!$Q$13:$Q$29),FF30)-VLOOKUP($C28,$C$3:$D$15,2,FALSE)*FF$20&lt;0,0,
SUM(SUMIF(防護具!$Y$13:$Y$29,FG$17&amp;$C28,防護具!$Q$13:$Q$29),FF30)-VLOOKUP($C28,$C$3:$D$15,2,FALSE)*FF$20)</f>
        <v>0</v>
      </c>
      <c r="FH30" s="762">
        <f xml:space="preserve">
IF(
SUM(SUMIF(防護具!$Y$13:$Y$29,FH$17&amp;$C28,防護具!$Q$13:$Q$29),FG30)-VLOOKUP($C28,$C$3:$D$15,2,FALSE)*FG$20&lt;0,0,
SUM(SUMIF(防護具!$Y$13:$Y$29,FH$17&amp;$C28,防護具!$Q$13:$Q$29),FG30)-VLOOKUP($C28,$C$3:$D$15,2,FALSE)*FG$20)</f>
        <v>0</v>
      </c>
      <c r="FI30" s="762">
        <f xml:space="preserve">
IF(
SUM(SUMIF(防護具!$Y$13:$Y$29,FI$17&amp;$C28,防護具!$Q$13:$Q$29),FH30)-VLOOKUP($C28,$C$3:$D$15,2,FALSE)*FH$20&lt;0,0,
SUM(SUMIF(防護具!$Y$13:$Y$29,FI$17&amp;$C28,防護具!$Q$13:$Q$29),FH30)-VLOOKUP($C28,$C$3:$D$15,2,FALSE)*FH$20)</f>
        <v>0</v>
      </c>
      <c r="FJ30" s="762">
        <f xml:space="preserve">
IF(
SUM(SUMIF(防護具!$Y$13:$Y$29,FJ$17&amp;$C28,防護具!$Q$13:$Q$29),FI30)-VLOOKUP($C28,$C$3:$D$15,2,FALSE)*FI$20&lt;0,0,
SUM(SUMIF(防護具!$Y$13:$Y$29,FJ$17&amp;$C28,防護具!$Q$13:$Q$29),FI30)-VLOOKUP($C28,$C$3:$D$15,2,FALSE)*FI$20)</f>
        <v>0</v>
      </c>
      <c r="FK30" s="762">
        <f xml:space="preserve">
IF(
SUM(SUMIF(防護具!$Y$13:$Y$29,FK$17&amp;$C28,防護具!$Q$13:$Q$29),FJ30)-VLOOKUP($C28,$C$3:$D$15,2,FALSE)*FJ$20&lt;0,0,
SUM(SUMIF(防護具!$Y$13:$Y$29,FK$17&amp;$C28,防護具!$Q$13:$Q$29),FJ30)-VLOOKUP($C28,$C$3:$D$15,2,FALSE)*FJ$20)</f>
        <v>0</v>
      </c>
      <c r="FL30" s="762">
        <f xml:space="preserve">
IF(
SUM(SUMIF(防護具!$Y$13:$Y$29,FL$17&amp;$C28,防護具!$Q$13:$Q$29),FK30)-VLOOKUP($C28,$C$3:$D$15,2,FALSE)*FK$20&lt;0,0,
SUM(SUMIF(防護具!$Y$13:$Y$29,FL$17&amp;$C28,防護具!$Q$13:$Q$29),FK30)-VLOOKUP($C28,$C$3:$D$15,2,FALSE)*FK$20)</f>
        <v>0</v>
      </c>
      <c r="FM30" s="762">
        <f xml:space="preserve">
IF(
SUM(SUMIF(防護具!$Y$13:$Y$29,FM$17&amp;$C28,防護具!$Q$13:$Q$29),FL30)-VLOOKUP($C28,$C$3:$D$15,2,FALSE)*FL$20&lt;0,0,
SUM(SUMIF(防護具!$Y$13:$Y$29,FM$17&amp;$C28,防護具!$Q$13:$Q$29),FL30)-VLOOKUP($C28,$C$3:$D$15,2,FALSE)*FL$20)</f>
        <v>0</v>
      </c>
      <c r="FN30" s="762">
        <f xml:space="preserve">
IF(
SUM(SUMIF(防護具!$Y$13:$Y$29,FN$17&amp;$C28,防護具!$Q$13:$Q$29),FM30)-VLOOKUP($C28,$C$3:$D$15,2,FALSE)*FM$20&lt;0,0,
SUM(SUMIF(防護具!$Y$13:$Y$29,FN$17&amp;$C28,防護具!$Q$13:$Q$29),FM30)-VLOOKUP($C28,$C$3:$D$15,2,FALSE)*FM$20)</f>
        <v>0</v>
      </c>
      <c r="FO30" s="762">
        <f xml:space="preserve">
IF(
SUM(SUMIF(防護具!$Y$13:$Y$29,FO$17&amp;$C28,防護具!$Q$13:$Q$29),FN30)-VLOOKUP($C28,$C$3:$D$15,2,FALSE)*FN$20&lt;0,0,
SUM(SUMIF(防護具!$Y$13:$Y$29,FO$17&amp;$C28,防護具!$Q$13:$Q$29),FN30)-VLOOKUP($C28,$C$3:$D$15,2,FALSE)*FN$20)</f>
        <v>0</v>
      </c>
      <c r="FP30" s="762">
        <f xml:space="preserve">
IF(
SUM(SUMIF(防護具!$Y$13:$Y$29,FP$17&amp;$C28,防護具!$Q$13:$Q$29),FO30)-VLOOKUP($C28,$C$3:$D$15,2,FALSE)*FO$20&lt;0,0,
SUM(SUMIF(防護具!$Y$13:$Y$29,FP$17&amp;$C28,防護具!$Q$13:$Q$29),FO30)-VLOOKUP($C28,$C$3:$D$15,2,FALSE)*FO$20)</f>
        <v>0</v>
      </c>
      <c r="FQ30" s="762">
        <f xml:space="preserve">
IF(
SUM(SUMIF(防護具!$Y$13:$Y$29,FQ$17&amp;$C28,防護具!$Q$13:$Q$29),FP30)-VLOOKUP($C28,$C$3:$D$15,2,FALSE)*FP$20&lt;0,0,
SUM(SUMIF(防護具!$Y$13:$Y$29,FQ$17&amp;$C28,防護具!$Q$13:$Q$29),FP30)-VLOOKUP($C28,$C$3:$D$15,2,FALSE)*FP$20)</f>
        <v>0</v>
      </c>
      <c r="FR30" s="762">
        <f xml:space="preserve">
IF(
SUM(SUMIF(防護具!$Y$13:$Y$29,FR$17&amp;$C28,防護具!$Q$13:$Q$29),FQ30)-VLOOKUP($C28,$C$3:$D$15,2,FALSE)*FQ$20&lt;0,0,
SUM(SUMIF(防護具!$Y$13:$Y$29,FR$17&amp;$C28,防護具!$Q$13:$Q$29),FQ30)-VLOOKUP($C28,$C$3:$D$15,2,FALSE)*FQ$20)</f>
        <v>0</v>
      </c>
      <c r="FS30" s="762">
        <f xml:space="preserve">
IF(
SUM(SUMIF(防護具!$Y$13:$Y$29,FS$17&amp;$C28,防護具!$Q$13:$Q$29),FR30)-VLOOKUP($C28,$C$3:$D$15,2,FALSE)*FR$20&lt;0,0,
SUM(SUMIF(防護具!$Y$13:$Y$29,FS$17&amp;$C28,防護具!$Q$13:$Q$29),FR30)-VLOOKUP($C28,$C$3:$D$15,2,FALSE)*FR$20)</f>
        <v>0</v>
      </c>
      <c r="FT30" s="762">
        <f xml:space="preserve">
IF(
SUM(SUMIF(防護具!$Y$13:$Y$29,FT$17&amp;$C28,防護具!$Q$13:$Q$29),FS30)-VLOOKUP($C28,$C$3:$D$15,2,FALSE)*FS$20&lt;0,0,
SUM(SUMIF(防護具!$Y$13:$Y$29,FT$17&amp;$C28,防護具!$Q$13:$Q$29),FS30)-VLOOKUP($C28,$C$3:$D$15,2,FALSE)*FS$20)</f>
        <v>0</v>
      </c>
      <c r="FU30" s="762">
        <f xml:space="preserve">
IF(
SUM(SUMIF(防護具!$Y$13:$Y$29,FU$17&amp;$C28,防護具!$Q$13:$Q$29),FT30)-VLOOKUP($C28,$C$3:$D$15,2,FALSE)*FT$20&lt;0,0,
SUM(SUMIF(防護具!$Y$13:$Y$29,FU$17&amp;$C28,防護具!$Q$13:$Q$29),FT30)-VLOOKUP($C28,$C$3:$D$15,2,FALSE)*FT$20)</f>
        <v>0</v>
      </c>
      <c r="FV30" s="762">
        <f xml:space="preserve">
IF(
SUM(SUMIF(防護具!$Y$13:$Y$29,FV$17&amp;$C28,防護具!$Q$13:$Q$29),FU30)-VLOOKUP($C28,$C$3:$D$15,2,FALSE)*FU$20&lt;0,0,
SUM(SUMIF(防護具!$Y$13:$Y$29,FV$17&amp;$C28,防護具!$Q$13:$Q$29),FU30)-VLOOKUP($C28,$C$3:$D$15,2,FALSE)*FU$20)</f>
        <v>0</v>
      </c>
      <c r="FW30" s="762">
        <f xml:space="preserve">
IF(
SUM(SUMIF(防護具!$Y$13:$Y$29,FW$17&amp;$C28,防護具!$Q$13:$Q$29),FV30)-VLOOKUP($C28,$C$3:$D$15,2,FALSE)*FV$20&lt;0,0,
SUM(SUMIF(防護具!$Y$13:$Y$29,FW$17&amp;$C28,防護具!$Q$13:$Q$29),FV30)-VLOOKUP($C28,$C$3:$D$15,2,FALSE)*FV$20)</f>
        <v>0</v>
      </c>
      <c r="FX30" s="762">
        <f xml:space="preserve">
IF(
SUM(SUMIF(防護具!$Y$13:$Y$29,FX$17&amp;$C28,防護具!$Q$13:$Q$29),FW30)-VLOOKUP($C28,$C$3:$D$15,2,FALSE)*FW$20&lt;0,0,
SUM(SUMIF(防護具!$Y$13:$Y$29,FX$17&amp;$C28,防護具!$Q$13:$Q$29),FW30)-VLOOKUP($C28,$C$3:$D$15,2,FALSE)*FW$20)</f>
        <v>0</v>
      </c>
      <c r="FY30" s="762">
        <f xml:space="preserve">
IF(
SUM(SUMIF(防護具!$Y$13:$Y$29,FY$17&amp;$C28,防護具!$Q$13:$Q$29),FX30)-VLOOKUP($C28,$C$3:$D$15,2,FALSE)*FX$20&lt;0,0,
SUM(SUMIF(防護具!$Y$13:$Y$29,FY$17&amp;$C28,防護具!$Q$13:$Q$29),FX30)-VLOOKUP($C28,$C$3:$D$15,2,FALSE)*FX$20)</f>
        <v>0</v>
      </c>
      <c r="FZ30" s="762">
        <f xml:space="preserve">
IF(
SUM(SUMIF(防護具!$Y$13:$Y$29,FZ$17&amp;$C28,防護具!$Q$13:$Q$29),FY30)-VLOOKUP($C28,$C$3:$D$15,2,FALSE)*FY$20&lt;0,0,
SUM(SUMIF(防護具!$Y$13:$Y$29,FZ$17&amp;$C28,防護具!$Q$13:$Q$29),FY30)-VLOOKUP($C28,$C$3:$D$15,2,FALSE)*FY$20)</f>
        <v>0</v>
      </c>
      <c r="GA30" s="762">
        <f xml:space="preserve">
IF(
SUM(SUMIF(防護具!$Y$13:$Y$29,GA$17&amp;$C28,防護具!$Q$13:$Q$29),FZ30)-VLOOKUP($C28,$C$3:$D$15,2,FALSE)*FZ$20&lt;0,0,
SUM(SUMIF(防護具!$Y$13:$Y$29,GA$17&amp;$C28,防護具!$Q$13:$Q$29),FZ30)-VLOOKUP($C28,$C$3:$D$15,2,FALSE)*FZ$20)</f>
        <v>0</v>
      </c>
      <c r="GB30" s="762">
        <f xml:space="preserve">
IF(
SUM(SUMIF(防護具!$Y$13:$Y$29,GB$17&amp;$C28,防護具!$Q$13:$Q$29),GA30)-VLOOKUP($C28,$C$3:$D$15,2,FALSE)*GA$20&lt;0,0,
SUM(SUMIF(防護具!$Y$13:$Y$29,GB$17&amp;$C28,防護具!$Q$13:$Q$29),GA30)-VLOOKUP($C28,$C$3:$D$15,2,FALSE)*GA$20)</f>
        <v>0</v>
      </c>
      <c r="GC30" s="762">
        <f xml:space="preserve">
IF(
SUM(SUMIF(防護具!$Y$13:$Y$29,GC$17&amp;$C28,防護具!$Q$13:$Q$29),GB30)-VLOOKUP($C28,$C$3:$D$15,2,FALSE)*GB$20&lt;0,0,
SUM(SUMIF(防護具!$Y$13:$Y$29,GC$17&amp;$C28,防護具!$Q$13:$Q$29),GB30)-VLOOKUP($C28,$C$3:$D$15,2,FALSE)*GB$20)</f>
        <v>0</v>
      </c>
      <c r="GD30" s="762">
        <f xml:space="preserve">
IF(
SUM(SUMIF(防護具!$Y$13:$Y$29,GD$17&amp;$C28,防護具!$Q$13:$Q$29),GC30)-VLOOKUP($C28,$C$3:$D$15,2,FALSE)*GC$20&lt;0,0,
SUM(SUMIF(防護具!$Y$13:$Y$29,GD$17&amp;$C28,防護具!$Q$13:$Q$29),GC30)-VLOOKUP($C28,$C$3:$D$15,2,FALSE)*GC$20)</f>
        <v>0</v>
      </c>
      <c r="GE30" s="762">
        <f xml:space="preserve">
IF(
SUM(SUMIF(防護具!$Y$13:$Y$29,GE$17&amp;$C28,防護具!$Q$13:$Q$29),GD30)-VLOOKUP($C28,$C$3:$D$15,2,FALSE)*GD$20&lt;0,0,
SUM(SUMIF(防護具!$Y$13:$Y$29,GE$17&amp;$C28,防護具!$Q$13:$Q$29),GD30)-VLOOKUP($C28,$C$3:$D$15,2,FALSE)*GD$20)</f>
        <v>0</v>
      </c>
      <c r="GF30" s="762">
        <f xml:space="preserve">
IF(
SUM(SUMIF(防護具!$Y$13:$Y$29,GF$17&amp;$C28,防護具!$Q$13:$Q$29),GE30)-VLOOKUP($C28,$C$3:$D$15,2,FALSE)*GE$20&lt;0,0,
SUM(SUMIF(防護具!$Y$13:$Y$29,GF$17&amp;$C28,防護具!$Q$13:$Q$29),GE30)-VLOOKUP($C28,$C$3:$D$15,2,FALSE)*GE$20)</f>
        <v>0</v>
      </c>
      <c r="GG30" s="762">
        <f xml:space="preserve">
IF(
SUM(SUMIF(防護具!$Y$13:$Y$29,GG$17&amp;$C28,防護具!$Q$13:$Q$29),GF30)-VLOOKUP($C28,$C$3:$D$15,2,FALSE)*GF$20&lt;0,0,
SUM(SUMIF(防護具!$Y$13:$Y$29,GG$17&amp;$C28,防護具!$Q$13:$Q$29),GF30)-VLOOKUP($C28,$C$3:$D$15,2,FALSE)*GF$20)</f>
        <v>0</v>
      </c>
      <c r="GH30" s="762">
        <f xml:space="preserve">
IF(
SUM(SUMIF(防護具!$Y$13:$Y$29,GH$17&amp;$C28,防護具!$Q$13:$Q$29),GG30)-VLOOKUP($C28,$C$3:$D$15,2,FALSE)*GG$20&lt;0,0,
SUM(SUMIF(防護具!$Y$13:$Y$29,GH$17&amp;$C28,防護具!$Q$13:$Q$29),GG30)-VLOOKUP($C28,$C$3:$D$15,2,FALSE)*GG$20)</f>
        <v>0</v>
      </c>
      <c r="GI30" s="762">
        <f xml:space="preserve">
IF(
SUM(SUMIF(防護具!$Y$13:$Y$29,GI$17&amp;$C28,防護具!$Q$13:$Q$29),GH30)-VLOOKUP($C28,$C$3:$D$15,2,FALSE)*GH$20&lt;0,0,
SUM(SUMIF(防護具!$Y$13:$Y$29,GI$17&amp;$C28,防護具!$Q$13:$Q$29),GH30)-VLOOKUP($C28,$C$3:$D$15,2,FALSE)*GH$20)</f>
        <v>0</v>
      </c>
      <c r="GJ30" s="762">
        <f xml:space="preserve">
IF(
SUM(SUMIF(防護具!$Y$13:$Y$29,GJ$17&amp;$C28,防護具!$Q$13:$Q$29),GI30)-VLOOKUP($C28,$C$3:$D$15,2,FALSE)*GI$20&lt;0,0,
SUM(SUMIF(防護具!$Y$13:$Y$29,GJ$17&amp;$C28,防護具!$Q$13:$Q$29),GI30)-VLOOKUP($C28,$C$3:$D$15,2,FALSE)*GI$20)</f>
        <v>0</v>
      </c>
    </row>
    <row r="31" spans="2:192" s="627" customFormat="1">
      <c r="B31" s="631"/>
      <c r="C31" s="626" t="s">
        <v>1381</v>
      </c>
      <c r="D31" s="702" t="s">
        <v>1423</v>
      </c>
      <c r="E31" s="707"/>
      <c r="F31" s="654"/>
      <c r="G31" s="763">
        <f xml:space="preserve">
MIN(G32,
IF((VLOOKUP($C31,$C$3:$D$15,2,FALSE)*G$20-G33)&lt;0,0,VLOOKUP($C31,$C$3:$D$15,2,FALSE)*G$20-G33))</f>
        <v>0</v>
      </c>
      <c r="H31" s="763">
        <f xml:space="preserve">
IF(G33&gt;=VLOOKUP($C31,$C$3:$D$15,2,FALSE)*H$20,0,
IF(AND(G33&lt;VLOOKUP($C31,$C$3:$D$15,2,FALSE)*H$20,H32&lt;=VLOOKUP($C31,$C$3:$D$15,2,FALSE)*H$20),IF(H32-G33&lt;0,0,H32-G33),
IF(AND(G33&lt;VLOOKUP($C31,$C$3:$D$15,2,FALSE)*H$20,H32&gt;VLOOKUP($C31,$C$3:$D$15,2,FALSE)*H$20),VLOOKUP($C31,$C$3:$D$15,2,FALSE)*H$20-G33)))</f>
        <v>0</v>
      </c>
      <c r="I31" s="763">
        <f t="shared" ref="I31:P31" si="651" xml:space="preserve">
IF(H33&gt;=VLOOKUP($C31,$C$3:$D$15,2,FALSE)*I$20,0,
IF(AND(H33&lt;VLOOKUP($C31,$C$3:$D$15,2,FALSE)*I$20,I32&lt;=VLOOKUP($C31,$C$3:$D$15,2,FALSE)*I$20),IF(I32-H33&lt;0,0,I32-H33),
IF(AND(H33&lt;VLOOKUP($C31,$C$3:$D$15,2,FALSE)*I$20,I32&gt;VLOOKUP($C31,$C$3:$D$15,2,FALSE)*I$20),VLOOKUP($C31,$C$3:$D$15,2,FALSE)*I$20-H33)))</f>
        <v>0</v>
      </c>
      <c r="J31" s="763">
        <f t="shared" si="651"/>
        <v>0</v>
      </c>
      <c r="K31" s="763">
        <f t="shared" si="651"/>
        <v>0</v>
      </c>
      <c r="L31" s="763">
        <f t="shared" si="651"/>
        <v>0</v>
      </c>
      <c r="M31" s="763">
        <f t="shared" si="651"/>
        <v>0</v>
      </c>
      <c r="N31" s="763">
        <f t="shared" si="651"/>
        <v>0</v>
      </c>
      <c r="O31" s="763">
        <f t="shared" si="651"/>
        <v>0</v>
      </c>
      <c r="P31" s="763">
        <f t="shared" si="651"/>
        <v>0</v>
      </c>
      <c r="Q31" s="763">
        <f t="shared" ref="Q31" si="652" xml:space="preserve">
IF(P33&gt;=VLOOKUP($C31,$C$3:$D$15,2,FALSE)*Q$20,0,
IF(AND(P33&lt;VLOOKUP($C31,$C$3:$D$15,2,FALSE)*Q$20,Q32&lt;=VLOOKUP($C31,$C$3:$D$15,2,FALSE)*Q$20),IF(Q32-P33&lt;0,0,Q32-P33),
IF(AND(P33&lt;VLOOKUP($C31,$C$3:$D$15,2,FALSE)*Q$20,Q32&gt;VLOOKUP($C31,$C$3:$D$15,2,FALSE)*Q$20),VLOOKUP($C31,$C$3:$D$15,2,FALSE)*Q$20-P33)))</f>
        <v>0</v>
      </c>
      <c r="R31" s="763">
        <f t="shared" ref="R31" si="653" xml:space="preserve">
IF(Q33&gt;=VLOOKUP($C31,$C$3:$D$15,2,FALSE)*R$20,0,
IF(AND(Q33&lt;VLOOKUP($C31,$C$3:$D$15,2,FALSE)*R$20,R32&lt;=VLOOKUP($C31,$C$3:$D$15,2,FALSE)*R$20),IF(R32-Q33&lt;0,0,R32-Q33),
IF(AND(Q33&lt;VLOOKUP($C31,$C$3:$D$15,2,FALSE)*R$20,R32&gt;VLOOKUP($C31,$C$3:$D$15,2,FALSE)*R$20),VLOOKUP($C31,$C$3:$D$15,2,FALSE)*R$20-Q33)))</f>
        <v>0</v>
      </c>
      <c r="S31" s="763">
        <f t="shared" ref="S31" si="654" xml:space="preserve">
IF(R33&gt;=VLOOKUP($C31,$C$3:$D$15,2,FALSE)*S$20,0,
IF(AND(R33&lt;VLOOKUP($C31,$C$3:$D$15,2,FALSE)*S$20,S32&lt;=VLOOKUP($C31,$C$3:$D$15,2,FALSE)*S$20),IF(S32-R33&lt;0,0,S32-R33),
IF(AND(R33&lt;VLOOKUP($C31,$C$3:$D$15,2,FALSE)*S$20,S32&gt;VLOOKUP($C31,$C$3:$D$15,2,FALSE)*S$20),VLOOKUP($C31,$C$3:$D$15,2,FALSE)*S$20-R33)))</f>
        <v>0</v>
      </c>
      <c r="T31" s="763">
        <f t="shared" ref="T31" si="655" xml:space="preserve">
IF(S33&gt;=VLOOKUP($C31,$C$3:$D$15,2,FALSE)*T$20,0,
IF(AND(S33&lt;VLOOKUP($C31,$C$3:$D$15,2,FALSE)*T$20,T32&lt;=VLOOKUP($C31,$C$3:$D$15,2,FALSE)*T$20),IF(T32-S33&lt;0,0,T32-S33),
IF(AND(S33&lt;VLOOKUP($C31,$C$3:$D$15,2,FALSE)*T$20,T32&gt;VLOOKUP($C31,$C$3:$D$15,2,FALSE)*T$20),VLOOKUP($C31,$C$3:$D$15,2,FALSE)*T$20-S33)))</f>
        <v>0</v>
      </c>
      <c r="U31" s="763">
        <f t="shared" ref="U31" si="656" xml:space="preserve">
IF(T33&gt;=VLOOKUP($C31,$C$3:$D$15,2,FALSE)*U$20,0,
IF(AND(T33&lt;VLOOKUP($C31,$C$3:$D$15,2,FALSE)*U$20,U32&lt;=VLOOKUP($C31,$C$3:$D$15,2,FALSE)*U$20),IF(U32-T33&lt;0,0,U32-T33),
IF(AND(T33&lt;VLOOKUP($C31,$C$3:$D$15,2,FALSE)*U$20,U32&gt;VLOOKUP($C31,$C$3:$D$15,2,FALSE)*U$20),VLOOKUP($C31,$C$3:$D$15,2,FALSE)*U$20-T33)))</f>
        <v>0</v>
      </c>
      <c r="V31" s="763">
        <f t="shared" ref="V31" si="657" xml:space="preserve">
IF(U33&gt;=VLOOKUP($C31,$C$3:$D$15,2,FALSE)*V$20,0,
IF(AND(U33&lt;VLOOKUP($C31,$C$3:$D$15,2,FALSE)*V$20,V32&lt;=VLOOKUP($C31,$C$3:$D$15,2,FALSE)*V$20),IF(V32-U33&lt;0,0,V32-U33),
IF(AND(U33&lt;VLOOKUP($C31,$C$3:$D$15,2,FALSE)*V$20,V32&gt;VLOOKUP($C31,$C$3:$D$15,2,FALSE)*V$20),VLOOKUP($C31,$C$3:$D$15,2,FALSE)*V$20-U33)))</f>
        <v>0</v>
      </c>
      <c r="W31" s="763">
        <f t="shared" ref="W31" si="658" xml:space="preserve">
IF(V33&gt;=VLOOKUP($C31,$C$3:$D$15,2,FALSE)*W$20,0,
IF(AND(V33&lt;VLOOKUP($C31,$C$3:$D$15,2,FALSE)*W$20,W32&lt;=VLOOKUP($C31,$C$3:$D$15,2,FALSE)*W$20),IF(W32-V33&lt;0,0,W32-V33),
IF(AND(V33&lt;VLOOKUP($C31,$C$3:$D$15,2,FALSE)*W$20,W32&gt;VLOOKUP($C31,$C$3:$D$15,2,FALSE)*W$20),VLOOKUP($C31,$C$3:$D$15,2,FALSE)*W$20-V33)))</f>
        <v>0</v>
      </c>
      <c r="X31" s="763">
        <f t="shared" ref="X31" si="659" xml:space="preserve">
IF(W33&gt;=VLOOKUP($C31,$C$3:$D$15,2,FALSE)*X$20,0,
IF(AND(W33&lt;VLOOKUP($C31,$C$3:$D$15,2,FALSE)*X$20,X32&lt;=VLOOKUP($C31,$C$3:$D$15,2,FALSE)*X$20),IF(X32-W33&lt;0,0,X32-W33),
IF(AND(W33&lt;VLOOKUP($C31,$C$3:$D$15,2,FALSE)*X$20,X32&gt;VLOOKUP($C31,$C$3:$D$15,2,FALSE)*X$20),VLOOKUP($C31,$C$3:$D$15,2,FALSE)*X$20-W33)))</f>
        <v>0</v>
      </c>
      <c r="Y31" s="763">
        <f t="shared" ref="Y31" si="660" xml:space="preserve">
IF(X33&gt;=VLOOKUP($C31,$C$3:$D$15,2,FALSE)*Y$20,0,
IF(AND(X33&lt;VLOOKUP($C31,$C$3:$D$15,2,FALSE)*Y$20,Y32&lt;=VLOOKUP($C31,$C$3:$D$15,2,FALSE)*Y$20),IF(Y32-X33&lt;0,0,Y32-X33),
IF(AND(X33&lt;VLOOKUP($C31,$C$3:$D$15,2,FALSE)*Y$20,Y32&gt;VLOOKUP($C31,$C$3:$D$15,2,FALSE)*Y$20),VLOOKUP($C31,$C$3:$D$15,2,FALSE)*Y$20-X33)))</f>
        <v>0</v>
      </c>
      <c r="Z31" s="763">
        <f t="shared" ref="Z31" si="661" xml:space="preserve">
IF(Y33&gt;=VLOOKUP($C31,$C$3:$D$15,2,FALSE)*Z$20,0,
IF(AND(Y33&lt;VLOOKUP($C31,$C$3:$D$15,2,FALSE)*Z$20,Z32&lt;=VLOOKUP($C31,$C$3:$D$15,2,FALSE)*Z$20),IF(Z32-Y33&lt;0,0,Z32-Y33),
IF(AND(Y33&lt;VLOOKUP($C31,$C$3:$D$15,2,FALSE)*Z$20,Z32&gt;VLOOKUP($C31,$C$3:$D$15,2,FALSE)*Z$20),VLOOKUP($C31,$C$3:$D$15,2,FALSE)*Z$20-Y33)))</f>
        <v>0</v>
      </c>
      <c r="AA31" s="763">
        <f t="shared" ref="AA31" si="662" xml:space="preserve">
IF(Z33&gt;=VLOOKUP($C31,$C$3:$D$15,2,FALSE)*AA$20,0,
IF(AND(Z33&lt;VLOOKUP($C31,$C$3:$D$15,2,FALSE)*AA$20,AA32&lt;=VLOOKUP($C31,$C$3:$D$15,2,FALSE)*AA$20),IF(AA32-Z33&lt;0,0,AA32-Z33),
IF(AND(Z33&lt;VLOOKUP($C31,$C$3:$D$15,2,FALSE)*AA$20,AA32&gt;VLOOKUP($C31,$C$3:$D$15,2,FALSE)*AA$20),VLOOKUP($C31,$C$3:$D$15,2,FALSE)*AA$20-Z33)))</f>
        <v>0</v>
      </c>
      <c r="AB31" s="763">
        <f t="shared" ref="AB31" si="663" xml:space="preserve">
IF(AA33&gt;=VLOOKUP($C31,$C$3:$D$15,2,FALSE)*AB$20,0,
IF(AND(AA33&lt;VLOOKUP($C31,$C$3:$D$15,2,FALSE)*AB$20,AB32&lt;=VLOOKUP($C31,$C$3:$D$15,2,FALSE)*AB$20),IF(AB32-AA33&lt;0,0,AB32-AA33),
IF(AND(AA33&lt;VLOOKUP($C31,$C$3:$D$15,2,FALSE)*AB$20,AB32&gt;VLOOKUP($C31,$C$3:$D$15,2,FALSE)*AB$20),VLOOKUP($C31,$C$3:$D$15,2,FALSE)*AB$20-AA33)))</f>
        <v>0</v>
      </c>
      <c r="AC31" s="763">
        <f t="shared" ref="AC31" si="664" xml:space="preserve">
IF(AB33&gt;=VLOOKUP($C31,$C$3:$D$15,2,FALSE)*AC$20,0,
IF(AND(AB33&lt;VLOOKUP($C31,$C$3:$D$15,2,FALSE)*AC$20,AC32&lt;=VLOOKUP($C31,$C$3:$D$15,2,FALSE)*AC$20),IF(AC32-AB33&lt;0,0,AC32-AB33),
IF(AND(AB33&lt;VLOOKUP($C31,$C$3:$D$15,2,FALSE)*AC$20,AC32&gt;VLOOKUP($C31,$C$3:$D$15,2,FALSE)*AC$20),VLOOKUP($C31,$C$3:$D$15,2,FALSE)*AC$20-AB33)))</f>
        <v>0</v>
      </c>
      <c r="AD31" s="763">
        <f t="shared" ref="AD31" si="665" xml:space="preserve">
IF(AC33&gt;=VLOOKUP($C31,$C$3:$D$15,2,FALSE)*AD$20,0,
IF(AND(AC33&lt;VLOOKUP($C31,$C$3:$D$15,2,FALSE)*AD$20,AD32&lt;=VLOOKUP($C31,$C$3:$D$15,2,FALSE)*AD$20),IF(AD32-AC33&lt;0,0,AD32-AC33),
IF(AND(AC33&lt;VLOOKUP($C31,$C$3:$D$15,2,FALSE)*AD$20,AD32&gt;VLOOKUP($C31,$C$3:$D$15,2,FALSE)*AD$20),VLOOKUP($C31,$C$3:$D$15,2,FALSE)*AD$20-AC33)))</f>
        <v>0</v>
      </c>
      <c r="AE31" s="763">
        <f t="shared" ref="AE31" si="666" xml:space="preserve">
IF(AD33&gt;=VLOOKUP($C31,$C$3:$D$15,2,FALSE)*AE$20,0,
IF(AND(AD33&lt;VLOOKUP($C31,$C$3:$D$15,2,FALSE)*AE$20,AE32&lt;=VLOOKUP($C31,$C$3:$D$15,2,FALSE)*AE$20),IF(AE32-AD33&lt;0,0,AE32-AD33),
IF(AND(AD33&lt;VLOOKUP($C31,$C$3:$D$15,2,FALSE)*AE$20,AE32&gt;VLOOKUP($C31,$C$3:$D$15,2,FALSE)*AE$20),VLOOKUP($C31,$C$3:$D$15,2,FALSE)*AE$20-AD33)))</f>
        <v>0</v>
      </c>
      <c r="AF31" s="763">
        <f t="shared" ref="AF31" si="667" xml:space="preserve">
IF(AE33&gt;=VLOOKUP($C31,$C$3:$D$15,2,FALSE)*AF$20,0,
IF(AND(AE33&lt;VLOOKUP($C31,$C$3:$D$15,2,FALSE)*AF$20,AF32&lt;=VLOOKUP($C31,$C$3:$D$15,2,FALSE)*AF$20),IF(AF32-AE33&lt;0,0,AF32-AE33),
IF(AND(AE33&lt;VLOOKUP($C31,$C$3:$D$15,2,FALSE)*AF$20,AF32&gt;VLOOKUP($C31,$C$3:$D$15,2,FALSE)*AF$20),VLOOKUP($C31,$C$3:$D$15,2,FALSE)*AF$20-AE33)))</f>
        <v>0</v>
      </c>
      <c r="AG31" s="763">
        <f t="shared" ref="AG31" si="668" xml:space="preserve">
IF(AF33&gt;=VLOOKUP($C31,$C$3:$D$15,2,FALSE)*AG$20,0,
IF(AND(AF33&lt;VLOOKUP($C31,$C$3:$D$15,2,FALSE)*AG$20,AG32&lt;=VLOOKUP($C31,$C$3:$D$15,2,FALSE)*AG$20),IF(AG32-AF33&lt;0,0,AG32-AF33),
IF(AND(AF33&lt;VLOOKUP($C31,$C$3:$D$15,2,FALSE)*AG$20,AG32&gt;VLOOKUP($C31,$C$3:$D$15,2,FALSE)*AG$20),VLOOKUP($C31,$C$3:$D$15,2,FALSE)*AG$20-AF33)))</f>
        <v>0</v>
      </c>
      <c r="AH31" s="763">
        <f t="shared" ref="AH31" si="669" xml:space="preserve">
IF(AG33&gt;=VLOOKUP($C31,$C$3:$D$15,2,FALSE)*AH$20,0,
IF(AND(AG33&lt;VLOOKUP($C31,$C$3:$D$15,2,FALSE)*AH$20,AH32&lt;=VLOOKUP($C31,$C$3:$D$15,2,FALSE)*AH$20),IF(AH32-AG33&lt;0,0,AH32-AG33),
IF(AND(AG33&lt;VLOOKUP($C31,$C$3:$D$15,2,FALSE)*AH$20,AH32&gt;VLOOKUP($C31,$C$3:$D$15,2,FALSE)*AH$20),VLOOKUP($C31,$C$3:$D$15,2,FALSE)*AH$20-AG33)))</f>
        <v>0</v>
      </c>
      <c r="AI31" s="763">
        <f t="shared" ref="AI31" si="670" xml:space="preserve">
IF(AH33&gt;=VLOOKUP($C31,$C$3:$D$15,2,FALSE)*AI$20,0,
IF(AND(AH33&lt;VLOOKUP($C31,$C$3:$D$15,2,FALSE)*AI$20,AI32&lt;=VLOOKUP($C31,$C$3:$D$15,2,FALSE)*AI$20),IF(AI32-AH33&lt;0,0,AI32-AH33),
IF(AND(AH33&lt;VLOOKUP($C31,$C$3:$D$15,2,FALSE)*AI$20,AI32&gt;VLOOKUP($C31,$C$3:$D$15,2,FALSE)*AI$20),VLOOKUP($C31,$C$3:$D$15,2,FALSE)*AI$20-AH33)))</f>
        <v>0</v>
      </c>
      <c r="AJ31" s="763">
        <f t="shared" ref="AJ31" si="671" xml:space="preserve">
IF(AI33&gt;=VLOOKUP($C31,$C$3:$D$15,2,FALSE)*AJ$20,0,
IF(AND(AI33&lt;VLOOKUP($C31,$C$3:$D$15,2,FALSE)*AJ$20,AJ32&lt;=VLOOKUP($C31,$C$3:$D$15,2,FALSE)*AJ$20),IF(AJ32-AI33&lt;0,0,AJ32-AI33),
IF(AND(AI33&lt;VLOOKUP($C31,$C$3:$D$15,2,FALSE)*AJ$20,AJ32&gt;VLOOKUP($C31,$C$3:$D$15,2,FALSE)*AJ$20),VLOOKUP($C31,$C$3:$D$15,2,FALSE)*AJ$20-AI33)))</f>
        <v>0</v>
      </c>
      <c r="AK31" s="763">
        <f t="shared" ref="AK31" si="672" xml:space="preserve">
IF(AJ33&gt;=VLOOKUP($C31,$C$3:$D$15,2,FALSE)*AK$20,0,
IF(AND(AJ33&lt;VLOOKUP($C31,$C$3:$D$15,2,FALSE)*AK$20,AK32&lt;=VLOOKUP($C31,$C$3:$D$15,2,FALSE)*AK$20),IF(AK32-AJ33&lt;0,0,AK32-AJ33),
IF(AND(AJ33&lt;VLOOKUP($C31,$C$3:$D$15,2,FALSE)*AK$20,AK32&gt;VLOOKUP($C31,$C$3:$D$15,2,FALSE)*AK$20),VLOOKUP($C31,$C$3:$D$15,2,FALSE)*AK$20-AJ33)))</f>
        <v>0</v>
      </c>
      <c r="AL31" s="763">
        <f t="shared" ref="AL31" si="673" xml:space="preserve">
IF(AK33&gt;=VLOOKUP($C31,$C$3:$D$15,2,FALSE)*AL$20,0,
IF(AND(AK33&lt;VLOOKUP($C31,$C$3:$D$15,2,FALSE)*AL$20,AL32&lt;=VLOOKUP($C31,$C$3:$D$15,2,FALSE)*AL$20),IF(AL32-AK33&lt;0,0,AL32-AK33),
IF(AND(AK33&lt;VLOOKUP($C31,$C$3:$D$15,2,FALSE)*AL$20,AL32&gt;VLOOKUP($C31,$C$3:$D$15,2,FALSE)*AL$20),VLOOKUP($C31,$C$3:$D$15,2,FALSE)*AL$20-AK33)))</f>
        <v>0</v>
      </c>
      <c r="AM31" s="763">
        <f t="shared" ref="AM31" si="674" xml:space="preserve">
IF(AL33&gt;=VLOOKUP($C31,$C$3:$D$15,2,FALSE)*AM$20,0,
IF(AND(AL33&lt;VLOOKUP($C31,$C$3:$D$15,2,FALSE)*AM$20,AM32&lt;=VLOOKUP($C31,$C$3:$D$15,2,FALSE)*AM$20),IF(AM32-AL33&lt;0,0,AM32-AL33),
IF(AND(AL33&lt;VLOOKUP($C31,$C$3:$D$15,2,FALSE)*AM$20,AM32&gt;VLOOKUP($C31,$C$3:$D$15,2,FALSE)*AM$20),VLOOKUP($C31,$C$3:$D$15,2,FALSE)*AM$20-AL33)))</f>
        <v>0</v>
      </c>
      <c r="AN31" s="763">
        <f t="shared" ref="AN31" si="675" xml:space="preserve">
IF(AM33&gt;=VLOOKUP($C31,$C$3:$D$15,2,FALSE)*AN$20,0,
IF(AND(AM33&lt;VLOOKUP($C31,$C$3:$D$15,2,FALSE)*AN$20,AN32&lt;=VLOOKUP($C31,$C$3:$D$15,2,FALSE)*AN$20),IF(AN32-AM33&lt;0,0,AN32-AM33),
IF(AND(AM33&lt;VLOOKUP($C31,$C$3:$D$15,2,FALSE)*AN$20,AN32&gt;VLOOKUP($C31,$C$3:$D$15,2,FALSE)*AN$20),VLOOKUP($C31,$C$3:$D$15,2,FALSE)*AN$20-AM33)))</f>
        <v>0</v>
      </c>
      <c r="AO31" s="763">
        <f t="shared" ref="AO31" si="676" xml:space="preserve">
IF(AN33&gt;=VLOOKUP($C31,$C$3:$D$15,2,FALSE)*AO$20,0,
IF(AND(AN33&lt;VLOOKUP($C31,$C$3:$D$15,2,FALSE)*AO$20,AO32&lt;=VLOOKUP($C31,$C$3:$D$15,2,FALSE)*AO$20),IF(AO32-AN33&lt;0,0,AO32-AN33),
IF(AND(AN33&lt;VLOOKUP($C31,$C$3:$D$15,2,FALSE)*AO$20,AO32&gt;VLOOKUP($C31,$C$3:$D$15,2,FALSE)*AO$20),VLOOKUP($C31,$C$3:$D$15,2,FALSE)*AO$20-AN33)))</f>
        <v>0</v>
      </c>
      <c r="AP31" s="763">
        <f t="shared" ref="AP31" si="677" xml:space="preserve">
IF(AO33&gt;=VLOOKUP($C31,$C$3:$D$15,2,FALSE)*AP$20,0,
IF(AND(AO33&lt;VLOOKUP($C31,$C$3:$D$15,2,FALSE)*AP$20,AP32&lt;=VLOOKUP($C31,$C$3:$D$15,2,FALSE)*AP$20),IF(AP32-AO33&lt;0,0,AP32-AO33),
IF(AND(AO33&lt;VLOOKUP($C31,$C$3:$D$15,2,FALSE)*AP$20,AP32&gt;VLOOKUP($C31,$C$3:$D$15,2,FALSE)*AP$20),VLOOKUP($C31,$C$3:$D$15,2,FALSE)*AP$20-AO33)))</f>
        <v>0</v>
      </c>
      <c r="AQ31" s="763">
        <f t="shared" ref="AQ31" si="678" xml:space="preserve">
IF(AP33&gt;=VLOOKUP($C31,$C$3:$D$15,2,FALSE)*AQ$20,0,
IF(AND(AP33&lt;VLOOKUP($C31,$C$3:$D$15,2,FALSE)*AQ$20,AQ32&lt;=VLOOKUP($C31,$C$3:$D$15,2,FALSE)*AQ$20),IF(AQ32-AP33&lt;0,0,AQ32-AP33),
IF(AND(AP33&lt;VLOOKUP($C31,$C$3:$D$15,2,FALSE)*AQ$20,AQ32&gt;VLOOKUP($C31,$C$3:$D$15,2,FALSE)*AQ$20),VLOOKUP($C31,$C$3:$D$15,2,FALSE)*AQ$20-AP33)))</f>
        <v>0</v>
      </c>
      <c r="AR31" s="763">
        <f t="shared" ref="AR31" si="679" xml:space="preserve">
IF(AQ33&gt;=VLOOKUP($C31,$C$3:$D$15,2,FALSE)*AR$20,0,
IF(AND(AQ33&lt;VLOOKUP($C31,$C$3:$D$15,2,FALSE)*AR$20,AR32&lt;=VLOOKUP($C31,$C$3:$D$15,2,FALSE)*AR$20),IF(AR32-AQ33&lt;0,0,AR32-AQ33),
IF(AND(AQ33&lt;VLOOKUP($C31,$C$3:$D$15,2,FALSE)*AR$20,AR32&gt;VLOOKUP($C31,$C$3:$D$15,2,FALSE)*AR$20),VLOOKUP($C31,$C$3:$D$15,2,FALSE)*AR$20-AQ33)))</f>
        <v>0</v>
      </c>
      <c r="AS31" s="763">
        <f t="shared" ref="AS31" si="680" xml:space="preserve">
IF(AR33&gt;=VLOOKUP($C31,$C$3:$D$15,2,FALSE)*AS$20,0,
IF(AND(AR33&lt;VLOOKUP($C31,$C$3:$D$15,2,FALSE)*AS$20,AS32&lt;=VLOOKUP($C31,$C$3:$D$15,2,FALSE)*AS$20),IF(AS32-AR33&lt;0,0,AS32-AR33),
IF(AND(AR33&lt;VLOOKUP($C31,$C$3:$D$15,2,FALSE)*AS$20,AS32&gt;VLOOKUP($C31,$C$3:$D$15,2,FALSE)*AS$20),VLOOKUP($C31,$C$3:$D$15,2,FALSE)*AS$20-AR33)))</f>
        <v>0</v>
      </c>
      <c r="AT31" s="763">
        <f t="shared" ref="AT31" si="681" xml:space="preserve">
IF(AS33&gt;=VLOOKUP($C31,$C$3:$D$15,2,FALSE)*AT$20,0,
IF(AND(AS33&lt;VLOOKUP($C31,$C$3:$D$15,2,FALSE)*AT$20,AT32&lt;=VLOOKUP($C31,$C$3:$D$15,2,FALSE)*AT$20),IF(AT32-AS33&lt;0,0,AT32-AS33),
IF(AND(AS33&lt;VLOOKUP($C31,$C$3:$D$15,2,FALSE)*AT$20,AT32&gt;VLOOKUP($C31,$C$3:$D$15,2,FALSE)*AT$20),VLOOKUP($C31,$C$3:$D$15,2,FALSE)*AT$20-AS33)))</f>
        <v>0</v>
      </c>
      <c r="AU31" s="763">
        <f t="shared" ref="AU31" si="682" xml:space="preserve">
IF(AT33&gt;=VLOOKUP($C31,$C$3:$D$15,2,FALSE)*AU$20,0,
IF(AND(AT33&lt;VLOOKUP($C31,$C$3:$D$15,2,FALSE)*AU$20,AU32&lt;=VLOOKUP($C31,$C$3:$D$15,2,FALSE)*AU$20),IF(AU32-AT33&lt;0,0,AU32-AT33),
IF(AND(AT33&lt;VLOOKUP($C31,$C$3:$D$15,2,FALSE)*AU$20,AU32&gt;VLOOKUP($C31,$C$3:$D$15,2,FALSE)*AU$20),VLOOKUP($C31,$C$3:$D$15,2,FALSE)*AU$20-AT33)))</f>
        <v>0</v>
      </c>
      <c r="AV31" s="763">
        <f t="shared" ref="AV31" si="683" xml:space="preserve">
IF(AU33&gt;=VLOOKUP($C31,$C$3:$D$15,2,FALSE)*AV$20,0,
IF(AND(AU33&lt;VLOOKUP($C31,$C$3:$D$15,2,FALSE)*AV$20,AV32&lt;=VLOOKUP($C31,$C$3:$D$15,2,FALSE)*AV$20),IF(AV32-AU33&lt;0,0,AV32-AU33),
IF(AND(AU33&lt;VLOOKUP($C31,$C$3:$D$15,2,FALSE)*AV$20,AV32&gt;VLOOKUP($C31,$C$3:$D$15,2,FALSE)*AV$20),VLOOKUP($C31,$C$3:$D$15,2,FALSE)*AV$20-AU33)))</f>
        <v>0</v>
      </c>
      <c r="AW31" s="763">
        <f t="shared" ref="AW31" si="684" xml:space="preserve">
IF(AV33&gt;=VLOOKUP($C31,$C$3:$D$15,2,FALSE)*AW$20,0,
IF(AND(AV33&lt;VLOOKUP($C31,$C$3:$D$15,2,FALSE)*AW$20,AW32&lt;=VLOOKUP($C31,$C$3:$D$15,2,FALSE)*AW$20),IF(AW32-AV33&lt;0,0,AW32-AV33),
IF(AND(AV33&lt;VLOOKUP($C31,$C$3:$D$15,2,FALSE)*AW$20,AW32&gt;VLOOKUP($C31,$C$3:$D$15,2,FALSE)*AW$20),VLOOKUP($C31,$C$3:$D$15,2,FALSE)*AW$20-AV33)))</f>
        <v>0</v>
      </c>
      <c r="AX31" s="763">
        <f t="shared" ref="AX31" si="685" xml:space="preserve">
IF(AW33&gt;=VLOOKUP($C31,$C$3:$D$15,2,FALSE)*AX$20,0,
IF(AND(AW33&lt;VLOOKUP($C31,$C$3:$D$15,2,FALSE)*AX$20,AX32&lt;=VLOOKUP($C31,$C$3:$D$15,2,FALSE)*AX$20),IF(AX32-AW33&lt;0,0,AX32-AW33),
IF(AND(AW33&lt;VLOOKUP($C31,$C$3:$D$15,2,FALSE)*AX$20,AX32&gt;VLOOKUP($C31,$C$3:$D$15,2,FALSE)*AX$20),VLOOKUP($C31,$C$3:$D$15,2,FALSE)*AX$20-AW33)))</f>
        <v>0</v>
      </c>
      <c r="AY31" s="763">
        <f t="shared" ref="AY31" si="686" xml:space="preserve">
IF(AX33&gt;=VLOOKUP($C31,$C$3:$D$15,2,FALSE)*AY$20,0,
IF(AND(AX33&lt;VLOOKUP($C31,$C$3:$D$15,2,FALSE)*AY$20,AY32&lt;=VLOOKUP($C31,$C$3:$D$15,2,FALSE)*AY$20),IF(AY32-AX33&lt;0,0,AY32-AX33),
IF(AND(AX33&lt;VLOOKUP($C31,$C$3:$D$15,2,FALSE)*AY$20,AY32&gt;VLOOKUP($C31,$C$3:$D$15,2,FALSE)*AY$20),VLOOKUP($C31,$C$3:$D$15,2,FALSE)*AY$20-AX33)))</f>
        <v>0</v>
      </c>
      <c r="AZ31" s="763">
        <f t="shared" ref="AZ31" si="687" xml:space="preserve">
IF(AY33&gt;=VLOOKUP($C31,$C$3:$D$15,2,FALSE)*AZ$20,0,
IF(AND(AY33&lt;VLOOKUP($C31,$C$3:$D$15,2,FALSE)*AZ$20,AZ32&lt;=VLOOKUP($C31,$C$3:$D$15,2,FALSE)*AZ$20),IF(AZ32-AY33&lt;0,0,AZ32-AY33),
IF(AND(AY33&lt;VLOOKUP($C31,$C$3:$D$15,2,FALSE)*AZ$20,AZ32&gt;VLOOKUP($C31,$C$3:$D$15,2,FALSE)*AZ$20),VLOOKUP($C31,$C$3:$D$15,2,FALSE)*AZ$20-AY33)))</f>
        <v>0</v>
      </c>
      <c r="BA31" s="763">
        <f t="shared" ref="BA31" si="688" xml:space="preserve">
IF(AZ33&gt;=VLOOKUP($C31,$C$3:$D$15,2,FALSE)*BA$20,0,
IF(AND(AZ33&lt;VLOOKUP($C31,$C$3:$D$15,2,FALSE)*BA$20,BA32&lt;=VLOOKUP($C31,$C$3:$D$15,2,FALSE)*BA$20),IF(BA32-AZ33&lt;0,0,BA32-AZ33),
IF(AND(AZ33&lt;VLOOKUP($C31,$C$3:$D$15,2,FALSE)*BA$20,BA32&gt;VLOOKUP($C31,$C$3:$D$15,2,FALSE)*BA$20),VLOOKUP($C31,$C$3:$D$15,2,FALSE)*BA$20-AZ33)))</f>
        <v>0</v>
      </c>
      <c r="BB31" s="763">
        <f t="shared" ref="BB31" si="689" xml:space="preserve">
IF(BA33&gt;=VLOOKUP($C31,$C$3:$D$15,2,FALSE)*BB$20,0,
IF(AND(BA33&lt;VLOOKUP($C31,$C$3:$D$15,2,FALSE)*BB$20,BB32&lt;=VLOOKUP($C31,$C$3:$D$15,2,FALSE)*BB$20),IF(BB32-BA33&lt;0,0,BB32-BA33),
IF(AND(BA33&lt;VLOOKUP($C31,$C$3:$D$15,2,FALSE)*BB$20,BB32&gt;VLOOKUP($C31,$C$3:$D$15,2,FALSE)*BB$20),VLOOKUP($C31,$C$3:$D$15,2,FALSE)*BB$20-BA33)))</f>
        <v>0</v>
      </c>
      <c r="BC31" s="763">
        <f t="shared" ref="BC31" si="690" xml:space="preserve">
IF(BB33&gt;=VLOOKUP($C31,$C$3:$D$15,2,FALSE)*BC$20,0,
IF(AND(BB33&lt;VLOOKUP($C31,$C$3:$D$15,2,FALSE)*BC$20,BC32&lt;=VLOOKUP($C31,$C$3:$D$15,2,FALSE)*BC$20),IF(BC32-BB33&lt;0,0,BC32-BB33),
IF(AND(BB33&lt;VLOOKUP($C31,$C$3:$D$15,2,FALSE)*BC$20,BC32&gt;VLOOKUP($C31,$C$3:$D$15,2,FALSE)*BC$20),VLOOKUP($C31,$C$3:$D$15,2,FALSE)*BC$20-BB33)))</f>
        <v>0</v>
      </c>
      <c r="BD31" s="763">
        <f t="shared" ref="BD31" si="691" xml:space="preserve">
IF(BC33&gt;=VLOOKUP($C31,$C$3:$D$15,2,FALSE)*BD$20,0,
IF(AND(BC33&lt;VLOOKUP($C31,$C$3:$D$15,2,FALSE)*BD$20,BD32&lt;=VLOOKUP($C31,$C$3:$D$15,2,FALSE)*BD$20),IF(BD32-BC33&lt;0,0,BD32-BC33),
IF(AND(BC33&lt;VLOOKUP($C31,$C$3:$D$15,2,FALSE)*BD$20,BD32&gt;VLOOKUP($C31,$C$3:$D$15,2,FALSE)*BD$20),VLOOKUP($C31,$C$3:$D$15,2,FALSE)*BD$20-BC33)))</f>
        <v>0</v>
      </c>
      <c r="BE31" s="763">
        <f t="shared" ref="BE31" si="692" xml:space="preserve">
IF(BD33&gt;=VLOOKUP($C31,$C$3:$D$15,2,FALSE)*BE$20,0,
IF(AND(BD33&lt;VLOOKUP($C31,$C$3:$D$15,2,FALSE)*BE$20,BE32&lt;=VLOOKUP($C31,$C$3:$D$15,2,FALSE)*BE$20),IF(BE32-BD33&lt;0,0,BE32-BD33),
IF(AND(BD33&lt;VLOOKUP($C31,$C$3:$D$15,2,FALSE)*BE$20,BE32&gt;VLOOKUP($C31,$C$3:$D$15,2,FALSE)*BE$20),VLOOKUP($C31,$C$3:$D$15,2,FALSE)*BE$20-BD33)))</f>
        <v>0</v>
      </c>
      <c r="BF31" s="763">
        <f t="shared" ref="BF31" si="693" xml:space="preserve">
IF(BE33&gt;=VLOOKUP($C31,$C$3:$D$15,2,FALSE)*BF$20,0,
IF(AND(BE33&lt;VLOOKUP($C31,$C$3:$D$15,2,FALSE)*BF$20,BF32&lt;=VLOOKUP($C31,$C$3:$D$15,2,FALSE)*BF$20),IF(BF32-BE33&lt;0,0,BF32-BE33),
IF(AND(BE33&lt;VLOOKUP($C31,$C$3:$D$15,2,FALSE)*BF$20,BF32&gt;VLOOKUP($C31,$C$3:$D$15,2,FALSE)*BF$20),VLOOKUP($C31,$C$3:$D$15,2,FALSE)*BF$20-BE33)))</f>
        <v>0</v>
      </c>
      <c r="BG31" s="763">
        <f t="shared" ref="BG31" si="694" xml:space="preserve">
IF(BF33&gt;=VLOOKUP($C31,$C$3:$D$15,2,FALSE)*BG$20,0,
IF(AND(BF33&lt;VLOOKUP($C31,$C$3:$D$15,2,FALSE)*BG$20,BG32&lt;=VLOOKUP($C31,$C$3:$D$15,2,FALSE)*BG$20),IF(BG32-BF33&lt;0,0,BG32-BF33),
IF(AND(BF33&lt;VLOOKUP($C31,$C$3:$D$15,2,FALSE)*BG$20,BG32&gt;VLOOKUP($C31,$C$3:$D$15,2,FALSE)*BG$20),VLOOKUP($C31,$C$3:$D$15,2,FALSE)*BG$20-BF33)))</f>
        <v>0</v>
      </c>
      <c r="BH31" s="763">
        <f t="shared" ref="BH31" si="695" xml:space="preserve">
IF(BG33&gt;=VLOOKUP($C31,$C$3:$D$15,2,FALSE)*BH$20,0,
IF(AND(BG33&lt;VLOOKUP($C31,$C$3:$D$15,2,FALSE)*BH$20,BH32&lt;=VLOOKUP($C31,$C$3:$D$15,2,FALSE)*BH$20),IF(BH32-BG33&lt;0,0,BH32-BG33),
IF(AND(BG33&lt;VLOOKUP($C31,$C$3:$D$15,2,FALSE)*BH$20,BH32&gt;VLOOKUP($C31,$C$3:$D$15,2,FALSE)*BH$20),VLOOKUP($C31,$C$3:$D$15,2,FALSE)*BH$20-BG33)))</f>
        <v>0</v>
      </c>
      <c r="BI31" s="763">
        <f t="shared" ref="BI31" si="696" xml:space="preserve">
IF(BH33&gt;=VLOOKUP($C31,$C$3:$D$15,2,FALSE)*BI$20,0,
IF(AND(BH33&lt;VLOOKUP($C31,$C$3:$D$15,2,FALSE)*BI$20,BI32&lt;=VLOOKUP($C31,$C$3:$D$15,2,FALSE)*BI$20),IF(BI32-BH33&lt;0,0,BI32-BH33),
IF(AND(BH33&lt;VLOOKUP($C31,$C$3:$D$15,2,FALSE)*BI$20,BI32&gt;VLOOKUP($C31,$C$3:$D$15,2,FALSE)*BI$20),VLOOKUP($C31,$C$3:$D$15,2,FALSE)*BI$20-BH33)))</f>
        <v>0</v>
      </c>
      <c r="BJ31" s="763">
        <f t="shared" ref="BJ31" si="697" xml:space="preserve">
IF(BI33&gt;=VLOOKUP($C31,$C$3:$D$15,2,FALSE)*BJ$20,0,
IF(AND(BI33&lt;VLOOKUP($C31,$C$3:$D$15,2,FALSE)*BJ$20,BJ32&lt;=VLOOKUP($C31,$C$3:$D$15,2,FALSE)*BJ$20),IF(BJ32-BI33&lt;0,0,BJ32-BI33),
IF(AND(BI33&lt;VLOOKUP($C31,$C$3:$D$15,2,FALSE)*BJ$20,BJ32&gt;VLOOKUP($C31,$C$3:$D$15,2,FALSE)*BJ$20),VLOOKUP($C31,$C$3:$D$15,2,FALSE)*BJ$20-BI33)))</f>
        <v>0</v>
      </c>
      <c r="BK31" s="763">
        <f t="shared" ref="BK31" si="698" xml:space="preserve">
IF(BJ33&gt;=VLOOKUP($C31,$C$3:$D$15,2,FALSE)*BK$20,0,
IF(AND(BJ33&lt;VLOOKUP($C31,$C$3:$D$15,2,FALSE)*BK$20,BK32&lt;=VLOOKUP($C31,$C$3:$D$15,2,FALSE)*BK$20),IF(BK32-BJ33&lt;0,0,BK32-BJ33),
IF(AND(BJ33&lt;VLOOKUP($C31,$C$3:$D$15,2,FALSE)*BK$20,BK32&gt;VLOOKUP($C31,$C$3:$D$15,2,FALSE)*BK$20),VLOOKUP($C31,$C$3:$D$15,2,FALSE)*BK$20-BJ33)))</f>
        <v>0</v>
      </c>
      <c r="BL31" s="763">
        <f t="shared" ref="BL31" si="699" xml:space="preserve">
IF(BK33&gt;=VLOOKUP($C31,$C$3:$D$15,2,FALSE)*BL$20,0,
IF(AND(BK33&lt;VLOOKUP($C31,$C$3:$D$15,2,FALSE)*BL$20,BL32&lt;=VLOOKUP($C31,$C$3:$D$15,2,FALSE)*BL$20),IF(BL32-BK33&lt;0,0,BL32-BK33),
IF(AND(BK33&lt;VLOOKUP($C31,$C$3:$D$15,2,FALSE)*BL$20,BL32&gt;VLOOKUP($C31,$C$3:$D$15,2,FALSE)*BL$20),VLOOKUP($C31,$C$3:$D$15,2,FALSE)*BL$20-BK33)))</f>
        <v>0</v>
      </c>
      <c r="BM31" s="763">
        <f t="shared" ref="BM31" si="700" xml:space="preserve">
IF(BL33&gt;=VLOOKUP($C31,$C$3:$D$15,2,FALSE)*BM$20,0,
IF(AND(BL33&lt;VLOOKUP($C31,$C$3:$D$15,2,FALSE)*BM$20,BM32&lt;=VLOOKUP($C31,$C$3:$D$15,2,FALSE)*BM$20),IF(BM32-BL33&lt;0,0,BM32-BL33),
IF(AND(BL33&lt;VLOOKUP($C31,$C$3:$D$15,2,FALSE)*BM$20,BM32&gt;VLOOKUP($C31,$C$3:$D$15,2,FALSE)*BM$20),VLOOKUP($C31,$C$3:$D$15,2,FALSE)*BM$20-BL33)))</f>
        <v>0</v>
      </c>
      <c r="BN31" s="763">
        <f t="shared" ref="BN31" si="701" xml:space="preserve">
IF(BM33&gt;=VLOOKUP($C31,$C$3:$D$15,2,FALSE)*BN$20,0,
IF(AND(BM33&lt;VLOOKUP($C31,$C$3:$D$15,2,FALSE)*BN$20,BN32&lt;=VLOOKUP($C31,$C$3:$D$15,2,FALSE)*BN$20),IF(BN32-BM33&lt;0,0,BN32-BM33),
IF(AND(BM33&lt;VLOOKUP($C31,$C$3:$D$15,2,FALSE)*BN$20,BN32&gt;VLOOKUP($C31,$C$3:$D$15,2,FALSE)*BN$20),VLOOKUP($C31,$C$3:$D$15,2,FALSE)*BN$20-BM33)))</f>
        <v>0</v>
      </c>
      <c r="BO31" s="763">
        <f t="shared" ref="BO31" si="702" xml:space="preserve">
IF(BN33&gt;=VLOOKUP($C31,$C$3:$D$15,2,FALSE)*BO$20,0,
IF(AND(BN33&lt;VLOOKUP($C31,$C$3:$D$15,2,FALSE)*BO$20,BO32&lt;=VLOOKUP($C31,$C$3:$D$15,2,FALSE)*BO$20),IF(BO32-BN33&lt;0,0,BO32-BN33),
IF(AND(BN33&lt;VLOOKUP($C31,$C$3:$D$15,2,FALSE)*BO$20,BO32&gt;VLOOKUP($C31,$C$3:$D$15,2,FALSE)*BO$20),VLOOKUP($C31,$C$3:$D$15,2,FALSE)*BO$20-BN33)))</f>
        <v>0</v>
      </c>
      <c r="BP31" s="763">
        <f t="shared" ref="BP31" si="703" xml:space="preserve">
IF(BO33&gt;=VLOOKUP($C31,$C$3:$D$15,2,FALSE)*BP$20,0,
IF(AND(BO33&lt;VLOOKUP($C31,$C$3:$D$15,2,FALSE)*BP$20,BP32&lt;=VLOOKUP($C31,$C$3:$D$15,2,FALSE)*BP$20),IF(BP32-BO33&lt;0,0,BP32-BO33),
IF(AND(BO33&lt;VLOOKUP($C31,$C$3:$D$15,2,FALSE)*BP$20,BP32&gt;VLOOKUP($C31,$C$3:$D$15,2,FALSE)*BP$20),VLOOKUP($C31,$C$3:$D$15,2,FALSE)*BP$20-BO33)))</f>
        <v>0</v>
      </c>
      <c r="BQ31" s="763">
        <f t="shared" ref="BQ31" si="704" xml:space="preserve">
IF(BP33&gt;=VLOOKUP($C31,$C$3:$D$15,2,FALSE)*BQ$20,0,
IF(AND(BP33&lt;VLOOKUP($C31,$C$3:$D$15,2,FALSE)*BQ$20,BQ32&lt;=VLOOKUP($C31,$C$3:$D$15,2,FALSE)*BQ$20),IF(BQ32-BP33&lt;0,0,BQ32-BP33),
IF(AND(BP33&lt;VLOOKUP($C31,$C$3:$D$15,2,FALSE)*BQ$20,BQ32&gt;VLOOKUP($C31,$C$3:$D$15,2,FALSE)*BQ$20),VLOOKUP($C31,$C$3:$D$15,2,FALSE)*BQ$20-BP33)))</f>
        <v>0</v>
      </c>
      <c r="BR31" s="763">
        <f t="shared" ref="BR31" si="705" xml:space="preserve">
IF(BQ33&gt;=VLOOKUP($C31,$C$3:$D$15,2,FALSE)*BR$20,0,
IF(AND(BQ33&lt;VLOOKUP($C31,$C$3:$D$15,2,FALSE)*BR$20,BR32&lt;=VLOOKUP($C31,$C$3:$D$15,2,FALSE)*BR$20),IF(BR32-BQ33&lt;0,0,BR32-BQ33),
IF(AND(BQ33&lt;VLOOKUP($C31,$C$3:$D$15,2,FALSE)*BR$20,BR32&gt;VLOOKUP($C31,$C$3:$D$15,2,FALSE)*BR$20),VLOOKUP($C31,$C$3:$D$15,2,FALSE)*BR$20-BQ33)))</f>
        <v>0</v>
      </c>
      <c r="BS31" s="763">
        <f t="shared" ref="BS31" si="706" xml:space="preserve">
IF(BR33&gt;=VLOOKUP($C31,$C$3:$D$15,2,FALSE)*BS$20,0,
IF(AND(BR33&lt;VLOOKUP($C31,$C$3:$D$15,2,FALSE)*BS$20,BS32&lt;=VLOOKUP($C31,$C$3:$D$15,2,FALSE)*BS$20),IF(BS32-BR33&lt;0,0,BS32-BR33),
IF(AND(BR33&lt;VLOOKUP($C31,$C$3:$D$15,2,FALSE)*BS$20,BS32&gt;VLOOKUP($C31,$C$3:$D$15,2,FALSE)*BS$20),VLOOKUP($C31,$C$3:$D$15,2,FALSE)*BS$20-BR33)))</f>
        <v>0</v>
      </c>
      <c r="BT31" s="763">
        <f t="shared" ref="BT31" si="707" xml:space="preserve">
IF(BS33&gt;=VLOOKUP($C31,$C$3:$D$15,2,FALSE)*BT$20,0,
IF(AND(BS33&lt;VLOOKUP($C31,$C$3:$D$15,2,FALSE)*BT$20,BT32&lt;=VLOOKUP($C31,$C$3:$D$15,2,FALSE)*BT$20),IF(BT32-BS33&lt;0,0,BT32-BS33),
IF(AND(BS33&lt;VLOOKUP($C31,$C$3:$D$15,2,FALSE)*BT$20,BT32&gt;VLOOKUP($C31,$C$3:$D$15,2,FALSE)*BT$20),VLOOKUP($C31,$C$3:$D$15,2,FALSE)*BT$20-BS33)))</f>
        <v>0</v>
      </c>
      <c r="BU31" s="763">
        <f t="shared" ref="BU31" si="708" xml:space="preserve">
IF(BT33&gt;=VLOOKUP($C31,$C$3:$D$15,2,FALSE)*BU$20,0,
IF(AND(BT33&lt;VLOOKUP($C31,$C$3:$D$15,2,FALSE)*BU$20,BU32&lt;=VLOOKUP($C31,$C$3:$D$15,2,FALSE)*BU$20),IF(BU32-BT33&lt;0,0,BU32-BT33),
IF(AND(BT33&lt;VLOOKUP($C31,$C$3:$D$15,2,FALSE)*BU$20,BU32&gt;VLOOKUP($C31,$C$3:$D$15,2,FALSE)*BU$20),VLOOKUP($C31,$C$3:$D$15,2,FALSE)*BU$20-BT33)))</f>
        <v>0</v>
      </c>
      <c r="BV31" s="763">
        <f t="shared" ref="BV31" si="709" xml:space="preserve">
IF(BU33&gt;=VLOOKUP($C31,$C$3:$D$15,2,FALSE)*BV$20,0,
IF(AND(BU33&lt;VLOOKUP($C31,$C$3:$D$15,2,FALSE)*BV$20,BV32&lt;=VLOOKUP($C31,$C$3:$D$15,2,FALSE)*BV$20),IF(BV32-BU33&lt;0,0,BV32-BU33),
IF(AND(BU33&lt;VLOOKUP($C31,$C$3:$D$15,2,FALSE)*BV$20,BV32&gt;VLOOKUP($C31,$C$3:$D$15,2,FALSE)*BV$20),VLOOKUP($C31,$C$3:$D$15,2,FALSE)*BV$20-BU33)))</f>
        <v>0</v>
      </c>
      <c r="BW31" s="763">
        <f t="shared" ref="BW31" si="710" xml:space="preserve">
IF(BV33&gt;=VLOOKUP($C31,$C$3:$D$15,2,FALSE)*BW$20,0,
IF(AND(BV33&lt;VLOOKUP($C31,$C$3:$D$15,2,FALSE)*BW$20,BW32&lt;=VLOOKUP($C31,$C$3:$D$15,2,FALSE)*BW$20),IF(BW32-BV33&lt;0,0,BW32-BV33),
IF(AND(BV33&lt;VLOOKUP($C31,$C$3:$D$15,2,FALSE)*BW$20,BW32&gt;VLOOKUP($C31,$C$3:$D$15,2,FALSE)*BW$20),VLOOKUP($C31,$C$3:$D$15,2,FALSE)*BW$20-BV33)))</f>
        <v>0</v>
      </c>
      <c r="BX31" s="763">
        <f t="shared" ref="BX31" si="711" xml:space="preserve">
IF(BW33&gt;=VLOOKUP($C31,$C$3:$D$15,2,FALSE)*BX$20,0,
IF(AND(BW33&lt;VLOOKUP($C31,$C$3:$D$15,2,FALSE)*BX$20,BX32&lt;=VLOOKUP($C31,$C$3:$D$15,2,FALSE)*BX$20),IF(BX32-BW33&lt;0,0,BX32-BW33),
IF(AND(BW33&lt;VLOOKUP($C31,$C$3:$D$15,2,FALSE)*BX$20,BX32&gt;VLOOKUP($C31,$C$3:$D$15,2,FALSE)*BX$20),VLOOKUP($C31,$C$3:$D$15,2,FALSE)*BX$20-BW33)))</f>
        <v>0</v>
      </c>
      <c r="BY31" s="763">
        <f t="shared" ref="BY31" si="712" xml:space="preserve">
IF(BX33&gt;=VLOOKUP($C31,$C$3:$D$15,2,FALSE)*BY$20,0,
IF(AND(BX33&lt;VLOOKUP($C31,$C$3:$D$15,2,FALSE)*BY$20,BY32&lt;=VLOOKUP($C31,$C$3:$D$15,2,FALSE)*BY$20),IF(BY32-BX33&lt;0,0,BY32-BX33),
IF(AND(BX33&lt;VLOOKUP($C31,$C$3:$D$15,2,FALSE)*BY$20,BY32&gt;VLOOKUP($C31,$C$3:$D$15,2,FALSE)*BY$20),VLOOKUP($C31,$C$3:$D$15,2,FALSE)*BY$20-BX33)))</f>
        <v>0</v>
      </c>
      <c r="BZ31" s="763">
        <f t="shared" ref="BZ31" si="713" xml:space="preserve">
IF(BY33&gt;=VLOOKUP($C31,$C$3:$D$15,2,FALSE)*BZ$20,0,
IF(AND(BY33&lt;VLOOKUP($C31,$C$3:$D$15,2,FALSE)*BZ$20,BZ32&lt;=VLOOKUP($C31,$C$3:$D$15,2,FALSE)*BZ$20),IF(BZ32-BY33&lt;0,0,BZ32-BY33),
IF(AND(BY33&lt;VLOOKUP($C31,$C$3:$D$15,2,FALSE)*BZ$20,BZ32&gt;VLOOKUP($C31,$C$3:$D$15,2,FALSE)*BZ$20),VLOOKUP($C31,$C$3:$D$15,2,FALSE)*BZ$20-BY33)))</f>
        <v>0</v>
      </c>
      <c r="CA31" s="763">
        <f t="shared" ref="CA31" si="714" xml:space="preserve">
IF(BZ33&gt;=VLOOKUP($C31,$C$3:$D$15,2,FALSE)*CA$20,0,
IF(AND(BZ33&lt;VLOOKUP($C31,$C$3:$D$15,2,FALSE)*CA$20,CA32&lt;=VLOOKUP($C31,$C$3:$D$15,2,FALSE)*CA$20),IF(CA32-BZ33&lt;0,0,CA32-BZ33),
IF(AND(BZ33&lt;VLOOKUP($C31,$C$3:$D$15,2,FALSE)*CA$20,CA32&gt;VLOOKUP($C31,$C$3:$D$15,2,FALSE)*CA$20),VLOOKUP($C31,$C$3:$D$15,2,FALSE)*CA$20-BZ33)))</f>
        <v>0</v>
      </c>
      <c r="CB31" s="763">
        <f t="shared" ref="CB31" si="715" xml:space="preserve">
IF(CA33&gt;=VLOOKUP($C31,$C$3:$D$15,2,FALSE)*CB$20,0,
IF(AND(CA33&lt;VLOOKUP($C31,$C$3:$D$15,2,FALSE)*CB$20,CB32&lt;=VLOOKUP($C31,$C$3:$D$15,2,FALSE)*CB$20),IF(CB32-CA33&lt;0,0,CB32-CA33),
IF(AND(CA33&lt;VLOOKUP($C31,$C$3:$D$15,2,FALSE)*CB$20,CB32&gt;VLOOKUP($C31,$C$3:$D$15,2,FALSE)*CB$20),VLOOKUP($C31,$C$3:$D$15,2,FALSE)*CB$20-CA33)))</f>
        <v>0</v>
      </c>
      <c r="CC31" s="763">
        <f t="shared" ref="CC31" si="716" xml:space="preserve">
IF(CB33&gt;=VLOOKUP($C31,$C$3:$D$15,2,FALSE)*CC$20,0,
IF(AND(CB33&lt;VLOOKUP($C31,$C$3:$D$15,2,FALSE)*CC$20,CC32&lt;=VLOOKUP($C31,$C$3:$D$15,2,FALSE)*CC$20),IF(CC32-CB33&lt;0,0,CC32-CB33),
IF(AND(CB33&lt;VLOOKUP($C31,$C$3:$D$15,2,FALSE)*CC$20,CC32&gt;VLOOKUP($C31,$C$3:$D$15,2,FALSE)*CC$20),VLOOKUP($C31,$C$3:$D$15,2,FALSE)*CC$20-CB33)))</f>
        <v>0</v>
      </c>
      <c r="CD31" s="763">
        <f t="shared" ref="CD31" si="717" xml:space="preserve">
IF(CC33&gt;=VLOOKUP($C31,$C$3:$D$15,2,FALSE)*CD$20,0,
IF(AND(CC33&lt;VLOOKUP($C31,$C$3:$D$15,2,FALSE)*CD$20,CD32&lt;=VLOOKUP($C31,$C$3:$D$15,2,FALSE)*CD$20),IF(CD32-CC33&lt;0,0,CD32-CC33),
IF(AND(CC33&lt;VLOOKUP($C31,$C$3:$D$15,2,FALSE)*CD$20,CD32&gt;VLOOKUP($C31,$C$3:$D$15,2,FALSE)*CD$20),VLOOKUP($C31,$C$3:$D$15,2,FALSE)*CD$20-CC33)))</f>
        <v>0</v>
      </c>
      <c r="CE31" s="763">
        <f t="shared" ref="CE31" si="718" xml:space="preserve">
IF(CD33&gt;=VLOOKUP($C31,$C$3:$D$15,2,FALSE)*CE$20,0,
IF(AND(CD33&lt;VLOOKUP($C31,$C$3:$D$15,2,FALSE)*CE$20,CE32&lt;=VLOOKUP($C31,$C$3:$D$15,2,FALSE)*CE$20),IF(CE32-CD33&lt;0,0,CE32-CD33),
IF(AND(CD33&lt;VLOOKUP($C31,$C$3:$D$15,2,FALSE)*CE$20,CE32&gt;VLOOKUP($C31,$C$3:$D$15,2,FALSE)*CE$20),VLOOKUP($C31,$C$3:$D$15,2,FALSE)*CE$20-CD33)))</f>
        <v>0</v>
      </c>
      <c r="CF31" s="763">
        <f t="shared" ref="CF31" si="719" xml:space="preserve">
IF(CE33&gt;=VLOOKUP($C31,$C$3:$D$15,2,FALSE)*CF$20,0,
IF(AND(CE33&lt;VLOOKUP($C31,$C$3:$D$15,2,FALSE)*CF$20,CF32&lt;=VLOOKUP($C31,$C$3:$D$15,2,FALSE)*CF$20),IF(CF32-CE33&lt;0,0,CF32-CE33),
IF(AND(CE33&lt;VLOOKUP($C31,$C$3:$D$15,2,FALSE)*CF$20,CF32&gt;VLOOKUP($C31,$C$3:$D$15,2,FALSE)*CF$20),VLOOKUP($C31,$C$3:$D$15,2,FALSE)*CF$20-CE33)))</f>
        <v>0</v>
      </c>
      <c r="CG31" s="763">
        <f t="shared" ref="CG31" si="720" xml:space="preserve">
IF(CF33&gt;=VLOOKUP($C31,$C$3:$D$15,2,FALSE)*CG$20,0,
IF(AND(CF33&lt;VLOOKUP($C31,$C$3:$D$15,2,FALSE)*CG$20,CG32&lt;=VLOOKUP($C31,$C$3:$D$15,2,FALSE)*CG$20),IF(CG32-CF33&lt;0,0,CG32-CF33),
IF(AND(CF33&lt;VLOOKUP($C31,$C$3:$D$15,2,FALSE)*CG$20,CG32&gt;VLOOKUP($C31,$C$3:$D$15,2,FALSE)*CG$20),VLOOKUP($C31,$C$3:$D$15,2,FALSE)*CG$20-CF33)))</f>
        <v>0</v>
      </c>
      <c r="CH31" s="763">
        <f t="shared" ref="CH31" si="721" xml:space="preserve">
IF(CG33&gt;=VLOOKUP($C31,$C$3:$D$15,2,FALSE)*CH$20,0,
IF(AND(CG33&lt;VLOOKUP($C31,$C$3:$D$15,2,FALSE)*CH$20,CH32&lt;=VLOOKUP($C31,$C$3:$D$15,2,FALSE)*CH$20),IF(CH32-CG33&lt;0,0,CH32-CG33),
IF(AND(CG33&lt;VLOOKUP($C31,$C$3:$D$15,2,FALSE)*CH$20,CH32&gt;VLOOKUP($C31,$C$3:$D$15,2,FALSE)*CH$20),VLOOKUP($C31,$C$3:$D$15,2,FALSE)*CH$20-CG33)))</f>
        <v>0</v>
      </c>
      <c r="CI31" s="763">
        <f t="shared" ref="CI31" si="722" xml:space="preserve">
IF(CH33&gt;=VLOOKUP($C31,$C$3:$D$15,2,FALSE)*CI$20,0,
IF(AND(CH33&lt;VLOOKUP($C31,$C$3:$D$15,2,FALSE)*CI$20,CI32&lt;=VLOOKUP($C31,$C$3:$D$15,2,FALSE)*CI$20),IF(CI32-CH33&lt;0,0,CI32-CH33),
IF(AND(CH33&lt;VLOOKUP($C31,$C$3:$D$15,2,FALSE)*CI$20,CI32&gt;VLOOKUP($C31,$C$3:$D$15,2,FALSE)*CI$20),VLOOKUP($C31,$C$3:$D$15,2,FALSE)*CI$20-CH33)))</f>
        <v>0</v>
      </c>
      <c r="CJ31" s="763">
        <f t="shared" ref="CJ31" si="723" xml:space="preserve">
IF(CI33&gt;=VLOOKUP($C31,$C$3:$D$15,2,FALSE)*CJ$20,0,
IF(AND(CI33&lt;VLOOKUP($C31,$C$3:$D$15,2,FALSE)*CJ$20,CJ32&lt;=VLOOKUP($C31,$C$3:$D$15,2,FALSE)*CJ$20),IF(CJ32-CI33&lt;0,0,CJ32-CI33),
IF(AND(CI33&lt;VLOOKUP($C31,$C$3:$D$15,2,FALSE)*CJ$20,CJ32&gt;VLOOKUP($C31,$C$3:$D$15,2,FALSE)*CJ$20),VLOOKUP($C31,$C$3:$D$15,2,FALSE)*CJ$20-CI33)))</f>
        <v>0</v>
      </c>
      <c r="CK31" s="763">
        <f t="shared" ref="CK31" si="724" xml:space="preserve">
IF(CJ33&gt;=VLOOKUP($C31,$C$3:$D$15,2,FALSE)*CK$20,0,
IF(AND(CJ33&lt;VLOOKUP($C31,$C$3:$D$15,2,FALSE)*CK$20,CK32&lt;=VLOOKUP($C31,$C$3:$D$15,2,FALSE)*CK$20),IF(CK32-CJ33&lt;0,0,CK32-CJ33),
IF(AND(CJ33&lt;VLOOKUP($C31,$C$3:$D$15,2,FALSE)*CK$20,CK32&gt;VLOOKUP($C31,$C$3:$D$15,2,FALSE)*CK$20),VLOOKUP($C31,$C$3:$D$15,2,FALSE)*CK$20-CJ33)))</f>
        <v>0</v>
      </c>
      <c r="CL31" s="763">
        <f t="shared" ref="CL31" si="725" xml:space="preserve">
IF(CK33&gt;=VLOOKUP($C31,$C$3:$D$15,2,FALSE)*CL$20,0,
IF(AND(CK33&lt;VLOOKUP($C31,$C$3:$D$15,2,FALSE)*CL$20,CL32&lt;=VLOOKUP($C31,$C$3:$D$15,2,FALSE)*CL$20),IF(CL32-CK33&lt;0,0,CL32-CK33),
IF(AND(CK33&lt;VLOOKUP($C31,$C$3:$D$15,2,FALSE)*CL$20,CL32&gt;VLOOKUP($C31,$C$3:$D$15,2,FALSE)*CL$20),VLOOKUP($C31,$C$3:$D$15,2,FALSE)*CL$20-CK33)))</f>
        <v>0</v>
      </c>
      <c r="CM31" s="763">
        <f t="shared" ref="CM31" si="726" xml:space="preserve">
IF(CL33&gt;=VLOOKUP($C31,$C$3:$D$15,2,FALSE)*CM$20,0,
IF(AND(CL33&lt;VLOOKUP($C31,$C$3:$D$15,2,FALSE)*CM$20,CM32&lt;=VLOOKUP($C31,$C$3:$D$15,2,FALSE)*CM$20),IF(CM32-CL33&lt;0,0,CM32-CL33),
IF(AND(CL33&lt;VLOOKUP($C31,$C$3:$D$15,2,FALSE)*CM$20,CM32&gt;VLOOKUP($C31,$C$3:$D$15,2,FALSE)*CM$20),VLOOKUP($C31,$C$3:$D$15,2,FALSE)*CM$20-CL33)))</f>
        <v>0</v>
      </c>
      <c r="CN31" s="763">
        <f t="shared" ref="CN31" si="727" xml:space="preserve">
IF(CM33&gt;=VLOOKUP($C31,$C$3:$D$15,2,FALSE)*CN$20,0,
IF(AND(CM33&lt;VLOOKUP($C31,$C$3:$D$15,2,FALSE)*CN$20,CN32&lt;=VLOOKUP($C31,$C$3:$D$15,2,FALSE)*CN$20),IF(CN32-CM33&lt;0,0,CN32-CM33),
IF(AND(CM33&lt;VLOOKUP($C31,$C$3:$D$15,2,FALSE)*CN$20,CN32&gt;VLOOKUP($C31,$C$3:$D$15,2,FALSE)*CN$20),VLOOKUP($C31,$C$3:$D$15,2,FALSE)*CN$20-CM33)))</f>
        <v>0</v>
      </c>
      <c r="CO31" s="763">
        <f t="shared" ref="CO31" si="728" xml:space="preserve">
IF(CN33&gt;=VLOOKUP($C31,$C$3:$D$15,2,FALSE)*CO$20,0,
IF(AND(CN33&lt;VLOOKUP($C31,$C$3:$D$15,2,FALSE)*CO$20,CO32&lt;=VLOOKUP($C31,$C$3:$D$15,2,FALSE)*CO$20),IF(CO32-CN33&lt;0,0,CO32-CN33),
IF(AND(CN33&lt;VLOOKUP($C31,$C$3:$D$15,2,FALSE)*CO$20,CO32&gt;VLOOKUP($C31,$C$3:$D$15,2,FALSE)*CO$20),VLOOKUP($C31,$C$3:$D$15,2,FALSE)*CO$20-CN33)))</f>
        <v>0</v>
      </c>
      <c r="CP31" s="763">
        <f t="shared" ref="CP31" si="729" xml:space="preserve">
IF(CO33&gt;=VLOOKUP($C31,$C$3:$D$15,2,FALSE)*CP$20,0,
IF(AND(CO33&lt;VLOOKUP($C31,$C$3:$D$15,2,FALSE)*CP$20,CP32&lt;=VLOOKUP($C31,$C$3:$D$15,2,FALSE)*CP$20),IF(CP32-CO33&lt;0,0,CP32-CO33),
IF(AND(CO33&lt;VLOOKUP($C31,$C$3:$D$15,2,FALSE)*CP$20,CP32&gt;VLOOKUP($C31,$C$3:$D$15,2,FALSE)*CP$20),VLOOKUP($C31,$C$3:$D$15,2,FALSE)*CP$20-CO33)))</f>
        <v>0</v>
      </c>
      <c r="CQ31" s="763">
        <f t="shared" ref="CQ31" si="730" xml:space="preserve">
IF(CP33&gt;=VLOOKUP($C31,$C$3:$D$15,2,FALSE)*CQ$20,0,
IF(AND(CP33&lt;VLOOKUP($C31,$C$3:$D$15,2,FALSE)*CQ$20,CQ32&lt;=VLOOKUP($C31,$C$3:$D$15,2,FALSE)*CQ$20),IF(CQ32-CP33&lt;0,0,CQ32-CP33),
IF(AND(CP33&lt;VLOOKUP($C31,$C$3:$D$15,2,FALSE)*CQ$20,CQ32&gt;VLOOKUP($C31,$C$3:$D$15,2,FALSE)*CQ$20),VLOOKUP($C31,$C$3:$D$15,2,FALSE)*CQ$20-CP33)))</f>
        <v>0</v>
      </c>
      <c r="CR31" s="763">
        <f t="shared" ref="CR31" si="731" xml:space="preserve">
IF(CQ33&gt;=VLOOKUP($C31,$C$3:$D$15,2,FALSE)*CR$20,0,
IF(AND(CQ33&lt;VLOOKUP($C31,$C$3:$D$15,2,FALSE)*CR$20,CR32&lt;=VLOOKUP($C31,$C$3:$D$15,2,FALSE)*CR$20),IF(CR32-CQ33&lt;0,0,CR32-CQ33),
IF(AND(CQ33&lt;VLOOKUP($C31,$C$3:$D$15,2,FALSE)*CR$20,CR32&gt;VLOOKUP($C31,$C$3:$D$15,2,FALSE)*CR$20),VLOOKUP($C31,$C$3:$D$15,2,FALSE)*CR$20-CQ33)))</f>
        <v>0</v>
      </c>
      <c r="CS31" s="763">
        <f t="shared" ref="CS31" si="732" xml:space="preserve">
IF(CR33&gt;=VLOOKUP($C31,$C$3:$D$15,2,FALSE)*CS$20,0,
IF(AND(CR33&lt;VLOOKUP($C31,$C$3:$D$15,2,FALSE)*CS$20,CS32&lt;=VLOOKUP($C31,$C$3:$D$15,2,FALSE)*CS$20),IF(CS32-CR33&lt;0,0,CS32-CR33),
IF(AND(CR33&lt;VLOOKUP($C31,$C$3:$D$15,2,FALSE)*CS$20,CS32&gt;VLOOKUP($C31,$C$3:$D$15,2,FALSE)*CS$20),VLOOKUP($C31,$C$3:$D$15,2,FALSE)*CS$20-CR33)))</f>
        <v>0</v>
      </c>
      <c r="CT31" s="763">
        <f t="shared" ref="CT31" si="733" xml:space="preserve">
IF(CS33&gt;=VLOOKUP($C31,$C$3:$D$15,2,FALSE)*CT$20,0,
IF(AND(CS33&lt;VLOOKUP($C31,$C$3:$D$15,2,FALSE)*CT$20,CT32&lt;=VLOOKUP($C31,$C$3:$D$15,2,FALSE)*CT$20),IF(CT32-CS33&lt;0,0,CT32-CS33),
IF(AND(CS33&lt;VLOOKUP($C31,$C$3:$D$15,2,FALSE)*CT$20,CT32&gt;VLOOKUP($C31,$C$3:$D$15,2,FALSE)*CT$20),VLOOKUP($C31,$C$3:$D$15,2,FALSE)*CT$20-CS33)))</f>
        <v>0</v>
      </c>
      <c r="CU31" s="763">
        <f t="shared" ref="CU31" si="734" xml:space="preserve">
IF(CT33&gt;=VLOOKUP($C31,$C$3:$D$15,2,FALSE)*CU$20,0,
IF(AND(CT33&lt;VLOOKUP($C31,$C$3:$D$15,2,FALSE)*CU$20,CU32&lt;=VLOOKUP($C31,$C$3:$D$15,2,FALSE)*CU$20),IF(CU32-CT33&lt;0,0,CU32-CT33),
IF(AND(CT33&lt;VLOOKUP($C31,$C$3:$D$15,2,FALSE)*CU$20,CU32&gt;VLOOKUP($C31,$C$3:$D$15,2,FALSE)*CU$20),VLOOKUP($C31,$C$3:$D$15,2,FALSE)*CU$20-CT33)))</f>
        <v>0</v>
      </c>
      <c r="CV31" s="763">
        <f t="shared" ref="CV31" si="735" xml:space="preserve">
IF(CU33&gt;=VLOOKUP($C31,$C$3:$D$15,2,FALSE)*CV$20,0,
IF(AND(CU33&lt;VLOOKUP($C31,$C$3:$D$15,2,FALSE)*CV$20,CV32&lt;=VLOOKUP($C31,$C$3:$D$15,2,FALSE)*CV$20),IF(CV32-CU33&lt;0,0,CV32-CU33),
IF(AND(CU33&lt;VLOOKUP($C31,$C$3:$D$15,2,FALSE)*CV$20,CV32&gt;VLOOKUP($C31,$C$3:$D$15,2,FALSE)*CV$20),VLOOKUP($C31,$C$3:$D$15,2,FALSE)*CV$20-CU33)))</f>
        <v>0</v>
      </c>
      <c r="CW31" s="763">
        <f t="shared" ref="CW31" si="736" xml:space="preserve">
IF(CV33&gt;=VLOOKUP($C31,$C$3:$D$15,2,FALSE)*CW$20,0,
IF(AND(CV33&lt;VLOOKUP($C31,$C$3:$D$15,2,FALSE)*CW$20,CW32&lt;=VLOOKUP($C31,$C$3:$D$15,2,FALSE)*CW$20),IF(CW32-CV33&lt;0,0,CW32-CV33),
IF(AND(CV33&lt;VLOOKUP($C31,$C$3:$D$15,2,FALSE)*CW$20,CW32&gt;VLOOKUP($C31,$C$3:$D$15,2,FALSE)*CW$20),VLOOKUP($C31,$C$3:$D$15,2,FALSE)*CW$20-CV33)))</f>
        <v>0</v>
      </c>
      <c r="CX31" s="763">
        <f t="shared" ref="CX31" si="737" xml:space="preserve">
IF(CW33&gt;=VLOOKUP($C31,$C$3:$D$15,2,FALSE)*CX$20,0,
IF(AND(CW33&lt;VLOOKUP($C31,$C$3:$D$15,2,FALSE)*CX$20,CX32&lt;=VLOOKUP($C31,$C$3:$D$15,2,FALSE)*CX$20),IF(CX32-CW33&lt;0,0,CX32-CW33),
IF(AND(CW33&lt;VLOOKUP($C31,$C$3:$D$15,2,FALSE)*CX$20,CX32&gt;VLOOKUP($C31,$C$3:$D$15,2,FALSE)*CX$20),VLOOKUP($C31,$C$3:$D$15,2,FALSE)*CX$20-CW33)))</f>
        <v>0</v>
      </c>
      <c r="CY31" s="763">
        <f t="shared" ref="CY31" si="738" xml:space="preserve">
IF(CX33&gt;=VLOOKUP($C31,$C$3:$D$15,2,FALSE)*CY$20,0,
IF(AND(CX33&lt;VLOOKUP($C31,$C$3:$D$15,2,FALSE)*CY$20,CY32&lt;=VLOOKUP($C31,$C$3:$D$15,2,FALSE)*CY$20),IF(CY32-CX33&lt;0,0,CY32-CX33),
IF(AND(CX33&lt;VLOOKUP($C31,$C$3:$D$15,2,FALSE)*CY$20,CY32&gt;VLOOKUP($C31,$C$3:$D$15,2,FALSE)*CY$20),VLOOKUP($C31,$C$3:$D$15,2,FALSE)*CY$20-CX33)))</f>
        <v>0</v>
      </c>
      <c r="CZ31" s="763">
        <f t="shared" ref="CZ31" si="739" xml:space="preserve">
IF(CY33&gt;=VLOOKUP($C31,$C$3:$D$15,2,FALSE)*CZ$20,0,
IF(AND(CY33&lt;VLOOKUP($C31,$C$3:$D$15,2,FALSE)*CZ$20,CZ32&lt;=VLOOKUP($C31,$C$3:$D$15,2,FALSE)*CZ$20),IF(CZ32-CY33&lt;0,0,CZ32-CY33),
IF(AND(CY33&lt;VLOOKUP($C31,$C$3:$D$15,2,FALSE)*CZ$20,CZ32&gt;VLOOKUP($C31,$C$3:$D$15,2,FALSE)*CZ$20),VLOOKUP($C31,$C$3:$D$15,2,FALSE)*CZ$20-CY33)))</f>
        <v>0</v>
      </c>
      <c r="DA31" s="763">
        <f t="shared" ref="DA31" si="740" xml:space="preserve">
IF(CZ33&gt;=VLOOKUP($C31,$C$3:$D$15,2,FALSE)*DA$20,0,
IF(AND(CZ33&lt;VLOOKUP($C31,$C$3:$D$15,2,FALSE)*DA$20,DA32&lt;=VLOOKUP($C31,$C$3:$D$15,2,FALSE)*DA$20),IF(DA32-CZ33&lt;0,0,DA32-CZ33),
IF(AND(CZ33&lt;VLOOKUP($C31,$C$3:$D$15,2,FALSE)*DA$20,DA32&gt;VLOOKUP($C31,$C$3:$D$15,2,FALSE)*DA$20),VLOOKUP($C31,$C$3:$D$15,2,FALSE)*DA$20-CZ33)))</f>
        <v>0</v>
      </c>
      <c r="DB31" s="763">
        <f t="shared" ref="DB31" si="741" xml:space="preserve">
IF(DA33&gt;=VLOOKUP($C31,$C$3:$D$15,2,FALSE)*DB$20,0,
IF(AND(DA33&lt;VLOOKUP($C31,$C$3:$D$15,2,FALSE)*DB$20,DB32&lt;=VLOOKUP($C31,$C$3:$D$15,2,FALSE)*DB$20),IF(DB32-DA33&lt;0,0,DB32-DA33),
IF(AND(DA33&lt;VLOOKUP($C31,$C$3:$D$15,2,FALSE)*DB$20,DB32&gt;VLOOKUP($C31,$C$3:$D$15,2,FALSE)*DB$20),VLOOKUP($C31,$C$3:$D$15,2,FALSE)*DB$20-DA33)))</f>
        <v>0</v>
      </c>
      <c r="DC31" s="763">
        <f t="shared" ref="DC31" si="742" xml:space="preserve">
IF(DB33&gt;=VLOOKUP($C31,$C$3:$D$15,2,FALSE)*DC$20,0,
IF(AND(DB33&lt;VLOOKUP($C31,$C$3:$D$15,2,FALSE)*DC$20,DC32&lt;=VLOOKUP($C31,$C$3:$D$15,2,FALSE)*DC$20),IF(DC32-DB33&lt;0,0,DC32-DB33),
IF(AND(DB33&lt;VLOOKUP($C31,$C$3:$D$15,2,FALSE)*DC$20,DC32&gt;VLOOKUP($C31,$C$3:$D$15,2,FALSE)*DC$20),VLOOKUP($C31,$C$3:$D$15,2,FALSE)*DC$20-DB33)))</f>
        <v>0</v>
      </c>
      <c r="DD31" s="763">
        <f t="shared" ref="DD31" si="743" xml:space="preserve">
IF(DC33&gt;=VLOOKUP($C31,$C$3:$D$15,2,FALSE)*DD$20,0,
IF(AND(DC33&lt;VLOOKUP($C31,$C$3:$D$15,2,FALSE)*DD$20,DD32&lt;=VLOOKUP($C31,$C$3:$D$15,2,FALSE)*DD$20),IF(DD32-DC33&lt;0,0,DD32-DC33),
IF(AND(DC33&lt;VLOOKUP($C31,$C$3:$D$15,2,FALSE)*DD$20,DD32&gt;VLOOKUP($C31,$C$3:$D$15,2,FALSE)*DD$20),VLOOKUP($C31,$C$3:$D$15,2,FALSE)*DD$20-DC33)))</f>
        <v>0</v>
      </c>
      <c r="DE31" s="763">
        <f t="shared" ref="DE31" si="744" xml:space="preserve">
IF(DD33&gt;=VLOOKUP($C31,$C$3:$D$15,2,FALSE)*DE$20,0,
IF(AND(DD33&lt;VLOOKUP($C31,$C$3:$D$15,2,FALSE)*DE$20,DE32&lt;=VLOOKUP($C31,$C$3:$D$15,2,FALSE)*DE$20),IF(DE32-DD33&lt;0,0,DE32-DD33),
IF(AND(DD33&lt;VLOOKUP($C31,$C$3:$D$15,2,FALSE)*DE$20,DE32&gt;VLOOKUP($C31,$C$3:$D$15,2,FALSE)*DE$20),VLOOKUP($C31,$C$3:$D$15,2,FALSE)*DE$20-DD33)))</f>
        <v>0</v>
      </c>
      <c r="DF31" s="763">
        <f t="shared" ref="DF31" si="745" xml:space="preserve">
IF(DE33&gt;=VLOOKUP($C31,$C$3:$D$15,2,FALSE)*DF$20,0,
IF(AND(DE33&lt;VLOOKUP($C31,$C$3:$D$15,2,FALSE)*DF$20,DF32&lt;=VLOOKUP($C31,$C$3:$D$15,2,FALSE)*DF$20),IF(DF32-DE33&lt;0,0,DF32-DE33),
IF(AND(DE33&lt;VLOOKUP($C31,$C$3:$D$15,2,FALSE)*DF$20,DF32&gt;VLOOKUP($C31,$C$3:$D$15,2,FALSE)*DF$20),VLOOKUP($C31,$C$3:$D$15,2,FALSE)*DF$20-DE33)))</f>
        <v>0</v>
      </c>
      <c r="DG31" s="763">
        <f t="shared" ref="DG31" si="746" xml:space="preserve">
IF(DF33&gt;=VLOOKUP($C31,$C$3:$D$15,2,FALSE)*DG$20,0,
IF(AND(DF33&lt;VLOOKUP($C31,$C$3:$D$15,2,FALSE)*DG$20,DG32&lt;=VLOOKUP($C31,$C$3:$D$15,2,FALSE)*DG$20),IF(DG32-DF33&lt;0,0,DG32-DF33),
IF(AND(DF33&lt;VLOOKUP($C31,$C$3:$D$15,2,FALSE)*DG$20,DG32&gt;VLOOKUP($C31,$C$3:$D$15,2,FALSE)*DG$20),VLOOKUP($C31,$C$3:$D$15,2,FALSE)*DG$20-DF33)))</f>
        <v>0</v>
      </c>
      <c r="DH31" s="763">
        <f t="shared" ref="DH31" si="747" xml:space="preserve">
IF(DG33&gt;=VLOOKUP($C31,$C$3:$D$15,2,FALSE)*DH$20,0,
IF(AND(DG33&lt;VLOOKUP($C31,$C$3:$D$15,2,FALSE)*DH$20,DH32&lt;=VLOOKUP($C31,$C$3:$D$15,2,FALSE)*DH$20),IF(DH32-DG33&lt;0,0,DH32-DG33),
IF(AND(DG33&lt;VLOOKUP($C31,$C$3:$D$15,2,FALSE)*DH$20,DH32&gt;VLOOKUP($C31,$C$3:$D$15,2,FALSE)*DH$20),VLOOKUP($C31,$C$3:$D$15,2,FALSE)*DH$20-DG33)))</f>
        <v>0</v>
      </c>
      <c r="DI31" s="763">
        <f t="shared" ref="DI31" si="748" xml:space="preserve">
IF(DH33&gt;=VLOOKUP($C31,$C$3:$D$15,2,FALSE)*DI$20,0,
IF(AND(DH33&lt;VLOOKUP($C31,$C$3:$D$15,2,FALSE)*DI$20,DI32&lt;=VLOOKUP($C31,$C$3:$D$15,2,FALSE)*DI$20),IF(DI32-DH33&lt;0,0,DI32-DH33),
IF(AND(DH33&lt;VLOOKUP($C31,$C$3:$D$15,2,FALSE)*DI$20,DI32&gt;VLOOKUP($C31,$C$3:$D$15,2,FALSE)*DI$20),VLOOKUP($C31,$C$3:$D$15,2,FALSE)*DI$20-DH33)))</f>
        <v>0</v>
      </c>
      <c r="DJ31" s="763">
        <f t="shared" ref="DJ31" si="749" xml:space="preserve">
IF(DI33&gt;=VLOOKUP($C31,$C$3:$D$15,2,FALSE)*DJ$20,0,
IF(AND(DI33&lt;VLOOKUP($C31,$C$3:$D$15,2,FALSE)*DJ$20,DJ32&lt;=VLOOKUP($C31,$C$3:$D$15,2,FALSE)*DJ$20),IF(DJ32-DI33&lt;0,0,DJ32-DI33),
IF(AND(DI33&lt;VLOOKUP($C31,$C$3:$D$15,2,FALSE)*DJ$20,DJ32&gt;VLOOKUP($C31,$C$3:$D$15,2,FALSE)*DJ$20),VLOOKUP($C31,$C$3:$D$15,2,FALSE)*DJ$20-DI33)))</f>
        <v>0</v>
      </c>
      <c r="DK31" s="763">
        <f t="shared" ref="DK31" si="750" xml:space="preserve">
IF(DJ33&gt;=VLOOKUP($C31,$C$3:$D$15,2,FALSE)*DK$20,0,
IF(AND(DJ33&lt;VLOOKUP($C31,$C$3:$D$15,2,FALSE)*DK$20,DK32&lt;=VLOOKUP($C31,$C$3:$D$15,2,FALSE)*DK$20),IF(DK32-DJ33&lt;0,0,DK32-DJ33),
IF(AND(DJ33&lt;VLOOKUP($C31,$C$3:$D$15,2,FALSE)*DK$20,DK32&gt;VLOOKUP($C31,$C$3:$D$15,2,FALSE)*DK$20),VLOOKUP($C31,$C$3:$D$15,2,FALSE)*DK$20-DJ33)))</f>
        <v>0</v>
      </c>
      <c r="DL31" s="763">
        <f t="shared" ref="DL31" si="751" xml:space="preserve">
IF(DK33&gt;=VLOOKUP($C31,$C$3:$D$15,2,FALSE)*DL$20,0,
IF(AND(DK33&lt;VLOOKUP($C31,$C$3:$D$15,2,FALSE)*DL$20,DL32&lt;=VLOOKUP($C31,$C$3:$D$15,2,FALSE)*DL$20),IF(DL32-DK33&lt;0,0,DL32-DK33),
IF(AND(DK33&lt;VLOOKUP($C31,$C$3:$D$15,2,FALSE)*DL$20,DL32&gt;VLOOKUP($C31,$C$3:$D$15,2,FALSE)*DL$20),VLOOKUP($C31,$C$3:$D$15,2,FALSE)*DL$20-DK33)))</f>
        <v>0</v>
      </c>
      <c r="DM31" s="763">
        <f t="shared" ref="DM31" si="752" xml:space="preserve">
IF(DL33&gt;=VLOOKUP($C31,$C$3:$D$15,2,FALSE)*DM$20,0,
IF(AND(DL33&lt;VLOOKUP($C31,$C$3:$D$15,2,FALSE)*DM$20,DM32&lt;=VLOOKUP($C31,$C$3:$D$15,2,FALSE)*DM$20),IF(DM32-DL33&lt;0,0,DM32-DL33),
IF(AND(DL33&lt;VLOOKUP($C31,$C$3:$D$15,2,FALSE)*DM$20,DM32&gt;VLOOKUP($C31,$C$3:$D$15,2,FALSE)*DM$20),VLOOKUP($C31,$C$3:$D$15,2,FALSE)*DM$20-DL33)))</f>
        <v>0</v>
      </c>
      <c r="DN31" s="763">
        <f t="shared" ref="DN31" si="753" xml:space="preserve">
IF(DM33&gt;=VLOOKUP($C31,$C$3:$D$15,2,FALSE)*DN$20,0,
IF(AND(DM33&lt;VLOOKUP($C31,$C$3:$D$15,2,FALSE)*DN$20,DN32&lt;=VLOOKUP($C31,$C$3:$D$15,2,FALSE)*DN$20),IF(DN32-DM33&lt;0,0,DN32-DM33),
IF(AND(DM33&lt;VLOOKUP($C31,$C$3:$D$15,2,FALSE)*DN$20,DN32&gt;VLOOKUP($C31,$C$3:$D$15,2,FALSE)*DN$20),VLOOKUP($C31,$C$3:$D$15,2,FALSE)*DN$20-DM33)))</f>
        <v>0</v>
      </c>
      <c r="DO31" s="763">
        <f t="shared" ref="DO31" si="754" xml:space="preserve">
IF(DN33&gt;=VLOOKUP($C31,$C$3:$D$15,2,FALSE)*DO$20,0,
IF(AND(DN33&lt;VLOOKUP($C31,$C$3:$D$15,2,FALSE)*DO$20,DO32&lt;=VLOOKUP($C31,$C$3:$D$15,2,FALSE)*DO$20),IF(DO32-DN33&lt;0,0,DO32-DN33),
IF(AND(DN33&lt;VLOOKUP($C31,$C$3:$D$15,2,FALSE)*DO$20,DO32&gt;VLOOKUP($C31,$C$3:$D$15,2,FALSE)*DO$20),VLOOKUP($C31,$C$3:$D$15,2,FALSE)*DO$20-DN33)))</f>
        <v>0</v>
      </c>
      <c r="DP31" s="763">
        <f t="shared" ref="DP31" si="755" xml:space="preserve">
IF(DO33&gt;=VLOOKUP($C31,$C$3:$D$15,2,FALSE)*DP$20,0,
IF(AND(DO33&lt;VLOOKUP($C31,$C$3:$D$15,2,FALSE)*DP$20,DP32&lt;=VLOOKUP($C31,$C$3:$D$15,2,FALSE)*DP$20),IF(DP32-DO33&lt;0,0,DP32-DO33),
IF(AND(DO33&lt;VLOOKUP($C31,$C$3:$D$15,2,FALSE)*DP$20,DP32&gt;VLOOKUP($C31,$C$3:$D$15,2,FALSE)*DP$20),VLOOKUP($C31,$C$3:$D$15,2,FALSE)*DP$20-DO33)))</f>
        <v>0</v>
      </c>
      <c r="DQ31" s="763">
        <f t="shared" ref="DQ31" si="756" xml:space="preserve">
IF(DP33&gt;=VLOOKUP($C31,$C$3:$D$15,2,FALSE)*DQ$20,0,
IF(AND(DP33&lt;VLOOKUP($C31,$C$3:$D$15,2,FALSE)*DQ$20,DQ32&lt;=VLOOKUP($C31,$C$3:$D$15,2,FALSE)*DQ$20),IF(DQ32-DP33&lt;0,0,DQ32-DP33),
IF(AND(DP33&lt;VLOOKUP($C31,$C$3:$D$15,2,FALSE)*DQ$20,DQ32&gt;VLOOKUP($C31,$C$3:$D$15,2,FALSE)*DQ$20),VLOOKUP($C31,$C$3:$D$15,2,FALSE)*DQ$20-DP33)))</f>
        <v>0</v>
      </c>
      <c r="DR31" s="763">
        <f t="shared" ref="DR31" si="757" xml:space="preserve">
IF(DQ33&gt;=VLOOKUP($C31,$C$3:$D$15,2,FALSE)*DR$20,0,
IF(AND(DQ33&lt;VLOOKUP($C31,$C$3:$D$15,2,FALSE)*DR$20,DR32&lt;=VLOOKUP($C31,$C$3:$D$15,2,FALSE)*DR$20),IF(DR32-DQ33&lt;0,0,DR32-DQ33),
IF(AND(DQ33&lt;VLOOKUP($C31,$C$3:$D$15,2,FALSE)*DR$20,DR32&gt;VLOOKUP($C31,$C$3:$D$15,2,FALSE)*DR$20),VLOOKUP($C31,$C$3:$D$15,2,FALSE)*DR$20-DQ33)))</f>
        <v>0</v>
      </c>
      <c r="DS31" s="763">
        <f t="shared" ref="DS31" si="758" xml:space="preserve">
IF(DR33&gt;=VLOOKUP($C31,$C$3:$D$15,2,FALSE)*DS$20,0,
IF(AND(DR33&lt;VLOOKUP($C31,$C$3:$D$15,2,FALSE)*DS$20,DS32&lt;=VLOOKUP($C31,$C$3:$D$15,2,FALSE)*DS$20),IF(DS32-DR33&lt;0,0,DS32-DR33),
IF(AND(DR33&lt;VLOOKUP($C31,$C$3:$D$15,2,FALSE)*DS$20,DS32&gt;VLOOKUP($C31,$C$3:$D$15,2,FALSE)*DS$20),VLOOKUP($C31,$C$3:$D$15,2,FALSE)*DS$20-DR33)))</f>
        <v>0</v>
      </c>
      <c r="DT31" s="763">
        <f t="shared" ref="DT31" si="759" xml:space="preserve">
IF(DS33&gt;=VLOOKUP($C31,$C$3:$D$15,2,FALSE)*DT$20,0,
IF(AND(DS33&lt;VLOOKUP($C31,$C$3:$D$15,2,FALSE)*DT$20,DT32&lt;=VLOOKUP($C31,$C$3:$D$15,2,FALSE)*DT$20),IF(DT32-DS33&lt;0,0,DT32-DS33),
IF(AND(DS33&lt;VLOOKUP($C31,$C$3:$D$15,2,FALSE)*DT$20,DT32&gt;VLOOKUP($C31,$C$3:$D$15,2,FALSE)*DT$20),VLOOKUP($C31,$C$3:$D$15,2,FALSE)*DT$20-DS33)))</f>
        <v>0</v>
      </c>
      <c r="DU31" s="763">
        <f t="shared" ref="DU31" si="760" xml:space="preserve">
IF(DT33&gt;=VLOOKUP($C31,$C$3:$D$15,2,FALSE)*DU$20,0,
IF(AND(DT33&lt;VLOOKUP($C31,$C$3:$D$15,2,FALSE)*DU$20,DU32&lt;=VLOOKUP($C31,$C$3:$D$15,2,FALSE)*DU$20),IF(DU32-DT33&lt;0,0,DU32-DT33),
IF(AND(DT33&lt;VLOOKUP($C31,$C$3:$D$15,2,FALSE)*DU$20,DU32&gt;VLOOKUP($C31,$C$3:$D$15,2,FALSE)*DU$20),VLOOKUP($C31,$C$3:$D$15,2,FALSE)*DU$20-DT33)))</f>
        <v>0</v>
      </c>
      <c r="DV31" s="763">
        <f t="shared" ref="DV31" si="761" xml:space="preserve">
IF(DU33&gt;=VLOOKUP($C31,$C$3:$D$15,2,FALSE)*DV$20,0,
IF(AND(DU33&lt;VLOOKUP($C31,$C$3:$D$15,2,FALSE)*DV$20,DV32&lt;=VLOOKUP($C31,$C$3:$D$15,2,FALSE)*DV$20),IF(DV32-DU33&lt;0,0,DV32-DU33),
IF(AND(DU33&lt;VLOOKUP($C31,$C$3:$D$15,2,FALSE)*DV$20,DV32&gt;VLOOKUP($C31,$C$3:$D$15,2,FALSE)*DV$20),VLOOKUP($C31,$C$3:$D$15,2,FALSE)*DV$20-DU33)))</f>
        <v>0</v>
      </c>
      <c r="DW31" s="763">
        <f t="shared" ref="DW31" si="762" xml:space="preserve">
IF(DV33&gt;=VLOOKUP($C31,$C$3:$D$15,2,FALSE)*DW$20,0,
IF(AND(DV33&lt;VLOOKUP($C31,$C$3:$D$15,2,FALSE)*DW$20,DW32&lt;=VLOOKUP($C31,$C$3:$D$15,2,FALSE)*DW$20),IF(DW32-DV33&lt;0,0,DW32-DV33),
IF(AND(DV33&lt;VLOOKUP($C31,$C$3:$D$15,2,FALSE)*DW$20,DW32&gt;VLOOKUP($C31,$C$3:$D$15,2,FALSE)*DW$20),VLOOKUP($C31,$C$3:$D$15,2,FALSE)*DW$20-DV33)))</f>
        <v>0</v>
      </c>
      <c r="DX31" s="763">
        <f t="shared" ref="DX31" si="763" xml:space="preserve">
IF(DW33&gt;=VLOOKUP($C31,$C$3:$D$15,2,FALSE)*DX$20,0,
IF(AND(DW33&lt;VLOOKUP($C31,$C$3:$D$15,2,FALSE)*DX$20,DX32&lt;=VLOOKUP($C31,$C$3:$D$15,2,FALSE)*DX$20),IF(DX32-DW33&lt;0,0,DX32-DW33),
IF(AND(DW33&lt;VLOOKUP($C31,$C$3:$D$15,2,FALSE)*DX$20,DX32&gt;VLOOKUP($C31,$C$3:$D$15,2,FALSE)*DX$20),VLOOKUP($C31,$C$3:$D$15,2,FALSE)*DX$20-DW33)))</f>
        <v>0</v>
      </c>
      <c r="DY31" s="763">
        <f t="shared" ref="DY31" si="764" xml:space="preserve">
IF(DX33&gt;=VLOOKUP($C31,$C$3:$D$15,2,FALSE)*DY$20,0,
IF(AND(DX33&lt;VLOOKUP($C31,$C$3:$D$15,2,FALSE)*DY$20,DY32&lt;=VLOOKUP($C31,$C$3:$D$15,2,FALSE)*DY$20),IF(DY32-DX33&lt;0,0,DY32-DX33),
IF(AND(DX33&lt;VLOOKUP($C31,$C$3:$D$15,2,FALSE)*DY$20,DY32&gt;VLOOKUP($C31,$C$3:$D$15,2,FALSE)*DY$20),VLOOKUP($C31,$C$3:$D$15,2,FALSE)*DY$20-DX33)))</f>
        <v>0</v>
      </c>
      <c r="DZ31" s="763">
        <f t="shared" ref="DZ31" si="765" xml:space="preserve">
IF(DY33&gt;=VLOOKUP($C31,$C$3:$D$15,2,FALSE)*DZ$20,0,
IF(AND(DY33&lt;VLOOKUP($C31,$C$3:$D$15,2,FALSE)*DZ$20,DZ32&lt;=VLOOKUP($C31,$C$3:$D$15,2,FALSE)*DZ$20),IF(DZ32-DY33&lt;0,0,DZ32-DY33),
IF(AND(DY33&lt;VLOOKUP($C31,$C$3:$D$15,2,FALSE)*DZ$20,DZ32&gt;VLOOKUP($C31,$C$3:$D$15,2,FALSE)*DZ$20),VLOOKUP($C31,$C$3:$D$15,2,FALSE)*DZ$20-DY33)))</f>
        <v>0</v>
      </c>
      <c r="EA31" s="763">
        <f t="shared" ref="EA31" si="766" xml:space="preserve">
IF(DZ33&gt;=VLOOKUP($C31,$C$3:$D$15,2,FALSE)*EA$20,0,
IF(AND(DZ33&lt;VLOOKUP($C31,$C$3:$D$15,2,FALSE)*EA$20,EA32&lt;=VLOOKUP($C31,$C$3:$D$15,2,FALSE)*EA$20),IF(EA32-DZ33&lt;0,0,EA32-DZ33),
IF(AND(DZ33&lt;VLOOKUP($C31,$C$3:$D$15,2,FALSE)*EA$20,EA32&gt;VLOOKUP($C31,$C$3:$D$15,2,FALSE)*EA$20),VLOOKUP($C31,$C$3:$D$15,2,FALSE)*EA$20-DZ33)))</f>
        <v>0</v>
      </c>
      <c r="EB31" s="763">
        <f t="shared" ref="EB31" si="767" xml:space="preserve">
IF(EA33&gt;=VLOOKUP($C31,$C$3:$D$15,2,FALSE)*EB$20,0,
IF(AND(EA33&lt;VLOOKUP($C31,$C$3:$D$15,2,FALSE)*EB$20,EB32&lt;=VLOOKUP($C31,$C$3:$D$15,2,FALSE)*EB$20),IF(EB32-EA33&lt;0,0,EB32-EA33),
IF(AND(EA33&lt;VLOOKUP($C31,$C$3:$D$15,2,FALSE)*EB$20,EB32&gt;VLOOKUP($C31,$C$3:$D$15,2,FALSE)*EB$20),VLOOKUP($C31,$C$3:$D$15,2,FALSE)*EB$20-EA33)))</f>
        <v>0</v>
      </c>
      <c r="EC31" s="763">
        <f t="shared" ref="EC31" si="768" xml:space="preserve">
IF(EB33&gt;=VLOOKUP($C31,$C$3:$D$15,2,FALSE)*EC$20,0,
IF(AND(EB33&lt;VLOOKUP($C31,$C$3:$D$15,2,FALSE)*EC$20,EC32&lt;=VLOOKUP($C31,$C$3:$D$15,2,FALSE)*EC$20),IF(EC32-EB33&lt;0,0,EC32-EB33),
IF(AND(EB33&lt;VLOOKUP($C31,$C$3:$D$15,2,FALSE)*EC$20,EC32&gt;VLOOKUP($C31,$C$3:$D$15,2,FALSE)*EC$20),VLOOKUP($C31,$C$3:$D$15,2,FALSE)*EC$20-EB33)))</f>
        <v>0</v>
      </c>
      <c r="ED31" s="763">
        <f t="shared" ref="ED31" si="769" xml:space="preserve">
IF(EC33&gt;=VLOOKUP($C31,$C$3:$D$15,2,FALSE)*ED$20,0,
IF(AND(EC33&lt;VLOOKUP($C31,$C$3:$D$15,2,FALSE)*ED$20,ED32&lt;=VLOOKUP($C31,$C$3:$D$15,2,FALSE)*ED$20),IF(ED32-EC33&lt;0,0,ED32-EC33),
IF(AND(EC33&lt;VLOOKUP($C31,$C$3:$D$15,2,FALSE)*ED$20,ED32&gt;VLOOKUP($C31,$C$3:$D$15,2,FALSE)*ED$20),VLOOKUP($C31,$C$3:$D$15,2,FALSE)*ED$20-EC33)))</f>
        <v>0</v>
      </c>
      <c r="EE31" s="763">
        <f t="shared" ref="EE31" si="770" xml:space="preserve">
IF(ED33&gt;=VLOOKUP($C31,$C$3:$D$15,2,FALSE)*EE$20,0,
IF(AND(ED33&lt;VLOOKUP($C31,$C$3:$D$15,2,FALSE)*EE$20,EE32&lt;=VLOOKUP($C31,$C$3:$D$15,2,FALSE)*EE$20),IF(EE32-ED33&lt;0,0,EE32-ED33),
IF(AND(ED33&lt;VLOOKUP($C31,$C$3:$D$15,2,FALSE)*EE$20,EE32&gt;VLOOKUP($C31,$C$3:$D$15,2,FALSE)*EE$20),VLOOKUP($C31,$C$3:$D$15,2,FALSE)*EE$20-ED33)))</f>
        <v>0</v>
      </c>
      <c r="EF31" s="763">
        <f t="shared" ref="EF31" si="771" xml:space="preserve">
IF(EE33&gt;=VLOOKUP($C31,$C$3:$D$15,2,FALSE)*EF$20,0,
IF(AND(EE33&lt;VLOOKUP($C31,$C$3:$D$15,2,FALSE)*EF$20,EF32&lt;=VLOOKUP($C31,$C$3:$D$15,2,FALSE)*EF$20),IF(EF32-EE33&lt;0,0,EF32-EE33),
IF(AND(EE33&lt;VLOOKUP($C31,$C$3:$D$15,2,FALSE)*EF$20,EF32&gt;VLOOKUP($C31,$C$3:$D$15,2,FALSE)*EF$20),VLOOKUP($C31,$C$3:$D$15,2,FALSE)*EF$20-EE33)))</f>
        <v>0</v>
      </c>
      <c r="EG31" s="763">
        <f t="shared" ref="EG31" si="772" xml:space="preserve">
IF(EF33&gt;=VLOOKUP($C31,$C$3:$D$15,2,FALSE)*EG$20,0,
IF(AND(EF33&lt;VLOOKUP($C31,$C$3:$D$15,2,FALSE)*EG$20,EG32&lt;=VLOOKUP($C31,$C$3:$D$15,2,FALSE)*EG$20),IF(EG32-EF33&lt;0,0,EG32-EF33),
IF(AND(EF33&lt;VLOOKUP($C31,$C$3:$D$15,2,FALSE)*EG$20,EG32&gt;VLOOKUP($C31,$C$3:$D$15,2,FALSE)*EG$20),VLOOKUP($C31,$C$3:$D$15,2,FALSE)*EG$20-EF33)))</f>
        <v>0</v>
      </c>
      <c r="EH31" s="763">
        <f t="shared" ref="EH31" si="773" xml:space="preserve">
IF(EG33&gt;=VLOOKUP($C31,$C$3:$D$15,2,FALSE)*EH$20,0,
IF(AND(EG33&lt;VLOOKUP($C31,$C$3:$D$15,2,FALSE)*EH$20,EH32&lt;=VLOOKUP($C31,$C$3:$D$15,2,FALSE)*EH$20),IF(EH32-EG33&lt;0,0,EH32-EG33),
IF(AND(EG33&lt;VLOOKUP($C31,$C$3:$D$15,2,FALSE)*EH$20,EH32&gt;VLOOKUP($C31,$C$3:$D$15,2,FALSE)*EH$20),VLOOKUP($C31,$C$3:$D$15,2,FALSE)*EH$20-EG33)))</f>
        <v>0</v>
      </c>
      <c r="EI31" s="763">
        <f t="shared" ref="EI31" si="774" xml:space="preserve">
IF(EH33&gt;=VLOOKUP($C31,$C$3:$D$15,2,FALSE)*EI$20,0,
IF(AND(EH33&lt;VLOOKUP($C31,$C$3:$D$15,2,FALSE)*EI$20,EI32&lt;=VLOOKUP($C31,$C$3:$D$15,2,FALSE)*EI$20),IF(EI32-EH33&lt;0,0,EI32-EH33),
IF(AND(EH33&lt;VLOOKUP($C31,$C$3:$D$15,2,FALSE)*EI$20,EI32&gt;VLOOKUP($C31,$C$3:$D$15,2,FALSE)*EI$20),VLOOKUP($C31,$C$3:$D$15,2,FALSE)*EI$20-EH33)))</f>
        <v>0</v>
      </c>
      <c r="EJ31" s="763">
        <f t="shared" ref="EJ31" si="775" xml:space="preserve">
IF(EI33&gt;=VLOOKUP($C31,$C$3:$D$15,2,FALSE)*EJ$20,0,
IF(AND(EI33&lt;VLOOKUP($C31,$C$3:$D$15,2,FALSE)*EJ$20,EJ32&lt;=VLOOKUP($C31,$C$3:$D$15,2,FALSE)*EJ$20),IF(EJ32-EI33&lt;0,0,EJ32-EI33),
IF(AND(EI33&lt;VLOOKUP($C31,$C$3:$D$15,2,FALSE)*EJ$20,EJ32&gt;VLOOKUP($C31,$C$3:$D$15,2,FALSE)*EJ$20),VLOOKUP($C31,$C$3:$D$15,2,FALSE)*EJ$20-EI33)))</f>
        <v>0</v>
      </c>
      <c r="EK31" s="763">
        <f t="shared" ref="EK31" si="776" xml:space="preserve">
IF(EJ33&gt;=VLOOKUP($C31,$C$3:$D$15,2,FALSE)*EK$20,0,
IF(AND(EJ33&lt;VLOOKUP($C31,$C$3:$D$15,2,FALSE)*EK$20,EK32&lt;=VLOOKUP($C31,$C$3:$D$15,2,FALSE)*EK$20),IF(EK32-EJ33&lt;0,0,EK32-EJ33),
IF(AND(EJ33&lt;VLOOKUP($C31,$C$3:$D$15,2,FALSE)*EK$20,EK32&gt;VLOOKUP($C31,$C$3:$D$15,2,FALSE)*EK$20),VLOOKUP($C31,$C$3:$D$15,2,FALSE)*EK$20-EJ33)))</f>
        <v>0</v>
      </c>
      <c r="EL31" s="763">
        <f t="shared" ref="EL31" si="777" xml:space="preserve">
IF(EK33&gt;=VLOOKUP($C31,$C$3:$D$15,2,FALSE)*EL$20,0,
IF(AND(EK33&lt;VLOOKUP($C31,$C$3:$D$15,2,FALSE)*EL$20,EL32&lt;=VLOOKUP($C31,$C$3:$D$15,2,FALSE)*EL$20),IF(EL32-EK33&lt;0,0,EL32-EK33),
IF(AND(EK33&lt;VLOOKUP($C31,$C$3:$D$15,2,FALSE)*EL$20,EL32&gt;VLOOKUP($C31,$C$3:$D$15,2,FALSE)*EL$20),VLOOKUP($C31,$C$3:$D$15,2,FALSE)*EL$20-EK33)))</f>
        <v>0</v>
      </c>
      <c r="EM31" s="763">
        <f t="shared" ref="EM31" si="778" xml:space="preserve">
IF(EL33&gt;=VLOOKUP($C31,$C$3:$D$15,2,FALSE)*EM$20,0,
IF(AND(EL33&lt;VLOOKUP($C31,$C$3:$D$15,2,FALSE)*EM$20,EM32&lt;=VLOOKUP($C31,$C$3:$D$15,2,FALSE)*EM$20),IF(EM32-EL33&lt;0,0,EM32-EL33),
IF(AND(EL33&lt;VLOOKUP($C31,$C$3:$D$15,2,FALSE)*EM$20,EM32&gt;VLOOKUP($C31,$C$3:$D$15,2,FALSE)*EM$20),VLOOKUP($C31,$C$3:$D$15,2,FALSE)*EM$20-EL33)))</f>
        <v>0</v>
      </c>
      <c r="EN31" s="763">
        <f t="shared" ref="EN31" si="779" xml:space="preserve">
IF(EM33&gt;=VLOOKUP($C31,$C$3:$D$15,2,FALSE)*EN$20,0,
IF(AND(EM33&lt;VLOOKUP($C31,$C$3:$D$15,2,FALSE)*EN$20,EN32&lt;=VLOOKUP($C31,$C$3:$D$15,2,FALSE)*EN$20),IF(EN32-EM33&lt;0,0,EN32-EM33),
IF(AND(EM33&lt;VLOOKUP($C31,$C$3:$D$15,2,FALSE)*EN$20,EN32&gt;VLOOKUP($C31,$C$3:$D$15,2,FALSE)*EN$20),VLOOKUP($C31,$C$3:$D$15,2,FALSE)*EN$20-EM33)))</f>
        <v>0</v>
      </c>
      <c r="EO31" s="763">
        <f t="shared" ref="EO31" si="780" xml:space="preserve">
IF(EN33&gt;=VLOOKUP($C31,$C$3:$D$15,2,FALSE)*EO$20,0,
IF(AND(EN33&lt;VLOOKUP($C31,$C$3:$D$15,2,FALSE)*EO$20,EO32&lt;=VLOOKUP($C31,$C$3:$D$15,2,FALSE)*EO$20),IF(EO32-EN33&lt;0,0,EO32-EN33),
IF(AND(EN33&lt;VLOOKUP($C31,$C$3:$D$15,2,FALSE)*EO$20,EO32&gt;VLOOKUP($C31,$C$3:$D$15,2,FALSE)*EO$20),VLOOKUP($C31,$C$3:$D$15,2,FALSE)*EO$20-EN33)))</f>
        <v>0</v>
      </c>
      <c r="EP31" s="763">
        <f t="shared" ref="EP31" si="781" xml:space="preserve">
IF(EO33&gt;=VLOOKUP($C31,$C$3:$D$15,2,FALSE)*EP$20,0,
IF(AND(EO33&lt;VLOOKUP($C31,$C$3:$D$15,2,FALSE)*EP$20,EP32&lt;=VLOOKUP($C31,$C$3:$D$15,2,FALSE)*EP$20),IF(EP32-EO33&lt;0,0,EP32-EO33),
IF(AND(EO33&lt;VLOOKUP($C31,$C$3:$D$15,2,FALSE)*EP$20,EP32&gt;VLOOKUP($C31,$C$3:$D$15,2,FALSE)*EP$20),VLOOKUP($C31,$C$3:$D$15,2,FALSE)*EP$20-EO33)))</f>
        <v>0</v>
      </c>
      <c r="EQ31" s="763">
        <f t="shared" ref="EQ31" si="782" xml:space="preserve">
IF(EP33&gt;=VLOOKUP($C31,$C$3:$D$15,2,FALSE)*EQ$20,0,
IF(AND(EP33&lt;VLOOKUP($C31,$C$3:$D$15,2,FALSE)*EQ$20,EQ32&lt;=VLOOKUP($C31,$C$3:$D$15,2,FALSE)*EQ$20),IF(EQ32-EP33&lt;0,0,EQ32-EP33),
IF(AND(EP33&lt;VLOOKUP($C31,$C$3:$D$15,2,FALSE)*EQ$20,EQ32&gt;VLOOKUP($C31,$C$3:$D$15,2,FALSE)*EQ$20),VLOOKUP($C31,$C$3:$D$15,2,FALSE)*EQ$20-EP33)))</f>
        <v>0</v>
      </c>
      <c r="ER31" s="763">
        <f t="shared" ref="ER31" si="783" xml:space="preserve">
IF(EQ33&gt;=VLOOKUP($C31,$C$3:$D$15,2,FALSE)*ER$20,0,
IF(AND(EQ33&lt;VLOOKUP($C31,$C$3:$D$15,2,FALSE)*ER$20,ER32&lt;=VLOOKUP($C31,$C$3:$D$15,2,FALSE)*ER$20),IF(ER32-EQ33&lt;0,0,ER32-EQ33),
IF(AND(EQ33&lt;VLOOKUP($C31,$C$3:$D$15,2,FALSE)*ER$20,ER32&gt;VLOOKUP($C31,$C$3:$D$15,2,FALSE)*ER$20),VLOOKUP($C31,$C$3:$D$15,2,FALSE)*ER$20-EQ33)))</f>
        <v>0</v>
      </c>
      <c r="ES31" s="763">
        <f t="shared" ref="ES31" si="784" xml:space="preserve">
IF(ER33&gt;=VLOOKUP($C31,$C$3:$D$15,2,FALSE)*ES$20,0,
IF(AND(ER33&lt;VLOOKUP($C31,$C$3:$D$15,2,FALSE)*ES$20,ES32&lt;=VLOOKUP($C31,$C$3:$D$15,2,FALSE)*ES$20),IF(ES32-ER33&lt;0,0,ES32-ER33),
IF(AND(ER33&lt;VLOOKUP($C31,$C$3:$D$15,2,FALSE)*ES$20,ES32&gt;VLOOKUP($C31,$C$3:$D$15,2,FALSE)*ES$20),VLOOKUP($C31,$C$3:$D$15,2,FALSE)*ES$20-ER33)))</f>
        <v>0</v>
      </c>
      <c r="ET31" s="763">
        <f t="shared" ref="ET31" si="785" xml:space="preserve">
IF(ES33&gt;=VLOOKUP($C31,$C$3:$D$15,2,FALSE)*ET$20,0,
IF(AND(ES33&lt;VLOOKUP($C31,$C$3:$D$15,2,FALSE)*ET$20,ET32&lt;=VLOOKUP($C31,$C$3:$D$15,2,FALSE)*ET$20),IF(ET32-ES33&lt;0,0,ET32-ES33),
IF(AND(ES33&lt;VLOOKUP($C31,$C$3:$D$15,2,FALSE)*ET$20,ET32&gt;VLOOKUP($C31,$C$3:$D$15,2,FALSE)*ET$20),VLOOKUP($C31,$C$3:$D$15,2,FALSE)*ET$20-ES33)))</f>
        <v>0</v>
      </c>
      <c r="EU31" s="763">
        <f t="shared" ref="EU31" si="786" xml:space="preserve">
IF(ET33&gt;=VLOOKUP($C31,$C$3:$D$15,2,FALSE)*EU$20,0,
IF(AND(ET33&lt;VLOOKUP($C31,$C$3:$D$15,2,FALSE)*EU$20,EU32&lt;=VLOOKUP($C31,$C$3:$D$15,2,FALSE)*EU$20),IF(EU32-ET33&lt;0,0,EU32-ET33),
IF(AND(ET33&lt;VLOOKUP($C31,$C$3:$D$15,2,FALSE)*EU$20,EU32&gt;VLOOKUP($C31,$C$3:$D$15,2,FALSE)*EU$20),VLOOKUP($C31,$C$3:$D$15,2,FALSE)*EU$20-ET33)))</f>
        <v>0</v>
      </c>
      <c r="EV31" s="763">
        <f t="shared" ref="EV31" si="787" xml:space="preserve">
IF(EU33&gt;=VLOOKUP($C31,$C$3:$D$15,2,FALSE)*EV$20,0,
IF(AND(EU33&lt;VLOOKUP($C31,$C$3:$D$15,2,FALSE)*EV$20,EV32&lt;=VLOOKUP($C31,$C$3:$D$15,2,FALSE)*EV$20),IF(EV32-EU33&lt;0,0,EV32-EU33),
IF(AND(EU33&lt;VLOOKUP($C31,$C$3:$D$15,2,FALSE)*EV$20,EV32&gt;VLOOKUP($C31,$C$3:$D$15,2,FALSE)*EV$20),VLOOKUP($C31,$C$3:$D$15,2,FALSE)*EV$20-EU33)))</f>
        <v>0</v>
      </c>
      <c r="EW31" s="763">
        <f t="shared" ref="EW31" si="788" xml:space="preserve">
IF(EV33&gt;=VLOOKUP($C31,$C$3:$D$15,2,FALSE)*EW$20,0,
IF(AND(EV33&lt;VLOOKUP($C31,$C$3:$D$15,2,FALSE)*EW$20,EW32&lt;=VLOOKUP($C31,$C$3:$D$15,2,FALSE)*EW$20),IF(EW32-EV33&lt;0,0,EW32-EV33),
IF(AND(EV33&lt;VLOOKUP($C31,$C$3:$D$15,2,FALSE)*EW$20,EW32&gt;VLOOKUP($C31,$C$3:$D$15,2,FALSE)*EW$20),VLOOKUP($C31,$C$3:$D$15,2,FALSE)*EW$20-EV33)))</f>
        <v>0</v>
      </c>
      <c r="EX31" s="763">
        <f t="shared" ref="EX31" si="789" xml:space="preserve">
IF(EW33&gt;=VLOOKUP($C31,$C$3:$D$15,2,FALSE)*EX$20,0,
IF(AND(EW33&lt;VLOOKUP($C31,$C$3:$D$15,2,FALSE)*EX$20,EX32&lt;=VLOOKUP($C31,$C$3:$D$15,2,FALSE)*EX$20),IF(EX32-EW33&lt;0,0,EX32-EW33),
IF(AND(EW33&lt;VLOOKUP($C31,$C$3:$D$15,2,FALSE)*EX$20,EX32&gt;VLOOKUP($C31,$C$3:$D$15,2,FALSE)*EX$20),VLOOKUP($C31,$C$3:$D$15,2,FALSE)*EX$20-EW33)))</f>
        <v>0</v>
      </c>
      <c r="EY31" s="763">
        <f t="shared" ref="EY31" si="790" xml:space="preserve">
IF(EX33&gt;=VLOOKUP($C31,$C$3:$D$15,2,FALSE)*EY$20,0,
IF(AND(EX33&lt;VLOOKUP($C31,$C$3:$D$15,2,FALSE)*EY$20,EY32&lt;=VLOOKUP($C31,$C$3:$D$15,2,FALSE)*EY$20),IF(EY32-EX33&lt;0,0,EY32-EX33),
IF(AND(EX33&lt;VLOOKUP($C31,$C$3:$D$15,2,FALSE)*EY$20,EY32&gt;VLOOKUP($C31,$C$3:$D$15,2,FALSE)*EY$20),VLOOKUP($C31,$C$3:$D$15,2,FALSE)*EY$20-EX33)))</f>
        <v>0</v>
      </c>
      <c r="EZ31" s="763">
        <f t="shared" ref="EZ31" si="791" xml:space="preserve">
IF(EY33&gt;=VLOOKUP($C31,$C$3:$D$15,2,FALSE)*EZ$20,0,
IF(AND(EY33&lt;VLOOKUP($C31,$C$3:$D$15,2,FALSE)*EZ$20,EZ32&lt;=VLOOKUP($C31,$C$3:$D$15,2,FALSE)*EZ$20),IF(EZ32-EY33&lt;0,0,EZ32-EY33),
IF(AND(EY33&lt;VLOOKUP($C31,$C$3:$D$15,2,FALSE)*EZ$20,EZ32&gt;VLOOKUP($C31,$C$3:$D$15,2,FALSE)*EZ$20),VLOOKUP($C31,$C$3:$D$15,2,FALSE)*EZ$20-EY33)))</f>
        <v>0</v>
      </c>
      <c r="FA31" s="763">
        <f t="shared" ref="FA31" si="792" xml:space="preserve">
IF(EZ33&gt;=VLOOKUP($C31,$C$3:$D$15,2,FALSE)*FA$20,0,
IF(AND(EZ33&lt;VLOOKUP($C31,$C$3:$D$15,2,FALSE)*FA$20,FA32&lt;=VLOOKUP($C31,$C$3:$D$15,2,FALSE)*FA$20),IF(FA32-EZ33&lt;0,0,FA32-EZ33),
IF(AND(EZ33&lt;VLOOKUP($C31,$C$3:$D$15,2,FALSE)*FA$20,FA32&gt;VLOOKUP($C31,$C$3:$D$15,2,FALSE)*FA$20),VLOOKUP($C31,$C$3:$D$15,2,FALSE)*FA$20-EZ33)))</f>
        <v>0</v>
      </c>
      <c r="FB31" s="763">
        <f t="shared" ref="FB31" si="793" xml:space="preserve">
IF(FA33&gt;=VLOOKUP($C31,$C$3:$D$15,2,FALSE)*FB$20,0,
IF(AND(FA33&lt;VLOOKUP($C31,$C$3:$D$15,2,FALSE)*FB$20,FB32&lt;=VLOOKUP($C31,$C$3:$D$15,2,FALSE)*FB$20),IF(FB32-FA33&lt;0,0,FB32-FA33),
IF(AND(FA33&lt;VLOOKUP($C31,$C$3:$D$15,2,FALSE)*FB$20,FB32&gt;VLOOKUP($C31,$C$3:$D$15,2,FALSE)*FB$20),VLOOKUP($C31,$C$3:$D$15,2,FALSE)*FB$20-FA33)))</f>
        <v>0</v>
      </c>
      <c r="FC31" s="763">
        <f t="shared" ref="FC31" si="794" xml:space="preserve">
IF(FB33&gt;=VLOOKUP($C31,$C$3:$D$15,2,FALSE)*FC$20,0,
IF(AND(FB33&lt;VLOOKUP($C31,$C$3:$D$15,2,FALSE)*FC$20,FC32&lt;=VLOOKUP($C31,$C$3:$D$15,2,FALSE)*FC$20),IF(FC32-FB33&lt;0,0,FC32-FB33),
IF(AND(FB33&lt;VLOOKUP($C31,$C$3:$D$15,2,FALSE)*FC$20,FC32&gt;VLOOKUP($C31,$C$3:$D$15,2,FALSE)*FC$20),VLOOKUP($C31,$C$3:$D$15,2,FALSE)*FC$20-FB33)))</f>
        <v>0</v>
      </c>
      <c r="FD31" s="763">
        <f t="shared" ref="FD31" si="795" xml:space="preserve">
IF(FC33&gt;=VLOOKUP($C31,$C$3:$D$15,2,FALSE)*FD$20,0,
IF(AND(FC33&lt;VLOOKUP($C31,$C$3:$D$15,2,FALSE)*FD$20,FD32&lt;=VLOOKUP($C31,$C$3:$D$15,2,FALSE)*FD$20),IF(FD32-FC33&lt;0,0,FD32-FC33),
IF(AND(FC33&lt;VLOOKUP($C31,$C$3:$D$15,2,FALSE)*FD$20,FD32&gt;VLOOKUP($C31,$C$3:$D$15,2,FALSE)*FD$20),VLOOKUP($C31,$C$3:$D$15,2,FALSE)*FD$20-FC33)))</f>
        <v>0</v>
      </c>
      <c r="FE31" s="763">
        <f t="shared" ref="FE31" si="796" xml:space="preserve">
IF(FD33&gt;=VLOOKUP($C31,$C$3:$D$15,2,FALSE)*FE$20,0,
IF(AND(FD33&lt;VLOOKUP($C31,$C$3:$D$15,2,FALSE)*FE$20,FE32&lt;=VLOOKUP($C31,$C$3:$D$15,2,FALSE)*FE$20),IF(FE32-FD33&lt;0,0,FE32-FD33),
IF(AND(FD33&lt;VLOOKUP($C31,$C$3:$D$15,2,FALSE)*FE$20,FE32&gt;VLOOKUP($C31,$C$3:$D$15,2,FALSE)*FE$20),VLOOKUP($C31,$C$3:$D$15,2,FALSE)*FE$20-FD33)))</f>
        <v>0</v>
      </c>
      <c r="FF31" s="763">
        <f t="shared" ref="FF31" si="797" xml:space="preserve">
IF(FE33&gt;=VLOOKUP($C31,$C$3:$D$15,2,FALSE)*FF$20,0,
IF(AND(FE33&lt;VLOOKUP($C31,$C$3:$D$15,2,FALSE)*FF$20,FF32&lt;=VLOOKUP($C31,$C$3:$D$15,2,FALSE)*FF$20),IF(FF32-FE33&lt;0,0,FF32-FE33),
IF(AND(FE33&lt;VLOOKUP($C31,$C$3:$D$15,2,FALSE)*FF$20,FF32&gt;VLOOKUP($C31,$C$3:$D$15,2,FALSE)*FF$20),VLOOKUP($C31,$C$3:$D$15,2,FALSE)*FF$20-FE33)))</f>
        <v>0</v>
      </c>
      <c r="FG31" s="763">
        <f t="shared" ref="FG31" si="798" xml:space="preserve">
IF(FF33&gt;=VLOOKUP($C31,$C$3:$D$15,2,FALSE)*FG$20,0,
IF(AND(FF33&lt;VLOOKUP($C31,$C$3:$D$15,2,FALSE)*FG$20,FG32&lt;=VLOOKUP($C31,$C$3:$D$15,2,FALSE)*FG$20),IF(FG32-FF33&lt;0,0,FG32-FF33),
IF(AND(FF33&lt;VLOOKUP($C31,$C$3:$D$15,2,FALSE)*FG$20,FG32&gt;VLOOKUP($C31,$C$3:$D$15,2,FALSE)*FG$20),VLOOKUP($C31,$C$3:$D$15,2,FALSE)*FG$20-FF33)))</f>
        <v>0</v>
      </c>
      <c r="FH31" s="763">
        <f t="shared" ref="FH31" si="799" xml:space="preserve">
IF(FG33&gt;=VLOOKUP($C31,$C$3:$D$15,2,FALSE)*FH$20,0,
IF(AND(FG33&lt;VLOOKUP($C31,$C$3:$D$15,2,FALSE)*FH$20,FH32&lt;=VLOOKUP($C31,$C$3:$D$15,2,FALSE)*FH$20),IF(FH32-FG33&lt;0,0,FH32-FG33),
IF(AND(FG33&lt;VLOOKUP($C31,$C$3:$D$15,2,FALSE)*FH$20,FH32&gt;VLOOKUP($C31,$C$3:$D$15,2,FALSE)*FH$20),VLOOKUP($C31,$C$3:$D$15,2,FALSE)*FH$20-FG33)))</f>
        <v>0</v>
      </c>
      <c r="FI31" s="763">
        <f t="shared" ref="FI31" si="800" xml:space="preserve">
IF(FH33&gt;=VLOOKUP($C31,$C$3:$D$15,2,FALSE)*FI$20,0,
IF(AND(FH33&lt;VLOOKUP($C31,$C$3:$D$15,2,FALSE)*FI$20,FI32&lt;=VLOOKUP($C31,$C$3:$D$15,2,FALSE)*FI$20),IF(FI32-FH33&lt;0,0,FI32-FH33),
IF(AND(FH33&lt;VLOOKUP($C31,$C$3:$D$15,2,FALSE)*FI$20,FI32&gt;VLOOKUP($C31,$C$3:$D$15,2,FALSE)*FI$20),VLOOKUP($C31,$C$3:$D$15,2,FALSE)*FI$20-FH33)))</f>
        <v>0</v>
      </c>
      <c r="FJ31" s="763">
        <f t="shared" ref="FJ31" si="801" xml:space="preserve">
IF(FI33&gt;=VLOOKUP($C31,$C$3:$D$15,2,FALSE)*FJ$20,0,
IF(AND(FI33&lt;VLOOKUP($C31,$C$3:$D$15,2,FALSE)*FJ$20,FJ32&lt;=VLOOKUP($C31,$C$3:$D$15,2,FALSE)*FJ$20),IF(FJ32-FI33&lt;0,0,FJ32-FI33),
IF(AND(FI33&lt;VLOOKUP($C31,$C$3:$D$15,2,FALSE)*FJ$20,FJ32&gt;VLOOKUP($C31,$C$3:$D$15,2,FALSE)*FJ$20),VLOOKUP($C31,$C$3:$D$15,2,FALSE)*FJ$20-FI33)))</f>
        <v>0</v>
      </c>
      <c r="FK31" s="763">
        <f t="shared" ref="FK31" si="802" xml:space="preserve">
IF(FJ33&gt;=VLOOKUP($C31,$C$3:$D$15,2,FALSE)*FK$20,0,
IF(AND(FJ33&lt;VLOOKUP($C31,$C$3:$D$15,2,FALSE)*FK$20,FK32&lt;=VLOOKUP($C31,$C$3:$D$15,2,FALSE)*FK$20),IF(FK32-FJ33&lt;0,0,FK32-FJ33),
IF(AND(FJ33&lt;VLOOKUP($C31,$C$3:$D$15,2,FALSE)*FK$20,FK32&gt;VLOOKUP($C31,$C$3:$D$15,2,FALSE)*FK$20),VLOOKUP($C31,$C$3:$D$15,2,FALSE)*FK$20-FJ33)))</f>
        <v>0</v>
      </c>
      <c r="FL31" s="763">
        <f t="shared" ref="FL31" si="803" xml:space="preserve">
IF(FK33&gt;=VLOOKUP($C31,$C$3:$D$15,2,FALSE)*FL$20,0,
IF(AND(FK33&lt;VLOOKUP($C31,$C$3:$D$15,2,FALSE)*FL$20,FL32&lt;=VLOOKUP($C31,$C$3:$D$15,2,FALSE)*FL$20),IF(FL32-FK33&lt;0,0,FL32-FK33),
IF(AND(FK33&lt;VLOOKUP($C31,$C$3:$D$15,2,FALSE)*FL$20,FL32&gt;VLOOKUP($C31,$C$3:$D$15,2,FALSE)*FL$20),VLOOKUP($C31,$C$3:$D$15,2,FALSE)*FL$20-FK33)))</f>
        <v>0</v>
      </c>
      <c r="FM31" s="763">
        <f t="shared" ref="FM31" si="804" xml:space="preserve">
IF(FL33&gt;=VLOOKUP($C31,$C$3:$D$15,2,FALSE)*FM$20,0,
IF(AND(FL33&lt;VLOOKUP($C31,$C$3:$D$15,2,FALSE)*FM$20,FM32&lt;=VLOOKUP($C31,$C$3:$D$15,2,FALSE)*FM$20),IF(FM32-FL33&lt;0,0,FM32-FL33),
IF(AND(FL33&lt;VLOOKUP($C31,$C$3:$D$15,2,FALSE)*FM$20,FM32&gt;VLOOKUP($C31,$C$3:$D$15,2,FALSE)*FM$20),VLOOKUP($C31,$C$3:$D$15,2,FALSE)*FM$20-FL33)))</f>
        <v>0</v>
      </c>
      <c r="FN31" s="763">
        <f t="shared" ref="FN31" si="805" xml:space="preserve">
IF(FM33&gt;=VLOOKUP($C31,$C$3:$D$15,2,FALSE)*FN$20,0,
IF(AND(FM33&lt;VLOOKUP($C31,$C$3:$D$15,2,FALSE)*FN$20,FN32&lt;=VLOOKUP($C31,$C$3:$D$15,2,FALSE)*FN$20),IF(FN32-FM33&lt;0,0,FN32-FM33),
IF(AND(FM33&lt;VLOOKUP($C31,$C$3:$D$15,2,FALSE)*FN$20,FN32&gt;VLOOKUP($C31,$C$3:$D$15,2,FALSE)*FN$20),VLOOKUP($C31,$C$3:$D$15,2,FALSE)*FN$20-FM33)))</f>
        <v>0</v>
      </c>
      <c r="FO31" s="763">
        <f t="shared" ref="FO31" si="806" xml:space="preserve">
IF(FN33&gt;=VLOOKUP($C31,$C$3:$D$15,2,FALSE)*FO$20,0,
IF(AND(FN33&lt;VLOOKUP($C31,$C$3:$D$15,2,FALSE)*FO$20,FO32&lt;=VLOOKUP($C31,$C$3:$D$15,2,FALSE)*FO$20),IF(FO32-FN33&lt;0,0,FO32-FN33),
IF(AND(FN33&lt;VLOOKUP($C31,$C$3:$D$15,2,FALSE)*FO$20,FO32&gt;VLOOKUP($C31,$C$3:$D$15,2,FALSE)*FO$20),VLOOKUP($C31,$C$3:$D$15,2,FALSE)*FO$20-FN33)))</f>
        <v>0</v>
      </c>
      <c r="FP31" s="763">
        <f t="shared" ref="FP31" si="807" xml:space="preserve">
IF(FO33&gt;=VLOOKUP($C31,$C$3:$D$15,2,FALSE)*FP$20,0,
IF(AND(FO33&lt;VLOOKUP($C31,$C$3:$D$15,2,FALSE)*FP$20,FP32&lt;=VLOOKUP($C31,$C$3:$D$15,2,FALSE)*FP$20),IF(FP32-FO33&lt;0,0,FP32-FO33),
IF(AND(FO33&lt;VLOOKUP($C31,$C$3:$D$15,2,FALSE)*FP$20,FP32&gt;VLOOKUP($C31,$C$3:$D$15,2,FALSE)*FP$20),VLOOKUP($C31,$C$3:$D$15,2,FALSE)*FP$20-FO33)))</f>
        <v>0</v>
      </c>
      <c r="FQ31" s="763">
        <f t="shared" ref="FQ31" si="808" xml:space="preserve">
IF(FP33&gt;=VLOOKUP($C31,$C$3:$D$15,2,FALSE)*FQ$20,0,
IF(AND(FP33&lt;VLOOKUP($C31,$C$3:$D$15,2,FALSE)*FQ$20,FQ32&lt;=VLOOKUP($C31,$C$3:$D$15,2,FALSE)*FQ$20),IF(FQ32-FP33&lt;0,0,FQ32-FP33),
IF(AND(FP33&lt;VLOOKUP($C31,$C$3:$D$15,2,FALSE)*FQ$20,FQ32&gt;VLOOKUP($C31,$C$3:$D$15,2,FALSE)*FQ$20),VLOOKUP($C31,$C$3:$D$15,2,FALSE)*FQ$20-FP33)))</f>
        <v>0</v>
      </c>
      <c r="FR31" s="763">
        <f t="shared" ref="FR31" si="809" xml:space="preserve">
IF(FQ33&gt;=VLOOKUP($C31,$C$3:$D$15,2,FALSE)*FR$20,0,
IF(AND(FQ33&lt;VLOOKUP($C31,$C$3:$D$15,2,FALSE)*FR$20,FR32&lt;=VLOOKUP($C31,$C$3:$D$15,2,FALSE)*FR$20),IF(FR32-FQ33&lt;0,0,FR32-FQ33),
IF(AND(FQ33&lt;VLOOKUP($C31,$C$3:$D$15,2,FALSE)*FR$20,FR32&gt;VLOOKUP($C31,$C$3:$D$15,2,FALSE)*FR$20),VLOOKUP($C31,$C$3:$D$15,2,FALSE)*FR$20-FQ33)))</f>
        <v>0</v>
      </c>
      <c r="FS31" s="763">
        <f t="shared" ref="FS31" si="810" xml:space="preserve">
IF(FR33&gt;=VLOOKUP($C31,$C$3:$D$15,2,FALSE)*FS$20,0,
IF(AND(FR33&lt;VLOOKUP($C31,$C$3:$D$15,2,FALSE)*FS$20,FS32&lt;=VLOOKUP($C31,$C$3:$D$15,2,FALSE)*FS$20),IF(FS32-FR33&lt;0,0,FS32-FR33),
IF(AND(FR33&lt;VLOOKUP($C31,$C$3:$D$15,2,FALSE)*FS$20,FS32&gt;VLOOKUP($C31,$C$3:$D$15,2,FALSE)*FS$20),VLOOKUP($C31,$C$3:$D$15,2,FALSE)*FS$20-FR33)))</f>
        <v>0</v>
      </c>
      <c r="FT31" s="763">
        <f t="shared" ref="FT31" si="811" xml:space="preserve">
IF(FS33&gt;=VLOOKUP($C31,$C$3:$D$15,2,FALSE)*FT$20,0,
IF(AND(FS33&lt;VLOOKUP($C31,$C$3:$D$15,2,FALSE)*FT$20,FT32&lt;=VLOOKUP($C31,$C$3:$D$15,2,FALSE)*FT$20),IF(FT32-FS33&lt;0,0,FT32-FS33),
IF(AND(FS33&lt;VLOOKUP($C31,$C$3:$D$15,2,FALSE)*FT$20,FT32&gt;VLOOKUP($C31,$C$3:$D$15,2,FALSE)*FT$20),VLOOKUP($C31,$C$3:$D$15,2,FALSE)*FT$20-FS33)))</f>
        <v>0</v>
      </c>
      <c r="FU31" s="763">
        <f t="shared" ref="FU31" si="812" xml:space="preserve">
IF(FT33&gt;=VLOOKUP($C31,$C$3:$D$15,2,FALSE)*FU$20,0,
IF(AND(FT33&lt;VLOOKUP($C31,$C$3:$D$15,2,FALSE)*FU$20,FU32&lt;=VLOOKUP($C31,$C$3:$D$15,2,FALSE)*FU$20),IF(FU32-FT33&lt;0,0,FU32-FT33),
IF(AND(FT33&lt;VLOOKUP($C31,$C$3:$D$15,2,FALSE)*FU$20,FU32&gt;VLOOKUP($C31,$C$3:$D$15,2,FALSE)*FU$20),VLOOKUP($C31,$C$3:$D$15,2,FALSE)*FU$20-FT33)))</f>
        <v>0</v>
      </c>
      <c r="FV31" s="763">
        <f t="shared" ref="FV31" si="813" xml:space="preserve">
IF(FU33&gt;=VLOOKUP($C31,$C$3:$D$15,2,FALSE)*FV$20,0,
IF(AND(FU33&lt;VLOOKUP($C31,$C$3:$D$15,2,FALSE)*FV$20,FV32&lt;=VLOOKUP($C31,$C$3:$D$15,2,FALSE)*FV$20),IF(FV32-FU33&lt;0,0,FV32-FU33),
IF(AND(FU33&lt;VLOOKUP($C31,$C$3:$D$15,2,FALSE)*FV$20,FV32&gt;VLOOKUP($C31,$C$3:$D$15,2,FALSE)*FV$20),VLOOKUP($C31,$C$3:$D$15,2,FALSE)*FV$20-FU33)))</f>
        <v>0</v>
      </c>
      <c r="FW31" s="763">
        <f t="shared" ref="FW31" si="814" xml:space="preserve">
IF(FV33&gt;=VLOOKUP($C31,$C$3:$D$15,2,FALSE)*FW$20,0,
IF(AND(FV33&lt;VLOOKUP($C31,$C$3:$D$15,2,FALSE)*FW$20,FW32&lt;=VLOOKUP($C31,$C$3:$D$15,2,FALSE)*FW$20),IF(FW32-FV33&lt;0,0,FW32-FV33),
IF(AND(FV33&lt;VLOOKUP($C31,$C$3:$D$15,2,FALSE)*FW$20,FW32&gt;VLOOKUP($C31,$C$3:$D$15,2,FALSE)*FW$20),VLOOKUP($C31,$C$3:$D$15,2,FALSE)*FW$20-FV33)))</f>
        <v>0</v>
      </c>
      <c r="FX31" s="763">
        <f t="shared" ref="FX31" si="815" xml:space="preserve">
IF(FW33&gt;=VLOOKUP($C31,$C$3:$D$15,2,FALSE)*FX$20,0,
IF(AND(FW33&lt;VLOOKUP($C31,$C$3:$D$15,2,FALSE)*FX$20,FX32&lt;=VLOOKUP($C31,$C$3:$D$15,2,FALSE)*FX$20),IF(FX32-FW33&lt;0,0,FX32-FW33),
IF(AND(FW33&lt;VLOOKUP($C31,$C$3:$D$15,2,FALSE)*FX$20,FX32&gt;VLOOKUP($C31,$C$3:$D$15,2,FALSE)*FX$20),VLOOKUP($C31,$C$3:$D$15,2,FALSE)*FX$20-FW33)))</f>
        <v>0</v>
      </c>
      <c r="FY31" s="763">
        <f t="shared" ref="FY31" si="816" xml:space="preserve">
IF(FX33&gt;=VLOOKUP($C31,$C$3:$D$15,2,FALSE)*FY$20,0,
IF(AND(FX33&lt;VLOOKUP($C31,$C$3:$D$15,2,FALSE)*FY$20,FY32&lt;=VLOOKUP($C31,$C$3:$D$15,2,FALSE)*FY$20),IF(FY32-FX33&lt;0,0,FY32-FX33),
IF(AND(FX33&lt;VLOOKUP($C31,$C$3:$D$15,2,FALSE)*FY$20,FY32&gt;VLOOKUP($C31,$C$3:$D$15,2,FALSE)*FY$20),VLOOKUP($C31,$C$3:$D$15,2,FALSE)*FY$20-FX33)))</f>
        <v>0</v>
      </c>
      <c r="FZ31" s="763">
        <f t="shared" ref="FZ31" si="817" xml:space="preserve">
IF(FY33&gt;=VLOOKUP($C31,$C$3:$D$15,2,FALSE)*FZ$20,0,
IF(AND(FY33&lt;VLOOKUP($C31,$C$3:$D$15,2,FALSE)*FZ$20,FZ32&lt;=VLOOKUP($C31,$C$3:$D$15,2,FALSE)*FZ$20),IF(FZ32-FY33&lt;0,0,FZ32-FY33),
IF(AND(FY33&lt;VLOOKUP($C31,$C$3:$D$15,2,FALSE)*FZ$20,FZ32&gt;VLOOKUP($C31,$C$3:$D$15,2,FALSE)*FZ$20),VLOOKUP($C31,$C$3:$D$15,2,FALSE)*FZ$20-FY33)))</f>
        <v>0</v>
      </c>
      <c r="GA31" s="763">
        <f t="shared" ref="GA31" si="818" xml:space="preserve">
IF(FZ33&gt;=VLOOKUP($C31,$C$3:$D$15,2,FALSE)*GA$20,0,
IF(AND(FZ33&lt;VLOOKUP($C31,$C$3:$D$15,2,FALSE)*GA$20,GA32&lt;=VLOOKUP($C31,$C$3:$D$15,2,FALSE)*GA$20),IF(GA32-FZ33&lt;0,0,GA32-FZ33),
IF(AND(FZ33&lt;VLOOKUP($C31,$C$3:$D$15,2,FALSE)*GA$20,GA32&gt;VLOOKUP($C31,$C$3:$D$15,2,FALSE)*GA$20),VLOOKUP($C31,$C$3:$D$15,2,FALSE)*GA$20-FZ33)))</f>
        <v>0</v>
      </c>
      <c r="GB31" s="763">
        <f t="shared" ref="GB31" si="819" xml:space="preserve">
IF(GA33&gt;=VLOOKUP($C31,$C$3:$D$15,2,FALSE)*GB$20,0,
IF(AND(GA33&lt;VLOOKUP($C31,$C$3:$D$15,2,FALSE)*GB$20,GB32&lt;=VLOOKUP($C31,$C$3:$D$15,2,FALSE)*GB$20),IF(GB32-GA33&lt;0,0,GB32-GA33),
IF(AND(GA33&lt;VLOOKUP($C31,$C$3:$D$15,2,FALSE)*GB$20,GB32&gt;VLOOKUP($C31,$C$3:$D$15,2,FALSE)*GB$20),VLOOKUP($C31,$C$3:$D$15,2,FALSE)*GB$20-GA33)))</f>
        <v>0</v>
      </c>
      <c r="GC31" s="763">
        <f t="shared" ref="GC31" si="820" xml:space="preserve">
IF(GB33&gt;=VLOOKUP($C31,$C$3:$D$15,2,FALSE)*GC$20,0,
IF(AND(GB33&lt;VLOOKUP($C31,$C$3:$D$15,2,FALSE)*GC$20,GC32&lt;=VLOOKUP($C31,$C$3:$D$15,2,FALSE)*GC$20),IF(GC32-GB33&lt;0,0,GC32-GB33),
IF(AND(GB33&lt;VLOOKUP($C31,$C$3:$D$15,2,FALSE)*GC$20,GC32&gt;VLOOKUP($C31,$C$3:$D$15,2,FALSE)*GC$20),VLOOKUP($C31,$C$3:$D$15,2,FALSE)*GC$20-GB33)))</f>
        <v>0</v>
      </c>
      <c r="GD31" s="763">
        <f t="shared" ref="GD31" si="821" xml:space="preserve">
IF(GC33&gt;=VLOOKUP($C31,$C$3:$D$15,2,FALSE)*GD$20,0,
IF(AND(GC33&lt;VLOOKUP($C31,$C$3:$D$15,2,FALSE)*GD$20,GD32&lt;=VLOOKUP($C31,$C$3:$D$15,2,FALSE)*GD$20),IF(GD32-GC33&lt;0,0,GD32-GC33),
IF(AND(GC33&lt;VLOOKUP($C31,$C$3:$D$15,2,FALSE)*GD$20,GD32&gt;VLOOKUP($C31,$C$3:$D$15,2,FALSE)*GD$20),VLOOKUP($C31,$C$3:$D$15,2,FALSE)*GD$20-GC33)))</f>
        <v>0</v>
      </c>
      <c r="GE31" s="763">
        <f t="shared" ref="GE31" si="822" xml:space="preserve">
IF(GD33&gt;=VLOOKUP($C31,$C$3:$D$15,2,FALSE)*GE$20,0,
IF(AND(GD33&lt;VLOOKUP($C31,$C$3:$D$15,2,FALSE)*GE$20,GE32&lt;=VLOOKUP($C31,$C$3:$D$15,2,FALSE)*GE$20),IF(GE32-GD33&lt;0,0,GE32-GD33),
IF(AND(GD33&lt;VLOOKUP($C31,$C$3:$D$15,2,FALSE)*GE$20,GE32&gt;VLOOKUP($C31,$C$3:$D$15,2,FALSE)*GE$20),VLOOKUP($C31,$C$3:$D$15,2,FALSE)*GE$20-GD33)))</f>
        <v>0</v>
      </c>
      <c r="GF31" s="763">
        <f t="shared" ref="GF31" si="823" xml:space="preserve">
IF(GE33&gt;=VLOOKUP($C31,$C$3:$D$15,2,FALSE)*GF$20,0,
IF(AND(GE33&lt;VLOOKUP($C31,$C$3:$D$15,2,FALSE)*GF$20,GF32&lt;=VLOOKUP($C31,$C$3:$D$15,2,FALSE)*GF$20),IF(GF32-GE33&lt;0,0,GF32-GE33),
IF(AND(GE33&lt;VLOOKUP($C31,$C$3:$D$15,2,FALSE)*GF$20,GF32&gt;VLOOKUP($C31,$C$3:$D$15,2,FALSE)*GF$20),VLOOKUP($C31,$C$3:$D$15,2,FALSE)*GF$20-GE33)))</f>
        <v>0</v>
      </c>
      <c r="GG31" s="763">
        <f t="shared" ref="GG31" si="824" xml:space="preserve">
IF(GF33&gt;=VLOOKUP($C31,$C$3:$D$15,2,FALSE)*GG$20,0,
IF(AND(GF33&lt;VLOOKUP($C31,$C$3:$D$15,2,FALSE)*GG$20,GG32&lt;=VLOOKUP($C31,$C$3:$D$15,2,FALSE)*GG$20),IF(GG32-GF33&lt;0,0,GG32-GF33),
IF(AND(GF33&lt;VLOOKUP($C31,$C$3:$D$15,2,FALSE)*GG$20,GG32&gt;VLOOKUP($C31,$C$3:$D$15,2,FALSE)*GG$20),VLOOKUP($C31,$C$3:$D$15,2,FALSE)*GG$20-GF33)))</f>
        <v>0</v>
      </c>
      <c r="GH31" s="763">
        <f t="shared" ref="GH31" si="825" xml:space="preserve">
IF(GG33&gt;=VLOOKUP($C31,$C$3:$D$15,2,FALSE)*GH$20,0,
IF(AND(GG33&lt;VLOOKUP($C31,$C$3:$D$15,2,FALSE)*GH$20,GH32&lt;=VLOOKUP($C31,$C$3:$D$15,2,FALSE)*GH$20),IF(GH32-GG33&lt;0,0,GH32-GG33),
IF(AND(GG33&lt;VLOOKUP($C31,$C$3:$D$15,2,FALSE)*GH$20,GH32&gt;VLOOKUP($C31,$C$3:$D$15,2,FALSE)*GH$20),VLOOKUP($C31,$C$3:$D$15,2,FALSE)*GH$20-GG33)))</f>
        <v>0</v>
      </c>
      <c r="GI31" s="763">
        <f t="shared" ref="GI31" si="826" xml:space="preserve">
IF(GH33&gt;=VLOOKUP($C31,$C$3:$D$15,2,FALSE)*GI$20,0,
IF(AND(GH33&lt;VLOOKUP($C31,$C$3:$D$15,2,FALSE)*GI$20,GI32&lt;=VLOOKUP($C31,$C$3:$D$15,2,FALSE)*GI$20),IF(GI32-GH33&lt;0,0,GI32-GH33),
IF(AND(GH33&lt;VLOOKUP($C31,$C$3:$D$15,2,FALSE)*GI$20,GI32&gt;VLOOKUP($C31,$C$3:$D$15,2,FALSE)*GI$20),VLOOKUP($C31,$C$3:$D$15,2,FALSE)*GI$20-GH33)))</f>
        <v>0</v>
      </c>
      <c r="GJ31" s="763">
        <f t="shared" ref="GJ31" si="827" xml:space="preserve">
IF(GI33&gt;=VLOOKUP($C31,$C$3:$D$15,2,FALSE)*GJ$20,0,
IF(AND(GI33&lt;VLOOKUP($C31,$C$3:$D$15,2,FALSE)*GJ$20,GJ32&lt;=VLOOKUP($C31,$C$3:$D$15,2,FALSE)*GJ$20),IF(GJ32-GI33&lt;0,0,GJ32-GI33),
IF(AND(GI33&lt;VLOOKUP($C31,$C$3:$D$15,2,FALSE)*GJ$20,GJ32&gt;VLOOKUP($C31,$C$3:$D$15,2,FALSE)*GJ$20),VLOOKUP($C31,$C$3:$D$15,2,FALSE)*GJ$20-GI33)))</f>
        <v>0</v>
      </c>
    </row>
    <row r="32" spans="2:192" s="627" customFormat="1">
      <c r="B32" s="631"/>
      <c r="C32" s="626"/>
      <c r="D32" s="702" t="s">
        <v>1424</v>
      </c>
      <c r="E32" s="707"/>
      <c r="F32" s="654"/>
      <c r="G32" s="763">
        <f>SUMIF(防護具!$Y$30:$Y$212,G$17&amp;$C31,防護具!$Q$30:$Q$212)</f>
        <v>0</v>
      </c>
      <c r="H32" s="763">
        <f>IFERROR(
SUM(G32,SUMIF(防護具!$Y$30:$Y$212,H$17&amp;$C31,防護具!$Q$30:$Q$212))-G31,0)</f>
        <v>0</v>
      </c>
      <c r="I32" s="763">
        <f>IFERROR(
SUM(H32,SUMIF(防護具!$Y$30:$Y$212,I$17&amp;$C31,防護具!$Q$30:$Q$212))-H31,0)</f>
        <v>0</v>
      </c>
      <c r="J32" s="763">
        <f>IFERROR(
SUM(I32,SUMIF(防護具!$Y$30:$Y$212,J$17&amp;$C31,防護具!$Q$30:$Q$212))-I31,0)</f>
        <v>0</v>
      </c>
      <c r="K32" s="763">
        <f>IFERROR(
SUM(J32,SUMIF(防護具!$Y$30:$Y$212,K$17&amp;$C31,防護具!$Q$30:$Q$212))-J31,0)</f>
        <v>0</v>
      </c>
      <c r="L32" s="763">
        <f>IFERROR(
SUM(K32,SUMIF(防護具!$Y$30:$Y$212,L$17&amp;$C31,防護具!$Q$30:$Q$212))-K31,0)</f>
        <v>0</v>
      </c>
      <c r="M32" s="763">
        <f>IFERROR(
SUM(L32,SUMIF(防護具!$Y$30:$Y$212,M$17&amp;$C31,防護具!$Q$30:$Q$212))-L31,0)</f>
        <v>0</v>
      </c>
      <c r="N32" s="763">
        <f>IFERROR(
SUM(M32,SUMIF(防護具!$Y$30:$Y$212,N$17&amp;$C31,防護具!$Q$30:$Q$212))-M31,0)</f>
        <v>0</v>
      </c>
      <c r="O32" s="763">
        <f>IFERROR(
SUM(N32,SUMIF(防護具!$Y$30:$Y$212,O$17&amp;$C31,防護具!$Q$30:$Q$212))-N31,0)</f>
        <v>0</v>
      </c>
      <c r="P32" s="763">
        <f>IFERROR(
SUM(O32,SUMIF(防護具!$Y$30:$Y$212,P$17&amp;$C31,防護具!$Q$30:$Q$212))-O31,0)</f>
        <v>0</v>
      </c>
      <c r="Q32" s="763">
        <f>IFERROR(
SUM(P32,SUMIF(防護具!$Y$30:$Y$212,Q$17&amp;$C31,防護具!$Q$30:$Q$212))-P31,0)</f>
        <v>0</v>
      </c>
      <c r="R32" s="763">
        <f>IFERROR(
SUM(Q32,SUMIF(防護具!$Y$30:$Y$212,R$17&amp;$C31,防護具!$Q$30:$Q$212))-Q31,0)</f>
        <v>0</v>
      </c>
      <c r="S32" s="763">
        <f>IFERROR(
SUM(R32,SUMIF(防護具!$Y$30:$Y$212,S$17&amp;$C31,防護具!$Q$30:$Q$212))-R31,0)</f>
        <v>0</v>
      </c>
      <c r="T32" s="763">
        <f>IFERROR(
SUM(S32,SUMIF(防護具!$Y$30:$Y$212,T$17&amp;$C31,防護具!$Q$30:$Q$212))-S31,0)</f>
        <v>0</v>
      </c>
      <c r="U32" s="763">
        <f>IFERROR(
SUM(T32,SUMIF(防護具!$Y$30:$Y$212,U$17&amp;$C31,防護具!$Q$30:$Q$212))-T31,0)</f>
        <v>0</v>
      </c>
      <c r="V32" s="763">
        <f>IFERROR(
SUM(U32,SUMIF(防護具!$Y$30:$Y$212,V$17&amp;$C31,防護具!$Q$30:$Q$212))-U31,0)</f>
        <v>0</v>
      </c>
      <c r="W32" s="763">
        <f>IFERROR(
SUM(V32,SUMIF(防護具!$Y$30:$Y$212,W$17&amp;$C31,防護具!$Q$30:$Q$212))-V31,0)</f>
        <v>0</v>
      </c>
      <c r="X32" s="763">
        <f>IFERROR(
SUM(W32,SUMIF(防護具!$Y$30:$Y$212,X$17&amp;$C31,防護具!$Q$30:$Q$212))-W31,0)</f>
        <v>0</v>
      </c>
      <c r="Y32" s="763">
        <f>IFERROR(
SUM(X32,SUMIF(防護具!$Y$30:$Y$212,Y$17&amp;$C31,防護具!$Q$30:$Q$212))-X31,0)</f>
        <v>0</v>
      </c>
      <c r="Z32" s="763">
        <f>IFERROR(
SUM(Y32,SUMIF(防護具!$Y$30:$Y$212,Z$17&amp;$C31,防護具!$Q$30:$Q$212))-Y31,0)</f>
        <v>0</v>
      </c>
      <c r="AA32" s="763">
        <f>IFERROR(
SUM(Z32,SUMIF(防護具!$Y$30:$Y$212,AA$17&amp;$C31,防護具!$Q$30:$Q$212))-Z31,0)</f>
        <v>0</v>
      </c>
      <c r="AB32" s="763">
        <f>IFERROR(
SUM(AA32,SUMIF(防護具!$Y$30:$Y$212,AB$17&amp;$C31,防護具!$Q$30:$Q$212))-AA31,0)</f>
        <v>0</v>
      </c>
      <c r="AC32" s="763">
        <f>IFERROR(
SUM(AB32,SUMIF(防護具!$Y$30:$Y$212,AC$17&amp;$C31,防護具!$Q$30:$Q$212))-AB31,0)</f>
        <v>0</v>
      </c>
      <c r="AD32" s="763">
        <f>IFERROR(
SUM(AC32,SUMIF(防護具!$Y$30:$Y$212,AD$17&amp;$C31,防護具!$Q$30:$Q$212))-AC31,0)</f>
        <v>0</v>
      </c>
      <c r="AE32" s="763">
        <f>IFERROR(
SUM(AD32,SUMIF(防護具!$Y$30:$Y$212,AE$17&amp;$C31,防護具!$Q$30:$Q$212))-AD31,0)</f>
        <v>0</v>
      </c>
      <c r="AF32" s="763">
        <f>IFERROR(
SUM(AE32,SUMIF(防護具!$Y$30:$Y$212,AF$17&amp;$C31,防護具!$Q$30:$Q$212))-AE31,0)</f>
        <v>0</v>
      </c>
      <c r="AG32" s="763">
        <f>IFERROR(
SUM(AF32,SUMIF(防護具!$Y$30:$Y$212,AG$17&amp;$C31,防護具!$Q$30:$Q$212))-AF31,0)</f>
        <v>0</v>
      </c>
      <c r="AH32" s="763">
        <f>IFERROR(
SUM(AG32,SUMIF(防護具!$Y$30:$Y$212,AH$17&amp;$C31,防護具!$Q$30:$Q$212))-AG31,0)</f>
        <v>0</v>
      </c>
      <c r="AI32" s="763">
        <f>IFERROR(
SUM(AH32,SUMIF(防護具!$Y$30:$Y$212,AI$17&amp;$C31,防護具!$Q$30:$Q$212))-AH31,0)</f>
        <v>0</v>
      </c>
      <c r="AJ32" s="763">
        <f>IFERROR(
SUM(AI32,SUMIF(防護具!$Y$30:$Y$212,AJ$17&amp;$C31,防護具!$Q$30:$Q$212))-AI31,0)</f>
        <v>0</v>
      </c>
      <c r="AK32" s="763">
        <f>IFERROR(
SUM(AJ32,SUMIF(防護具!$Y$30:$Y$212,AK$17&amp;$C31,防護具!$Q$30:$Q$212))-AJ31,0)</f>
        <v>0</v>
      </c>
      <c r="AL32" s="763">
        <f>IFERROR(
SUM(AK32,SUMIF(防護具!$Y$30:$Y$212,AL$17&amp;$C31,防護具!$Q$30:$Q$212))-AK31,0)</f>
        <v>0</v>
      </c>
      <c r="AM32" s="763">
        <f>IFERROR(
SUM(AL32,SUMIF(防護具!$Y$30:$Y$212,AM$17&amp;$C31,防護具!$Q$30:$Q$212))-AL31,0)</f>
        <v>0</v>
      </c>
      <c r="AN32" s="763">
        <f>IFERROR(
SUM(AM32,SUMIF(防護具!$Y$30:$Y$212,AN$17&amp;$C31,防護具!$Q$30:$Q$212))-AM31,0)</f>
        <v>0</v>
      </c>
      <c r="AO32" s="763">
        <f>IFERROR(
SUM(AN32,SUMIF(防護具!$Y$30:$Y$212,AO$17&amp;$C31,防護具!$Q$30:$Q$212))-AN31,0)</f>
        <v>0</v>
      </c>
      <c r="AP32" s="763">
        <f>IFERROR(
SUM(AO32,SUMIF(防護具!$Y$30:$Y$212,AP$17&amp;$C31,防護具!$Q$30:$Q$212))-AO31,0)</f>
        <v>0</v>
      </c>
      <c r="AQ32" s="763">
        <f>IFERROR(
SUM(AP32,SUMIF(防護具!$Y$30:$Y$212,AQ$17&amp;$C31,防護具!$Q$30:$Q$212))-AP31,0)</f>
        <v>0</v>
      </c>
      <c r="AR32" s="763">
        <f>IFERROR(
SUM(AQ32,SUMIF(防護具!$Y$30:$Y$212,AR$17&amp;$C31,防護具!$Q$30:$Q$212))-AQ31,0)</f>
        <v>0</v>
      </c>
      <c r="AS32" s="763">
        <f>IFERROR(
SUM(AR32,SUMIF(防護具!$Y$30:$Y$212,AS$17&amp;$C31,防護具!$Q$30:$Q$212))-AR31,0)</f>
        <v>0</v>
      </c>
      <c r="AT32" s="763">
        <f>IFERROR(
SUM(AS32,SUMIF(防護具!$Y$30:$Y$212,AT$17&amp;$C31,防護具!$Q$30:$Q$212))-AS31,0)</f>
        <v>0</v>
      </c>
      <c r="AU32" s="763">
        <f>IFERROR(
SUM(AT32,SUMIF(防護具!$Y$30:$Y$212,AU$17&amp;$C31,防護具!$Q$30:$Q$212))-AT31,0)</f>
        <v>0</v>
      </c>
      <c r="AV32" s="763">
        <f>IFERROR(
SUM(AU32,SUMIF(防護具!$Y$30:$Y$212,AV$17&amp;$C31,防護具!$Q$30:$Q$212))-AU31,0)</f>
        <v>0</v>
      </c>
      <c r="AW32" s="763">
        <f>IFERROR(
SUM(AV32,SUMIF(防護具!$Y$30:$Y$212,AW$17&amp;$C31,防護具!$Q$30:$Q$212))-AV31,0)</f>
        <v>0</v>
      </c>
      <c r="AX32" s="763">
        <f>IFERROR(
SUM(AW32,SUMIF(防護具!$Y$30:$Y$212,AX$17&amp;$C31,防護具!$Q$30:$Q$212))-AW31,0)</f>
        <v>0</v>
      </c>
      <c r="AY32" s="763">
        <f>IFERROR(
SUM(AX32,SUMIF(防護具!$Y$30:$Y$212,AY$17&amp;$C31,防護具!$Q$30:$Q$212))-AX31,0)</f>
        <v>0</v>
      </c>
      <c r="AZ32" s="763">
        <f>IFERROR(
SUM(AY32,SUMIF(防護具!$Y$30:$Y$212,AZ$17&amp;$C31,防護具!$Q$30:$Q$212))-AY31,0)</f>
        <v>0</v>
      </c>
      <c r="BA32" s="763">
        <f>IFERROR(
SUM(AZ32,SUMIF(防護具!$Y$30:$Y$212,BA$17&amp;$C31,防護具!$Q$30:$Q$212))-AZ31,0)</f>
        <v>0</v>
      </c>
      <c r="BB32" s="763">
        <f>IFERROR(
SUM(BA32,SUMIF(防護具!$Y$30:$Y$212,BB$17&amp;$C31,防護具!$Q$30:$Q$212))-BA31,0)</f>
        <v>0</v>
      </c>
      <c r="BC32" s="763">
        <f>IFERROR(
SUM(BB32,SUMIF(防護具!$Y$30:$Y$212,BC$17&amp;$C31,防護具!$Q$30:$Q$212))-BB31,0)</f>
        <v>0</v>
      </c>
      <c r="BD32" s="763">
        <f>IFERROR(
SUM(BC32,SUMIF(防護具!$Y$30:$Y$212,BD$17&amp;$C31,防護具!$Q$30:$Q$212))-BC31,0)</f>
        <v>0</v>
      </c>
      <c r="BE32" s="763">
        <f>IFERROR(
SUM(BD32,SUMIF(防護具!$Y$30:$Y$212,BE$17&amp;$C31,防護具!$Q$30:$Q$212))-BD31,0)</f>
        <v>0</v>
      </c>
      <c r="BF32" s="763">
        <f>IFERROR(
SUM(BE32,SUMIF(防護具!$Y$30:$Y$212,BF$17&amp;$C31,防護具!$Q$30:$Q$212))-BE31,0)</f>
        <v>0</v>
      </c>
      <c r="BG32" s="763">
        <f>IFERROR(
SUM(BF32,SUMIF(防護具!$Y$30:$Y$212,BG$17&amp;$C31,防護具!$Q$30:$Q$212))-BF31,0)</f>
        <v>0</v>
      </c>
      <c r="BH32" s="763">
        <f>IFERROR(
SUM(BG32,SUMIF(防護具!$Y$30:$Y$212,BH$17&amp;$C31,防護具!$Q$30:$Q$212))-BG31,0)</f>
        <v>0</v>
      </c>
      <c r="BI32" s="763">
        <f>IFERROR(
SUM(BH32,SUMIF(防護具!$Y$30:$Y$212,BI$17&amp;$C31,防護具!$Q$30:$Q$212))-BH31,0)</f>
        <v>0</v>
      </c>
      <c r="BJ32" s="763">
        <f>IFERROR(
SUM(BI32,SUMIF(防護具!$Y$30:$Y$212,BJ$17&amp;$C31,防護具!$Q$30:$Q$212))-BI31,0)</f>
        <v>0</v>
      </c>
      <c r="BK32" s="763">
        <f>IFERROR(
SUM(BJ32,SUMIF(防護具!$Y$30:$Y$212,BK$17&amp;$C31,防護具!$Q$30:$Q$212))-BJ31,0)</f>
        <v>0</v>
      </c>
      <c r="BL32" s="763">
        <f>IFERROR(
SUM(BK32,SUMIF(防護具!$Y$30:$Y$212,BL$17&amp;$C31,防護具!$Q$30:$Q$212))-BK31,0)</f>
        <v>0</v>
      </c>
      <c r="BM32" s="763">
        <f>IFERROR(
SUM(BL32,SUMIF(防護具!$Y$30:$Y$212,BM$17&amp;$C31,防護具!$Q$30:$Q$212))-BL31,0)</f>
        <v>0</v>
      </c>
      <c r="BN32" s="763">
        <f>IFERROR(
SUM(BM32,SUMIF(防護具!$Y$30:$Y$212,BN$17&amp;$C31,防護具!$Q$30:$Q$212))-BM31,0)</f>
        <v>0</v>
      </c>
      <c r="BO32" s="763">
        <f>IFERROR(
SUM(BN32,SUMIF(防護具!$Y$30:$Y$212,BO$17&amp;$C31,防護具!$Q$30:$Q$212))-BN31,0)</f>
        <v>0</v>
      </c>
      <c r="BP32" s="763">
        <f>IFERROR(
SUM(BO32,SUMIF(防護具!$Y$30:$Y$212,BP$17&amp;$C31,防護具!$Q$30:$Q$212))-BO31,0)</f>
        <v>0</v>
      </c>
      <c r="BQ32" s="763">
        <f>IFERROR(
SUM(BP32,SUMIF(防護具!$Y$30:$Y$212,BQ$17&amp;$C31,防護具!$Q$30:$Q$212))-BP31,0)</f>
        <v>0</v>
      </c>
      <c r="BR32" s="763">
        <f>IFERROR(
SUM(BQ32,SUMIF(防護具!$Y$30:$Y$212,BR$17&amp;$C31,防護具!$Q$30:$Q$212))-BQ31,0)</f>
        <v>0</v>
      </c>
      <c r="BS32" s="763">
        <f>IFERROR(
SUM(BR32,SUMIF(防護具!$Y$30:$Y$212,BS$17&amp;$C31,防護具!$Q$30:$Q$212))-BR31,0)</f>
        <v>0</v>
      </c>
      <c r="BT32" s="763">
        <f>IFERROR(
SUM(BS32,SUMIF(防護具!$Y$30:$Y$212,BT$17&amp;$C31,防護具!$Q$30:$Q$212))-BS31,0)</f>
        <v>0</v>
      </c>
      <c r="BU32" s="763">
        <f>IFERROR(
SUM(BT32,SUMIF(防護具!$Y$30:$Y$212,BU$17&amp;$C31,防護具!$Q$30:$Q$212))-BT31,0)</f>
        <v>0</v>
      </c>
      <c r="BV32" s="763">
        <f>IFERROR(
SUM(BU32,SUMIF(防護具!$Y$30:$Y$212,BV$17&amp;$C31,防護具!$Q$30:$Q$212))-BU31,0)</f>
        <v>0</v>
      </c>
      <c r="BW32" s="763">
        <f>IFERROR(
SUM(BV32,SUMIF(防護具!$Y$30:$Y$212,BW$17&amp;$C31,防護具!$Q$30:$Q$212))-BV31,0)</f>
        <v>0</v>
      </c>
      <c r="BX32" s="763">
        <f>IFERROR(
SUM(BW32,SUMIF(防護具!$Y$30:$Y$212,BX$17&amp;$C31,防護具!$Q$30:$Q$212))-BW31,0)</f>
        <v>0</v>
      </c>
      <c r="BY32" s="763">
        <f>IFERROR(
SUM(BX32,SUMIF(防護具!$Y$30:$Y$212,BY$17&amp;$C31,防護具!$Q$30:$Q$212))-BX31,0)</f>
        <v>0</v>
      </c>
      <c r="BZ32" s="763">
        <f>IFERROR(
SUM(BY32,SUMIF(防護具!$Y$30:$Y$212,BZ$17&amp;$C31,防護具!$Q$30:$Q$212))-BY31,0)</f>
        <v>0</v>
      </c>
      <c r="CA32" s="763">
        <f>IFERROR(
SUM(BZ32,SUMIF(防護具!$Y$30:$Y$212,CA$17&amp;$C31,防護具!$Q$30:$Q$212))-BZ31,0)</f>
        <v>0</v>
      </c>
      <c r="CB32" s="763">
        <f>IFERROR(
SUM(CA32,SUMIF(防護具!$Y$30:$Y$212,CB$17&amp;$C31,防護具!$Q$30:$Q$212))-CA31,0)</f>
        <v>0</v>
      </c>
      <c r="CC32" s="763">
        <f>IFERROR(
SUM(CB32,SUMIF(防護具!$Y$30:$Y$212,CC$17&amp;$C31,防護具!$Q$30:$Q$212))-CB31,0)</f>
        <v>0</v>
      </c>
      <c r="CD32" s="763">
        <f>IFERROR(
SUM(CC32,SUMIF(防護具!$Y$30:$Y$212,CD$17&amp;$C31,防護具!$Q$30:$Q$212))-CC31,0)</f>
        <v>0</v>
      </c>
      <c r="CE32" s="763">
        <f>IFERROR(
SUM(CD32,SUMIF(防護具!$Y$30:$Y$212,CE$17&amp;$C31,防護具!$Q$30:$Q$212))-CD31,0)</f>
        <v>0</v>
      </c>
      <c r="CF32" s="763">
        <f>IFERROR(
SUM(CE32,SUMIF(防護具!$Y$30:$Y$212,CF$17&amp;$C31,防護具!$Q$30:$Q$212))-CE31,0)</f>
        <v>0</v>
      </c>
      <c r="CG32" s="763">
        <f>IFERROR(
SUM(CF32,SUMIF(防護具!$Y$30:$Y$212,CG$17&amp;$C31,防護具!$Q$30:$Q$212))-CF31,0)</f>
        <v>0</v>
      </c>
      <c r="CH32" s="763">
        <f>IFERROR(
SUM(CG32,SUMIF(防護具!$Y$30:$Y$212,CH$17&amp;$C31,防護具!$Q$30:$Q$212))-CG31,0)</f>
        <v>0</v>
      </c>
      <c r="CI32" s="763">
        <f>IFERROR(
SUM(CH32,SUMIF(防護具!$Y$30:$Y$212,CI$17&amp;$C31,防護具!$Q$30:$Q$212))-CH31,0)</f>
        <v>0</v>
      </c>
      <c r="CJ32" s="763">
        <f>IFERROR(
SUM(CI32,SUMIF(防護具!$Y$30:$Y$212,CJ$17&amp;$C31,防護具!$Q$30:$Q$212))-CI31,0)</f>
        <v>0</v>
      </c>
      <c r="CK32" s="763">
        <f>IFERROR(
SUM(CJ32,SUMIF(防護具!$Y$30:$Y$212,CK$17&amp;$C31,防護具!$Q$30:$Q$212))-CJ31,0)</f>
        <v>0</v>
      </c>
      <c r="CL32" s="763">
        <f>IFERROR(
SUM(CK32,SUMIF(防護具!$Y$30:$Y$212,CL$17&amp;$C31,防護具!$Q$30:$Q$212))-CK31,0)</f>
        <v>0</v>
      </c>
      <c r="CM32" s="763">
        <f>IFERROR(
SUM(CL32,SUMIF(防護具!$Y$30:$Y$212,CM$17&amp;$C31,防護具!$Q$30:$Q$212))-CL31,0)</f>
        <v>0</v>
      </c>
      <c r="CN32" s="763">
        <f>IFERROR(
SUM(CM32,SUMIF(防護具!$Y$30:$Y$212,CN$17&amp;$C31,防護具!$Q$30:$Q$212))-CM31,0)</f>
        <v>0</v>
      </c>
      <c r="CO32" s="763">
        <f>IFERROR(
SUM(CN32,SUMIF(防護具!$Y$30:$Y$212,CO$17&amp;$C31,防護具!$Q$30:$Q$212))-CN31,0)</f>
        <v>0</v>
      </c>
      <c r="CP32" s="763">
        <f>IFERROR(
SUM(CO32,SUMIF(防護具!$Y$30:$Y$212,CP$17&amp;$C31,防護具!$Q$30:$Q$212))-CO31,0)</f>
        <v>0</v>
      </c>
      <c r="CQ32" s="763">
        <f>IFERROR(
SUM(CP32,SUMIF(防護具!$Y$30:$Y$212,CQ$17&amp;$C31,防護具!$Q$30:$Q$212))-CP31,0)</f>
        <v>0</v>
      </c>
      <c r="CR32" s="763">
        <f>IFERROR(
SUM(CQ32,SUMIF(防護具!$Y$30:$Y$212,CR$17&amp;$C31,防護具!$Q$30:$Q$212))-CQ31,0)</f>
        <v>0</v>
      </c>
      <c r="CS32" s="763">
        <f>IFERROR(
SUM(CR32,SUMIF(防護具!$Y$30:$Y$212,CS$17&amp;$C31,防護具!$Q$30:$Q$212))-CR31,0)</f>
        <v>0</v>
      </c>
      <c r="CT32" s="763">
        <f>IFERROR(
SUM(CS32,SUMIF(防護具!$Y$30:$Y$212,CT$17&amp;$C31,防護具!$Q$30:$Q$212))-CS31,0)</f>
        <v>0</v>
      </c>
      <c r="CU32" s="763">
        <f>IFERROR(
SUM(CT32,SUMIF(防護具!$Y$30:$Y$212,CU$17&amp;$C31,防護具!$Q$30:$Q$212))-CT31,0)</f>
        <v>0</v>
      </c>
      <c r="CV32" s="763">
        <f>IFERROR(
SUM(CU32,SUMIF(防護具!$Y$30:$Y$212,CV$17&amp;$C31,防護具!$Q$30:$Q$212))-CU31,0)</f>
        <v>0</v>
      </c>
      <c r="CW32" s="763">
        <f>IFERROR(
SUM(CV32,SUMIF(防護具!$Y$30:$Y$212,CW$17&amp;$C31,防護具!$Q$30:$Q$212))-CV31,0)</f>
        <v>0</v>
      </c>
      <c r="CX32" s="763">
        <f>IFERROR(
SUM(CW32,SUMIF(防護具!$Y$30:$Y$212,CX$17&amp;$C31,防護具!$Q$30:$Q$212))-CW31,0)</f>
        <v>0</v>
      </c>
      <c r="CY32" s="763">
        <f>IFERROR(
SUM(CX32,SUMIF(防護具!$Y$30:$Y$212,CY$17&amp;$C31,防護具!$Q$30:$Q$212))-CX31,0)</f>
        <v>0</v>
      </c>
      <c r="CZ32" s="763">
        <f>IFERROR(
SUM(CY32,SUMIF(防護具!$Y$30:$Y$212,CZ$17&amp;$C31,防護具!$Q$30:$Q$212))-CY31,0)</f>
        <v>0</v>
      </c>
      <c r="DA32" s="763">
        <f>IFERROR(
SUM(CZ32,SUMIF(防護具!$Y$30:$Y$212,DA$17&amp;$C31,防護具!$Q$30:$Q$212))-CZ31,0)</f>
        <v>0</v>
      </c>
      <c r="DB32" s="763">
        <f>IFERROR(
SUM(DA32,SUMIF(防護具!$Y$30:$Y$212,DB$17&amp;$C31,防護具!$Q$30:$Q$212))-DA31,0)</f>
        <v>0</v>
      </c>
      <c r="DC32" s="763">
        <f>IFERROR(
SUM(DB32,SUMIF(防護具!$Y$30:$Y$212,DC$17&amp;$C31,防護具!$Q$30:$Q$212))-DB31,0)</f>
        <v>0</v>
      </c>
      <c r="DD32" s="763">
        <f>IFERROR(
SUM(DC32,SUMIF(防護具!$Y$30:$Y$212,DD$17&amp;$C31,防護具!$Q$30:$Q$212))-DC31,0)</f>
        <v>0</v>
      </c>
      <c r="DE32" s="763">
        <f>IFERROR(
SUM(DD32,SUMIF(防護具!$Y$30:$Y$212,DE$17&amp;$C31,防護具!$Q$30:$Q$212))-DD31,0)</f>
        <v>0</v>
      </c>
      <c r="DF32" s="763">
        <f>IFERROR(
SUM(DE32,SUMIF(防護具!$Y$30:$Y$212,DF$17&amp;$C31,防護具!$Q$30:$Q$212))-DE31,0)</f>
        <v>0</v>
      </c>
      <c r="DG32" s="763">
        <f>IFERROR(
SUM(DF32,SUMIF(防護具!$Y$30:$Y$212,DG$17&amp;$C31,防護具!$Q$30:$Q$212))-DF31,0)</f>
        <v>0</v>
      </c>
      <c r="DH32" s="763">
        <f>IFERROR(
SUM(DG32,SUMIF(防護具!$Y$30:$Y$212,DH$17&amp;$C31,防護具!$Q$30:$Q$212))-DG31,0)</f>
        <v>0</v>
      </c>
      <c r="DI32" s="763">
        <f>IFERROR(
SUM(DH32,SUMIF(防護具!$Y$30:$Y$212,DI$17&amp;$C31,防護具!$Q$30:$Q$212))-DH31,0)</f>
        <v>0</v>
      </c>
      <c r="DJ32" s="763">
        <f>IFERROR(
SUM(DI32,SUMIF(防護具!$Y$30:$Y$212,DJ$17&amp;$C31,防護具!$Q$30:$Q$212))-DI31,0)</f>
        <v>0</v>
      </c>
      <c r="DK32" s="763">
        <f>IFERROR(
SUM(DJ32,SUMIF(防護具!$Y$30:$Y$212,DK$17&amp;$C31,防護具!$Q$30:$Q$212))-DJ31,0)</f>
        <v>0</v>
      </c>
      <c r="DL32" s="763">
        <f>IFERROR(
SUM(DK32,SUMIF(防護具!$Y$30:$Y$212,DL$17&amp;$C31,防護具!$Q$30:$Q$212))-DK31,0)</f>
        <v>0</v>
      </c>
      <c r="DM32" s="763">
        <f>IFERROR(
SUM(DL32,SUMIF(防護具!$Y$30:$Y$212,DM$17&amp;$C31,防護具!$Q$30:$Q$212))-DL31,0)</f>
        <v>0</v>
      </c>
      <c r="DN32" s="763">
        <f>IFERROR(
SUM(DM32,SUMIF(防護具!$Y$30:$Y$212,DN$17&amp;$C31,防護具!$Q$30:$Q$212))-DM31,0)</f>
        <v>0</v>
      </c>
      <c r="DO32" s="763">
        <f>IFERROR(
SUM(DN32,SUMIF(防護具!$Y$30:$Y$212,DO$17&amp;$C31,防護具!$Q$30:$Q$212))-DN31,0)</f>
        <v>0</v>
      </c>
      <c r="DP32" s="763">
        <f>IFERROR(
SUM(DO32,SUMIF(防護具!$Y$30:$Y$212,DP$17&amp;$C31,防護具!$Q$30:$Q$212))-DO31,0)</f>
        <v>0</v>
      </c>
      <c r="DQ32" s="763">
        <f>IFERROR(
SUM(DP32,SUMIF(防護具!$Y$30:$Y$212,DQ$17&amp;$C31,防護具!$Q$30:$Q$212))-DP31,0)</f>
        <v>0</v>
      </c>
      <c r="DR32" s="763">
        <f>IFERROR(
SUM(DQ32,SUMIF(防護具!$Y$30:$Y$212,DR$17&amp;$C31,防護具!$Q$30:$Q$212))-DQ31,0)</f>
        <v>0</v>
      </c>
      <c r="DS32" s="763">
        <f>IFERROR(
SUM(DR32,SUMIF(防護具!$Y$30:$Y$212,DS$17&amp;$C31,防護具!$Q$30:$Q$212))-DR31,0)</f>
        <v>0</v>
      </c>
      <c r="DT32" s="763">
        <f>IFERROR(
SUM(DS32,SUMIF(防護具!$Y$30:$Y$212,DT$17&amp;$C31,防護具!$Q$30:$Q$212))-DS31,0)</f>
        <v>0</v>
      </c>
      <c r="DU32" s="763">
        <f>IFERROR(
SUM(DT32,SUMIF(防護具!$Y$30:$Y$212,DU$17&amp;$C31,防護具!$Q$30:$Q$212))-DT31,0)</f>
        <v>0</v>
      </c>
      <c r="DV32" s="763">
        <f>IFERROR(
SUM(DU32,SUMIF(防護具!$Y$30:$Y$212,DV$17&amp;$C31,防護具!$Q$30:$Q$212))-DU31,0)</f>
        <v>0</v>
      </c>
      <c r="DW32" s="763">
        <f>IFERROR(
SUM(DV32,SUMIF(防護具!$Y$30:$Y$212,DW$17&amp;$C31,防護具!$Q$30:$Q$212))-DV31,0)</f>
        <v>0</v>
      </c>
      <c r="DX32" s="763">
        <f>IFERROR(
SUM(DW32,SUMIF(防護具!$Y$30:$Y$212,DX$17&amp;$C31,防護具!$Q$30:$Q$212))-DW31,0)</f>
        <v>0</v>
      </c>
      <c r="DY32" s="763">
        <f>IFERROR(
SUM(DX32,SUMIF(防護具!$Y$30:$Y$212,DY$17&amp;$C31,防護具!$Q$30:$Q$212))-DX31,0)</f>
        <v>0</v>
      </c>
      <c r="DZ32" s="763">
        <f>IFERROR(
SUM(DY32,SUMIF(防護具!$Y$30:$Y$212,DZ$17&amp;$C31,防護具!$Q$30:$Q$212))-DY31,0)</f>
        <v>0</v>
      </c>
      <c r="EA32" s="763">
        <f>IFERROR(
SUM(DZ32,SUMIF(防護具!$Y$30:$Y$212,EA$17&amp;$C31,防護具!$Q$30:$Q$212))-DZ31,0)</f>
        <v>0</v>
      </c>
      <c r="EB32" s="763">
        <f>IFERROR(
SUM(EA32,SUMIF(防護具!$Y$30:$Y$212,EB$17&amp;$C31,防護具!$Q$30:$Q$212))-EA31,0)</f>
        <v>0</v>
      </c>
      <c r="EC32" s="763">
        <f>IFERROR(
SUM(EB32,SUMIF(防護具!$Y$30:$Y$212,EC$17&amp;$C31,防護具!$Q$30:$Q$212))-EB31,0)</f>
        <v>0</v>
      </c>
      <c r="ED32" s="763">
        <f>IFERROR(
SUM(EC32,SUMIF(防護具!$Y$30:$Y$212,ED$17&amp;$C31,防護具!$Q$30:$Q$212))-EC31,0)</f>
        <v>0</v>
      </c>
      <c r="EE32" s="763">
        <f>IFERROR(
SUM(ED32,SUMIF(防護具!$Y$30:$Y$212,EE$17&amp;$C31,防護具!$Q$30:$Q$212))-ED31,0)</f>
        <v>0</v>
      </c>
      <c r="EF32" s="763">
        <f>IFERROR(
SUM(EE32,SUMIF(防護具!$Y$30:$Y$212,EF$17&amp;$C31,防護具!$Q$30:$Q$212))-EE31,0)</f>
        <v>0</v>
      </c>
      <c r="EG32" s="763">
        <f>IFERROR(
SUM(EF32,SUMIF(防護具!$Y$30:$Y$212,EG$17&amp;$C31,防護具!$Q$30:$Q$212))-EF31,0)</f>
        <v>0</v>
      </c>
      <c r="EH32" s="763">
        <f>IFERROR(
SUM(EG32,SUMIF(防護具!$Y$30:$Y$212,EH$17&amp;$C31,防護具!$Q$30:$Q$212))-EG31,0)</f>
        <v>0</v>
      </c>
      <c r="EI32" s="763">
        <f>IFERROR(
SUM(EH32,SUMIF(防護具!$Y$30:$Y$212,EI$17&amp;$C31,防護具!$Q$30:$Q$212))-EH31,0)</f>
        <v>0</v>
      </c>
      <c r="EJ32" s="763">
        <f>IFERROR(
SUM(EI32,SUMIF(防護具!$Y$30:$Y$212,EJ$17&amp;$C31,防護具!$Q$30:$Q$212))-EI31,0)</f>
        <v>0</v>
      </c>
      <c r="EK32" s="763">
        <f>IFERROR(
SUM(EJ32,SUMIF(防護具!$Y$30:$Y$212,EK$17&amp;$C31,防護具!$Q$30:$Q$212))-EJ31,0)</f>
        <v>0</v>
      </c>
      <c r="EL32" s="763">
        <f>IFERROR(
SUM(EK32,SUMIF(防護具!$Y$30:$Y$212,EL$17&amp;$C31,防護具!$Q$30:$Q$212))-EK31,0)</f>
        <v>0</v>
      </c>
      <c r="EM32" s="763">
        <f>IFERROR(
SUM(EL32,SUMIF(防護具!$Y$30:$Y$212,EM$17&amp;$C31,防護具!$Q$30:$Q$212))-EL31,0)</f>
        <v>0</v>
      </c>
      <c r="EN32" s="763">
        <f>IFERROR(
SUM(EM32,SUMIF(防護具!$Y$30:$Y$212,EN$17&amp;$C31,防護具!$Q$30:$Q$212))-EM31,0)</f>
        <v>0</v>
      </c>
      <c r="EO32" s="763">
        <f>IFERROR(
SUM(EN32,SUMIF(防護具!$Y$30:$Y$212,EO$17&amp;$C31,防護具!$Q$30:$Q$212))-EN31,0)</f>
        <v>0</v>
      </c>
      <c r="EP32" s="763">
        <f>IFERROR(
SUM(EO32,SUMIF(防護具!$Y$30:$Y$212,EP$17&amp;$C31,防護具!$Q$30:$Q$212))-EO31,0)</f>
        <v>0</v>
      </c>
      <c r="EQ32" s="763">
        <f>IFERROR(
SUM(EP32,SUMIF(防護具!$Y$30:$Y$212,EQ$17&amp;$C31,防護具!$Q$30:$Q$212))-EP31,0)</f>
        <v>0</v>
      </c>
      <c r="ER32" s="763">
        <f>IFERROR(
SUM(EQ32,SUMIF(防護具!$Y$30:$Y$212,ER$17&amp;$C31,防護具!$Q$30:$Q$212))-EQ31,0)</f>
        <v>0</v>
      </c>
      <c r="ES32" s="763">
        <f>IFERROR(
SUM(ER32,SUMIF(防護具!$Y$30:$Y$212,ES$17&amp;$C31,防護具!$Q$30:$Q$212))-ER31,0)</f>
        <v>0</v>
      </c>
      <c r="ET32" s="763">
        <f>IFERROR(
SUM(ES32,SUMIF(防護具!$Y$30:$Y$212,ET$17&amp;$C31,防護具!$Q$30:$Q$212))-ES31,0)</f>
        <v>0</v>
      </c>
      <c r="EU32" s="763">
        <f>IFERROR(
SUM(ET32,SUMIF(防護具!$Y$30:$Y$212,EU$17&amp;$C31,防護具!$Q$30:$Q$212))-ET31,0)</f>
        <v>0</v>
      </c>
      <c r="EV32" s="763">
        <f>IFERROR(
SUM(EU32,SUMIF(防護具!$Y$30:$Y$212,EV$17&amp;$C31,防護具!$Q$30:$Q$212))-EU31,0)</f>
        <v>0</v>
      </c>
      <c r="EW32" s="763">
        <f>IFERROR(
SUM(EV32,SUMIF(防護具!$Y$30:$Y$212,EW$17&amp;$C31,防護具!$Q$30:$Q$212))-EV31,0)</f>
        <v>0</v>
      </c>
      <c r="EX32" s="763">
        <f>IFERROR(
SUM(EW32,SUMIF(防護具!$Y$30:$Y$212,EX$17&amp;$C31,防護具!$Q$30:$Q$212))-EW31,0)</f>
        <v>0</v>
      </c>
      <c r="EY32" s="763">
        <f>IFERROR(
SUM(EX32,SUMIF(防護具!$Y$30:$Y$212,EY$17&amp;$C31,防護具!$Q$30:$Q$212))-EX31,0)</f>
        <v>0</v>
      </c>
      <c r="EZ32" s="763">
        <f>IFERROR(
SUM(EY32,SUMIF(防護具!$Y$30:$Y$212,EZ$17&amp;$C31,防護具!$Q$30:$Q$212))-EY31,0)</f>
        <v>0</v>
      </c>
      <c r="FA32" s="763">
        <f>IFERROR(
SUM(EZ32,SUMIF(防護具!$Y$30:$Y$212,FA$17&amp;$C31,防護具!$Q$30:$Q$212))-EZ31,0)</f>
        <v>0</v>
      </c>
      <c r="FB32" s="763">
        <f>IFERROR(
SUM(FA32,SUMIF(防護具!$Y$30:$Y$212,FB$17&amp;$C31,防護具!$Q$30:$Q$212))-FA31,0)</f>
        <v>0</v>
      </c>
      <c r="FC32" s="763">
        <f>IFERROR(
SUM(FB32,SUMIF(防護具!$Y$30:$Y$212,FC$17&amp;$C31,防護具!$Q$30:$Q$212))-FB31,0)</f>
        <v>0</v>
      </c>
      <c r="FD32" s="763">
        <f>IFERROR(
SUM(FC32,SUMIF(防護具!$Y$30:$Y$212,FD$17&amp;$C31,防護具!$Q$30:$Q$212))-FC31,0)</f>
        <v>0</v>
      </c>
      <c r="FE32" s="763">
        <f>IFERROR(
SUM(FD32,SUMIF(防護具!$Y$30:$Y$212,FE$17&amp;$C31,防護具!$Q$30:$Q$212))-FD31,0)</f>
        <v>0</v>
      </c>
      <c r="FF32" s="763">
        <f>IFERROR(
SUM(FE32,SUMIF(防護具!$Y$30:$Y$212,FF$17&amp;$C31,防護具!$Q$30:$Q$212))-FE31,0)</f>
        <v>0</v>
      </c>
      <c r="FG32" s="763">
        <f>IFERROR(
SUM(FF32,SUMIF(防護具!$Y$30:$Y$212,FG$17&amp;$C31,防護具!$Q$30:$Q$212))-FF31,0)</f>
        <v>0</v>
      </c>
      <c r="FH32" s="763">
        <f>IFERROR(
SUM(FG32,SUMIF(防護具!$Y$30:$Y$212,FH$17&amp;$C31,防護具!$Q$30:$Q$212))-FG31,0)</f>
        <v>0</v>
      </c>
      <c r="FI32" s="763">
        <f>IFERROR(
SUM(FH32,SUMIF(防護具!$Y$30:$Y$212,FI$17&amp;$C31,防護具!$Q$30:$Q$212))-FH31,0)</f>
        <v>0</v>
      </c>
      <c r="FJ32" s="763">
        <f>IFERROR(
SUM(FI32,SUMIF(防護具!$Y$30:$Y$212,FJ$17&amp;$C31,防護具!$Q$30:$Q$212))-FI31,0)</f>
        <v>0</v>
      </c>
      <c r="FK32" s="763">
        <f>IFERROR(
SUM(FJ32,SUMIF(防護具!$Y$30:$Y$212,FK$17&amp;$C31,防護具!$Q$30:$Q$212))-FJ31,0)</f>
        <v>0</v>
      </c>
      <c r="FL32" s="763">
        <f>IFERROR(
SUM(FK32,SUMIF(防護具!$Y$30:$Y$212,FL$17&amp;$C31,防護具!$Q$30:$Q$212))-FK31,0)</f>
        <v>0</v>
      </c>
      <c r="FM32" s="763">
        <f>IFERROR(
SUM(FL32,SUMIF(防護具!$Y$30:$Y$212,FM$17&amp;$C31,防護具!$Q$30:$Q$212))-FL31,0)</f>
        <v>0</v>
      </c>
      <c r="FN32" s="763">
        <f>IFERROR(
SUM(FM32,SUMIF(防護具!$Y$30:$Y$212,FN$17&amp;$C31,防護具!$Q$30:$Q$212))-FM31,0)</f>
        <v>0</v>
      </c>
      <c r="FO32" s="763">
        <f>IFERROR(
SUM(FN32,SUMIF(防護具!$Y$30:$Y$212,FO$17&amp;$C31,防護具!$Q$30:$Q$212))-FN31,0)</f>
        <v>0</v>
      </c>
      <c r="FP32" s="763">
        <f>IFERROR(
SUM(FO32,SUMIF(防護具!$Y$30:$Y$212,FP$17&amp;$C31,防護具!$Q$30:$Q$212))-FO31,0)</f>
        <v>0</v>
      </c>
      <c r="FQ32" s="763">
        <f>IFERROR(
SUM(FP32,SUMIF(防護具!$Y$30:$Y$212,FQ$17&amp;$C31,防護具!$Q$30:$Q$212))-FP31,0)</f>
        <v>0</v>
      </c>
      <c r="FR32" s="763">
        <f>IFERROR(
SUM(FQ32,SUMIF(防護具!$Y$30:$Y$212,FR$17&amp;$C31,防護具!$Q$30:$Q$212))-FQ31,0)</f>
        <v>0</v>
      </c>
      <c r="FS32" s="763">
        <f>IFERROR(
SUM(FR32,SUMIF(防護具!$Y$30:$Y$212,FS$17&amp;$C31,防護具!$Q$30:$Q$212))-FR31,0)</f>
        <v>0</v>
      </c>
      <c r="FT32" s="763">
        <f>IFERROR(
SUM(FS32,SUMIF(防護具!$Y$30:$Y$212,FT$17&amp;$C31,防護具!$Q$30:$Q$212))-FS31,0)</f>
        <v>0</v>
      </c>
      <c r="FU32" s="763">
        <f>IFERROR(
SUM(FT32,SUMIF(防護具!$Y$30:$Y$212,FU$17&amp;$C31,防護具!$Q$30:$Q$212))-FT31,0)</f>
        <v>0</v>
      </c>
      <c r="FV32" s="763">
        <f>IFERROR(
SUM(FU32,SUMIF(防護具!$Y$30:$Y$212,FV$17&amp;$C31,防護具!$Q$30:$Q$212))-FU31,0)</f>
        <v>0</v>
      </c>
      <c r="FW32" s="763">
        <f>IFERROR(
SUM(FV32,SUMIF(防護具!$Y$30:$Y$212,FW$17&amp;$C31,防護具!$Q$30:$Q$212))-FV31,0)</f>
        <v>0</v>
      </c>
      <c r="FX32" s="763">
        <f>IFERROR(
SUM(FW32,SUMIF(防護具!$Y$30:$Y$212,FX$17&amp;$C31,防護具!$Q$30:$Q$212))-FW31,0)</f>
        <v>0</v>
      </c>
      <c r="FY32" s="763">
        <f>IFERROR(
SUM(FX32,SUMIF(防護具!$Y$30:$Y$212,FY$17&amp;$C31,防護具!$Q$30:$Q$212))-FX31,0)</f>
        <v>0</v>
      </c>
      <c r="FZ32" s="763">
        <f>IFERROR(
SUM(FY32,SUMIF(防護具!$Y$30:$Y$212,FZ$17&amp;$C31,防護具!$Q$30:$Q$212))-FY31,0)</f>
        <v>0</v>
      </c>
      <c r="GA32" s="763">
        <f>IFERROR(
SUM(FZ32,SUMIF(防護具!$Y$30:$Y$212,GA$17&amp;$C31,防護具!$Q$30:$Q$212))-FZ31,0)</f>
        <v>0</v>
      </c>
      <c r="GB32" s="763">
        <f>IFERROR(
SUM(GA32,SUMIF(防護具!$Y$30:$Y$212,GB$17&amp;$C31,防護具!$Q$30:$Q$212))-GA31,0)</f>
        <v>0</v>
      </c>
      <c r="GC32" s="763">
        <f>IFERROR(
SUM(GB32,SUMIF(防護具!$Y$30:$Y$212,GC$17&amp;$C31,防護具!$Q$30:$Q$212))-GB31,0)</f>
        <v>0</v>
      </c>
      <c r="GD32" s="763">
        <f>IFERROR(
SUM(GC32,SUMIF(防護具!$Y$30:$Y$212,GD$17&amp;$C31,防護具!$Q$30:$Q$212))-GC31,0)</f>
        <v>0</v>
      </c>
      <c r="GE32" s="763">
        <f>IFERROR(
SUM(GD32,SUMIF(防護具!$Y$30:$Y$212,GE$17&amp;$C31,防護具!$Q$30:$Q$212))-GD31,0)</f>
        <v>0</v>
      </c>
      <c r="GF32" s="763">
        <f>IFERROR(
SUM(GE32,SUMIF(防護具!$Y$30:$Y$212,GF$17&amp;$C31,防護具!$Q$30:$Q$212))-GE31,0)</f>
        <v>0</v>
      </c>
      <c r="GG32" s="763">
        <f>IFERROR(
SUM(GF32,SUMIF(防護具!$Y$30:$Y$212,GG$17&amp;$C31,防護具!$Q$30:$Q$212))-GF31,0)</f>
        <v>0</v>
      </c>
      <c r="GH32" s="763">
        <f>IFERROR(
SUM(GG32,SUMIF(防護具!$Y$30:$Y$212,GH$17&amp;$C31,防護具!$Q$30:$Q$212))-GG31,0)</f>
        <v>0</v>
      </c>
      <c r="GI32" s="763">
        <f>IFERROR(
SUM(GH32,SUMIF(防護具!$Y$30:$Y$212,GI$17&amp;$C31,防護具!$Q$30:$Q$212))-GH31,0)</f>
        <v>0</v>
      </c>
      <c r="GJ32" s="763">
        <f>IFERROR(
SUM(GI32,SUMIF(防護具!$Y$30:$Y$212,GJ$17&amp;$C31,防護具!$Q$30:$Q$212))-GI31,0)</f>
        <v>0</v>
      </c>
    </row>
    <row r="33" spans="2:192" s="627" customFormat="1">
      <c r="B33" s="631"/>
      <c r="C33" s="626"/>
      <c r="D33" s="702" t="s">
        <v>1425</v>
      </c>
      <c r="E33" s="707"/>
      <c r="F33" s="654"/>
      <c r="G33" s="763">
        <f xml:space="preserve">
IF(
SUM(SUMIF(防護具!$Y$13:$Y$29,G$17&amp;$C31,防護具!$Q$13:$Q$29),F33)-VLOOKUP($C31,$C$3:$D$15,2,FALSE)*F29&lt;0,0,
SUM(SUMIF(防護具!$Y$13:$Y$29,G$17&amp;$C31,防護具!$Q$13:$Q$29),F33)-VLOOKUP($C31,$C$3:$D$15,2,FALSE)*F29)</f>
        <v>0</v>
      </c>
      <c r="H33" s="763">
        <f xml:space="preserve">
IF(
SUM(SUMIF(防護具!$Y$13:$Y$29,H$17&amp;$C31,防護具!$Q$13:$Q$29),G33)-VLOOKUP($C31,$C$3:$D$15,2,FALSE)*G29&lt;0,0,
SUM(SUMIF(防護具!$Y$13:$Y$29,H$17&amp;$C31,防護具!$Q$13:$Q$29),G33)-VLOOKUP($C31,$C$3:$D$15,2,FALSE)*G29)</f>
        <v>0</v>
      </c>
      <c r="I33" s="763">
        <f xml:space="preserve">
IF(
SUM(SUMIF(防護具!$Y$13:$Y$29,I$17&amp;$C31,防護具!$Q$13:$Q$29),H33)-VLOOKUP($C31,$C$3:$D$15,2,FALSE)*H29&lt;0,0,
SUM(SUMIF(防護具!$Y$13:$Y$29,I$17&amp;$C31,防護具!$Q$13:$Q$29),H33)-VLOOKUP($C31,$C$3:$D$15,2,FALSE)*H29)</f>
        <v>0</v>
      </c>
      <c r="J33" s="763">
        <f xml:space="preserve">
IF(
SUM(SUMIF(防護具!$Y$13:$Y$29,J$17&amp;$C31,防護具!$Q$13:$Q$29),I33)-VLOOKUP($C31,$C$3:$D$15,2,FALSE)*I29&lt;0,0,
SUM(SUMIF(防護具!$Y$13:$Y$29,J$17&amp;$C31,防護具!$Q$13:$Q$29),I33)-VLOOKUP($C31,$C$3:$D$15,2,FALSE)*I29)</f>
        <v>0</v>
      </c>
      <c r="K33" s="763">
        <f xml:space="preserve">
IF(
SUM(SUMIF(防護具!$Y$13:$Y$29,K$17&amp;$C31,防護具!$Q$13:$Q$29),J33)-VLOOKUP($C31,$C$3:$D$15,2,FALSE)*J29&lt;0,0,
SUM(SUMIF(防護具!$Y$13:$Y$29,K$17&amp;$C31,防護具!$Q$13:$Q$29),J33)-VLOOKUP($C31,$C$3:$D$15,2,FALSE)*J29)</f>
        <v>0</v>
      </c>
      <c r="L33" s="763">
        <f xml:space="preserve">
IF(
SUM(SUMIF(防護具!$Y$13:$Y$29,L$17&amp;$C31,防護具!$Q$13:$Q$29),K33)-VLOOKUP($C31,$C$3:$D$15,2,FALSE)*K29&lt;0,0,
SUM(SUMIF(防護具!$Y$13:$Y$29,L$17&amp;$C31,防護具!$Q$13:$Q$29),K33)-VLOOKUP($C31,$C$3:$D$15,2,FALSE)*K29)</f>
        <v>0</v>
      </c>
      <c r="M33" s="763">
        <f xml:space="preserve">
IF(
SUM(SUMIF(防護具!$Y$13:$Y$29,M$17&amp;$C31,防護具!$Q$13:$Q$29),L33)-VLOOKUP($C31,$C$3:$D$15,2,FALSE)*L29&lt;0,0,
SUM(SUMIF(防護具!$Y$13:$Y$29,M$17&amp;$C31,防護具!$Q$13:$Q$29),L33)-VLOOKUP($C31,$C$3:$D$15,2,FALSE)*L29)</f>
        <v>0</v>
      </c>
      <c r="N33" s="763">
        <f xml:space="preserve">
IF(
SUM(SUMIF(防護具!$Y$13:$Y$29,N$17&amp;$C31,防護具!$Q$13:$Q$29),M33)-VLOOKUP($C31,$C$3:$D$15,2,FALSE)*M29&lt;0,0,
SUM(SUMIF(防護具!$Y$13:$Y$29,N$17&amp;$C31,防護具!$Q$13:$Q$29),M33)-VLOOKUP($C31,$C$3:$D$15,2,FALSE)*M29)</f>
        <v>0</v>
      </c>
      <c r="O33" s="763">
        <f xml:space="preserve">
IF(
SUM(SUMIF(防護具!$Y$13:$Y$29,O$17&amp;$C31,防護具!$Q$13:$Q$29),N33)-VLOOKUP($C31,$C$3:$D$15,2,FALSE)*N29&lt;0,0,
SUM(SUMIF(防護具!$Y$13:$Y$29,O$17&amp;$C31,防護具!$Q$13:$Q$29),N33)-VLOOKUP($C31,$C$3:$D$15,2,FALSE)*N29)</f>
        <v>0</v>
      </c>
      <c r="P33" s="763">
        <f xml:space="preserve">
IF(
SUM(SUMIF(防護具!$Y$13:$Y$29,P$17&amp;$C31,防護具!$Q$13:$Q$29),O33)-VLOOKUP($C31,$C$3:$D$15,2,FALSE)*O29&lt;0,0,
SUM(SUMIF(防護具!$Y$13:$Y$29,P$17&amp;$C31,防護具!$Q$13:$Q$29),O33)-VLOOKUP($C31,$C$3:$D$15,2,FALSE)*O29)</f>
        <v>0</v>
      </c>
      <c r="Q33" s="763">
        <f xml:space="preserve">
IF(
SUM(SUMIF(防護具!$Y$13:$Y$29,Q$17&amp;$C31,防護具!$Q$13:$Q$29),P33)-VLOOKUP($C31,$C$3:$D$15,2,FALSE)*P$20&lt;0,0,
SUM(SUMIF(防護具!$Y$13:$Y$29,Q$17&amp;$C31,防護具!$Q$13:$Q$29),P33)-VLOOKUP($C31,$C$3:$D$15,2,FALSE)*P$20)</f>
        <v>0</v>
      </c>
      <c r="R33" s="763">
        <f xml:space="preserve">
IF(
SUM(SUMIF(防護具!$Y$13:$Y$29,R$17&amp;$C31,防護具!$Q$13:$Q$29),Q33)-VLOOKUP($C31,$C$3:$D$15,2,FALSE)*Q$20&lt;0,0,
SUM(SUMIF(防護具!$Y$13:$Y$29,R$17&amp;$C31,防護具!$Q$13:$Q$29),Q33)-VLOOKUP($C31,$C$3:$D$15,2,FALSE)*Q$20)</f>
        <v>0</v>
      </c>
      <c r="S33" s="763">
        <f xml:space="preserve">
IF(
SUM(SUMIF(防護具!$Y$13:$Y$29,S$17&amp;$C31,防護具!$Q$13:$Q$29),R33)-VLOOKUP($C31,$C$3:$D$15,2,FALSE)*R$20&lt;0,0,
SUM(SUMIF(防護具!$Y$13:$Y$29,S$17&amp;$C31,防護具!$Q$13:$Q$29),R33)-VLOOKUP($C31,$C$3:$D$15,2,FALSE)*R$20)</f>
        <v>0</v>
      </c>
      <c r="T33" s="763">
        <f xml:space="preserve">
IF(
SUM(SUMIF(防護具!$Y$13:$Y$29,T$17&amp;$C31,防護具!$Q$13:$Q$29),S33)-VLOOKUP($C31,$C$3:$D$15,2,FALSE)*S$20&lt;0,0,
SUM(SUMIF(防護具!$Y$13:$Y$29,T$17&amp;$C31,防護具!$Q$13:$Q$29),S33)-VLOOKUP($C31,$C$3:$D$15,2,FALSE)*S$20)</f>
        <v>0</v>
      </c>
      <c r="U33" s="763">
        <f xml:space="preserve">
IF(
SUM(SUMIF(防護具!$Y$13:$Y$29,U$17&amp;$C31,防護具!$Q$13:$Q$29),T33)-VLOOKUP($C31,$C$3:$D$15,2,FALSE)*T$20&lt;0,0,
SUM(SUMIF(防護具!$Y$13:$Y$29,U$17&amp;$C31,防護具!$Q$13:$Q$29),T33)-VLOOKUP($C31,$C$3:$D$15,2,FALSE)*T$20)</f>
        <v>0</v>
      </c>
      <c r="V33" s="763">
        <f xml:space="preserve">
IF(
SUM(SUMIF(防護具!$Y$13:$Y$29,V$17&amp;$C31,防護具!$Q$13:$Q$29),U33)-VLOOKUP($C31,$C$3:$D$15,2,FALSE)*U$20&lt;0,0,
SUM(SUMIF(防護具!$Y$13:$Y$29,V$17&amp;$C31,防護具!$Q$13:$Q$29),U33)-VLOOKUP($C31,$C$3:$D$15,2,FALSE)*U$20)</f>
        <v>0</v>
      </c>
      <c r="W33" s="763">
        <f xml:space="preserve">
IF(
SUM(SUMIF(防護具!$Y$13:$Y$29,W$17&amp;$C31,防護具!$Q$13:$Q$29),V33)-VLOOKUP($C31,$C$3:$D$15,2,FALSE)*V$20&lt;0,0,
SUM(SUMIF(防護具!$Y$13:$Y$29,W$17&amp;$C31,防護具!$Q$13:$Q$29),V33)-VLOOKUP($C31,$C$3:$D$15,2,FALSE)*V$20)</f>
        <v>0</v>
      </c>
      <c r="X33" s="763">
        <f xml:space="preserve">
IF(
SUM(SUMIF(防護具!$Y$13:$Y$29,X$17&amp;$C31,防護具!$Q$13:$Q$29),W33)-VLOOKUP($C31,$C$3:$D$15,2,FALSE)*W$20&lt;0,0,
SUM(SUMIF(防護具!$Y$13:$Y$29,X$17&amp;$C31,防護具!$Q$13:$Q$29),W33)-VLOOKUP($C31,$C$3:$D$15,2,FALSE)*W$20)</f>
        <v>0</v>
      </c>
      <c r="Y33" s="763">
        <f xml:space="preserve">
IF(
SUM(SUMIF(防護具!$Y$13:$Y$29,Y$17&amp;$C31,防護具!$Q$13:$Q$29),X33)-VLOOKUP($C31,$C$3:$D$15,2,FALSE)*X$20&lt;0,0,
SUM(SUMIF(防護具!$Y$13:$Y$29,Y$17&amp;$C31,防護具!$Q$13:$Q$29),X33)-VLOOKUP($C31,$C$3:$D$15,2,FALSE)*X$20)</f>
        <v>0</v>
      </c>
      <c r="Z33" s="763">
        <f xml:space="preserve">
IF(
SUM(SUMIF(防護具!$Y$13:$Y$29,Z$17&amp;$C31,防護具!$Q$13:$Q$29),Y33)-VLOOKUP($C31,$C$3:$D$15,2,FALSE)*Y$20&lt;0,0,
SUM(SUMIF(防護具!$Y$13:$Y$29,Z$17&amp;$C31,防護具!$Q$13:$Q$29),Y33)-VLOOKUP($C31,$C$3:$D$15,2,FALSE)*Y$20)</f>
        <v>0</v>
      </c>
      <c r="AA33" s="763">
        <f xml:space="preserve">
IF(
SUM(SUMIF(防護具!$Y$13:$Y$29,AA$17&amp;$C31,防護具!$Q$13:$Q$29),Z33)-VLOOKUP($C31,$C$3:$D$15,2,FALSE)*Z$20&lt;0,0,
SUM(SUMIF(防護具!$Y$13:$Y$29,AA$17&amp;$C31,防護具!$Q$13:$Q$29),Z33)-VLOOKUP($C31,$C$3:$D$15,2,FALSE)*Z$20)</f>
        <v>0</v>
      </c>
      <c r="AB33" s="763">
        <f xml:space="preserve">
IF(
SUM(SUMIF(防護具!$Y$13:$Y$29,AB$17&amp;$C31,防護具!$Q$13:$Q$29),AA33)-VLOOKUP($C31,$C$3:$D$15,2,FALSE)*AA$20&lt;0,0,
SUM(SUMIF(防護具!$Y$13:$Y$29,AB$17&amp;$C31,防護具!$Q$13:$Q$29),AA33)-VLOOKUP($C31,$C$3:$D$15,2,FALSE)*AA$20)</f>
        <v>0</v>
      </c>
      <c r="AC33" s="763">
        <f xml:space="preserve">
IF(
SUM(SUMIF(防護具!$Y$13:$Y$29,AC$17&amp;$C31,防護具!$Q$13:$Q$29),AB33)-VLOOKUP($C31,$C$3:$D$15,2,FALSE)*AB$20&lt;0,0,
SUM(SUMIF(防護具!$Y$13:$Y$29,AC$17&amp;$C31,防護具!$Q$13:$Q$29),AB33)-VLOOKUP($C31,$C$3:$D$15,2,FALSE)*AB$20)</f>
        <v>0</v>
      </c>
      <c r="AD33" s="763">
        <f xml:space="preserve">
IF(
SUM(SUMIF(防護具!$Y$13:$Y$29,AD$17&amp;$C31,防護具!$Q$13:$Q$29),AC33)-VLOOKUP($C31,$C$3:$D$15,2,FALSE)*AC$20&lt;0,0,
SUM(SUMIF(防護具!$Y$13:$Y$29,AD$17&amp;$C31,防護具!$Q$13:$Q$29),AC33)-VLOOKUP($C31,$C$3:$D$15,2,FALSE)*AC$20)</f>
        <v>0</v>
      </c>
      <c r="AE33" s="763">
        <f xml:space="preserve">
IF(
SUM(SUMIF(防護具!$Y$13:$Y$29,AE$17&amp;$C31,防護具!$Q$13:$Q$29),AD33)-VLOOKUP($C31,$C$3:$D$15,2,FALSE)*AD$20&lt;0,0,
SUM(SUMIF(防護具!$Y$13:$Y$29,AE$17&amp;$C31,防護具!$Q$13:$Q$29),AD33)-VLOOKUP($C31,$C$3:$D$15,2,FALSE)*AD$20)</f>
        <v>0</v>
      </c>
      <c r="AF33" s="763">
        <f xml:space="preserve">
IF(
SUM(SUMIF(防護具!$Y$13:$Y$29,AF$17&amp;$C31,防護具!$Q$13:$Q$29),AE33)-VLOOKUP($C31,$C$3:$D$15,2,FALSE)*AE$20&lt;0,0,
SUM(SUMIF(防護具!$Y$13:$Y$29,AF$17&amp;$C31,防護具!$Q$13:$Q$29),AE33)-VLOOKUP($C31,$C$3:$D$15,2,FALSE)*AE$20)</f>
        <v>0</v>
      </c>
      <c r="AG33" s="763">
        <f xml:space="preserve">
IF(
SUM(SUMIF(防護具!$Y$13:$Y$29,AG$17&amp;$C31,防護具!$Q$13:$Q$29),AF33)-VLOOKUP($C31,$C$3:$D$15,2,FALSE)*AF$20&lt;0,0,
SUM(SUMIF(防護具!$Y$13:$Y$29,AG$17&amp;$C31,防護具!$Q$13:$Q$29),AF33)-VLOOKUP($C31,$C$3:$D$15,2,FALSE)*AF$20)</f>
        <v>0</v>
      </c>
      <c r="AH33" s="763">
        <f xml:space="preserve">
IF(
SUM(SUMIF(防護具!$Y$13:$Y$29,AH$17&amp;$C31,防護具!$Q$13:$Q$29),AG33)-VLOOKUP($C31,$C$3:$D$15,2,FALSE)*AG$20&lt;0,0,
SUM(SUMIF(防護具!$Y$13:$Y$29,AH$17&amp;$C31,防護具!$Q$13:$Q$29),AG33)-VLOOKUP($C31,$C$3:$D$15,2,FALSE)*AG$20)</f>
        <v>0</v>
      </c>
      <c r="AI33" s="763">
        <f xml:space="preserve">
IF(
SUM(SUMIF(防護具!$Y$13:$Y$29,AI$17&amp;$C31,防護具!$Q$13:$Q$29),AH33)-VLOOKUP($C31,$C$3:$D$15,2,FALSE)*AH$20&lt;0,0,
SUM(SUMIF(防護具!$Y$13:$Y$29,AI$17&amp;$C31,防護具!$Q$13:$Q$29),AH33)-VLOOKUP($C31,$C$3:$D$15,2,FALSE)*AH$20)</f>
        <v>0</v>
      </c>
      <c r="AJ33" s="763">
        <f xml:space="preserve">
IF(
SUM(SUMIF(防護具!$Y$13:$Y$29,AJ$17&amp;$C31,防護具!$Q$13:$Q$29),AI33)-VLOOKUP($C31,$C$3:$D$15,2,FALSE)*AI$20&lt;0,0,
SUM(SUMIF(防護具!$Y$13:$Y$29,AJ$17&amp;$C31,防護具!$Q$13:$Q$29),AI33)-VLOOKUP($C31,$C$3:$D$15,2,FALSE)*AI$20)</f>
        <v>0</v>
      </c>
      <c r="AK33" s="763">
        <f xml:space="preserve">
IF(
SUM(SUMIF(防護具!$Y$13:$Y$29,AK$17&amp;$C31,防護具!$Q$13:$Q$29),AJ33)-VLOOKUP($C31,$C$3:$D$15,2,FALSE)*AJ$20&lt;0,0,
SUM(SUMIF(防護具!$Y$13:$Y$29,AK$17&amp;$C31,防護具!$Q$13:$Q$29),AJ33)-VLOOKUP($C31,$C$3:$D$15,2,FALSE)*AJ$20)</f>
        <v>0</v>
      </c>
      <c r="AL33" s="763">
        <f xml:space="preserve">
IF(
SUM(SUMIF(防護具!$Y$13:$Y$29,AL$17&amp;$C31,防護具!$Q$13:$Q$29),AK33)-VLOOKUP($C31,$C$3:$D$15,2,FALSE)*AK$20&lt;0,0,
SUM(SUMIF(防護具!$Y$13:$Y$29,AL$17&amp;$C31,防護具!$Q$13:$Q$29),AK33)-VLOOKUP($C31,$C$3:$D$15,2,FALSE)*AK$20)</f>
        <v>0</v>
      </c>
      <c r="AM33" s="763">
        <f xml:space="preserve">
IF(
SUM(SUMIF(防護具!$Y$13:$Y$29,AM$17&amp;$C31,防護具!$Q$13:$Q$29),AL33)-VLOOKUP($C31,$C$3:$D$15,2,FALSE)*AL$20&lt;0,0,
SUM(SUMIF(防護具!$Y$13:$Y$29,AM$17&amp;$C31,防護具!$Q$13:$Q$29),AL33)-VLOOKUP($C31,$C$3:$D$15,2,FALSE)*AL$20)</f>
        <v>0</v>
      </c>
      <c r="AN33" s="763">
        <f xml:space="preserve">
IF(
SUM(SUMIF(防護具!$Y$13:$Y$29,AN$17&amp;$C31,防護具!$Q$13:$Q$29),AM33)-VLOOKUP($C31,$C$3:$D$15,2,FALSE)*AM$20&lt;0,0,
SUM(SUMIF(防護具!$Y$13:$Y$29,AN$17&amp;$C31,防護具!$Q$13:$Q$29),AM33)-VLOOKUP($C31,$C$3:$D$15,2,FALSE)*AM$20)</f>
        <v>0</v>
      </c>
      <c r="AO33" s="763">
        <f xml:space="preserve">
IF(
SUM(SUMIF(防護具!$Y$13:$Y$29,AO$17&amp;$C31,防護具!$Q$13:$Q$29),AN33)-VLOOKUP($C31,$C$3:$D$15,2,FALSE)*AN$20&lt;0,0,
SUM(SUMIF(防護具!$Y$13:$Y$29,AO$17&amp;$C31,防護具!$Q$13:$Q$29),AN33)-VLOOKUP($C31,$C$3:$D$15,2,FALSE)*AN$20)</f>
        <v>0</v>
      </c>
      <c r="AP33" s="763">
        <f xml:space="preserve">
IF(
SUM(SUMIF(防護具!$Y$13:$Y$29,AP$17&amp;$C31,防護具!$Q$13:$Q$29),AO33)-VLOOKUP($C31,$C$3:$D$15,2,FALSE)*AO$20&lt;0,0,
SUM(SUMIF(防護具!$Y$13:$Y$29,AP$17&amp;$C31,防護具!$Q$13:$Q$29),AO33)-VLOOKUP($C31,$C$3:$D$15,2,FALSE)*AO$20)</f>
        <v>0</v>
      </c>
      <c r="AQ33" s="763">
        <f xml:space="preserve">
IF(
SUM(SUMIF(防護具!$Y$13:$Y$29,AQ$17&amp;$C31,防護具!$Q$13:$Q$29),AP33)-VLOOKUP($C31,$C$3:$D$15,2,FALSE)*AP$20&lt;0,0,
SUM(SUMIF(防護具!$Y$13:$Y$29,AQ$17&amp;$C31,防護具!$Q$13:$Q$29),AP33)-VLOOKUP($C31,$C$3:$D$15,2,FALSE)*AP$20)</f>
        <v>0</v>
      </c>
      <c r="AR33" s="763">
        <f xml:space="preserve">
IF(
SUM(SUMIF(防護具!$Y$13:$Y$29,AR$17&amp;$C31,防護具!$Q$13:$Q$29),AQ33)-VLOOKUP($C31,$C$3:$D$15,2,FALSE)*AQ$20&lt;0,0,
SUM(SUMIF(防護具!$Y$13:$Y$29,AR$17&amp;$C31,防護具!$Q$13:$Q$29),AQ33)-VLOOKUP($C31,$C$3:$D$15,2,FALSE)*AQ$20)</f>
        <v>0</v>
      </c>
      <c r="AS33" s="763">
        <f xml:space="preserve">
IF(
SUM(SUMIF(防護具!$Y$13:$Y$29,AS$17&amp;$C31,防護具!$Q$13:$Q$29),AR33)-VLOOKUP($C31,$C$3:$D$15,2,FALSE)*AR$20&lt;0,0,
SUM(SUMIF(防護具!$Y$13:$Y$29,AS$17&amp;$C31,防護具!$Q$13:$Q$29),AR33)-VLOOKUP($C31,$C$3:$D$15,2,FALSE)*AR$20)</f>
        <v>0</v>
      </c>
      <c r="AT33" s="763">
        <f xml:space="preserve">
IF(
SUM(SUMIF(防護具!$Y$13:$Y$29,AT$17&amp;$C31,防護具!$Q$13:$Q$29),AS33)-VLOOKUP($C31,$C$3:$D$15,2,FALSE)*AS$20&lt;0,0,
SUM(SUMIF(防護具!$Y$13:$Y$29,AT$17&amp;$C31,防護具!$Q$13:$Q$29),AS33)-VLOOKUP($C31,$C$3:$D$15,2,FALSE)*AS$20)</f>
        <v>0</v>
      </c>
      <c r="AU33" s="763">
        <f xml:space="preserve">
IF(
SUM(SUMIF(防護具!$Y$13:$Y$29,AU$17&amp;$C31,防護具!$Q$13:$Q$29),AT33)-VLOOKUP($C31,$C$3:$D$15,2,FALSE)*AT$20&lt;0,0,
SUM(SUMIF(防護具!$Y$13:$Y$29,AU$17&amp;$C31,防護具!$Q$13:$Q$29),AT33)-VLOOKUP($C31,$C$3:$D$15,2,FALSE)*AT$20)</f>
        <v>0</v>
      </c>
      <c r="AV33" s="763">
        <f xml:space="preserve">
IF(
SUM(SUMIF(防護具!$Y$13:$Y$29,AV$17&amp;$C31,防護具!$Q$13:$Q$29),AU33)-VLOOKUP($C31,$C$3:$D$15,2,FALSE)*AU$20&lt;0,0,
SUM(SUMIF(防護具!$Y$13:$Y$29,AV$17&amp;$C31,防護具!$Q$13:$Q$29),AU33)-VLOOKUP($C31,$C$3:$D$15,2,FALSE)*AU$20)</f>
        <v>0</v>
      </c>
      <c r="AW33" s="763">
        <f xml:space="preserve">
IF(
SUM(SUMIF(防護具!$Y$13:$Y$29,AW$17&amp;$C31,防護具!$Q$13:$Q$29),AV33)-VLOOKUP($C31,$C$3:$D$15,2,FALSE)*AV$20&lt;0,0,
SUM(SUMIF(防護具!$Y$13:$Y$29,AW$17&amp;$C31,防護具!$Q$13:$Q$29),AV33)-VLOOKUP($C31,$C$3:$D$15,2,FALSE)*AV$20)</f>
        <v>0</v>
      </c>
      <c r="AX33" s="763">
        <f xml:space="preserve">
IF(
SUM(SUMIF(防護具!$Y$13:$Y$29,AX$17&amp;$C31,防護具!$Q$13:$Q$29),AW33)-VLOOKUP($C31,$C$3:$D$15,2,FALSE)*AW$20&lt;0,0,
SUM(SUMIF(防護具!$Y$13:$Y$29,AX$17&amp;$C31,防護具!$Q$13:$Q$29),AW33)-VLOOKUP($C31,$C$3:$D$15,2,FALSE)*AW$20)</f>
        <v>0</v>
      </c>
      <c r="AY33" s="763">
        <f xml:space="preserve">
IF(
SUM(SUMIF(防護具!$Y$13:$Y$29,AY$17&amp;$C31,防護具!$Q$13:$Q$29),AX33)-VLOOKUP($C31,$C$3:$D$15,2,FALSE)*AX$20&lt;0,0,
SUM(SUMIF(防護具!$Y$13:$Y$29,AY$17&amp;$C31,防護具!$Q$13:$Q$29),AX33)-VLOOKUP($C31,$C$3:$D$15,2,FALSE)*AX$20)</f>
        <v>0</v>
      </c>
      <c r="AZ33" s="763">
        <f xml:space="preserve">
IF(
SUM(SUMIF(防護具!$Y$13:$Y$29,AZ$17&amp;$C31,防護具!$Q$13:$Q$29),AY33)-VLOOKUP($C31,$C$3:$D$15,2,FALSE)*AY$20&lt;0,0,
SUM(SUMIF(防護具!$Y$13:$Y$29,AZ$17&amp;$C31,防護具!$Q$13:$Q$29),AY33)-VLOOKUP($C31,$C$3:$D$15,2,FALSE)*AY$20)</f>
        <v>0</v>
      </c>
      <c r="BA33" s="763">
        <f xml:space="preserve">
IF(
SUM(SUMIF(防護具!$Y$13:$Y$29,BA$17&amp;$C31,防護具!$Q$13:$Q$29),AZ33)-VLOOKUP($C31,$C$3:$D$15,2,FALSE)*AZ$20&lt;0,0,
SUM(SUMIF(防護具!$Y$13:$Y$29,BA$17&amp;$C31,防護具!$Q$13:$Q$29),AZ33)-VLOOKUP($C31,$C$3:$D$15,2,FALSE)*AZ$20)</f>
        <v>0</v>
      </c>
      <c r="BB33" s="763">
        <f xml:space="preserve">
IF(
SUM(SUMIF(防護具!$Y$13:$Y$29,BB$17&amp;$C31,防護具!$Q$13:$Q$29),BA33)-VLOOKUP($C31,$C$3:$D$15,2,FALSE)*BA$20&lt;0,0,
SUM(SUMIF(防護具!$Y$13:$Y$29,BB$17&amp;$C31,防護具!$Q$13:$Q$29),BA33)-VLOOKUP($C31,$C$3:$D$15,2,FALSE)*BA$20)</f>
        <v>0</v>
      </c>
      <c r="BC33" s="763">
        <f xml:space="preserve">
IF(
SUM(SUMIF(防護具!$Y$13:$Y$29,BC$17&amp;$C31,防護具!$Q$13:$Q$29),BB33)-VLOOKUP($C31,$C$3:$D$15,2,FALSE)*BB$20&lt;0,0,
SUM(SUMIF(防護具!$Y$13:$Y$29,BC$17&amp;$C31,防護具!$Q$13:$Q$29),BB33)-VLOOKUP($C31,$C$3:$D$15,2,FALSE)*BB$20)</f>
        <v>0</v>
      </c>
      <c r="BD33" s="763">
        <f xml:space="preserve">
IF(
SUM(SUMIF(防護具!$Y$13:$Y$29,BD$17&amp;$C31,防護具!$Q$13:$Q$29),BC33)-VLOOKUP($C31,$C$3:$D$15,2,FALSE)*BC$20&lt;0,0,
SUM(SUMIF(防護具!$Y$13:$Y$29,BD$17&amp;$C31,防護具!$Q$13:$Q$29),BC33)-VLOOKUP($C31,$C$3:$D$15,2,FALSE)*BC$20)</f>
        <v>0</v>
      </c>
      <c r="BE33" s="763">
        <f xml:space="preserve">
IF(
SUM(SUMIF(防護具!$Y$13:$Y$29,BE$17&amp;$C31,防護具!$Q$13:$Q$29),BD33)-VLOOKUP($C31,$C$3:$D$15,2,FALSE)*BD$20&lt;0,0,
SUM(SUMIF(防護具!$Y$13:$Y$29,BE$17&amp;$C31,防護具!$Q$13:$Q$29),BD33)-VLOOKUP($C31,$C$3:$D$15,2,FALSE)*BD$20)</f>
        <v>0</v>
      </c>
      <c r="BF33" s="763">
        <f xml:space="preserve">
IF(
SUM(SUMIF(防護具!$Y$13:$Y$29,BF$17&amp;$C31,防護具!$Q$13:$Q$29),BE33)-VLOOKUP($C31,$C$3:$D$15,2,FALSE)*BE$20&lt;0,0,
SUM(SUMIF(防護具!$Y$13:$Y$29,BF$17&amp;$C31,防護具!$Q$13:$Q$29),BE33)-VLOOKUP($C31,$C$3:$D$15,2,FALSE)*BE$20)</f>
        <v>0</v>
      </c>
      <c r="BG33" s="763">
        <f xml:space="preserve">
IF(
SUM(SUMIF(防護具!$Y$13:$Y$29,BG$17&amp;$C31,防護具!$Q$13:$Q$29),BF33)-VLOOKUP($C31,$C$3:$D$15,2,FALSE)*BF$20&lt;0,0,
SUM(SUMIF(防護具!$Y$13:$Y$29,BG$17&amp;$C31,防護具!$Q$13:$Q$29),BF33)-VLOOKUP($C31,$C$3:$D$15,2,FALSE)*BF$20)</f>
        <v>0</v>
      </c>
      <c r="BH33" s="763">
        <f xml:space="preserve">
IF(
SUM(SUMIF(防護具!$Y$13:$Y$29,BH$17&amp;$C31,防護具!$Q$13:$Q$29),BG33)-VLOOKUP($C31,$C$3:$D$15,2,FALSE)*BG$20&lt;0,0,
SUM(SUMIF(防護具!$Y$13:$Y$29,BH$17&amp;$C31,防護具!$Q$13:$Q$29),BG33)-VLOOKUP($C31,$C$3:$D$15,2,FALSE)*BG$20)</f>
        <v>0</v>
      </c>
      <c r="BI33" s="763">
        <f xml:space="preserve">
IF(
SUM(SUMIF(防護具!$Y$13:$Y$29,BI$17&amp;$C31,防護具!$Q$13:$Q$29),BH33)-VLOOKUP($C31,$C$3:$D$15,2,FALSE)*BH$20&lt;0,0,
SUM(SUMIF(防護具!$Y$13:$Y$29,BI$17&amp;$C31,防護具!$Q$13:$Q$29),BH33)-VLOOKUP($C31,$C$3:$D$15,2,FALSE)*BH$20)</f>
        <v>0</v>
      </c>
      <c r="BJ33" s="763">
        <f xml:space="preserve">
IF(
SUM(SUMIF(防護具!$Y$13:$Y$29,BJ$17&amp;$C31,防護具!$Q$13:$Q$29),BI33)-VLOOKUP($C31,$C$3:$D$15,2,FALSE)*BI$20&lt;0,0,
SUM(SUMIF(防護具!$Y$13:$Y$29,BJ$17&amp;$C31,防護具!$Q$13:$Q$29),BI33)-VLOOKUP($C31,$C$3:$D$15,2,FALSE)*BI$20)</f>
        <v>0</v>
      </c>
      <c r="BK33" s="763">
        <f xml:space="preserve">
IF(
SUM(SUMIF(防護具!$Y$13:$Y$29,BK$17&amp;$C31,防護具!$Q$13:$Q$29),BJ33)-VLOOKUP($C31,$C$3:$D$15,2,FALSE)*BJ$20&lt;0,0,
SUM(SUMIF(防護具!$Y$13:$Y$29,BK$17&amp;$C31,防護具!$Q$13:$Q$29),BJ33)-VLOOKUP($C31,$C$3:$D$15,2,FALSE)*BJ$20)</f>
        <v>0</v>
      </c>
      <c r="BL33" s="763">
        <f xml:space="preserve">
IF(
SUM(SUMIF(防護具!$Y$13:$Y$29,BL$17&amp;$C31,防護具!$Q$13:$Q$29),BK33)-VLOOKUP($C31,$C$3:$D$15,2,FALSE)*BK$20&lt;0,0,
SUM(SUMIF(防護具!$Y$13:$Y$29,BL$17&amp;$C31,防護具!$Q$13:$Q$29),BK33)-VLOOKUP($C31,$C$3:$D$15,2,FALSE)*BK$20)</f>
        <v>0</v>
      </c>
      <c r="BM33" s="763">
        <f xml:space="preserve">
IF(
SUM(SUMIF(防護具!$Y$13:$Y$29,BM$17&amp;$C31,防護具!$Q$13:$Q$29),BL33)-VLOOKUP($C31,$C$3:$D$15,2,FALSE)*BL$20&lt;0,0,
SUM(SUMIF(防護具!$Y$13:$Y$29,BM$17&amp;$C31,防護具!$Q$13:$Q$29),BL33)-VLOOKUP($C31,$C$3:$D$15,2,FALSE)*BL$20)</f>
        <v>0</v>
      </c>
      <c r="BN33" s="763">
        <f xml:space="preserve">
IF(
SUM(SUMIF(防護具!$Y$13:$Y$29,BN$17&amp;$C31,防護具!$Q$13:$Q$29),BM33)-VLOOKUP($C31,$C$3:$D$15,2,FALSE)*BM$20&lt;0,0,
SUM(SUMIF(防護具!$Y$13:$Y$29,BN$17&amp;$C31,防護具!$Q$13:$Q$29),BM33)-VLOOKUP($C31,$C$3:$D$15,2,FALSE)*BM$20)</f>
        <v>0</v>
      </c>
      <c r="BO33" s="763">
        <f xml:space="preserve">
IF(
SUM(SUMIF(防護具!$Y$13:$Y$29,BO$17&amp;$C31,防護具!$Q$13:$Q$29),BN33)-VLOOKUP($C31,$C$3:$D$15,2,FALSE)*BN$20&lt;0,0,
SUM(SUMIF(防護具!$Y$13:$Y$29,BO$17&amp;$C31,防護具!$Q$13:$Q$29),BN33)-VLOOKUP($C31,$C$3:$D$15,2,FALSE)*BN$20)</f>
        <v>0</v>
      </c>
      <c r="BP33" s="763">
        <f xml:space="preserve">
IF(
SUM(SUMIF(防護具!$Y$13:$Y$29,BP$17&amp;$C31,防護具!$Q$13:$Q$29),BO33)-VLOOKUP($C31,$C$3:$D$15,2,FALSE)*BO$20&lt;0,0,
SUM(SUMIF(防護具!$Y$13:$Y$29,BP$17&amp;$C31,防護具!$Q$13:$Q$29),BO33)-VLOOKUP($C31,$C$3:$D$15,2,FALSE)*BO$20)</f>
        <v>0</v>
      </c>
      <c r="BQ33" s="763">
        <f xml:space="preserve">
IF(
SUM(SUMIF(防護具!$Y$13:$Y$29,BQ$17&amp;$C31,防護具!$Q$13:$Q$29),BP33)-VLOOKUP($C31,$C$3:$D$15,2,FALSE)*BP$20&lt;0,0,
SUM(SUMIF(防護具!$Y$13:$Y$29,BQ$17&amp;$C31,防護具!$Q$13:$Q$29),BP33)-VLOOKUP($C31,$C$3:$D$15,2,FALSE)*BP$20)</f>
        <v>0</v>
      </c>
      <c r="BR33" s="763">
        <f xml:space="preserve">
IF(
SUM(SUMIF(防護具!$Y$13:$Y$29,BR$17&amp;$C31,防護具!$Q$13:$Q$29),BQ33)-VLOOKUP($C31,$C$3:$D$15,2,FALSE)*BQ$20&lt;0,0,
SUM(SUMIF(防護具!$Y$13:$Y$29,BR$17&amp;$C31,防護具!$Q$13:$Q$29),BQ33)-VLOOKUP($C31,$C$3:$D$15,2,FALSE)*BQ$20)</f>
        <v>0</v>
      </c>
      <c r="BS33" s="763">
        <f xml:space="preserve">
IF(
SUM(SUMIF(防護具!$Y$13:$Y$29,BS$17&amp;$C31,防護具!$Q$13:$Q$29),BR33)-VLOOKUP($C31,$C$3:$D$15,2,FALSE)*BR$20&lt;0,0,
SUM(SUMIF(防護具!$Y$13:$Y$29,BS$17&amp;$C31,防護具!$Q$13:$Q$29),BR33)-VLOOKUP($C31,$C$3:$D$15,2,FALSE)*BR$20)</f>
        <v>0</v>
      </c>
      <c r="BT33" s="763">
        <f xml:space="preserve">
IF(
SUM(SUMIF(防護具!$Y$13:$Y$29,BT$17&amp;$C31,防護具!$Q$13:$Q$29),BS33)-VLOOKUP($C31,$C$3:$D$15,2,FALSE)*BS$20&lt;0,0,
SUM(SUMIF(防護具!$Y$13:$Y$29,BT$17&amp;$C31,防護具!$Q$13:$Q$29),BS33)-VLOOKUP($C31,$C$3:$D$15,2,FALSE)*BS$20)</f>
        <v>0</v>
      </c>
      <c r="BU33" s="763">
        <f xml:space="preserve">
IF(
SUM(SUMIF(防護具!$Y$13:$Y$29,BU$17&amp;$C31,防護具!$Q$13:$Q$29),BT33)-VLOOKUP($C31,$C$3:$D$15,2,FALSE)*BT$20&lt;0,0,
SUM(SUMIF(防護具!$Y$13:$Y$29,BU$17&amp;$C31,防護具!$Q$13:$Q$29),BT33)-VLOOKUP($C31,$C$3:$D$15,2,FALSE)*BT$20)</f>
        <v>0</v>
      </c>
      <c r="BV33" s="763">
        <f xml:space="preserve">
IF(
SUM(SUMIF(防護具!$Y$13:$Y$29,BV$17&amp;$C31,防護具!$Q$13:$Q$29),BU33)-VLOOKUP($C31,$C$3:$D$15,2,FALSE)*BU$20&lt;0,0,
SUM(SUMIF(防護具!$Y$13:$Y$29,BV$17&amp;$C31,防護具!$Q$13:$Q$29),BU33)-VLOOKUP($C31,$C$3:$D$15,2,FALSE)*BU$20)</f>
        <v>0</v>
      </c>
      <c r="BW33" s="763">
        <f xml:space="preserve">
IF(
SUM(SUMIF(防護具!$Y$13:$Y$29,BW$17&amp;$C31,防護具!$Q$13:$Q$29),BV33)-VLOOKUP($C31,$C$3:$D$15,2,FALSE)*BV$20&lt;0,0,
SUM(SUMIF(防護具!$Y$13:$Y$29,BW$17&amp;$C31,防護具!$Q$13:$Q$29),BV33)-VLOOKUP($C31,$C$3:$D$15,2,FALSE)*BV$20)</f>
        <v>0</v>
      </c>
      <c r="BX33" s="763">
        <f xml:space="preserve">
IF(
SUM(SUMIF(防護具!$Y$13:$Y$29,BX$17&amp;$C31,防護具!$Q$13:$Q$29),BW33)-VLOOKUP($C31,$C$3:$D$15,2,FALSE)*BW$20&lt;0,0,
SUM(SUMIF(防護具!$Y$13:$Y$29,BX$17&amp;$C31,防護具!$Q$13:$Q$29),BW33)-VLOOKUP($C31,$C$3:$D$15,2,FALSE)*BW$20)</f>
        <v>0</v>
      </c>
      <c r="BY33" s="763">
        <f xml:space="preserve">
IF(
SUM(SUMIF(防護具!$Y$13:$Y$29,BY$17&amp;$C31,防護具!$Q$13:$Q$29),BX33)-VLOOKUP($C31,$C$3:$D$15,2,FALSE)*BX$20&lt;0,0,
SUM(SUMIF(防護具!$Y$13:$Y$29,BY$17&amp;$C31,防護具!$Q$13:$Q$29),BX33)-VLOOKUP($C31,$C$3:$D$15,2,FALSE)*BX$20)</f>
        <v>0</v>
      </c>
      <c r="BZ33" s="763">
        <f xml:space="preserve">
IF(
SUM(SUMIF(防護具!$Y$13:$Y$29,BZ$17&amp;$C31,防護具!$Q$13:$Q$29),BY33)-VLOOKUP($C31,$C$3:$D$15,2,FALSE)*BY$20&lt;0,0,
SUM(SUMIF(防護具!$Y$13:$Y$29,BZ$17&amp;$C31,防護具!$Q$13:$Q$29),BY33)-VLOOKUP($C31,$C$3:$D$15,2,FALSE)*BY$20)</f>
        <v>0</v>
      </c>
      <c r="CA33" s="763">
        <f xml:space="preserve">
IF(
SUM(SUMIF(防護具!$Y$13:$Y$29,CA$17&amp;$C31,防護具!$Q$13:$Q$29),BZ33)-VLOOKUP($C31,$C$3:$D$15,2,FALSE)*BZ$20&lt;0,0,
SUM(SUMIF(防護具!$Y$13:$Y$29,CA$17&amp;$C31,防護具!$Q$13:$Q$29),BZ33)-VLOOKUP($C31,$C$3:$D$15,2,FALSE)*BZ$20)</f>
        <v>0</v>
      </c>
      <c r="CB33" s="763">
        <f xml:space="preserve">
IF(
SUM(SUMIF(防護具!$Y$13:$Y$29,CB$17&amp;$C31,防護具!$Q$13:$Q$29),CA33)-VLOOKUP($C31,$C$3:$D$15,2,FALSE)*CA$20&lt;0,0,
SUM(SUMIF(防護具!$Y$13:$Y$29,CB$17&amp;$C31,防護具!$Q$13:$Q$29),CA33)-VLOOKUP($C31,$C$3:$D$15,2,FALSE)*CA$20)</f>
        <v>0</v>
      </c>
      <c r="CC33" s="763">
        <f xml:space="preserve">
IF(
SUM(SUMIF(防護具!$Y$13:$Y$29,CC$17&amp;$C31,防護具!$Q$13:$Q$29),CB33)-VLOOKUP($C31,$C$3:$D$15,2,FALSE)*CB$20&lt;0,0,
SUM(SUMIF(防護具!$Y$13:$Y$29,CC$17&amp;$C31,防護具!$Q$13:$Q$29),CB33)-VLOOKUP($C31,$C$3:$D$15,2,FALSE)*CB$20)</f>
        <v>0</v>
      </c>
      <c r="CD33" s="763">
        <f xml:space="preserve">
IF(
SUM(SUMIF(防護具!$Y$13:$Y$29,CD$17&amp;$C31,防護具!$Q$13:$Q$29),CC33)-VLOOKUP($C31,$C$3:$D$15,2,FALSE)*CC$20&lt;0,0,
SUM(SUMIF(防護具!$Y$13:$Y$29,CD$17&amp;$C31,防護具!$Q$13:$Q$29),CC33)-VLOOKUP($C31,$C$3:$D$15,2,FALSE)*CC$20)</f>
        <v>0</v>
      </c>
      <c r="CE33" s="763">
        <f xml:space="preserve">
IF(
SUM(SUMIF(防護具!$Y$13:$Y$29,CE$17&amp;$C31,防護具!$Q$13:$Q$29),CD33)-VLOOKUP($C31,$C$3:$D$15,2,FALSE)*CD$20&lt;0,0,
SUM(SUMIF(防護具!$Y$13:$Y$29,CE$17&amp;$C31,防護具!$Q$13:$Q$29),CD33)-VLOOKUP($C31,$C$3:$D$15,2,FALSE)*CD$20)</f>
        <v>0</v>
      </c>
      <c r="CF33" s="763">
        <f xml:space="preserve">
IF(
SUM(SUMIF(防護具!$Y$13:$Y$29,CF$17&amp;$C31,防護具!$Q$13:$Q$29),CE33)-VLOOKUP($C31,$C$3:$D$15,2,FALSE)*CE$20&lt;0,0,
SUM(SUMIF(防護具!$Y$13:$Y$29,CF$17&amp;$C31,防護具!$Q$13:$Q$29),CE33)-VLOOKUP($C31,$C$3:$D$15,2,FALSE)*CE$20)</f>
        <v>0</v>
      </c>
      <c r="CG33" s="763">
        <f xml:space="preserve">
IF(
SUM(SUMIF(防護具!$Y$13:$Y$29,CG$17&amp;$C31,防護具!$Q$13:$Q$29),CF33)-VLOOKUP($C31,$C$3:$D$15,2,FALSE)*CF$20&lt;0,0,
SUM(SUMIF(防護具!$Y$13:$Y$29,CG$17&amp;$C31,防護具!$Q$13:$Q$29),CF33)-VLOOKUP($C31,$C$3:$D$15,2,FALSE)*CF$20)</f>
        <v>0</v>
      </c>
      <c r="CH33" s="763">
        <f xml:space="preserve">
IF(
SUM(SUMIF(防護具!$Y$13:$Y$29,CH$17&amp;$C31,防護具!$Q$13:$Q$29),CG33)-VLOOKUP($C31,$C$3:$D$15,2,FALSE)*CG$20&lt;0,0,
SUM(SUMIF(防護具!$Y$13:$Y$29,CH$17&amp;$C31,防護具!$Q$13:$Q$29),CG33)-VLOOKUP($C31,$C$3:$D$15,2,FALSE)*CG$20)</f>
        <v>0</v>
      </c>
      <c r="CI33" s="763">
        <f xml:space="preserve">
IF(
SUM(SUMIF(防護具!$Y$13:$Y$29,CI$17&amp;$C31,防護具!$Q$13:$Q$29),CH33)-VLOOKUP($C31,$C$3:$D$15,2,FALSE)*CH$20&lt;0,0,
SUM(SUMIF(防護具!$Y$13:$Y$29,CI$17&amp;$C31,防護具!$Q$13:$Q$29),CH33)-VLOOKUP($C31,$C$3:$D$15,2,FALSE)*CH$20)</f>
        <v>0</v>
      </c>
      <c r="CJ33" s="763">
        <f xml:space="preserve">
IF(
SUM(SUMIF(防護具!$Y$13:$Y$29,CJ$17&amp;$C31,防護具!$Q$13:$Q$29),CI33)-VLOOKUP($C31,$C$3:$D$15,2,FALSE)*CI$20&lt;0,0,
SUM(SUMIF(防護具!$Y$13:$Y$29,CJ$17&amp;$C31,防護具!$Q$13:$Q$29),CI33)-VLOOKUP($C31,$C$3:$D$15,2,FALSE)*CI$20)</f>
        <v>0</v>
      </c>
      <c r="CK33" s="763">
        <f xml:space="preserve">
IF(
SUM(SUMIF(防護具!$Y$13:$Y$29,CK$17&amp;$C31,防護具!$Q$13:$Q$29),CJ33)-VLOOKUP($C31,$C$3:$D$15,2,FALSE)*CJ$20&lt;0,0,
SUM(SUMIF(防護具!$Y$13:$Y$29,CK$17&amp;$C31,防護具!$Q$13:$Q$29),CJ33)-VLOOKUP($C31,$C$3:$D$15,2,FALSE)*CJ$20)</f>
        <v>0</v>
      </c>
      <c r="CL33" s="763">
        <f xml:space="preserve">
IF(
SUM(SUMIF(防護具!$Y$13:$Y$29,CL$17&amp;$C31,防護具!$Q$13:$Q$29),CK33)-VLOOKUP($C31,$C$3:$D$15,2,FALSE)*CK$20&lt;0,0,
SUM(SUMIF(防護具!$Y$13:$Y$29,CL$17&amp;$C31,防護具!$Q$13:$Q$29),CK33)-VLOOKUP($C31,$C$3:$D$15,2,FALSE)*CK$20)</f>
        <v>0</v>
      </c>
      <c r="CM33" s="763">
        <f xml:space="preserve">
IF(
SUM(SUMIF(防護具!$Y$13:$Y$29,CM$17&amp;$C31,防護具!$Q$13:$Q$29),CL33)-VLOOKUP($C31,$C$3:$D$15,2,FALSE)*CL$20&lt;0,0,
SUM(SUMIF(防護具!$Y$13:$Y$29,CM$17&amp;$C31,防護具!$Q$13:$Q$29),CL33)-VLOOKUP($C31,$C$3:$D$15,2,FALSE)*CL$20)</f>
        <v>0</v>
      </c>
      <c r="CN33" s="763">
        <f xml:space="preserve">
IF(
SUM(SUMIF(防護具!$Y$13:$Y$29,CN$17&amp;$C31,防護具!$Q$13:$Q$29),CM33)-VLOOKUP($C31,$C$3:$D$15,2,FALSE)*CM$20&lt;0,0,
SUM(SUMIF(防護具!$Y$13:$Y$29,CN$17&amp;$C31,防護具!$Q$13:$Q$29),CM33)-VLOOKUP($C31,$C$3:$D$15,2,FALSE)*CM$20)</f>
        <v>0</v>
      </c>
      <c r="CO33" s="763">
        <f xml:space="preserve">
IF(
SUM(SUMIF(防護具!$Y$13:$Y$29,CO$17&amp;$C31,防護具!$Q$13:$Q$29),CN33)-VLOOKUP($C31,$C$3:$D$15,2,FALSE)*CN$20&lt;0,0,
SUM(SUMIF(防護具!$Y$13:$Y$29,CO$17&amp;$C31,防護具!$Q$13:$Q$29),CN33)-VLOOKUP($C31,$C$3:$D$15,2,FALSE)*CN$20)</f>
        <v>0</v>
      </c>
      <c r="CP33" s="763">
        <f xml:space="preserve">
IF(
SUM(SUMIF(防護具!$Y$13:$Y$29,CP$17&amp;$C31,防護具!$Q$13:$Q$29),CO33)-VLOOKUP($C31,$C$3:$D$15,2,FALSE)*CO$20&lt;0,0,
SUM(SUMIF(防護具!$Y$13:$Y$29,CP$17&amp;$C31,防護具!$Q$13:$Q$29),CO33)-VLOOKUP($C31,$C$3:$D$15,2,FALSE)*CO$20)</f>
        <v>0</v>
      </c>
      <c r="CQ33" s="763">
        <f xml:space="preserve">
IF(
SUM(SUMIF(防護具!$Y$13:$Y$29,CQ$17&amp;$C31,防護具!$Q$13:$Q$29),CP33)-VLOOKUP($C31,$C$3:$D$15,2,FALSE)*CP$20&lt;0,0,
SUM(SUMIF(防護具!$Y$13:$Y$29,CQ$17&amp;$C31,防護具!$Q$13:$Q$29),CP33)-VLOOKUP($C31,$C$3:$D$15,2,FALSE)*CP$20)</f>
        <v>0</v>
      </c>
      <c r="CR33" s="763">
        <f xml:space="preserve">
IF(
SUM(SUMIF(防護具!$Y$13:$Y$29,CR$17&amp;$C31,防護具!$Q$13:$Q$29),CQ33)-VLOOKUP($C31,$C$3:$D$15,2,FALSE)*CQ$20&lt;0,0,
SUM(SUMIF(防護具!$Y$13:$Y$29,CR$17&amp;$C31,防護具!$Q$13:$Q$29),CQ33)-VLOOKUP($C31,$C$3:$D$15,2,FALSE)*CQ$20)</f>
        <v>0</v>
      </c>
      <c r="CS33" s="763">
        <f xml:space="preserve">
IF(
SUM(SUMIF(防護具!$Y$13:$Y$29,CS$17&amp;$C31,防護具!$Q$13:$Q$29),CR33)-VLOOKUP($C31,$C$3:$D$15,2,FALSE)*CR$20&lt;0,0,
SUM(SUMIF(防護具!$Y$13:$Y$29,CS$17&amp;$C31,防護具!$Q$13:$Q$29),CR33)-VLOOKUP($C31,$C$3:$D$15,2,FALSE)*CR$20)</f>
        <v>0</v>
      </c>
      <c r="CT33" s="763">
        <f xml:space="preserve">
IF(
SUM(SUMIF(防護具!$Y$13:$Y$29,CT$17&amp;$C31,防護具!$Q$13:$Q$29),CS33)-VLOOKUP($C31,$C$3:$D$15,2,FALSE)*CS$20&lt;0,0,
SUM(SUMIF(防護具!$Y$13:$Y$29,CT$17&amp;$C31,防護具!$Q$13:$Q$29),CS33)-VLOOKUP($C31,$C$3:$D$15,2,FALSE)*CS$20)</f>
        <v>0</v>
      </c>
      <c r="CU33" s="763">
        <f xml:space="preserve">
IF(
SUM(SUMIF(防護具!$Y$13:$Y$29,CU$17&amp;$C31,防護具!$Q$13:$Q$29),CT33)-VLOOKUP($C31,$C$3:$D$15,2,FALSE)*CT$20&lt;0,0,
SUM(SUMIF(防護具!$Y$13:$Y$29,CU$17&amp;$C31,防護具!$Q$13:$Q$29),CT33)-VLOOKUP($C31,$C$3:$D$15,2,FALSE)*CT$20)</f>
        <v>0</v>
      </c>
      <c r="CV33" s="763">
        <f xml:space="preserve">
IF(
SUM(SUMIF(防護具!$Y$13:$Y$29,CV$17&amp;$C31,防護具!$Q$13:$Q$29),CU33)-VLOOKUP($C31,$C$3:$D$15,2,FALSE)*CU$20&lt;0,0,
SUM(SUMIF(防護具!$Y$13:$Y$29,CV$17&amp;$C31,防護具!$Q$13:$Q$29),CU33)-VLOOKUP($C31,$C$3:$D$15,2,FALSE)*CU$20)</f>
        <v>0</v>
      </c>
      <c r="CW33" s="763">
        <f xml:space="preserve">
IF(
SUM(SUMIF(防護具!$Y$13:$Y$29,CW$17&amp;$C31,防護具!$Q$13:$Q$29),CV33)-VLOOKUP($C31,$C$3:$D$15,2,FALSE)*CV$20&lt;0,0,
SUM(SUMIF(防護具!$Y$13:$Y$29,CW$17&amp;$C31,防護具!$Q$13:$Q$29),CV33)-VLOOKUP($C31,$C$3:$D$15,2,FALSE)*CV$20)</f>
        <v>0</v>
      </c>
      <c r="CX33" s="763">
        <f xml:space="preserve">
IF(
SUM(SUMIF(防護具!$Y$13:$Y$29,CX$17&amp;$C31,防護具!$Q$13:$Q$29),CW33)-VLOOKUP($C31,$C$3:$D$15,2,FALSE)*CW$20&lt;0,0,
SUM(SUMIF(防護具!$Y$13:$Y$29,CX$17&amp;$C31,防護具!$Q$13:$Q$29),CW33)-VLOOKUP($C31,$C$3:$D$15,2,FALSE)*CW$20)</f>
        <v>0</v>
      </c>
      <c r="CY33" s="763">
        <f xml:space="preserve">
IF(
SUM(SUMIF(防護具!$Y$13:$Y$29,CY$17&amp;$C31,防護具!$Q$13:$Q$29),CX33)-VLOOKUP($C31,$C$3:$D$15,2,FALSE)*CX$20&lt;0,0,
SUM(SUMIF(防護具!$Y$13:$Y$29,CY$17&amp;$C31,防護具!$Q$13:$Q$29),CX33)-VLOOKUP($C31,$C$3:$D$15,2,FALSE)*CX$20)</f>
        <v>0</v>
      </c>
      <c r="CZ33" s="763">
        <f xml:space="preserve">
IF(
SUM(SUMIF(防護具!$Y$13:$Y$29,CZ$17&amp;$C31,防護具!$Q$13:$Q$29),CY33)-VLOOKUP($C31,$C$3:$D$15,2,FALSE)*CY$20&lt;0,0,
SUM(SUMIF(防護具!$Y$13:$Y$29,CZ$17&amp;$C31,防護具!$Q$13:$Q$29),CY33)-VLOOKUP($C31,$C$3:$D$15,2,FALSE)*CY$20)</f>
        <v>0</v>
      </c>
      <c r="DA33" s="763">
        <f xml:space="preserve">
IF(
SUM(SUMIF(防護具!$Y$13:$Y$29,DA$17&amp;$C31,防護具!$Q$13:$Q$29),CZ33)-VLOOKUP($C31,$C$3:$D$15,2,FALSE)*CZ$20&lt;0,0,
SUM(SUMIF(防護具!$Y$13:$Y$29,DA$17&amp;$C31,防護具!$Q$13:$Q$29),CZ33)-VLOOKUP($C31,$C$3:$D$15,2,FALSE)*CZ$20)</f>
        <v>0</v>
      </c>
      <c r="DB33" s="763">
        <f xml:space="preserve">
IF(
SUM(SUMIF(防護具!$Y$13:$Y$29,DB$17&amp;$C31,防護具!$Q$13:$Q$29),DA33)-VLOOKUP($C31,$C$3:$D$15,2,FALSE)*DA$20&lt;0,0,
SUM(SUMIF(防護具!$Y$13:$Y$29,DB$17&amp;$C31,防護具!$Q$13:$Q$29),DA33)-VLOOKUP($C31,$C$3:$D$15,2,FALSE)*DA$20)</f>
        <v>0</v>
      </c>
      <c r="DC33" s="763">
        <f xml:space="preserve">
IF(
SUM(SUMIF(防護具!$Y$13:$Y$29,DC$17&amp;$C31,防護具!$Q$13:$Q$29),DB33)-VLOOKUP($C31,$C$3:$D$15,2,FALSE)*DB$20&lt;0,0,
SUM(SUMIF(防護具!$Y$13:$Y$29,DC$17&amp;$C31,防護具!$Q$13:$Q$29),DB33)-VLOOKUP($C31,$C$3:$D$15,2,FALSE)*DB$20)</f>
        <v>0</v>
      </c>
      <c r="DD33" s="763">
        <f xml:space="preserve">
IF(
SUM(SUMIF(防護具!$Y$13:$Y$29,DD$17&amp;$C31,防護具!$Q$13:$Q$29),DC33)-VLOOKUP($C31,$C$3:$D$15,2,FALSE)*DC$20&lt;0,0,
SUM(SUMIF(防護具!$Y$13:$Y$29,DD$17&amp;$C31,防護具!$Q$13:$Q$29),DC33)-VLOOKUP($C31,$C$3:$D$15,2,FALSE)*DC$20)</f>
        <v>0</v>
      </c>
      <c r="DE33" s="763">
        <f xml:space="preserve">
IF(
SUM(SUMIF(防護具!$Y$13:$Y$29,DE$17&amp;$C31,防護具!$Q$13:$Q$29),DD33)-VLOOKUP($C31,$C$3:$D$15,2,FALSE)*DD$20&lt;0,0,
SUM(SUMIF(防護具!$Y$13:$Y$29,DE$17&amp;$C31,防護具!$Q$13:$Q$29),DD33)-VLOOKUP($C31,$C$3:$D$15,2,FALSE)*DD$20)</f>
        <v>0</v>
      </c>
      <c r="DF33" s="763">
        <f xml:space="preserve">
IF(
SUM(SUMIF(防護具!$Y$13:$Y$29,DF$17&amp;$C31,防護具!$Q$13:$Q$29),DE33)-VLOOKUP($C31,$C$3:$D$15,2,FALSE)*DE$20&lt;0,0,
SUM(SUMIF(防護具!$Y$13:$Y$29,DF$17&amp;$C31,防護具!$Q$13:$Q$29),DE33)-VLOOKUP($C31,$C$3:$D$15,2,FALSE)*DE$20)</f>
        <v>0</v>
      </c>
      <c r="DG33" s="763">
        <f xml:space="preserve">
IF(
SUM(SUMIF(防護具!$Y$13:$Y$29,DG$17&amp;$C31,防護具!$Q$13:$Q$29),DF33)-VLOOKUP($C31,$C$3:$D$15,2,FALSE)*DF$20&lt;0,0,
SUM(SUMIF(防護具!$Y$13:$Y$29,DG$17&amp;$C31,防護具!$Q$13:$Q$29),DF33)-VLOOKUP($C31,$C$3:$D$15,2,FALSE)*DF$20)</f>
        <v>0</v>
      </c>
      <c r="DH33" s="763">
        <f xml:space="preserve">
IF(
SUM(SUMIF(防護具!$Y$13:$Y$29,DH$17&amp;$C31,防護具!$Q$13:$Q$29),DG33)-VLOOKUP($C31,$C$3:$D$15,2,FALSE)*DG$20&lt;0,0,
SUM(SUMIF(防護具!$Y$13:$Y$29,DH$17&amp;$C31,防護具!$Q$13:$Q$29),DG33)-VLOOKUP($C31,$C$3:$D$15,2,FALSE)*DG$20)</f>
        <v>0</v>
      </c>
      <c r="DI33" s="763">
        <f xml:space="preserve">
IF(
SUM(SUMIF(防護具!$Y$13:$Y$29,DI$17&amp;$C31,防護具!$Q$13:$Q$29),DH33)-VLOOKUP($C31,$C$3:$D$15,2,FALSE)*DH$20&lt;0,0,
SUM(SUMIF(防護具!$Y$13:$Y$29,DI$17&amp;$C31,防護具!$Q$13:$Q$29),DH33)-VLOOKUP($C31,$C$3:$D$15,2,FALSE)*DH$20)</f>
        <v>0</v>
      </c>
      <c r="DJ33" s="763">
        <f xml:space="preserve">
IF(
SUM(SUMIF(防護具!$Y$13:$Y$29,DJ$17&amp;$C31,防護具!$Q$13:$Q$29),DI33)-VLOOKUP($C31,$C$3:$D$15,2,FALSE)*DI$20&lt;0,0,
SUM(SUMIF(防護具!$Y$13:$Y$29,DJ$17&amp;$C31,防護具!$Q$13:$Q$29),DI33)-VLOOKUP($C31,$C$3:$D$15,2,FALSE)*DI$20)</f>
        <v>0</v>
      </c>
      <c r="DK33" s="763">
        <f xml:space="preserve">
IF(
SUM(SUMIF(防護具!$Y$13:$Y$29,DK$17&amp;$C31,防護具!$Q$13:$Q$29),DJ33)-VLOOKUP($C31,$C$3:$D$15,2,FALSE)*DJ$20&lt;0,0,
SUM(SUMIF(防護具!$Y$13:$Y$29,DK$17&amp;$C31,防護具!$Q$13:$Q$29),DJ33)-VLOOKUP($C31,$C$3:$D$15,2,FALSE)*DJ$20)</f>
        <v>0</v>
      </c>
      <c r="DL33" s="763">
        <f xml:space="preserve">
IF(
SUM(SUMIF(防護具!$Y$13:$Y$29,DL$17&amp;$C31,防護具!$Q$13:$Q$29),DK33)-VLOOKUP($C31,$C$3:$D$15,2,FALSE)*DK$20&lt;0,0,
SUM(SUMIF(防護具!$Y$13:$Y$29,DL$17&amp;$C31,防護具!$Q$13:$Q$29),DK33)-VLOOKUP($C31,$C$3:$D$15,2,FALSE)*DK$20)</f>
        <v>0</v>
      </c>
      <c r="DM33" s="763">
        <f xml:space="preserve">
IF(
SUM(SUMIF(防護具!$Y$13:$Y$29,DM$17&amp;$C31,防護具!$Q$13:$Q$29),DL33)-VLOOKUP($C31,$C$3:$D$15,2,FALSE)*DL$20&lt;0,0,
SUM(SUMIF(防護具!$Y$13:$Y$29,DM$17&amp;$C31,防護具!$Q$13:$Q$29),DL33)-VLOOKUP($C31,$C$3:$D$15,2,FALSE)*DL$20)</f>
        <v>0</v>
      </c>
      <c r="DN33" s="763">
        <f xml:space="preserve">
IF(
SUM(SUMIF(防護具!$Y$13:$Y$29,DN$17&amp;$C31,防護具!$Q$13:$Q$29),DM33)-VLOOKUP($C31,$C$3:$D$15,2,FALSE)*DM$20&lt;0,0,
SUM(SUMIF(防護具!$Y$13:$Y$29,DN$17&amp;$C31,防護具!$Q$13:$Q$29),DM33)-VLOOKUP($C31,$C$3:$D$15,2,FALSE)*DM$20)</f>
        <v>0</v>
      </c>
      <c r="DO33" s="763">
        <f xml:space="preserve">
IF(
SUM(SUMIF(防護具!$Y$13:$Y$29,DO$17&amp;$C31,防護具!$Q$13:$Q$29),DN33)-VLOOKUP($C31,$C$3:$D$15,2,FALSE)*DN$20&lt;0,0,
SUM(SUMIF(防護具!$Y$13:$Y$29,DO$17&amp;$C31,防護具!$Q$13:$Q$29),DN33)-VLOOKUP($C31,$C$3:$D$15,2,FALSE)*DN$20)</f>
        <v>0</v>
      </c>
      <c r="DP33" s="763">
        <f xml:space="preserve">
IF(
SUM(SUMIF(防護具!$Y$13:$Y$29,DP$17&amp;$C31,防護具!$Q$13:$Q$29),DO33)-VLOOKUP($C31,$C$3:$D$15,2,FALSE)*DO$20&lt;0,0,
SUM(SUMIF(防護具!$Y$13:$Y$29,DP$17&amp;$C31,防護具!$Q$13:$Q$29),DO33)-VLOOKUP($C31,$C$3:$D$15,2,FALSE)*DO$20)</f>
        <v>0</v>
      </c>
      <c r="DQ33" s="763">
        <f xml:space="preserve">
IF(
SUM(SUMIF(防護具!$Y$13:$Y$29,DQ$17&amp;$C31,防護具!$Q$13:$Q$29),DP33)-VLOOKUP($C31,$C$3:$D$15,2,FALSE)*DP$20&lt;0,0,
SUM(SUMIF(防護具!$Y$13:$Y$29,DQ$17&amp;$C31,防護具!$Q$13:$Q$29),DP33)-VLOOKUP($C31,$C$3:$D$15,2,FALSE)*DP$20)</f>
        <v>0</v>
      </c>
      <c r="DR33" s="763">
        <f xml:space="preserve">
IF(
SUM(SUMIF(防護具!$Y$13:$Y$29,DR$17&amp;$C31,防護具!$Q$13:$Q$29),DQ33)-VLOOKUP($C31,$C$3:$D$15,2,FALSE)*DQ$20&lt;0,0,
SUM(SUMIF(防護具!$Y$13:$Y$29,DR$17&amp;$C31,防護具!$Q$13:$Q$29),DQ33)-VLOOKUP($C31,$C$3:$D$15,2,FALSE)*DQ$20)</f>
        <v>0</v>
      </c>
      <c r="DS33" s="763">
        <f xml:space="preserve">
IF(
SUM(SUMIF(防護具!$Y$13:$Y$29,DS$17&amp;$C31,防護具!$Q$13:$Q$29),DR33)-VLOOKUP($C31,$C$3:$D$15,2,FALSE)*DR$20&lt;0,0,
SUM(SUMIF(防護具!$Y$13:$Y$29,DS$17&amp;$C31,防護具!$Q$13:$Q$29),DR33)-VLOOKUP($C31,$C$3:$D$15,2,FALSE)*DR$20)</f>
        <v>0</v>
      </c>
      <c r="DT33" s="763">
        <f xml:space="preserve">
IF(
SUM(SUMIF(防護具!$Y$13:$Y$29,DT$17&amp;$C31,防護具!$Q$13:$Q$29),DS33)-VLOOKUP($C31,$C$3:$D$15,2,FALSE)*DS$20&lt;0,0,
SUM(SUMIF(防護具!$Y$13:$Y$29,DT$17&amp;$C31,防護具!$Q$13:$Q$29),DS33)-VLOOKUP($C31,$C$3:$D$15,2,FALSE)*DS$20)</f>
        <v>0</v>
      </c>
      <c r="DU33" s="763">
        <f xml:space="preserve">
IF(
SUM(SUMIF(防護具!$Y$13:$Y$29,DU$17&amp;$C31,防護具!$Q$13:$Q$29),DT33)-VLOOKUP($C31,$C$3:$D$15,2,FALSE)*DT$20&lt;0,0,
SUM(SUMIF(防護具!$Y$13:$Y$29,DU$17&amp;$C31,防護具!$Q$13:$Q$29),DT33)-VLOOKUP($C31,$C$3:$D$15,2,FALSE)*DT$20)</f>
        <v>0</v>
      </c>
      <c r="DV33" s="763">
        <f xml:space="preserve">
IF(
SUM(SUMIF(防護具!$Y$13:$Y$29,DV$17&amp;$C31,防護具!$Q$13:$Q$29),DU33)-VLOOKUP($C31,$C$3:$D$15,2,FALSE)*DU$20&lt;0,0,
SUM(SUMIF(防護具!$Y$13:$Y$29,DV$17&amp;$C31,防護具!$Q$13:$Q$29),DU33)-VLOOKUP($C31,$C$3:$D$15,2,FALSE)*DU$20)</f>
        <v>0</v>
      </c>
      <c r="DW33" s="763">
        <f xml:space="preserve">
IF(
SUM(SUMIF(防護具!$Y$13:$Y$29,DW$17&amp;$C31,防護具!$Q$13:$Q$29),DV33)-VLOOKUP($C31,$C$3:$D$15,2,FALSE)*DV$20&lt;0,0,
SUM(SUMIF(防護具!$Y$13:$Y$29,DW$17&amp;$C31,防護具!$Q$13:$Q$29),DV33)-VLOOKUP($C31,$C$3:$D$15,2,FALSE)*DV$20)</f>
        <v>0</v>
      </c>
      <c r="DX33" s="763">
        <f xml:space="preserve">
IF(
SUM(SUMIF(防護具!$Y$13:$Y$29,DX$17&amp;$C31,防護具!$Q$13:$Q$29),DW33)-VLOOKUP($C31,$C$3:$D$15,2,FALSE)*DW$20&lt;0,0,
SUM(SUMIF(防護具!$Y$13:$Y$29,DX$17&amp;$C31,防護具!$Q$13:$Q$29),DW33)-VLOOKUP($C31,$C$3:$D$15,2,FALSE)*DW$20)</f>
        <v>0</v>
      </c>
      <c r="DY33" s="763">
        <f xml:space="preserve">
IF(
SUM(SUMIF(防護具!$Y$13:$Y$29,DY$17&amp;$C31,防護具!$Q$13:$Q$29),DX33)-VLOOKUP($C31,$C$3:$D$15,2,FALSE)*DX$20&lt;0,0,
SUM(SUMIF(防護具!$Y$13:$Y$29,DY$17&amp;$C31,防護具!$Q$13:$Q$29),DX33)-VLOOKUP($C31,$C$3:$D$15,2,FALSE)*DX$20)</f>
        <v>0</v>
      </c>
      <c r="DZ33" s="763">
        <f xml:space="preserve">
IF(
SUM(SUMIF(防護具!$Y$13:$Y$29,DZ$17&amp;$C31,防護具!$Q$13:$Q$29),DY33)-VLOOKUP($C31,$C$3:$D$15,2,FALSE)*DY$20&lt;0,0,
SUM(SUMIF(防護具!$Y$13:$Y$29,DZ$17&amp;$C31,防護具!$Q$13:$Q$29),DY33)-VLOOKUP($C31,$C$3:$D$15,2,FALSE)*DY$20)</f>
        <v>0</v>
      </c>
      <c r="EA33" s="763">
        <f xml:space="preserve">
IF(
SUM(SUMIF(防護具!$Y$13:$Y$29,EA$17&amp;$C31,防護具!$Q$13:$Q$29),DZ33)-VLOOKUP($C31,$C$3:$D$15,2,FALSE)*DZ$20&lt;0,0,
SUM(SUMIF(防護具!$Y$13:$Y$29,EA$17&amp;$C31,防護具!$Q$13:$Q$29),DZ33)-VLOOKUP($C31,$C$3:$D$15,2,FALSE)*DZ$20)</f>
        <v>0</v>
      </c>
      <c r="EB33" s="763">
        <f xml:space="preserve">
IF(
SUM(SUMIF(防護具!$Y$13:$Y$29,EB$17&amp;$C31,防護具!$Q$13:$Q$29),EA33)-VLOOKUP($C31,$C$3:$D$15,2,FALSE)*EA$20&lt;0,0,
SUM(SUMIF(防護具!$Y$13:$Y$29,EB$17&amp;$C31,防護具!$Q$13:$Q$29),EA33)-VLOOKUP($C31,$C$3:$D$15,2,FALSE)*EA$20)</f>
        <v>0</v>
      </c>
      <c r="EC33" s="763">
        <f xml:space="preserve">
IF(
SUM(SUMIF(防護具!$Y$13:$Y$29,EC$17&amp;$C31,防護具!$Q$13:$Q$29),EB33)-VLOOKUP($C31,$C$3:$D$15,2,FALSE)*EB$20&lt;0,0,
SUM(SUMIF(防護具!$Y$13:$Y$29,EC$17&amp;$C31,防護具!$Q$13:$Q$29),EB33)-VLOOKUP($C31,$C$3:$D$15,2,FALSE)*EB$20)</f>
        <v>0</v>
      </c>
      <c r="ED33" s="763">
        <f xml:space="preserve">
IF(
SUM(SUMIF(防護具!$Y$13:$Y$29,ED$17&amp;$C31,防護具!$Q$13:$Q$29),EC33)-VLOOKUP($C31,$C$3:$D$15,2,FALSE)*EC$20&lt;0,0,
SUM(SUMIF(防護具!$Y$13:$Y$29,ED$17&amp;$C31,防護具!$Q$13:$Q$29),EC33)-VLOOKUP($C31,$C$3:$D$15,2,FALSE)*EC$20)</f>
        <v>0</v>
      </c>
      <c r="EE33" s="763">
        <f xml:space="preserve">
IF(
SUM(SUMIF(防護具!$Y$13:$Y$29,EE$17&amp;$C31,防護具!$Q$13:$Q$29),ED33)-VLOOKUP($C31,$C$3:$D$15,2,FALSE)*ED$20&lt;0,0,
SUM(SUMIF(防護具!$Y$13:$Y$29,EE$17&amp;$C31,防護具!$Q$13:$Q$29),ED33)-VLOOKUP($C31,$C$3:$D$15,2,FALSE)*ED$20)</f>
        <v>0</v>
      </c>
      <c r="EF33" s="763">
        <f xml:space="preserve">
IF(
SUM(SUMIF(防護具!$Y$13:$Y$29,EF$17&amp;$C31,防護具!$Q$13:$Q$29),EE33)-VLOOKUP($C31,$C$3:$D$15,2,FALSE)*EE$20&lt;0,0,
SUM(SUMIF(防護具!$Y$13:$Y$29,EF$17&amp;$C31,防護具!$Q$13:$Q$29),EE33)-VLOOKUP($C31,$C$3:$D$15,2,FALSE)*EE$20)</f>
        <v>0</v>
      </c>
      <c r="EG33" s="763">
        <f xml:space="preserve">
IF(
SUM(SUMIF(防護具!$Y$13:$Y$29,EG$17&amp;$C31,防護具!$Q$13:$Q$29),EF33)-VLOOKUP($C31,$C$3:$D$15,2,FALSE)*EF$20&lt;0,0,
SUM(SUMIF(防護具!$Y$13:$Y$29,EG$17&amp;$C31,防護具!$Q$13:$Q$29),EF33)-VLOOKUP($C31,$C$3:$D$15,2,FALSE)*EF$20)</f>
        <v>0</v>
      </c>
      <c r="EH33" s="763">
        <f xml:space="preserve">
IF(
SUM(SUMIF(防護具!$Y$13:$Y$29,EH$17&amp;$C31,防護具!$Q$13:$Q$29),EG33)-VLOOKUP($C31,$C$3:$D$15,2,FALSE)*EG$20&lt;0,0,
SUM(SUMIF(防護具!$Y$13:$Y$29,EH$17&amp;$C31,防護具!$Q$13:$Q$29),EG33)-VLOOKUP($C31,$C$3:$D$15,2,FALSE)*EG$20)</f>
        <v>0</v>
      </c>
      <c r="EI33" s="763">
        <f xml:space="preserve">
IF(
SUM(SUMIF(防護具!$Y$13:$Y$29,EI$17&amp;$C31,防護具!$Q$13:$Q$29),EH33)-VLOOKUP($C31,$C$3:$D$15,2,FALSE)*EH$20&lt;0,0,
SUM(SUMIF(防護具!$Y$13:$Y$29,EI$17&amp;$C31,防護具!$Q$13:$Q$29),EH33)-VLOOKUP($C31,$C$3:$D$15,2,FALSE)*EH$20)</f>
        <v>0</v>
      </c>
      <c r="EJ33" s="763">
        <f xml:space="preserve">
IF(
SUM(SUMIF(防護具!$Y$13:$Y$29,EJ$17&amp;$C31,防護具!$Q$13:$Q$29),EI33)-VLOOKUP($C31,$C$3:$D$15,2,FALSE)*EI$20&lt;0,0,
SUM(SUMIF(防護具!$Y$13:$Y$29,EJ$17&amp;$C31,防護具!$Q$13:$Q$29),EI33)-VLOOKUP($C31,$C$3:$D$15,2,FALSE)*EI$20)</f>
        <v>0</v>
      </c>
      <c r="EK33" s="763">
        <f xml:space="preserve">
IF(
SUM(SUMIF(防護具!$Y$13:$Y$29,EK$17&amp;$C31,防護具!$Q$13:$Q$29),EJ33)-VLOOKUP($C31,$C$3:$D$15,2,FALSE)*EJ$20&lt;0,0,
SUM(SUMIF(防護具!$Y$13:$Y$29,EK$17&amp;$C31,防護具!$Q$13:$Q$29),EJ33)-VLOOKUP($C31,$C$3:$D$15,2,FALSE)*EJ$20)</f>
        <v>0</v>
      </c>
      <c r="EL33" s="763">
        <f xml:space="preserve">
IF(
SUM(SUMIF(防護具!$Y$13:$Y$29,EL$17&amp;$C31,防護具!$Q$13:$Q$29),EK33)-VLOOKUP($C31,$C$3:$D$15,2,FALSE)*EK$20&lt;0,0,
SUM(SUMIF(防護具!$Y$13:$Y$29,EL$17&amp;$C31,防護具!$Q$13:$Q$29),EK33)-VLOOKUP($C31,$C$3:$D$15,2,FALSE)*EK$20)</f>
        <v>0</v>
      </c>
      <c r="EM33" s="763">
        <f xml:space="preserve">
IF(
SUM(SUMIF(防護具!$Y$13:$Y$29,EM$17&amp;$C31,防護具!$Q$13:$Q$29),EL33)-VLOOKUP($C31,$C$3:$D$15,2,FALSE)*EL$20&lt;0,0,
SUM(SUMIF(防護具!$Y$13:$Y$29,EM$17&amp;$C31,防護具!$Q$13:$Q$29),EL33)-VLOOKUP($C31,$C$3:$D$15,2,FALSE)*EL$20)</f>
        <v>0</v>
      </c>
      <c r="EN33" s="763">
        <f xml:space="preserve">
IF(
SUM(SUMIF(防護具!$Y$13:$Y$29,EN$17&amp;$C31,防護具!$Q$13:$Q$29),EM33)-VLOOKUP($C31,$C$3:$D$15,2,FALSE)*EM$20&lt;0,0,
SUM(SUMIF(防護具!$Y$13:$Y$29,EN$17&amp;$C31,防護具!$Q$13:$Q$29),EM33)-VLOOKUP($C31,$C$3:$D$15,2,FALSE)*EM$20)</f>
        <v>0</v>
      </c>
      <c r="EO33" s="763">
        <f xml:space="preserve">
IF(
SUM(SUMIF(防護具!$Y$13:$Y$29,EO$17&amp;$C31,防護具!$Q$13:$Q$29),EN33)-VLOOKUP($C31,$C$3:$D$15,2,FALSE)*EN$20&lt;0,0,
SUM(SUMIF(防護具!$Y$13:$Y$29,EO$17&amp;$C31,防護具!$Q$13:$Q$29),EN33)-VLOOKUP($C31,$C$3:$D$15,2,FALSE)*EN$20)</f>
        <v>0</v>
      </c>
      <c r="EP33" s="763">
        <f xml:space="preserve">
IF(
SUM(SUMIF(防護具!$Y$13:$Y$29,EP$17&amp;$C31,防護具!$Q$13:$Q$29),EO33)-VLOOKUP($C31,$C$3:$D$15,2,FALSE)*EO$20&lt;0,0,
SUM(SUMIF(防護具!$Y$13:$Y$29,EP$17&amp;$C31,防護具!$Q$13:$Q$29),EO33)-VLOOKUP($C31,$C$3:$D$15,2,FALSE)*EO$20)</f>
        <v>0</v>
      </c>
      <c r="EQ33" s="763">
        <f xml:space="preserve">
IF(
SUM(SUMIF(防護具!$Y$13:$Y$29,EQ$17&amp;$C31,防護具!$Q$13:$Q$29),EP33)-VLOOKUP($C31,$C$3:$D$15,2,FALSE)*EP$20&lt;0,0,
SUM(SUMIF(防護具!$Y$13:$Y$29,EQ$17&amp;$C31,防護具!$Q$13:$Q$29),EP33)-VLOOKUP($C31,$C$3:$D$15,2,FALSE)*EP$20)</f>
        <v>0</v>
      </c>
      <c r="ER33" s="763">
        <f xml:space="preserve">
IF(
SUM(SUMIF(防護具!$Y$13:$Y$29,ER$17&amp;$C31,防護具!$Q$13:$Q$29),EQ33)-VLOOKUP($C31,$C$3:$D$15,2,FALSE)*EQ$20&lt;0,0,
SUM(SUMIF(防護具!$Y$13:$Y$29,ER$17&amp;$C31,防護具!$Q$13:$Q$29),EQ33)-VLOOKUP($C31,$C$3:$D$15,2,FALSE)*EQ$20)</f>
        <v>0</v>
      </c>
      <c r="ES33" s="763">
        <f xml:space="preserve">
IF(
SUM(SUMIF(防護具!$Y$13:$Y$29,ES$17&amp;$C31,防護具!$Q$13:$Q$29),ER33)-VLOOKUP($C31,$C$3:$D$15,2,FALSE)*ER$20&lt;0,0,
SUM(SUMIF(防護具!$Y$13:$Y$29,ES$17&amp;$C31,防護具!$Q$13:$Q$29),ER33)-VLOOKUP($C31,$C$3:$D$15,2,FALSE)*ER$20)</f>
        <v>0</v>
      </c>
      <c r="ET33" s="763">
        <f xml:space="preserve">
IF(
SUM(SUMIF(防護具!$Y$13:$Y$29,ET$17&amp;$C31,防護具!$Q$13:$Q$29),ES33)-VLOOKUP($C31,$C$3:$D$15,2,FALSE)*ES$20&lt;0,0,
SUM(SUMIF(防護具!$Y$13:$Y$29,ET$17&amp;$C31,防護具!$Q$13:$Q$29),ES33)-VLOOKUP($C31,$C$3:$D$15,2,FALSE)*ES$20)</f>
        <v>0</v>
      </c>
      <c r="EU33" s="763">
        <f xml:space="preserve">
IF(
SUM(SUMIF(防護具!$Y$13:$Y$29,EU$17&amp;$C31,防護具!$Q$13:$Q$29),ET33)-VLOOKUP($C31,$C$3:$D$15,2,FALSE)*ET$20&lt;0,0,
SUM(SUMIF(防護具!$Y$13:$Y$29,EU$17&amp;$C31,防護具!$Q$13:$Q$29),ET33)-VLOOKUP($C31,$C$3:$D$15,2,FALSE)*ET$20)</f>
        <v>0</v>
      </c>
      <c r="EV33" s="763">
        <f xml:space="preserve">
IF(
SUM(SUMIF(防護具!$Y$13:$Y$29,EV$17&amp;$C31,防護具!$Q$13:$Q$29),EU33)-VLOOKUP($C31,$C$3:$D$15,2,FALSE)*EU$20&lt;0,0,
SUM(SUMIF(防護具!$Y$13:$Y$29,EV$17&amp;$C31,防護具!$Q$13:$Q$29),EU33)-VLOOKUP($C31,$C$3:$D$15,2,FALSE)*EU$20)</f>
        <v>0</v>
      </c>
      <c r="EW33" s="763">
        <f xml:space="preserve">
IF(
SUM(SUMIF(防護具!$Y$13:$Y$29,EW$17&amp;$C31,防護具!$Q$13:$Q$29),EV33)-VLOOKUP($C31,$C$3:$D$15,2,FALSE)*EV$20&lt;0,0,
SUM(SUMIF(防護具!$Y$13:$Y$29,EW$17&amp;$C31,防護具!$Q$13:$Q$29),EV33)-VLOOKUP($C31,$C$3:$D$15,2,FALSE)*EV$20)</f>
        <v>0</v>
      </c>
      <c r="EX33" s="763">
        <f xml:space="preserve">
IF(
SUM(SUMIF(防護具!$Y$13:$Y$29,EX$17&amp;$C31,防護具!$Q$13:$Q$29),EW33)-VLOOKUP($C31,$C$3:$D$15,2,FALSE)*EW$20&lt;0,0,
SUM(SUMIF(防護具!$Y$13:$Y$29,EX$17&amp;$C31,防護具!$Q$13:$Q$29),EW33)-VLOOKUP($C31,$C$3:$D$15,2,FALSE)*EW$20)</f>
        <v>0</v>
      </c>
      <c r="EY33" s="763">
        <f xml:space="preserve">
IF(
SUM(SUMIF(防護具!$Y$13:$Y$29,EY$17&amp;$C31,防護具!$Q$13:$Q$29),EX33)-VLOOKUP($C31,$C$3:$D$15,2,FALSE)*EX$20&lt;0,0,
SUM(SUMIF(防護具!$Y$13:$Y$29,EY$17&amp;$C31,防護具!$Q$13:$Q$29),EX33)-VLOOKUP($C31,$C$3:$D$15,2,FALSE)*EX$20)</f>
        <v>0</v>
      </c>
      <c r="EZ33" s="763">
        <f xml:space="preserve">
IF(
SUM(SUMIF(防護具!$Y$13:$Y$29,EZ$17&amp;$C31,防護具!$Q$13:$Q$29),EY33)-VLOOKUP($C31,$C$3:$D$15,2,FALSE)*EY$20&lt;0,0,
SUM(SUMIF(防護具!$Y$13:$Y$29,EZ$17&amp;$C31,防護具!$Q$13:$Q$29),EY33)-VLOOKUP($C31,$C$3:$D$15,2,FALSE)*EY$20)</f>
        <v>0</v>
      </c>
      <c r="FA33" s="763">
        <f xml:space="preserve">
IF(
SUM(SUMIF(防護具!$Y$13:$Y$29,FA$17&amp;$C31,防護具!$Q$13:$Q$29),EZ33)-VLOOKUP($C31,$C$3:$D$15,2,FALSE)*EZ$20&lt;0,0,
SUM(SUMIF(防護具!$Y$13:$Y$29,FA$17&amp;$C31,防護具!$Q$13:$Q$29),EZ33)-VLOOKUP($C31,$C$3:$D$15,2,FALSE)*EZ$20)</f>
        <v>0</v>
      </c>
      <c r="FB33" s="763">
        <f xml:space="preserve">
IF(
SUM(SUMIF(防護具!$Y$13:$Y$29,FB$17&amp;$C31,防護具!$Q$13:$Q$29),FA33)-VLOOKUP($C31,$C$3:$D$15,2,FALSE)*FA$20&lt;0,0,
SUM(SUMIF(防護具!$Y$13:$Y$29,FB$17&amp;$C31,防護具!$Q$13:$Q$29),FA33)-VLOOKUP($C31,$C$3:$D$15,2,FALSE)*FA$20)</f>
        <v>0</v>
      </c>
      <c r="FC33" s="763">
        <f xml:space="preserve">
IF(
SUM(SUMIF(防護具!$Y$13:$Y$29,FC$17&amp;$C31,防護具!$Q$13:$Q$29),FB33)-VLOOKUP($C31,$C$3:$D$15,2,FALSE)*FB$20&lt;0,0,
SUM(SUMIF(防護具!$Y$13:$Y$29,FC$17&amp;$C31,防護具!$Q$13:$Q$29),FB33)-VLOOKUP($C31,$C$3:$D$15,2,FALSE)*FB$20)</f>
        <v>0</v>
      </c>
      <c r="FD33" s="763">
        <f xml:space="preserve">
IF(
SUM(SUMIF(防護具!$Y$13:$Y$29,FD$17&amp;$C31,防護具!$Q$13:$Q$29),FC33)-VLOOKUP($C31,$C$3:$D$15,2,FALSE)*FC$20&lt;0,0,
SUM(SUMIF(防護具!$Y$13:$Y$29,FD$17&amp;$C31,防護具!$Q$13:$Q$29),FC33)-VLOOKUP($C31,$C$3:$D$15,2,FALSE)*FC$20)</f>
        <v>0</v>
      </c>
      <c r="FE33" s="763">
        <f xml:space="preserve">
IF(
SUM(SUMIF(防護具!$Y$13:$Y$29,FE$17&amp;$C31,防護具!$Q$13:$Q$29),FD33)-VLOOKUP($C31,$C$3:$D$15,2,FALSE)*FD$20&lt;0,0,
SUM(SUMIF(防護具!$Y$13:$Y$29,FE$17&amp;$C31,防護具!$Q$13:$Q$29),FD33)-VLOOKUP($C31,$C$3:$D$15,2,FALSE)*FD$20)</f>
        <v>0</v>
      </c>
      <c r="FF33" s="763">
        <f xml:space="preserve">
IF(
SUM(SUMIF(防護具!$Y$13:$Y$29,FF$17&amp;$C31,防護具!$Q$13:$Q$29),FE33)-VLOOKUP($C31,$C$3:$D$15,2,FALSE)*FE$20&lt;0,0,
SUM(SUMIF(防護具!$Y$13:$Y$29,FF$17&amp;$C31,防護具!$Q$13:$Q$29),FE33)-VLOOKUP($C31,$C$3:$D$15,2,FALSE)*FE$20)</f>
        <v>0</v>
      </c>
      <c r="FG33" s="763">
        <f xml:space="preserve">
IF(
SUM(SUMIF(防護具!$Y$13:$Y$29,FG$17&amp;$C31,防護具!$Q$13:$Q$29),FF33)-VLOOKUP($C31,$C$3:$D$15,2,FALSE)*FF$20&lt;0,0,
SUM(SUMIF(防護具!$Y$13:$Y$29,FG$17&amp;$C31,防護具!$Q$13:$Q$29),FF33)-VLOOKUP($C31,$C$3:$D$15,2,FALSE)*FF$20)</f>
        <v>0</v>
      </c>
      <c r="FH33" s="763">
        <f xml:space="preserve">
IF(
SUM(SUMIF(防護具!$Y$13:$Y$29,FH$17&amp;$C31,防護具!$Q$13:$Q$29),FG33)-VLOOKUP($C31,$C$3:$D$15,2,FALSE)*FG$20&lt;0,0,
SUM(SUMIF(防護具!$Y$13:$Y$29,FH$17&amp;$C31,防護具!$Q$13:$Q$29),FG33)-VLOOKUP($C31,$C$3:$D$15,2,FALSE)*FG$20)</f>
        <v>0</v>
      </c>
      <c r="FI33" s="763">
        <f xml:space="preserve">
IF(
SUM(SUMIF(防護具!$Y$13:$Y$29,FI$17&amp;$C31,防護具!$Q$13:$Q$29),FH33)-VLOOKUP($C31,$C$3:$D$15,2,FALSE)*FH$20&lt;0,0,
SUM(SUMIF(防護具!$Y$13:$Y$29,FI$17&amp;$C31,防護具!$Q$13:$Q$29),FH33)-VLOOKUP($C31,$C$3:$D$15,2,FALSE)*FH$20)</f>
        <v>0</v>
      </c>
      <c r="FJ33" s="763">
        <f xml:space="preserve">
IF(
SUM(SUMIF(防護具!$Y$13:$Y$29,FJ$17&amp;$C31,防護具!$Q$13:$Q$29),FI33)-VLOOKUP($C31,$C$3:$D$15,2,FALSE)*FI$20&lt;0,0,
SUM(SUMIF(防護具!$Y$13:$Y$29,FJ$17&amp;$C31,防護具!$Q$13:$Q$29),FI33)-VLOOKUP($C31,$C$3:$D$15,2,FALSE)*FI$20)</f>
        <v>0</v>
      </c>
      <c r="FK33" s="763">
        <f xml:space="preserve">
IF(
SUM(SUMIF(防護具!$Y$13:$Y$29,FK$17&amp;$C31,防護具!$Q$13:$Q$29),FJ33)-VLOOKUP($C31,$C$3:$D$15,2,FALSE)*FJ$20&lt;0,0,
SUM(SUMIF(防護具!$Y$13:$Y$29,FK$17&amp;$C31,防護具!$Q$13:$Q$29),FJ33)-VLOOKUP($C31,$C$3:$D$15,2,FALSE)*FJ$20)</f>
        <v>0</v>
      </c>
      <c r="FL33" s="763">
        <f xml:space="preserve">
IF(
SUM(SUMIF(防護具!$Y$13:$Y$29,FL$17&amp;$C31,防護具!$Q$13:$Q$29),FK33)-VLOOKUP($C31,$C$3:$D$15,2,FALSE)*FK$20&lt;0,0,
SUM(SUMIF(防護具!$Y$13:$Y$29,FL$17&amp;$C31,防護具!$Q$13:$Q$29),FK33)-VLOOKUP($C31,$C$3:$D$15,2,FALSE)*FK$20)</f>
        <v>0</v>
      </c>
      <c r="FM33" s="763">
        <f xml:space="preserve">
IF(
SUM(SUMIF(防護具!$Y$13:$Y$29,FM$17&amp;$C31,防護具!$Q$13:$Q$29),FL33)-VLOOKUP($C31,$C$3:$D$15,2,FALSE)*FL$20&lt;0,0,
SUM(SUMIF(防護具!$Y$13:$Y$29,FM$17&amp;$C31,防護具!$Q$13:$Q$29),FL33)-VLOOKUP($C31,$C$3:$D$15,2,FALSE)*FL$20)</f>
        <v>0</v>
      </c>
      <c r="FN33" s="763">
        <f xml:space="preserve">
IF(
SUM(SUMIF(防護具!$Y$13:$Y$29,FN$17&amp;$C31,防護具!$Q$13:$Q$29),FM33)-VLOOKUP($C31,$C$3:$D$15,2,FALSE)*FM$20&lt;0,0,
SUM(SUMIF(防護具!$Y$13:$Y$29,FN$17&amp;$C31,防護具!$Q$13:$Q$29),FM33)-VLOOKUP($C31,$C$3:$D$15,2,FALSE)*FM$20)</f>
        <v>0</v>
      </c>
      <c r="FO33" s="763">
        <f xml:space="preserve">
IF(
SUM(SUMIF(防護具!$Y$13:$Y$29,FO$17&amp;$C31,防護具!$Q$13:$Q$29),FN33)-VLOOKUP($C31,$C$3:$D$15,2,FALSE)*FN$20&lt;0,0,
SUM(SUMIF(防護具!$Y$13:$Y$29,FO$17&amp;$C31,防護具!$Q$13:$Q$29),FN33)-VLOOKUP($C31,$C$3:$D$15,2,FALSE)*FN$20)</f>
        <v>0</v>
      </c>
      <c r="FP33" s="763">
        <f xml:space="preserve">
IF(
SUM(SUMIF(防護具!$Y$13:$Y$29,FP$17&amp;$C31,防護具!$Q$13:$Q$29),FO33)-VLOOKUP($C31,$C$3:$D$15,2,FALSE)*FO$20&lt;0,0,
SUM(SUMIF(防護具!$Y$13:$Y$29,FP$17&amp;$C31,防護具!$Q$13:$Q$29),FO33)-VLOOKUP($C31,$C$3:$D$15,2,FALSE)*FO$20)</f>
        <v>0</v>
      </c>
      <c r="FQ33" s="763">
        <f xml:space="preserve">
IF(
SUM(SUMIF(防護具!$Y$13:$Y$29,FQ$17&amp;$C31,防護具!$Q$13:$Q$29),FP33)-VLOOKUP($C31,$C$3:$D$15,2,FALSE)*FP$20&lt;0,0,
SUM(SUMIF(防護具!$Y$13:$Y$29,FQ$17&amp;$C31,防護具!$Q$13:$Q$29),FP33)-VLOOKUP($C31,$C$3:$D$15,2,FALSE)*FP$20)</f>
        <v>0</v>
      </c>
      <c r="FR33" s="763">
        <f xml:space="preserve">
IF(
SUM(SUMIF(防護具!$Y$13:$Y$29,FR$17&amp;$C31,防護具!$Q$13:$Q$29),FQ33)-VLOOKUP($C31,$C$3:$D$15,2,FALSE)*FQ$20&lt;0,0,
SUM(SUMIF(防護具!$Y$13:$Y$29,FR$17&amp;$C31,防護具!$Q$13:$Q$29),FQ33)-VLOOKUP($C31,$C$3:$D$15,2,FALSE)*FQ$20)</f>
        <v>0</v>
      </c>
      <c r="FS33" s="763">
        <f xml:space="preserve">
IF(
SUM(SUMIF(防護具!$Y$13:$Y$29,FS$17&amp;$C31,防護具!$Q$13:$Q$29),FR33)-VLOOKUP($C31,$C$3:$D$15,2,FALSE)*FR$20&lt;0,0,
SUM(SUMIF(防護具!$Y$13:$Y$29,FS$17&amp;$C31,防護具!$Q$13:$Q$29),FR33)-VLOOKUP($C31,$C$3:$D$15,2,FALSE)*FR$20)</f>
        <v>0</v>
      </c>
      <c r="FT33" s="763">
        <f xml:space="preserve">
IF(
SUM(SUMIF(防護具!$Y$13:$Y$29,FT$17&amp;$C31,防護具!$Q$13:$Q$29),FS33)-VLOOKUP($C31,$C$3:$D$15,2,FALSE)*FS$20&lt;0,0,
SUM(SUMIF(防護具!$Y$13:$Y$29,FT$17&amp;$C31,防護具!$Q$13:$Q$29),FS33)-VLOOKUP($C31,$C$3:$D$15,2,FALSE)*FS$20)</f>
        <v>0</v>
      </c>
      <c r="FU33" s="763">
        <f xml:space="preserve">
IF(
SUM(SUMIF(防護具!$Y$13:$Y$29,FU$17&amp;$C31,防護具!$Q$13:$Q$29),FT33)-VLOOKUP($C31,$C$3:$D$15,2,FALSE)*FT$20&lt;0,0,
SUM(SUMIF(防護具!$Y$13:$Y$29,FU$17&amp;$C31,防護具!$Q$13:$Q$29),FT33)-VLOOKUP($C31,$C$3:$D$15,2,FALSE)*FT$20)</f>
        <v>0</v>
      </c>
      <c r="FV33" s="763">
        <f xml:space="preserve">
IF(
SUM(SUMIF(防護具!$Y$13:$Y$29,FV$17&amp;$C31,防護具!$Q$13:$Q$29),FU33)-VLOOKUP($C31,$C$3:$D$15,2,FALSE)*FU$20&lt;0,0,
SUM(SUMIF(防護具!$Y$13:$Y$29,FV$17&amp;$C31,防護具!$Q$13:$Q$29),FU33)-VLOOKUP($C31,$C$3:$D$15,2,FALSE)*FU$20)</f>
        <v>0</v>
      </c>
      <c r="FW33" s="763">
        <f xml:space="preserve">
IF(
SUM(SUMIF(防護具!$Y$13:$Y$29,FW$17&amp;$C31,防護具!$Q$13:$Q$29),FV33)-VLOOKUP($C31,$C$3:$D$15,2,FALSE)*FV$20&lt;0,0,
SUM(SUMIF(防護具!$Y$13:$Y$29,FW$17&amp;$C31,防護具!$Q$13:$Q$29),FV33)-VLOOKUP($C31,$C$3:$D$15,2,FALSE)*FV$20)</f>
        <v>0</v>
      </c>
      <c r="FX33" s="763">
        <f xml:space="preserve">
IF(
SUM(SUMIF(防護具!$Y$13:$Y$29,FX$17&amp;$C31,防護具!$Q$13:$Q$29),FW33)-VLOOKUP($C31,$C$3:$D$15,2,FALSE)*FW$20&lt;0,0,
SUM(SUMIF(防護具!$Y$13:$Y$29,FX$17&amp;$C31,防護具!$Q$13:$Q$29),FW33)-VLOOKUP($C31,$C$3:$D$15,2,FALSE)*FW$20)</f>
        <v>0</v>
      </c>
      <c r="FY33" s="763">
        <f xml:space="preserve">
IF(
SUM(SUMIF(防護具!$Y$13:$Y$29,FY$17&amp;$C31,防護具!$Q$13:$Q$29),FX33)-VLOOKUP($C31,$C$3:$D$15,2,FALSE)*FX$20&lt;0,0,
SUM(SUMIF(防護具!$Y$13:$Y$29,FY$17&amp;$C31,防護具!$Q$13:$Q$29),FX33)-VLOOKUP($C31,$C$3:$D$15,2,FALSE)*FX$20)</f>
        <v>0</v>
      </c>
      <c r="FZ33" s="763">
        <f xml:space="preserve">
IF(
SUM(SUMIF(防護具!$Y$13:$Y$29,FZ$17&amp;$C31,防護具!$Q$13:$Q$29),FY33)-VLOOKUP($C31,$C$3:$D$15,2,FALSE)*FY$20&lt;0,0,
SUM(SUMIF(防護具!$Y$13:$Y$29,FZ$17&amp;$C31,防護具!$Q$13:$Q$29),FY33)-VLOOKUP($C31,$C$3:$D$15,2,FALSE)*FY$20)</f>
        <v>0</v>
      </c>
      <c r="GA33" s="763">
        <f xml:space="preserve">
IF(
SUM(SUMIF(防護具!$Y$13:$Y$29,GA$17&amp;$C31,防護具!$Q$13:$Q$29),FZ33)-VLOOKUP($C31,$C$3:$D$15,2,FALSE)*FZ$20&lt;0,0,
SUM(SUMIF(防護具!$Y$13:$Y$29,GA$17&amp;$C31,防護具!$Q$13:$Q$29),FZ33)-VLOOKUP($C31,$C$3:$D$15,2,FALSE)*FZ$20)</f>
        <v>0</v>
      </c>
      <c r="GB33" s="763">
        <f xml:space="preserve">
IF(
SUM(SUMIF(防護具!$Y$13:$Y$29,GB$17&amp;$C31,防護具!$Q$13:$Q$29),GA33)-VLOOKUP($C31,$C$3:$D$15,2,FALSE)*GA$20&lt;0,0,
SUM(SUMIF(防護具!$Y$13:$Y$29,GB$17&amp;$C31,防護具!$Q$13:$Q$29),GA33)-VLOOKUP($C31,$C$3:$D$15,2,FALSE)*GA$20)</f>
        <v>0</v>
      </c>
      <c r="GC33" s="763">
        <f xml:space="preserve">
IF(
SUM(SUMIF(防護具!$Y$13:$Y$29,GC$17&amp;$C31,防護具!$Q$13:$Q$29),GB33)-VLOOKUP($C31,$C$3:$D$15,2,FALSE)*GB$20&lt;0,0,
SUM(SUMIF(防護具!$Y$13:$Y$29,GC$17&amp;$C31,防護具!$Q$13:$Q$29),GB33)-VLOOKUP($C31,$C$3:$D$15,2,FALSE)*GB$20)</f>
        <v>0</v>
      </c>
      <c r="GD33" s="763">
        <f xml:space="preserve">
IF(
SUM(SUMIF(防護具!$Y$13:$Y$29,GD$17&amp;$C31,防護具!$Q$13:$Q$29),GC33)-VLOOKUP($C31,$C$3:$D$15,2,FALSE)*GC$20&lt;0,0,
SUM(SUMIF(防護具!$Y$13:$Y$29,GD$17&amp;$C31,防護具!$Q$13:$Q$29),GC33)-VLOOKUP($C31,$C$3:$D$15,2,FALSE)*GC$20)</f>
        <v>0</v>
      </c>
      <c r="GE33" s="763">
        <f xml:space="preserve">
IF(
SUM(SUMIF(防護具!$Y$13:$Y$29,GE$17&amp;$C31,防護具!$Q$13:$Q$29),GD33)-VLOOKUP($C31,$C$3:$D$15,2,FALSE)*GD$20&lt;0,0,
SUM(SUMIF(防護具!$Y$13:$Y$29,GE$17&amp;$C31,防護具!$Q$13:$Q$29),GD33)-VLOOKUP($C31,$C$3:$D$15,2,FALSE)*GD$20)</f>
        <v>0</v>
      </c>
      <c r="GF33" s="763">
        <f xml:space="preserve">
IF(
SUM(SUMIF(防護具!$Y$13:$Y$29,GF$17&amp;$C31,防護具!$Q$13:$Q$29),GE33)-VLOOKUP($C31,$C$3:$D$15,2,FALSE)*GE$20&lt;0,0,
SUM(SUMIF(防護具!$Y$13:$Y$29,GF$17&amp;$C31,防護具!$Q$13:$Q$29),GE33)-VLOOKUP($C31,$C$3:$D$15,2,FALSE)*GE$20)</f>
        <v>0</v>
      </c>
      <c r="GG33" s="763">
        <f xml:space="preserve">
IF(
SUM(SUMIF(防護具!$Y$13:$Y$29,GG$17&amp;$C31,防護具!$Q$13:$Q$29),GF33)-VLOOKUP($C31,$C$3:$D$15,2,FALSE)*GF$20&lt;0,0,
SUM(SUMIF(防護具!$Y$13:$Y$29,GG$17&amp;$C31,防護具!$Q$13:$Q$29),GF33)-VLOOKUP($C31,$C$3:$D$15,2,FALSE)*GF$20)</f>
        <v>0</v>
      </c>
      <c r="GH33" s="763">
        <f xml:space="preserve">
IF(
SUM(SUMIF(防護具!$Y$13:$Y$29,GH$17&amp;$C31,防護具!$Q$13:$Q$29),GG33)-VLOOKUP($C31,$C$3:$D$15,2,FALSE)*GG$20&lt;0,0,
SUM(SUMIF(防護具!$Y$13:$Y$29,GH$17&amp;$C31,防護具!$Q$13:$Q$29),GG33)-VLOOKUP($C31,$C$3:$D$15,2,FALSE)*GG$20)</f>
        <v>0</v>
      </c>
      <c r="GI33" s="763">
        <f xml:space="preserve">
IF(
SUM(SUMIF(防護具!$Y$13:$Y$29,GI$17&amp;$C31,防護具!$Q$13:$Q$29),GH33)-VLOOKUP($C31,$C$3:$D$15,2,FALSE)*GH$20&lt;0,0,
SUM(SUMIF(防護具!$Y$13:$Y$29,GI$17&amp;$C31,防護具!$Q$13:$Q$29),GH33)-VLOOKUP($C31,$C$3:$D$15,2,FALSE)*GH$20)</f>
        <v>0</v>
      </c>
      <c r="GJ33" s="763">
        <f xml:space="preserve">
IF(
SUM(SUMIF(防護具!$Y$13:$Y$29,GJ$17&amp;$C31,防護具!$Q$13:$Q$29),GI33)-VLOOKUP($C31,$C$3:$D$15,2,FALSE)*GI$20&lt;0,0,
SUM(SUMIF(防護具!$Y$13:$Y$29,GJ$17&amp;$C31,防護具!$Q$13:$Q$29),GI33)-VLOOKUP($C31,$C$3:$D$15,2,FALSE)*GI$20)</f>
        <v>0</v>
      </c>
    </row>
    <row r="34" spans="2:192" s="632" customFormat="1">
      <c r="B34" s="633"/>
      <c r="C34" s="625" t="s">
        <v>1225</v>
      </c>
      <c r="D34" s="701" t="s">
        <v>1423</v>
      </c>
      <c r="E34" s="706"/>
      <c r="F34" s="653"/>
      <c r="G34" s="762">
        <f xml:space="preserve">
MIN(G35,
IF((VLOOKUP($C34,$C$3:$D$15,2,FALSE)*G$20-G36)&lt;0,0,VLOOKUP($C34,$C$3:$D$15,2,FALSE)*G$20-G36))</f>
        <v>0</v>
      </c>
      <c r="H34" s="762">
        <f xml:space="preserve">
IF(G36&gt;=VLOOKUP($C34,$C$3:$D$15,2,FALSE)*H$20,0,
IF(AND(G36&lt;VLOOKUP($C34,$C$3:$D$15,2,FALSE)*H$20,H35&lt;=VLOOKUP($C34,$C$3:$D$15,2,FALSE)*H$20),IF(H35-G36&lt;0,0,H35-G36),
IF(AND(G36&lt;VLOOKUP($C34,$C$3:$D$15,2,FALSE)*H$20,H35&gt;VLOOKUP($C34,$C$3:$D$15,2,FALSE)*H$20),VLOOKUP($C34,$C$3:$D$15,2,FALSE)*H$20-G36)))</f>
        <v>0</v>
      </c>
      <c r="I34" s="762">
        <f t="shared" ref="I34:P34" si="828" xml:space="preserve">
IF(H36&gt;=VLOOKUP($C34,$C$3:$D$15,2,FALSE)*I$20,0,
IF(AND(H36&lt;VLOOKUP($C34,$C$3:$D$15,2,FALSE)*I$20,I35&lt;=VLOOKUP($C34,$C$3:$D$15,2,FALSE)*I$20),IF(I35-H36&lt;0,0,I35-H36),
IF(AND(H36&lt;VLOOKUP($C34,$C$3:$D$15,2,FALSE)*I$20,I35&gt;VLOOKUP($C34,$C$3:$D$15,2,FALSE)*I$20),VLOOKUP($C34,$C$3:$D$15,2,FALSE)*I$20-H36)))</f>
        <v>0</v>
      </c>
      <c r="J34" s="762">
        <f t="shared" si="828"/>
        <v>0</v>
      </c>
      <c r="K34" s="762">
        <f t="shared" si="828"/>
        <v>0</v>
      </c>
      <c r="L34" s="762">
        <f t="shared" si="828"/>
        <v>0</v>
      </c>
      <c r="M34" s="762">
        <f t="shared" si="828"/>
        <v>0</v>
      </c>
      <c r="N34" s="762">
        <f t="shared" si="828"/>
        <v>0</v>
      </c>
      <c r="O34" s="762">
        <f t="shared" si="828"/>
        <v>0</v>
      </c>
      <c r="P34" s="762">
        <f t="shared" si="828"/>
        <v>0</v>
      </c>
      <c r="Q34" s="762">
        <f t="shared" ref="Q34" si="829" xml:space="preserve">
IF(P36&gt;=VLOOKUP($C34,$C$3:$D$15,2,FALSE)*Q$20,0,
IF(AND(P36&lt;VLOOKUP($C34,$C$3:$D$15,2,FALSE)*Q$20,Q35&lt;=VLOOKUP($C34,$C$3:$D$15,2,FALSE)*Q$20),IF(Q35-P36&lt;0,0,Q35-P36),
IF(AND(P36&lt;VLOOKUP($C34,$C$3:$D$15,2,FALSE)*Q$20,Q35&gt;VLOOKUP($C34,$C$3:$D$15,2,FALSE)*Q$20),VLOOKUP($C34,$C$3:$D$15,2,FALSE)*Q$20-P36)))</f>
        <v>0</v>
      </c>
      <c r="R34" s="762">
        <f t="shared" ref="R34" si="830" xml:space="preserve">
IF(Q36&gt;=VLOOKUP($C34,$C$3:$D$15,2,FALSE)*R$20,0,
IF(AND(Q36&lt;VLOOKUP($C34,$C$3:$D$15,2,FALSE)*R$20,R35&lt;=VLOOKUP($C34,$C$3:$D$15,2,FALSE)*R$20),IF(R35-Q36&lt;0,0,R35-Q36),
IF(AND(Q36&lt;VLOOKUP($C34,$C$3:$D$15,2,FALSE)*R$20,R35&gt;VLOOKUP($C34,$C$3:$D$15,2,FALSE)*R$20),VLOOKUP($C34,$C$3:$D$15,2,FALSE)*R$20-Q36)))</f>
        <v>0</v>
      </c>
      <c r="S34" s="762">
        <f t="shared" ref="S34" si="831" xml:space="preserve">
IF(R36&gt;=VLOOKUP($C34,$C$3:$D$15,2,FALSE)*S$20,0,
IF(AND(R36&lt;VLOOKUP($C34,$C$3:$D$15,2,FALSE)*S$20,S35&lt;=VLOOKUP($C34,$C$3:$D$15,2,FALSE)*S$20),IF(S35-R36&lt;0,0,S35-R36),
IF(AND(R36&lt;VLOOKUP($C34,$C$3:$D$15,2,FALSE)*S$20,S35&gt;VLOOKUP($C34,$C$3:$D$15,2,FALSE)*S$20),VLOOKUP($C34,$C$3:$D$15,2,FALSE)*S$20-R36)))</f>
        <v>0</v>
      </c>
      <c r="T34" s="762">
        <f t="shared" ref="T34" si="832" xml:space="preserve">
IF(S36&gt;=VLOOKUP($C34,$C$3:$D$15,2,FALSE)*T$20,0,
IF(AND(S36&lt;VLOOKUP($C34,$C$3:$D$15,2,FALSE)*T$20,T35&lt;=VLOOKUP($C34,$C$3:$D$15,2,FALSE)*T$20),IF(T35-S36&lt;0,0,T35-S36),
IF(AND(S36&lt;VLOOKUP($C34,$C$3:$D$15,2,FALSE)*T$20,T35&gt;VLOOKUP($C34,$C$3:$D$15,2,FALSE)*T$20),VLOOKUP($C34,$C$3:$D$15,2,FALSE)*T$20-S36)))</f>
        <v>0</v>
      </c>
      <c r="U34" s="762">
        <f t="shared" ref="U34" si="833" xml:space="preserve">
IF(T36&gt;=VLOOKUP($C34,$C$3:$D$15,2,FALSE)*U$20,0,
IF(AND(T36&lt;VLOOKUP($C34,$C$3:$D$15,2,FALSE)*U$20,U35&lt;=VLOOKUP($C34,$C$3:$D$15,2,FALSE)*U$20),IF(U35-T36&lt;0,0,U35-T36),
IF(AND(T36&lt;VLOOKUP($C34,$C$3:$D$15,2,FALSE)*U$20,U35&gt;VLOOKUP($C34,$C$3:$D$15,2,FALSE)*U$20),VLOOKUP($C34,$C$3:$D$15,2,FALSE)*U$20-T36)))</f>
        <v>0</v>
      </c>
      <c r="V34" s="762">
        <f t="shared" ref="V34" si="834" xml:space="preserve">
IF(U36&gt;=VLOOKUP($C34,$C$3:$D$15,2,FALSE)*V$20,0,
IF(AND(U36&lt;VLOOKUP($C34,$C$3:$D$15,2,FALSE)*V$20,V35&lt;=VLOOKUP($C34,$C$3:$D$15,2,FALSE)*V$20),IF(V35-U36&lt;0,0,V35-U36),
IF(AND(U36&lt;VLOOKUP($C34,$C$3:$D$15,2,FALSE)*V$20,V35&gt;VLOOKUP($C34,$C$3:$D$15,2,FALSE)*V$20),VLOOKUP($C34,$C$3:$D$15,2,FALSE)*V$20-U36)))</f>
        <v>0</v>
      </c>
      <c r="W34" s="762">
        <f t="shared" ref="W34" si="835" xml:space="preserve">
IF(V36&gt;=VLOOKUP($C34,$C$3:$D$15,2,FALSE)*W$20,0,
IF(AND(V36&lt;VLOOKUP($C34,$C$3:$D$15,2,FALSE)*W$20,W35&lt;=VLOOKUP($C34,$C$3:$D$15,2,FALSE)*W$20),IF(W35-V36&lt;0,0,W35-V36),
IF(AND(V36&lt;VLOOKUP($C34,$C$3:$D$15,2,FALSE)*W$20,W35&gt;VLOOKUP($C34,$C$3:$D$15,2,FALSE)*W$20),VLOOKUP($C34,$C$3:$D$15,2,FALSE)*W$20-V36)))</f>
        <v>0</v>
      </c>
      <c r="X34" s="762">
        <f t="shared" ref="X34" si="836" xml:space="preserve">
IF(W36&gt;=VLOOKUP($C34,$C$3:$D$15,2,FALSE)*X$20,0,
IF(AND(W36&lt;VLOOKUP($C34,$C$3:$D$15,2,FALSE)*X$20,X35&lt;=VLOOKUP($C34,$C$3:$D$15,2,FALSE)*X$20),IF(X35-W36&lt;0,0,X35-W36),
IF(AND(W36&lt;VLOOKUP($C34,$C$3:$D$15,2,FALSE)*X$20,X35&gt;VLOOKUP($C34,$C$3:$D$15,2,FALSE)*X$20),VLOOKUP($C34,$C$3:$D$15,2,FALSE)*X$20-W36)))</f>
        <v>0</v>
      </c>
      <c r="Y34" s="762">
        <f t="shared" ref="Y34" si="837" xml:space="preserve">
IF(X36&gt;=VLOOKUP($C34,$C$3:$D$15,2,FALSE)*Y$20,0,
IF(AND(X36&lt;VLOOKUP($C34,$C$3:$D$15,2,FALSE)*Y$20,Y35&lt;=VLOOKUP($C34,$C$3:$D$15,2,FALSE)*Y$20),IF(Y35-X36&lt;0,0,Y35-X36),
IF(AND(X36&lt;VLOOKUP($C34,$C$3:$D$15,2,FALSE)*Y$20,Y35&gt;VLOOKUP($C34,$C$3:$D$15,2,FALSE)*Y$20),VLOOKUP($C34,$C$3:$D$15,2,FALSE)*Y$20-X36)))</f>
        <v>0</v>
      </c>
      <c r="Z34" s="762">
        <f t="shared" ref="Z34" si="838" xml:space="preserve">
IF(Y36&gt;=VLOOKUP($C34,$C$3:$D$15,2,FALSE)*Z$20,0,
IF(AND(Y36&lt;VLOOKUP($C34,$C$3:$D$15,2,FALSE)*Z$20,Z35&lt;=VLOOKUP($C34,$C$3:$D$15,2,FALSE)*Z$20),IF(Z35-Y36&lt;0,0,Z35-Y36),
IF(AND(Y36&lt;VLOOKUP($C34,$C$3:$D$15,2,FALSE)*Z$20,Z35&gt;VLOOKUP($C34,$C$3:$D$15,2,FALSE)*Z$20),VLOOKUP($C34,$C$3:$D$15,2,FALSE)*Z$20-Y36)))</f>
        <v>0</v>
      </c>
      <c r="AA34" s="762">
        <f t="shared" ref="AA34" si="839" xml:space="preserve">
IF(Z36&gt;=VLOOKUP($C34,$C$3:$D$15,2,FALSE)*AA$20,0,
IF(AND(Z36&lt;VLOOKUP($C34,$C$3:$D$15,2,FALSE)*AA$20,AA35&lt;=VLOOKUP($C34,$C$3:$D$15,2,FALSE)*AA$20),IF(AA35-Z36&lt;0,0,AA35-Z36),
IF(AND(Z36&lt;VLOOKUP($C34,$C$3:$D$15,2,FALSE)*AA$20,AA35&gt;VLOOKUP($C34,$C$3:$D$15,2,FALSE)*AA$20),VLOOKUP($C34,$C$3:$D$15,2,FALSE)*AA$20-Z36)))</f>
        <v>0</v>
      </c>
      <c r="AB34" s="762">
        <f t="shared" ref="AB34" si="840" xml:space="preserve">
IF(AA36&gt;=VLOOKUP($C34,$C$3:$D$15,2,FALSE)*AB$20,0,
IF(AND(AA36&lt;VLOOKUP($C34,$C$3:$D$15,2,FALSE)*AB$20,AB35&lt;=VLOOKUP($C34,$C$3:$D$15,2,FALSE)*AB$20),IF(AB35-AA36&lt;0,0,AB35-AA36),
IF(AND(AA36&lt;VLOOKUP($C34,$C$3:$D$15,2,FALSE)*AB$20,AB35&gt;VLOOKUP($C34,$C$3:$D$15,2,FALSE)*AB$20),VLOOKUP($C34,$C$3:$D$15,2,FALSE)*AB$20-AA36)))</f>
        <v>0</v>
      </c>
      <c r="AC34" s="762">
        <f t="shared" ref="AC34" si="841" xml:space="preserve">
IF(AB36&gt;=VLOOKUP($C34,$C$3:$D$15,2,FALSE)*AC$20,0,
IF(AND(AB36&lt;VLOOKUP($C34,$C$3:$D$15,2,FALSE)*AC$20,AC35&lt;=VLOOKUP($C34,$C$3:$D$15,2,FALSE)*AC$20),IF(AC35-AB36&lt;0,0,AC35-AB36),
IF(AND(AB36&lt;VLOOKUP($C34,$C$3:$D$15,2,FALSE)*AC$20,AC35&gt;VLOOKUP($C34,$C$3:$D$15,2,FALSE)*AC$20),VLOOKUP($C34,$C$3:$D$15,2,FALSE)*AC$20-AB36)))</f>
        <v>0</v>
      </c>
      <c r="AD34" s="762">
        <f t="shared" ref="AD34" si="842" xml:space="preserve">
IF(AC36&gt;=VLOOKUP($C34,$C$3:$D$15,2,FALSE)*AD$20,0,
IF(AND(AC36&lt;VLOOKUP($C34,$C$3:$D$15,2,FALSE)*AD$20,AD35&lt;=VLOOKUP($C34,$C$3:$D$15,2,FALSE)*AD$20),IF(AD35-AC36&lt;0,0,AD35-AC36),
IF(AND(AC36&lt;VLOOKUP($C34,$C$3:$D$15,2,FALSE)*AD$20,AD35&gt;VLOOKUP($C34,$C$3:$D$15,2,FALSE)*AD$20),VLOOKUP($C34,$C$3:$D$15,2,FALSE)*AD$20-AC36)))</f>
        <v>0</v>
      </c>
      <c r="AE34" s="762">
        <f t="shared" ref="AE34" si="843" xml:space="preserve">
IF(AD36&gt;=VLOOKUP($C34,$C$3:$D$15,2,FALSE)*AE$20,0,
IF(AND(AD36&lt;VLOOKUP($C34,$C$3:$D$15,2,FALSE)*AE$20,AE35&lt;=VLOOKUP($C34,$C$3:$D$15,2,FALSE)*AE$20),IF(AE35-AD36&lt;0,0,AE35-AD36),
IF(AND(AD36&lt;VLOOKUP($C34,$C$3:$D$15,2,FALSE)*AE$20,AE35&gt;VLOOKUP($C34,$C$3:$D$15,2,FALSE)*AE$20),VLOOKUP($C34,$C$3:$D$15,2,FALSE)*AE$20-AD36)))</f>
        <v>0</v>
      </c>
      <c r="AF34" s="762">
        <f t="shared" ref="AF34" si="844" xml:space="preserve">
IF(AE36&gt;=VLOOKUP($C34,$C$3:$D$15,2,FALSE)*AF$20,0,
IF(AND(AE36&lt;VLOOKUP($C34,$C$3:$D$15,2,FALSE)*AF$20,AF35&lt;=VLOOKUP($C34,$C$3:$D$15,2,FALSE)*AF$20),IF(AF35-AE36&lt;0,0,AF35-AE36),
IF(AND(AE36&lt;VLOOKUP($C34,$C$3:$D$15,2,FALSE)*AF$20,AF35&gt;VLOOKUP($C34,$C$3:$D$15,2,FALSE)*AF$20),VLOOKUP($C34,$C$3:$D$15,2,FALSE)*AF$20-AE36)))</f>
        <v>0</v>
      </c>
      <c r="AG34" s="762">
        <f t="shared" ref="AG34" si="845" xml:space="preserve">
IF(AF36&gt;=VLOOKUP($C34,$C$3:$D$15,2,FALSE)*AG$20,0,
IF(AND(AF36&lt;VLOOKUP($C34,$C$3:$D$15,2,FALSE)*AG$20,AG35&lt;=VLOOKUP($C34,$C$3:$D$15,2,FALSE)*AG$20),IF(AG35-AF36&lt;0,0,AG35-AF36),
IF(AND(AF36&lt;VLOOKUP($C34,$C$3:$D$15,2,FALSE)*AG$20,AG35&gt;VLOOKUP($C34,$C$3:$D$15,2,FALSE)*AG$20),VLOOKUP($C34,$C$3:$D$15,2,FALSE)*AG$20-AF36)))</f>
        <v>0</v>
      </c>
      <c r="AH34" s="762">
        <f t="shared" ref="AH34" si="846" xml:space="preserve">
IF(AG36&gt;=VLOOKUP($C34,$C$3:$D$15,2,FALSE)*AH$20,0,
IF(AND(AG36&lt;VLOOKUP($C34,$C$3:$D$15,2,FALSE)*AH$20,AH35&lt;=VLOOKUP($C34,$C$3:$D$15,2,FALSE)*AH$20),IF(AH35-AG36&lt;0,0,AH35-AG36),
IF(AND(AG36&lt;VLOOKUP($C34,$C$3:$D$15,2,FALSE)*AH$20,AH35&gt;VLOOKUP($C34,$C$3:$D$15,2,FALSE)*AH$20),VLOOKUP($C34,$C$3:$D$15,2,FALSE)*AH$20-AG36)))</f>
        <v>0</v>
      </c>
      <c r="AI34" s="762">
        <f t="shared" ref="AI34" si="847" xml:space="preserve">
IF(AH36&gt;=VLOOKUP($C34,$C$3:$D$15,2,FALSE)*AI$20,0,
IF(AND(AH36&lt;VLOOKUP($C34,$C$3:$D$15,2,FALSE)*AI$20,AI35&lt;=VLOOKUP($C34,$C$3:$D$15,2,FALSE)*AI$20),IF(AI35-AH36&lt;0,0,AI35-AH36),
IF(AND(AH36&lt;VLOOKUP($C34,$C$3:$D$15,2,FALSE)*AI$20,AI35&gt;VLOOKUP($C34,$C$3:$D$15,2,FALSE)*AI$20),VLOOKUP($C34,$C$3:$D$15,2,FALSE)*AI$20-AH36)))</f>
        <v>0</v>
      </c>
      <c r="AJ34" s="762">
        <f t="shared" ref="AJ34" si="848" xml:space="preserve">
IF(AI36&gt;=VLOOKUP($C34,$C$3:$D$15,2,FALSE)*AJ$20,0,
IF(AND(AI36&lt;VLOOKUP($C34,$C$3:$D$15,2,FALSE)*AJ$20,AJ35&lt;=VLOOKUP($C34,$C$3:$D$15,2,FALSE)*AJ$20),IF(AJ35-AI36&lt;0,0,AJ35-AI36),
IF(AND(AI36&lt;VLOOKUP($C34,$C$3:$D$15,2,FALSE)*AJ$20,AJ35&gt;VLOOKUP($C34,$C$3:$D$15,2,FALSE)*AJ$20),VLOOKUP($C34,$C$3:$D$15,2,FALSE)*AJ$20-AI36)))</f>
        <v>0</v>
      </c>
      <c r="AK34" s="762">
        <f t="shared" ref="AK34" si="849" xml:space="preserve">
IF(AJ36&gt;=VLOOKUP($C34,$C$3:$D$15,2,FALSE)*AK$20,0,
IF(AND(AJ36&lt;VLOOKUP($C34,$C$3:$D$15,2,FALSE)*AK$20,AK35&lt;=VLOOKUP($C34,$C$3:$D$15,2,FALSE)*AK$20),IF(AK35-AJ36&lt;0,0,AK35-AJ36),
IF(AND(AJ36&lt;VLOOKUP($C34,$C$3:$D$15,2,FALSE)*AK$20,AK35&gt;VLOOKUP($C34,$C$3:$D$15,2,FALSE)*AK$20),VLOOKUP($C34,$C$3:$D$15,2,FALSE)*AK$20-AJ36)))</f>
        <v>0</v>
      </c>
      <c r="AL34" s="762">
        <f t="shared" ref="AL34" si="850" xml:space="preserve">
IF(AK36&gt;=VLOOKUP($C34,$C$3:$D$15,2,FALSE)*AL$20,0,
IF(AND(AK36&lt;VLOOKUP($C34,$C$3:$D$15,2,FALSE)*AL$20,AL35&lt;=VLOOKUP($C34,$C$3:$D$15,2,FALSE)*AL$20),IF(AL35-AK36&lt;0,0,AL35-AK36),
IF(AND(AK36&lt;VLOOKUP($C34,$C$3:$D$15,2,FALSE)*AL$20,AL35&gt;VLOOKUP($C34,$C$3:$D$15,2,FALSE)*AL$20),VLOOKUP($C34,$C$3:$D$15,2,FALSE)*AL$20-AK36)))</f>
        <v>0</v>
      </c>
      <c r="AM34" s="762">
        <f t="shared" ref="AM34" si="851" xml:space="preserve">
IF(AL36&gt;=VLOOKUP($C34,$C$3:$D$15,2,FALSE)*AM$20,0,
IF(AND(AL36&lt;VLOOKUP($C34,$C$3:$D$15,2,FALSE)*AM$20,AM35&lt;=VLOOKUP($C34,$C$3:$D$15,2,FALSE)*AM$20),IF(AM35-AL36&lt;0,0,AM35-AL36),
IF(AND(AL36&lt;VLOOKUP($C34,$C$3:$D$15,2,FALSE)*AM$20,AM35&gt;VLOOKUP($C34,$C$3:$D$15,2,FALSE)*AM$20),VLOOKUP($C34,$C$3:$D$15,2,FALSE)*AM$20-AL36)))</f>
        <v>0</v>
      </c>
      <c r="AN34" s="762">
        <f t="shared" ref="AN34" si="852" xml:space="preserve">
IF(AM36&gt;=VLOOKUP($C34,$C$3:$D$15,2,FALSE)*AN$20,0,
IF(AND(AM36&lt;VLOOKUP($C34,$C$3:$D$15,2,FALSE)*AN$20,AN35&lt;=VLOOKUP($C34,$C$3:$D$15,2,FALSE)*AN$20),IF(AN35-AM36&lt;0,0,AN35-AM36),
IF(AND(AM36&lt;VLOOKUP($C34,$C$3:$D$15,2,FALSE)*AN$20,AN35&gt;VLOOKUP($C34,$C$3:$D$15,2,FALSE)*AN$20),VLOOKUP($C34,$C$3:$D$15,2,FALSE)*AN$20-AM36)))</f>
        <v>0</v>
      </c>
      <c r="AO34" s="762">
        <f t="shared" ref="AO34" si="853" xml:space="preserve">
IF(AN36&gt;=VLOOKUP($C34,$C$3:$D$15,2,FALSE)*AO$20,0,
IF(AND(AN36&lt;VLOOKUP($C34,$C$3:$D$15,2,FALSE)*AO$20,AO35&lt;=VLOOKUP($C34,$C$3:$D$15,2,FALSE)*AO$20),IF(AO35-AN36&lt;0,0,AO35-AN36),
IF(AND(AN36&lt;VLOOKUP($C34,$C$3:$D$15,2,FALSE)*AO$20,AO35&gt;VLOOKUP($C34,$C$3:$D$15,2,FALSE)*AO$20),VLOOKUP($C34,$C$3:$D$15,2,FALSE)*AO$20-AN36)))</f>
        <v>0</v>
      </c>
      <c r="AP34" s="762">
        <f t="shared" ref="AP34" si="854" xml:space="preserve">
IF(AO36&gt;=VLOOKUP($C34,$C$3:$D$15,2,FALSE)*AP$20,0,
IF(AND(AO36&lt;VLOOKUP($C34,$C$3:$D$15,2,FALSE)*AP$20,AP35&lt;=VLOOKUP($C34,$C$3:$D$15,2,FALSE)*AP$20),IF(AP35-AO36&lt;0,0,AP35-AO36),
IF(AND(AO36&lt;VLOOKUP($C34,$C$3:$D$15,2,FALSE)*AP$20,AP35&gt;VLOOKUP($C34,$C$3:$D$15,2,FALSE)*AP$20),VLOOKUP($C34,$C$3:$D$15,2,FALSE)*AP$20-AO36)))</f>
        <v>0</v>
      </c>
      <c r="AQ34" s="762">
        <f t="shared" ref="AQ34" si="855" xml:space="preserve">
IF(AP36&gt;=VLOOKUP($C34,$C$3:$D$15,2,FALSE)*AQ$20,0,
IF(AND(AP36&lt;VLOOKUP($C34,$C$3:$D$15,2,FALSE)*AQ$20,AQ35&lt;=VLOOKUP($C34,$C$3:$D$15,2,FALSE)*AQ$20),IF(AQ35-AP36&lt;0,0,AQ35-AP36),
IF(AND(AP36&lt;VLOOKUP($C34,$C$3:$D$15,2,FALSE)*AQ$20,AQ35&gt;VLOOKUP($C34,$C$3:$D$15,2,FALSE)*AQ$20),VLOOKUP($C34,$C$3:$D$15,2,FALSE)*AQ$20-AP36)))</f>
        <v>0</v>
      </c>
      <c r="AR34" s="762">
        <f t="shared" ref="AR34" si="856" xml:space="preserve">
IF(AQ36&gt;=VLOOKUP($C34,$C$3:$D$15,2,FALSE)*AR$20,0,
IF(AND(AQ36&lt;VLOOKUP($C34,$C$3:$D$15,2,FALSE)*AR$20,AR35&lt;=VLOOKUP($C34,$C$3:$D$15,2,FALSE)*AR$20),IF(AR35-AQ36&lt;0,0,AR35-AQ36),
IF(AND(AQ36&lt;VLOOKUP($C34,$C$3:$D$15,2,FALSE)*AR$20,AR35&gt;VLOOKUP($C34,$C$3:$D$15,2,FALSE)*AR$20),VLOOKUP($C34,$C$3:$D$15,2,FALSE)*AR$20-AQ36)))</f>
        <v>0</v>
      </c>
      <c r="AS34" s="762">
        <f t="shared" ref="AS34" si="857" xml:space="preserve">
IF(AR36&gt;=VLOOKUP($C34,$C$3:$D$15,2,FALSE)*AS$20,0,
IF(AND(AR36&lt;VLOOKUP($C34,$C$3:$D$15,2,FALSE)*AS$20,AS35&lt;=VLOOKUP($C34,$C$3:$D$15,2,FALSE)*AS$20),IF(AS35-AR36&lt;0,0,AS35-AR36),
IF(AND(AR36&lt;VLOOKUP($C34,$C$3:$D$15,2,FALSE)*AS$20,AS35&gt;VLOOKUP($C34,$C$3:$D$15,2,FALSE)*AS$20),VLOOKUP($C34,$C$3:$D$15,2,FALSE)*AS$20-AR36)))</f>
        <v>0</v>
      </c>
      <c r="AT34" s="762">
        <f t="shared" ref="AT34" si="858" xml:space="preserve">
IF(AS36&gt;=VLOOKUP($C34,$C$3:$D$15,2,FALSE)*AT$20,0,
IF(AND(AS36&lt;VLOOKUP($C34,$C$3:$D$15,2,FALSE)*AT$20,AT35&lt;=VLOOKUP($C34,$C$3:$D$15,2,FALSE)*AT$20),IF(AT35-AS36&lt;0,0,AT35-AS36),
IF(AND(AS36&lt;VLOOKUP($C34,$C$3:$D$15,2,FALSE)*AT$20,AT35&gt;VLOOKUP($C34,$C$3:$D$15,2,FALSE)*AT$20),VLOOKUP($C34,$C$3:$D$15,2,FALSE)*AT$20-AS36)))</f>
        <v>0</v>
      </c>
      <c r="AU34" s="762">
        <f t="shared" ref="AU34" si="859" xml:space="preserve">
IF(AT36&gt;=VLOOKUP($C34,$C$3:$D$15,2,FALSE)*AU$20,0,
IF(AND(AT36&lt;VLOOKUP($C34,$C$3:$D$15,2,FALSE)*AU$20,AU35&lt;=VLOOKUP($C34,$C$3:$D$15,2,FALSE)*AU$20),IF(AU35-AT36&lt;0,0,AU35-AT36),
IF(AND(AT36&lt;VLOOKUP($C34,$C$3:$D$15,2,FALSE)*AU$20,AU35&gt;VLOOKUP($C34,$C$3:$D$15,2,FALSE)*AU$20),VLOOKUP($C34,$C$3:$D$15,2,FALSE)*AU$20-AT36)))</f>
        <v>0</v>
      </c>
      <c r="AV34" s="762">
        <f t="shared" ref="AV34" si="860" xml:space="preserve">
IF(AU36&gt;=VLOOKUP($C34,$C$3:$D$15,2,FALSE)*AV$20,0,
IF(AND(AU36&lt;VLOOKUP($C34,$C$3:$D$15,2,FALSE)*AV$20,AV35&lt;=VLOOKUP($C34,$C$3:$D$15,2,FALSE)*AV$20),IF(AV35-AU36&lt;0,0,AV35-AU36),
IF(AND(AU36&lt;VLOOKUP($C34,$C$3:$D$15,2,FALSE)*AV$20,AV35&gt;VLOOKUP($C34,$C$3:$D$15,2,FALSE)*AV$20),VLOOKUP($C34,$C$3:$D$15,2,FALSE)*AV$20-AU36)))</f>
        <v>0</v>
      </c>
      <c r="AW34" s="762">
        <f t="shared" ref="AW34" si="861" xml:space="preserve">
IF(AV36&gt;=VLOOKUP($C34,$C$3:$D$15,2,FALSE)*AW$20,0,
IF(AND(AV36&lt;VLOOKUP($C34,$C$3:$D$15,2,FALSE)*AW$20,AW35&lt;=VLOOKUP($C34,$C$3:$D$15,2,FALSE)*AW$20),IF(AW35-AV36&lt;0,0,AW35-AV36),
IF(AND(AV36&lt;VLOOKUP($C34,$C$3:$D$15,2,FALSE)*AW$20,AW35&gt;VLOOKUP($C34,$C$3:$D$15,2,FALSE)*AW$20),VLOOKUP($C34,$C$3:$D$15,2,FALSE)*AW$20-AV36)))</f>
        <v>0</v>
      </c>
      <c r="AX34" s="762">
        <f t="shared" ref="AX34" si="862" xml:space="preserve">
IF(AW36&gt;=VLOOKUP($C34,$C$3:$D$15,2,FALSE)*AX$20,0,
IF(AND(AW36&lt;VLOOKUP($C34,$C$3:$D$15,2,FALSE)*AX$20,AX35&lt;=VLOOKUP($C34,$C$3:$D$15,2,FALSE)*AX$20),IF(AX35-AW36&lt;0,0,AX35-AW36),
IF(AND(AW36&lt;VLOOKUP($C34,$C$3:$D$15,2,FALSE)*AX$20,AX35&gt;VLOOKUP($C34,$C$3:$D$15,2,FALSE)*AX$20),VLOOKUP($C34,$C$3:$D$15,2,FALSE)*AX$20-AW36)))</f>
        <v>0</v>
      </c>
      <c r="AY34" s="762">
        <f t="shared" ref="AY34" si="863" xml:space="preserve">
IF(AX36&gt;=VLOOKUP($C34,$C$3:$D$15,2,FALSE)*AY$20,0,
IF(AND(AX36&lt;VLOOKUP($C34,$C$3:$D$15,2,FALSE)*AY$20,AY35&lt;=VLOOKUP($C34,$C$3:$D$15,2,FALSE)*AY$20),IF(AY35-AX36&lt;0,0,AY35-AX36),
IF(AND(AX36&lt;VLOOKUP($C34,$C$3:$D$15,2,FALSE)*AY$20,AY35&gt;VLOOKUP($C34,$C$3:$D$15,2,FALSE)*AY$20),VLOOKUP($C34,$C$3:$D$15,2,FALSE)*AY$20-AX36)))</f>
        <v>0</v>
      </c>
      <c r="AZ34" s="762">
        <f t="shared" ref="AZ34" si="864" xml:space="preserve">
IF(AY36&gt;=VLOOKUP($C34,$C$3:$D$15,2,FALSE)*AZ$20,0,
IF(AND(AY36&lt;VLOOKUP($C34,$C$3:$D$15,2,FALSE)*AZ$20,AZ35&lt;=VLOOKUP($C34,$C$3:$D$15,2,FALSE)*AZ$20),IF(AZ35-AY36&lt;0,0,AZ35-AY36),
IF(AND(AY36&lt;VLOOKUP($C34,$C$3:$D$15,2,FALSE)*AZ$20,AZ35&gt;VLOOKUP($C34,$C$3:$D$15,2,FALSE)*AZ$20),VLOOKUP($C34,$C$3:$D$15,2,FALSE)*AZ$20-AY36)))</f>
        <v>0</v>
      </c>
      <c r="BA34" s="762">
        <f t="shared" ref="BA34" si="865" xml:space="preserve">
IF(AZ36&gt;=VLOOKUP($C34,$C$3:$D$15,2,FALSE)*BA$20,0,
IF(AND(AZ36&lt;VLOOKUP($C34,$C$3:$D$15,2,FALSE)*BA$20,BA35&lt;=VLOOKUP($C34,$C$3:$D$15,2,FALSE)*BA$20),IF(BA35-AZ36&lt;0,0,BA35-AZ36),
IF(AND(AZ36&lt;VLOOKUP($C34,$C$3:$D$15,2,FALSE)*BA$20,BA35&gt;VLOOKUP($C34,$C$3:$D$15,2,FALSE)*BA$20),VLOOKUP($C34,$C$3:$D$15,2,FALSE)*BA$20-AZ36)))</f>
        <v>0</v>
      </c>
      <c r="BB34" s="762">
        <f t="shared" ref="BB34" si="866" xml:space="preserve">
IF(BA36&gt;=VLOOKUP($C34,$C$3:$D$15,2,FALSE)*BB$20,0,
IF(AND(BA36&lt;VLOOKUP($C34,$C$3:$D$15,2,FALSE)*BB$20,BB35&lt;=VLOOKUP($C34,$C$3:$D$15,2,FALSE)*BB$20),IF(BB35-BA36&lt;0,0,BB35-BA36),
IF(AND(BA36&lt;VLOOKUP($C34,$C$3:$D$15,2,FALSE)*BB$20,BB35&gt;VLOOKUP($C34,$C$3:$D$15,2,FALSE)*BB$20),VLOOKUP($C34,$C$3:$D$15,2,FALSE)*BB$20-BA36)))</f>
        <v>0</v>
      </c>
      <c r="BC34" s="762">
        <f t="shared" ref="BC34" si="867" xml:space="preserve">
IF(BB36&gt;=VLOOKUP($C34,$C$3:$D$15,2,FALSE)*BC$20,0,
IF(AND(BB36&lt;VLOOKUP($C34,$C$3:$D$15,2,FALSE)*BC$20,BC35&lt;=VLOOKUP($C34,$C$3:$D$15,2,FALSE)*BC$20),IF(BC35-BB36&lt;0,0,BC35-BB36),
IF(AND(BB36&lt;VLOOKUP($C34,$C$3:$D$15,2,FALSE)*BC$20,BC35&gt;VLOOKUP($C34,$C$3:$D$15,2,FALSE)*BC$20),VLOOKUP($C34,$C$3:$D$15,2,FALSE)*BC$20-BB36)))</f>
        <v>0</v>
      </c>
      <c r="BD34" s="762">
        <f t="shared" ref="BD34" si="868" xml:space="preserve">
IF(BC36&gt;=VLOOKUP($C34,$C$3:$D$15,2,FALSE)*BD$20,0,
IF(AND(BC36&lt;VLOOKUP($C34,$C$3:$D$15,2,FALSE)*BD$20,BD35&lt;=VLOOKUP($C34,$C$3:$D$15,2,FALSE)*BD$20),IF(BD35-BC36&lt;0,0,BD35-BC36),
IF(AND(BC36&lt;VLOOKUP($C34,$C$3:$D$15,2,FALSE)*BD$20,BD35&gt;VLOOKUP($C34,$C$3:$D$15,2,FALSE)*BD$20),VLOOKUP($C34,$C$3:$D$15,2,FALSE)*BD$20-BC36)))</f>
        <v>0</v>
      </c>
      <c r="BE34" s="762">
        <f t="shared" ref="BE34" si="869" xml:space="preserve">
IF(BD36&gt;=VLOOKUP($C34,$C$3:$D$15,2,FALSE)*BE$20,0,
IF(AND(BD36&lt;VLOOKUP($C34,$C$3:$D$15,2,FALSE)*BE$20,BE35&lt;=VLOOKUP($C34,$C$3:$D$15,2,FALSE)*BE$20),IF(BE35-BD36&lt;0,0,BE35-BD36),
IF(AND(BD36&lt;VLOOKUP($C34,$C$3:$D$15,2,FALSE)*BE$20,BE35&gt;VLOOKUP($C34,$C$3:$D$15,2,FALSE)*BE$20),VLOOKUP($C34,$C$3:$D$15,2,FALSE)*BE$20-BD36)))</f>
        <v>0</v>
      </c>
      <c r="BF34" s="762">
        <f t="shared" ref="BF34" si="870" xml:space="preserve">
IF(BE36&gt;=VLOOKUP($C34,$C$3:$D$15,2,FALSE)*BF$20,0,
IF(AND(BE36&lt;VLOOKUP($C34,$C$3:$D$15,2,FALSE)*BF$20,BF35&lt;=VLOOKUP($C34,$C$3:$D$15,2,FALSE)*BF$20),IF(BF35-BE36&lt;0,0,BF35-BE36),
IF(AND(BE36&lt;VLOOKUP($C34,$C$3:$D$15,2,FALSE)*BF$20,BF35&gt;VLOOKUP($C34,$C$3:$D$15,2,FALSE)*BF$20),VLOOKUP($C34,$C$3:$D$15,2,FALSE)*BF$20-BE36)))</f>
        <v>0</v>
      </c>
      <c r="BG34" s="762">
        <f t="shared" ref="BG34" si="871" xml:space="preserve">
IF(BF36&gt;=VLOOKUP($C34,$C$3:$D$15,2,FALSE)*BG$20,0,
IF(AND(BF36&lt;VLOOKUP($C34,$C$3:$D$15,2,FALSE)*BG$20,BG35&lt;=VLOOKUP($C34,$C$3:$D$15,2,FALSE)*BG$20),IF(BG35-BF36&lt;0,0,BG35-BF36),
IF(AND(BF36&lt;VLOOKUP($C34,$C$3:$D$15,2,FALSE)*BG$20,BG35&gt;VLOOKUP($C34,$C$3:$D$15,2,FALSE)*BG$20),VLOOKUP($C34,$C$3:$D$15,2,FALSE)*BG$20-BF36)))</f>
        <v>0</v>
      </c>
      <c r="BH34" s="762">
        <f t="shared" ref="BH34" si="872" xml:space="preserve">
IF(BG36&gt;=VLOOKUP($C34,$C$3:$D$15,2,FALSE)*BH$20,0,
IF(AND(BG36&lt;VLOOKUP($C34,$C$3:$D$15,2,FALSE)*BH$20,BH35&lt;=VLOOKUP($C34,$C$3:$D$15,2,FALSE)*BH$20),IF(BH35-BG36&lt;0,0,BH35-BG36),
IF(AND(BG36&lt;VLOOKUP($C34,$C$3:$D$15,2,FALSE)*BH$20,BH35&gt;VLOOKUP($C34,$C$3:$D$15,2,FALSE)*BH$20),VLOOKUP($C34,$C$3:$D$15,2,FALSE)*BH$20-BG36)))</f>
        <v>0</v>
      </c>
      <c r="BI34" s="762">
        <f t="shared" ref="BI34" si="873" xml:space="preserve">
IF(BH36&gt;=VLOOKUP($C34,$C$3:$D$15,2,FALSE)*BI$20,0,
IF(AND(BH36&lt;VLOOKUP($C34,$C$3:$D$15,2,FALSE)*BI$20,BI35&lt;=VLOOKUP($C34,$C$3:$D$15,2,FALSE)*BI$20),IF(BI35-BH36&lt;0,0,BI35-BH36),
IF(AND(BH36&lt;VLOOKUP($C34,$C$3:$D$15,2,FALSE)*BI$20,BI35&gt;VLOOKUP($C34,$C$3:$D$15,2,FALSE)*BI$20),VLOOKUP($C34,$C$3:$D$15,2,FALSE)*BI$20-BH36)))</f>
        <v>0</v>
      </c>
      <c r="BJ34" s="762">
        <f t="shared" ref="BJ34" si="874" xml:space="preserve">
IF(BI36&gt;=VLOOKUP($C34,$C$3:$D$15,2,FALSE)*BJ$20,0,
IF(AND(BI36&lt;VLOOKUP($C34,$C$3:$D$15,2,FALSE)*BJ$20,BJ35&lt;=VLOOKUP($C34,$C$3:$D$15,2,FALSE)*BJ$20),IF(BJ35-BI36&lt;0,0,BJ35-BI36),
IF(AND(BI36&lt;VLOOKUP($C34,$C$3:$D$15,2,FALSE)*BJ$20,BJ35&gt;VLOOKUP($C34,$C$3:$D$15,2,FALSE)*BJ$20),VLOOKUP($C34,$C$3:$D$15,2,FALSE)*BJ$20-BI36)))</f>
        <v>0</v>
      </c>
      <c r="BK34" s="762">
        <f t="shared" ref="BK34" si="875" xml:space="preserve">
IF(BJ36&gt;=VLOOKUP($C34,$C$3:$D$15,2,FALSE)*BK$20,0,
IF(AND(BJ36&lt;VLOOKUP($C34,$C$3:$D$15,2,FALSE)*BK$20,BK35&lt;=VLOOKUP($C34,$C$3:$D$15,2,FALSE)*BK$20),IF(BK35-BJ36&lt;0,0,BK35-BJ36),
IF(AND(BJ36&lt;VLOOKUP($C34,$C$3:$D$15,2,FALSE)*BK$20,BK35&gt;VLOOKUP($C34,$C$3:$D$15,2,FALSE)*BK$20),VLOOKUP($C34,$C$3:$D$15,2,FALSE)*BK$20-BJ36)))</f>
        <v>0</v>
      </c>
      <c r="BL34" s="762">
        <f t="shared" ref="BL34" si="876" xml:space="preserve">
IF(BK36&gt;=VLOOKUP($C34,$C$3:$D$15,2,FALSE)*BL$20,0,
IF(AND(BK36&lt;VLOOKUP($C34,$C$3:$D$15,2,FALSE)*BL$20,BL35&lt;=VLOOKUP($C34,$C$3:$D$15,2,FALSE)*BL$20),IF(BL35-BK36&lt;0,0,BL35-BK36),
IF(AND(BK36&lt;VLOOKUP($C34,$C$3:$D$15,2,FALSE)*BL$20,BL35&gt;VLOOKUP($C34,$C$3:$D$15,2,FALSE)*BL$20),VLOOKUP($C34,$C$3:$D$15,2,FALSE)*BL$20-BK36)))</f>
        <v>0</v>
      </c>
      <c r="BM34" s="762">
        <f t="shared" ref="BM34" si="877" xml:space="preserve">
IF(BL36&gt;=VLOOKUP($C34,$C$3:$D$15,2,FALSE)*BM$20,0,
IF(AND(BL36&lt;VLOOKUP($C34,$C$3:$D$15,2,FALSE)*BM$20,BM35&lt;=VLOOKUP($C34,$C$3:$D$15,2,FALSE)*BM$20),IF(BM35-BL36&lt;0,0,BM35-BL36),
IF(AND(BL36&lt;VLOOKUP($C34,$C$3:$D$15,2,FALSE)*BM$20,BM35&gt;VLOOKUP($C34,$C$3:$D$15,2,FALSE)*BM$20),VLOOKUP($C34,$C$3:$D$15,2,FALSE)*BM$20-BL36)))</f>
        <v>0</v>
      </c>
      <c r="BN34" s="762">
        <f t="shared" ref="BN34" si="878" xml:space="preserve">
IF(BM36&gt;=VLOOKUP($C34,$C$3:$D$15,2,FALSE)*BN$20,0,
IF(AND(BM36&lt;VLOOKUP($C34,$C$3:$D$15,2,FALSE)*BN$20,BN35&lt;=VLOOKUP($C34,$C$3:$D$15,2,FALSE)*BN$20),IF(BN35-BM36&lt;0,0,BN35-BM36),
IF(AND(BM36&lt;VLOOKUP($C34,$C$3:$D$15,2,FALSE)*BN$20,BN35&gt;VLOOKUP($C34,$C$3:$D$15,2,FALSE)*BN$20),VLOOKUP($C34,$C$3:$D$15,2,FALSE)*BN$20-BM36)))</f>
        <v>0</v>
      </c>
      <c r="BO34" s="762">
        <f t="shared" ref="BO34" si="879" xml:space="preserve">
IF(BN36&gt;=VLOOKUP($C34,$C$3:$D$15,2,FALSE)*BO$20,0,
IF(AND(BN36&lt;VLOOKUP($C34,$C$3:$D$15,2,FALSE)*BO$20,BO35&lt;=VLOOKUP($C34,$C$3:$D$15,2,FALSE)*BO$20),IF(BO35-BN36&lt;0,0,BO35-BN36),
IF(AND(BN36&lt;VLOOKUP($C34,$C$3:$D$15,2,FALSE)*BO$20,BO35&gt;VLOOKUP($C34,$C$3:$D$15,2,FALSE)*BO$20),VLOOKUP($C34,$C$3:$D$15,2,FALSE)*BO$20-BN36)))</f>
        <v>0</v>
      </c>
      <c r="BP34" s="762">
        <f t="shared" ref="BP34" si="880" xml:space="preserve">
IF(BO36&gt;=VLOOKUP($C34,$C$3:$D$15,2,FALSE)*BP$20,0,
IF(AND(BO36&lt;VLOOKUP($C34,$C$3:$D$15,2,FALSE)*BP$20,BP35&lt;=VLOOKUP($C34,$C$3:$D$15,2,FALSE)*BP$20),IF(BP35-BO36&lt;0,0,BP35-BO36),
IF(AND(BO36&lt;VLOOKUP($C34,$C$3:$D$15,2,FALSE)*BP$20,BP35&gt;VLOOKUP($C34,$C$3:$D$15,2,FALSE)*BP$20),VLOOKUP($C34,$C$3:$D$15,2,FALSE)*BP$20-BO36)))</f>
        <v>0</v>
      </c>
      <c r="BQ34" s="762">
        <f t="shared" ref="BQ34" si="881" xml:space="preserve">
IF(BP36&gt;=VLOOKUP($C34,$C$3:$D$15,2,FALSE)*BQ$20,0,
IF(AND(BP36&lt;VLOOKUP($C34,$C$3:$D$15,2,FALSE)*BQ$20,BQ35&lt;=VLOOKUP($C34,$C$3:$D$15,2,FALSE)*BQ$20),IF(BQ35-BP36&lt;0,0,BQ35-BP36),
IF(AND(BP36&lt;VLOOKUP($C34,$C$3:$D$15,2,FALSE)*BQ$20,BQ35&gt;VLOOKUP($C34,$C$3:$D$15,2,FALSE)*BQ$20),VLOOKUP($C34,$C$3:$D$15,2,FALSE)*BQ$20-BP36)))</f>
        <v>0</v>
      </c>
      <c r="BR34" s="762">
        <f t="shared" ref="BR34" si="882" xml:space="preserve">
IF(BQ36&gt;=VLOOKUP($C34,$C$3:$D$15,2,FALSE)*BR$20,0,
IF(AND(BQ36&lt;VLOOKUP($C34,$C$3:$D$15,2,FALSE)*BR$20,BR35&lt;=VLOOKUP($C34,$C$3:$D$15,2,FALSE)*BR$20),IF(BR35-BQ36&lt;0,0,BR35-BQ36),
IF(AND(BQ36&lt;VLOOKUP($C34,$C$3:$D$15,2,FALSE)*BR$20,BR35&gt;VLOOKUP($C34,$C$3:$D$15,2,FALSE)*BR$20),VLOOKUP($C34,$C$3:$D$15,2,FALSE)*BR$20-BQ36)))</f>
        <v>0</v>
      </c>
      <c r="BS34" s="762">
        <f t="shared" ref="BS34" si="883" xml:space="preserve">
IF(BR36&gt;=VLOOKUP($C34,$C$3:$D$15,2,FALSE)*BS$20,0,
IF(AND(BR36&lt;VLOOKUP($C34,$C$3:$D$15,2,FALSE)*BS$20,BS35&lt;=VLOOKUP($C34,$C$3:$D$15,2,FALSE)*BS$20),IF(BS35-BR36&lt;0,0,BS35-BR36),
IF(AND(BR36&lt;VLOOKUP($C34,$C$3:$D$15,2,FALSE)*BS$20,BS35&gt;VLOOKUP($C34,$C$3:$D$15,2,FALSE)*BS$20),VLOOKUP($C34,$C$3:$D$15,2,FALSE)*BS$20-BR36)))</f>
        <v>0</v>
      </c>
      <c r="BT34" s="762">
        <f t="shared" ref="BT34" si="884" xml:space="preserve">
IF(BS36&gt;=VLOOKUP($C34,$C$3:$D$15,2,FALSE)*BT$20,0,
IF(AND(BS36&lt;VLOOKUP($C34,$C$3:$D$15,2,FALSE)*BT$20,BT35&lt;=VLOOKUP($C34,$C$3:$D$15,2,FALSE)*BT$20),IF(BT35-BS36&lt;0,0,BT35-BS36),
IF(AND(BS36&lt;VLOOKUP($C34,$C$3:$D$15,2,FALSE)*BT$20,BT35&gt;VLOOKUP($C34,$C$3:$D$15,2,FALSE)*BT$20),VLOOKUP($C34,$C$3:$D$15,2,FALSE)*BT$20-BS36)))</f>
        <v>0</v>
      </c>
      <c r="BU34" s="762">
        <f t="shared" ref="BU34" si="885" xml:space="preserve">
IF(BT36&gt;=VLOOKUP($C34,$C$3:$D$15,2,FALSE)*BU$20,0,
IF(AND(BT36&lt;VLOOKUP($C34,$C$3:$D$15,2,FALSE)*BU$20,BU35&lt;=VLOOKUP($C34,$C$3:$D$15,2,FALSE)*BU$20),IF(BU35-BT36&lt;0,0,BU35-BT36),
IF(AND(BT36&lt;VLOOKUP($C34,$C$3:$D$15,2,FALSE)*BU$20,BU35&gt;VLOOKUP($C34,$C$3:$D$15,2,FALSE)*BU$20),VLOOKUP($C34,$C$3:$D$15,2,FALSE)*BU$20-BT36)))</f>
        <v>0</v>
      </c>
      <c r="BV34" s="762">
        <f t="shared" ref="BV34" si="886" xml:space="preserve">
IF(BU36&gt;=VLOOKUP($C34,$C$3:$D$15,2,FALSE)*BV$20,0,
IF(AND(BU36&lt;VLOOKUP($C34,$C$3:$D$15,2,FALSE)*BV$20,BV35&lt;=VLOOKUP($C34,$C$3:$D$15,2,FALSE)*BV$20),IF(BV35-BU36&lt;0,0,BV35-BU36),
IF(AND(BU36&lt;VLOOKUP($C34,$C$3:$D$15,2,FALSE)*BV$20,BV35&gt;VLOOKUP($C34,$C$3:$D$15,2,FALSE)*BV$20),VLOOKUP($C34,$C$3:$D$15,2,FALSE)*BV$20-BU36)))</f>
        <v>0</v>
      </c>
      <c r="BW34" s="762">
        <f t="shared" ref="BW34" si="887" xml:space="preserve">
IF(BV36&gt;=VLOOKUP($C34,$C$3:$D$15,2,FALSE)*BW$20,0,
IF(AND(BV36&lt;VLOOKUP($C34,$C$3:$D$15,2,FALSE)*BW$20,BW35&lt;=VLOOKUP($C34,$C$3:$D$15,2,FALSE)*BW$20),IF(BW35-BV36&lt;0,0,BW35-BV36),
IF(AND(BV36&lt;VLOOKUP($C34,$C$3:$D$15,2,FALSE)*BW$20,BW35&gt;VLOOKUP($C34,$C$3:$D$15,2,FALSE)*BW$20),VLOOKUP($C34,$C$3:$D$15,2,FALSE)*BW$20-BV36)))</f>
        <v>0</v>
      </c>
      <c r="BX34" s="762">
        <f t="shared" ref="BX34" si="888" xml:space="preserve">
IF(BW36&gt;=VLOOKUP($C34,$C$3:$D$15,2,FALSE)*BX$20,0,
IF(AND(BW36&lt;VLOOKUP($C34,$C$3:$D$15,2,FALSE)*BX$20,BX35&lt;=VLOOKUP($C34,$C$3:$D$15,2,FALSE)*BX$20),IF(BX35-BW36&lt;0,0,BX35-BW36),
IF(AND(BW36&lt;VLOOKUP($C34,$C$3:$D$15,2,FALSE)*BX$20,BX35&gt;VLOOKUP($C34,$C$3:$D$15,2,FALSE)*BX$20),VLOOKUP($C34,$C$3:$D$15,2,FALSE)*BX$20-BW36)))</f>
        <v>0</v>
      </c>
      <c r="BY34" s="762">
        <f t="shared" ref="BY34" si="889" xml:space="preserve">
IF(BX36&gt;=VLOOKUP($C34,$C$3:$D$15,2,FALSE)*BY$20,0,
IF(AND(BX36&lt;VLOOKUP($C34,$C$3:$D$15,2,FALSE)*BY$20,BY35&lt;=VLOOKUP($C34,$C$3:$D$15,2,FALSE)*BY$20),IF(BY35-BX36&lt;0,0,BY35-BX36),
IF(AND(BX36&lt;VLOOKUP($C34,$C$3:$D$15,2,FALSE)*BY$20,BY35&gt;VLOOKUP($C34,$C$3:$D$15,2,FALSE)*BY$20),VLOOKUP($C34,$C$3:$D$15,2,FALSE)*BY$20-BX36)))</f>
        <v>0</v>
      </c>
      <c r="BZ34" s="762">
        <f t="shared" ref="BZ34" si="890" xml:space="preserve">
IF(BY36&gt;=VLOOKUP($C34,$C$3:$D$15,2,FALSE)*BZ$20,0,
IF(AND(BY36&lt;VLOOKUP($C34,$C$3:$D$15,2,FALSE)*BZ$20,BZ35&lt;=VLOOKUP($C34,$C$3:$D$15,2,FALSE)*BZ$20),IF(BZ35-BY36&lt;0,0,BZ35-BY36),
IF(AND(BY36&lt;VLOOKUP($C34,$C$3:$D$15,2,FALSE)*BZ$20,BZ35&gt;VLOOKUP($C34,$C$3:$D$15,2,FALSE)*BZ$20),VLOOKUP($C34,$C$3:$D$15,2,FALSE)*BZ$20-BY36)))</f>
        <v>0</v>
      </c>
      <c r="CA34" s="762">
        <f t="shared" ref="CA34" si="891" xml:space="preserve">
IF(BZ36&gt;=VLOOKUP($C34,$C$3:$D$15,2,FALSE)*CA$20,0,
IF(AND(BZ36&lt;VLOOKUP($C34,$C$3:$D$15,2,FALSE)*CA$20,CA35&lt;=VLOOKUP($C34,$C$3:$D$15,2,FALSE)*CA$20),IF(CA35-BZ36&lt;0,0,CA35-BZ36),
IF(AND(BZ36&lt;VLOOKUP($C34,$C$3:$D$15,2,FALSE)*CA$20,CA35&gt;VLOOKUP($C34,$C$3:$D$15,2,FALSE)*CA$20),VLOOKUP($C34,$C$3:$D$15,2,FALSE)*CA$20-BZ36)))</f>
        <v>0</v>
      </c>
      <c r="CB34" s="762">
        <f t="shared" ref="CB34" si="892" xml:space="preserve">
IF(CA36&gt;=VLOOKUP($C34,$C$3:$D$15,2,FALSE)*CB$20,0,
IF(AND(CA36&lt;VLOOKUP($C34,$C$3:$D$15,2,FALSE)*CB$20,CB35&lt;=VLOOKUP($C34,$C$3:$D$15,2,FALSE)*CB$20),IF(CB35-CA36&lt;0,0,CB35-CA36),
IF(AND(CA36&lt;VLOOKUP($C34,$C$3:$D$15,2,FALSE)*CB$20,CB35&gt;VLOOKUP($C34,$C$3:$D$15,2,FALSE)*CB$20),VLOOKUP($C34,$C$3:$D$15,2,FALSE)*CB$20-CA36)))</f>
        <v>0</v>
      </c>
      <c r="CC34" s="762">
        <f t="shared" ref="CC34" si="893" xml:space="preserve">
IF(CB36&gt;=VLOOKUP($C34,$C$3:$D$15,2,FALSE)*CC$20,0,
IF(AND(CB36&lt;VLOOKUP($C34,$C$3:$D$15,2,FALSE)*CC$20,CC35&lt;=VLOOKUP($C34,$C$3:$D$15,2,FALSE)*CC$20),IF(CC35-CB36&lt;0,0,CC35-CB36),
IF(AND(CB36&lt;VLOOKUP($C34,$C$3:$D$15,2,FALSE)*CC$20,CC35&gt;VLOOKUP($C34,$C$3:$D$15,2,FALSE)*CC$20),VLOOKUP($C34,$C$3:$D$15,2,FALSE)*CC$20-CB36)))</f>
        <v>0</v>
      </c>
      <c r="CD34" s="762">
        <f t="shared" ref="CD34" si="894" xml:space="preserve">
IF(CC36&gt;=VLOOKUP($C34,$C$3:$D$15,2,FALSE)*CD$20,0,
IF(AND(CC36&lt;VLOOKUP($C34,$C$3:$D$15,2,FALSE)*CD$20,CD35&lt;=VLOOKUP($C34,$C$3:$D$15,2,FALSE)*CD$20),IF(CD35-CC36&lt;0,0,CD35-CC36),
IF(AND(CC36&lt;VLOOKUP($C34,$C$3:$D$15,2,FALSE)*CD$20,CD35&gt;VLOOKUP($C34,$C$3:$D$15,2,FALSE)*CD$20),VLOOKUP($C34,$C$3:$D$15,2,FALSE)*CD$20-CC36)))</f>
        <v>0</v>
      </c>
      <c r="CE34" s="762">
        <f t="shared" ref="CE34" si="895" xml:space="preserve">
IF(CD36&gt;=VLOOKUP($C34,$C$3:$D$15,2,FALSE)*CE$20,0,
IF(AND(CD36&lt;VLOOKUP($C34,$C$3:$D$15,2,FALSE)*CE$20,CE35&lt;=VLOOKUP($C34,$C$3:$D$15,2,FALSE)*CE$20),IF(CE35-CD36&lt;0,0,CE35-CD36),
IF(AND(CD36&lt;VLOOKUP($C34,$C$3:$D$15,2,FALSE)*CE$20,CE35&gt;VLOOKUP($C34,$C$3:$D$15,2,FALSE)*CE$20),VLOOKUP($C34,$C$3:$D$15,2,FALSE)*CE$20-CD36)))</f>
        <v>0</v>
      </c>
      <c r="CF34" s="762">
        <f t="shared" ref="CF34" si="896" xml:space="preserve">
IF(CE36&gt;=VLOOKUP($C34,$C$3:$D$15,2,FALSE)*CF$20,0,
IF(AND(CE36&lt;VLOOKUP($C34,$C$3:$D$15,2,FALSE)*CF$20,CF35&lt;=VLOOKUP($C34,$C$3:$D$15,2,FALSE)*CF$20),IF(CF35-CE36&lt;0,0,CF35-CE36),
IF(AND(CE36&lt;VLOOKUP($C34,$C$3:$D$15,2,FALSE)*CF$20,CF35&gt;VLOOKUP($C34,$C$3:$D$15,2,FALSE)*CF$20),VLOOKUP($C34,$C$3:$D$15,2,FALSE)*CF$20-CE36)))</f>
        <v>0</v>
      </c>
      <c r="CG34" s="762">
        <f t="shared" ref="CG34" si="897" xml:space="preserve">
IF(CF36&gt;=VLOOKUP($C34,$C$3:$D$15,2,FALSE)*CG$20,0,
IF(AND(CF36&lt;VLOOKUP($C34,$C$3:$D$15,2,FALSE)*CG$20,CG35&lt;=VLOOKUP($C34,$C$3:$D$15,2,FALSE)*CG$20),IF(CG35-CF36&lt;0,0,CG35-CF36),
IF(AND(CF36&lt;VLOOKUP($C34,$C$3:$D$15,2,FALSE)*CG$20,CG35&gt;VLOOKUP($C34,$C$3:$D$15,2,FALSE)*CG$20),VLOOKUP($C34,$C$3:$D$15,2,FALSE)*CG$20-CF36)))</f>
        <v>0</v>
      </c>
      <c r="CH34" s="762">
        <f t="shared" ref="CH34" si="898" xml:space="preserve">
IF(CG36&gt;=VLOOKUP($C34,$C$3:$D$15,2,FALSE)*CH$20,0,
IF(AND(CG36&lt;VLOOKUP($C34,$C$3:$D$15,2,FALSE)*CH$20,CH35&lt;=VLOOKUP($C34,$C$3:$D$15,2,FALSE)*CH$20),IF(CH35-CG36&lt;0,0,CH35-CG36),
IF(AND(CG36&lt;VLOOKUP($C34,$C$3:$D$15,2,FALSE)*CH$20,CH35&gt;VLOOKUP($C34,$C$3:$D$15,2,FALSE)*CH$20),VLOOKUP($C34,$C$3:$D$15,2,FALSE)*CH$20-CG36)))</f>
        <v>0</v>
      </c>
      <c r="CI34" s="762">
        <f t="shared" ref="CI34" si="899" xml:space="preserve">
IF(CH36&gt;=VLOOKUP($C34,$C$3:$D$15,2,FALSE)*CI$20,0,
IF(AND(CH36&lt;VLOOKUP($C34,$C$3:$D$15,2,FALSE)*CI$20,CI35&lt;=VLOOKUP($C34,$C$3:$D$15,2,FALSE)*CI$20),IF(CI35-CH36&lt;0,0,CI35-CH36),
IF(AND(CH36&lt;VLOOKUP($C34,$C$3:$D$15,2,FALSE)*CI$20,CI35&gt;VLOOKUP($C34,$C$3:$D$15,2,FALSE)*CI$20),VLOOKUP($C34,$C$3:$D$15,2,FALSE)*CI$20-CH36)))</f>
        <v>0</v>
      </c>
      <c r="CJ34" s="762">
        <f t="shared" ref="CJ34" si="900" xml:space="preserve">
IF(CI36&gt;=VLOOKUP($C34,$C$3:$D$15,2,FALSE)*CJ$20,0,
IF(AND(CI36&lt;VLOOKUP($C34,$C$3:$D$15,2,FALSE)*CJ$20,CJ35&lt;=VLOOKUP($C34,$C$3:$D$15,2,FALSE)*CJ$20),IF(CJ35-CI36&lt;0,0,CJ35-CI36),
IF(AND(CI36&lt;VLOOKUP($C34,$C$3:$D$15,2,FALSE)*CJ$20,CJ35&gt;VLOOKUP($C34,$C$3:$D$15,2,FALSE)*CJ$20),VLOOKUP($C34,$C$3:$D$15,2,FALSE)*CJ$20-CI36)))</f>
        <v>0</v>
      </c>
      <c r="CK34" s="762">
        <f t="shared" ref="CK34" si="901" xml:space="preserve">
IF(CJ36&gt;=VLOOKUP($C34,$C$3:$D$15,2,FALSE)*CK$20,0,
IF(AND(CJ36&lt;VLOOKUP($C34,$C$3:$D$15,2,FALSE)*CK$20,CK35&lt;=VLOOKUP($C34,$C$3:$D$15,2,FALSE)*CK$20),IF(CK35-CJ36&lt;0,0,CK35-CJ36),
IF(AND(CJ36&lt;VLOOKUP($C34,$C$3:$D$15,2,FALSE)*CK$20,CK35&gt;VLOOKUP($C34,$C$3:$D$15,2,FALSE)*CK$20),VLOOKUP($C34,$C$3:$D$15,2,FALSE)*CK$20-CJ36)))</f>
        <v>0</v>
      </c>
      <c r="CL34" s="762">
        <f t="shared" ref="CL34" si="902" xml:space="preserve">
IF(CK36&gt;=VLOOKUP($C34,$C$3:$D$15,2,FALSE)*CL$20,0,
IF(AND(CK36&lt;VLOOKUP($C34,$C$3:$D$15,2,FALSE)*CL$20,CL35&lt;=VLOOKUP($C34,$C$3:$D$15,2,FALSE)*CL$20),IF(CL35-CK36&lt;0,0,CL35-CK36),
IF(AND(CK36&lt;VLOOKUP($C34,$C$3:$D$15,2,FALSE)*CL$20,CL35&gt;VLOOKUP($C34,$C$3:$D$15,2,FALSE)*CL$20),VLOOKUP($C34,$C$3:$D$15,2,FALSE)*CL$20-CK36)))</f>
        <v>0</v>
      </c>
      <c r="CM34" s="762">
        <f t="shared" ref="CM34" si="903" xml:space="preserve">
IF(CL36&gt;=VLOOKUP($C34,$C$3:$D$15,2,FALSE)*CM$20,0,
IF(AND(CL36&lt;VLOOKUP($C34,$C$3:$D$15,2,FALSE)*CM$20,CM35&lt;=VLOOKUP($C34,$C$3:$D$15,2,FALSE)*CM$20),IF(CM35-CL36&lt;0,0,CM35-CL36),
IF(AND(CL36&lt;VLOOKUP($C34,$C$3:$D$15,2,FALSE)*CM$20,CM35&gt;VLOOKUP($C34,$C$3:$D$15,2,FALSE)*CM$20),VLOOKUP($C34,$C$3:$D$15,2,FALSE)*CM$20-CL36)))</f>
        <v>0</v>
      </c>
      <c r="CN34" s="762">
        <f t="shared" ref="CN34" si="904" xml:space="preserve">
IF(CM36&gt;=VLOOKUP($C34,$C$3:$D$15,2,FALSE)*CN$20,0,
IF(AND(CM36&lt;VLOOKUP($C34,$C$3:$D$15,2,FALSE)*CN$20,CN35&lt;=VLOOKUP($C34,$C$3:$D$15,2,FALSE)*CN$20),IF(CN35-CM36&lt;0,0,CN35-CM36),
IF(AND(CM36&lt;VLOOKUP($C34,$C$3:$D$15,2,FALSE)*CN$20,CN35&gt;VLOOKUP($C34,$C$3:$D$15,2,FALSE)*CN$20),VLOOKUP($C34,$C$3:$D$15,2,FALSE)*CN$20-CM36)))</f>
        <v>0</v>
      </c>
      <c r="CO34" s="762">
        <f t="shared" ref="CO34" si="905" xml:space="preserve">
IF(CN36&gt;=VLOOKUP($C34,$C$3:$D$15,2,FALSE)*CO$20,0,
IF(AND(CN36&lt;VLOOKUP($C34,$C$3:$D$15,2,FALSE)*CO$20,CO35&lt;=VLOOKUP($C34,$C$3:$D$15,2,FALSE)*CO$20),IF(CO35-CN36&lt;0,0,CO35-CN36),
IF(AND(CN36&lt;VLOOKUP($C34,$C$3:$D$15,2,FALSE)*CO$20,CO35&gt;VLOOKUP($C34,$C$3:$D$15,2,FALSE)*CO$20),VLOOKUP($C34,$C$3:$D$15,2,FALSE)*CO$20-CN36)))</f>
        <v>0</v>
      </c>
      <c r="CP34" s="762">
        <f t="shared" ref="CP34" si="906" xml:space="preserve">
IF(CO36&gt;=VLOOKUP($C34,$C$3:$D$15,2,FALSE)*CP$20,0,
IF(AND(CO36&lt;VLOOKUP($C34,$C$3:$D$15,2,FALSE)*CP$20,CP35&lt;=VLOOKUP($C34,$C$3:$D$15,2,FALSE)*CP$20),IF(CP35-CO36&lt;0,0,CP35-CO36),
IF(AND(CO36&lt;VLOOKUP($C34,$C$3:$D$15,2,FALSE)*CP$20,CP35&gt;VLOOKUP($C34,$C$3:$D$15,2,FALSE)*CP$20),VLOOKUP($C34,$C$3:$D$15,2,FALSE)*CP$20-CO36)))</f>
        <v>0</v>
      </c>
      <c r="CQ34" s="762">
        <f t="shared" ref="CQ34" si="907" xml:space="preserve">
IF(CP36&gt;=VLOOKUP($C34,$C$3:$D$15,2,FALSE)*CQ$20,0,
IF(AND(CP36&lt;VLOOKUP($C34,$C$3:$D$15,2,FALSE)*CQ$20,CQ35&lt;=VLOOKUP($C34,$C$3:$D$15,2,FALSE)*CQ$20),IF(CQ35-CP36&lt;0,0,CQ35-CP36),
IF(AND(CP36&lt;VLOOKUP($C34,$C$3:$D$15,2,FALSE)*CQ$20,CQ35&gt;VLOOKUP($C34,$C$3:$D$15,2,FALSE)*CQ$20),VLOOKUP($C34,$C$3:$D$15,2,FALSE)*CQ$20-CP36)))</f>
        <v>0</v>
      </c>
      <c r="CR34" s="762">
        <f t="shared" ref="CR34" si="908" xml:space="preserve">
IF(CQ36&gt;=VLOOKUP($C34,$C$3:$D$15,2,FALSE)*CR$20,0,
IF(AND(CQ36&lt;VLOOKUP($C34,$C$3:$D$15,2,FALSE)*CR$20,CR35&lt;=VLOOKUP($C34,$C$3:$D$15,2,FALSE)*CR$20),IF(CR35-CQ36&lt;0,0,CR35-CQ36),
IF(AND(CQ36&lt;VLOOKUP($C34,$C$3:$D$15,2,FALSE)*CR$20,CR35&gt;VLOOKUP($C34,$C$3:$D$15,2,FALSE)*CR$20),VLOOKUP($C34,$C$3:$D$15,2,FALSE)*CR$20-CQ36)))</f>
        <v>0</v>
      </c>
      <c r="CS34" s="762">
        <f t="shared" ref="CS34" si="909" xml:space="preserve">
IF(CR36&gt;=VLOOKUP($C34,$C$3:$D$15,2,FALSE)*CS$20,0,
IF(AND(CR36&lt;VLOOKUP($C34,$C$3:$D$15,2,FALSE)*CS$20,CS35&lt;=VLOOKUP($C34,$C$3:$D$15,2,FALSE)*CS$20),IF(CS35-CR36&lt;0,0,CS35-CR36),
IF(AND(CR36&lt;VLOOKUP($C34,$C$3:$D$15,2,FALSE)*CS$20,CS35&gt;VLOOKUP($C34,$C$3:$D$15,2,FALSE)*CS$20),VLOOKUP($C34,$C$3:$D$15,2,FALSE)*CS$20-CR36)))</f>
        <v>0</v>
      </c>
      <c r="CT34" s="762">
        <f t="shared" ref="CT34" si="910" xml:space="preserve">
IF(CS36&gt;=VLOOKUP($C34,$C$3:$D$15,2,FALSE)*CT$20,0,
IF(AND(CS36&lt;VLOOKUP($C34,$C$3:$D$15,2,FALSE)*CT$20,CT35&lt;=VLOOKUP($C34,$C$3:$D$15,2,FALSE)*CT$20),IF(CT35-CS36&lt;0,0,CT35-CS36),
IF(AND(CS36&lt;VLOOKUP($C34,$C$3:$D$15,2,FALSE)*CT$20,CT35&gt;VLOOKUP($C34,$C$3:$D$15,2,FALSE)*CT$20),VLOOKUP($C34,$C$3:$D$15,2,FALSE)*CT$20-CS36)))</f>
        <v>0</v>
      </c>
      <c r="CU34" s="762">
        <f t="shared" ref="CU34" si="911" xml:space="preserve">
IF(CT36&gt;=VLOOKUP($C34,$C$3:$D$15,2,FALSE)*CU$20,0,
IF(AND(CT36&lt;VLOOKUP($C34,$C$3:$D$15,2,FALSE)*CU$20,CU35&lt;=VLOOKUP($C34,$C$3:$D$15,2,FALSE)*CU$20),IF(CU35-CT36&lt;0,0,CU35-CT36),
IF(AND(CT36&lt;VLOOKUP($C34,$C$3:$D$15,2,FALSE)*CU$20,CU35&gt;VLOOKUP($C34,$C$3:$D$15,2,FALSE)*CU$20),VLOOKUP($C34,$C$3:$D$15,2,FALSE)*CU$20-CT36)))</f>
        <v>0</v>
      </c>
      <c r="CV34" s="762">
        <f t="shared" ref="CV34" si="912" xml:space="preserve">
IF(CU36&gt;=VLOOKUP($C34,$C$3:$D$15,2,FALSE)*CV$20,0,
IF(AND(CU36&lt;VLOOKUP($C34,$C$3:$D$15,2,FALSE)*CV$20,CV35&lt;=VLOOKUP($C34,$C$3:$D$15,2,FALSE)*CV$20),IF(CV35-CU36&lt;0,0,CV35-CU36),
IF(AND(CU36&lt;VLOOKUP($C34,$C$3:$D$15,2,FALSE)*CV$20,CV35&gt;VLOOKUP($C34,$C$3:$D$15,2,FALSE)*CV$20),VLOOKUP($C34,$C$3:$D$15,2,FALSE)*CV$20-CU36)))</f>
        <v>0</v>
      </c>
      <c r="CW34" s="762">
        <f t="shared" ref="CW34" si="913" xml:space="preserve">
IF(CV36&gt;=VLOOKUP($C34,$C$3:$D$15,2,FALSE)*CW$20,0,
IF(AND(CV36&lt;VLOOKUP($C34,$C$3:$D$15,2,FALSE)*CW$20,CW35&lt;=VLOOKUP($C34,$C$3:$D$15,2,FALSE)*CW$20),IF(CW35-CV36&lt;0,0,CW35-CV36),
IF(AND(CV36&lt;VLOOKUP($C34,$C$3:$D$15,2,FALSE)*CW$20,CW35&gt;VLOOKUP($C34,$C$3:$D$15,2,FALSE)*CW$20),VLOOKUP($C34,$C$3:$D$15,2,FALSE)*CW$20-CV36)))</f>
        <v>0</v>
      </c>
      <c r="CX34" s="762">
        <f t="shared" ref="CX34" si="914" xml:space="preserve">
IF(CW36&gt;=VLOOKUP($C34,$C$3:$D$15,2,FALSE)*CX$20,0,
IF(AND(CW36&lt;VLOOKUP($C34,$C$3:$D$15,2,FALSE)*CX$20,CX35&lt;=VLOOKUP($C34,$C$3:$D$15,2,FALSE)*CX$20),IF(CX35-CW36&lt;0,0,CX35-CW36),
IF(AND(CW36&lt;VLOOKUP($C34,$C$3:$D$15,2,FALSE)*CX$20,CX35&gt;VLOOKUP($C34,$C$3:$D$15,2,FALSE)*CX$20),VLOOKUP($C34,$C$3:$D$15,2,FALSE)*CX$20-CW36)))</f>
        <v>0</v>
      </c>
      <c r="CY34" s="762">
        <f t="shared" ref="CY34" si="915" xml:space="preserve">
IF(CX36&gt;=VLOOKUP($C34,$C$3:$D$15,2,FALSE)*CY$20,0,
IF(AND(CX36&lt;VLOOKUP($C34,$C$3:$D$15,2,FALSE)*CY$20,CY35&lt;=VLOOKUP($C34,$C$3:$D$15,2,FALSE)*CY$20),IF(CY35-CX36&lt;0,0,CY35-CX36),
IF(AND(CX36&lt;VLOOKUP($C34,$C$3:$D$15,2,FALSE)*CY$20,CY35&gt;VLOOKUP($C34,$C$3:$D$15,2,FALSE)*CY$20),VLOOKUP($C34,$C$3:$D$15,2,FALSE)*CY$20-CX36)))</f>
        <v>0</v>
      </c>
      <c r="CZ34" s="762">
        <f t="shared" ref="CZ34" si="916" xml:space="preserve">
IF(CY36&gt;=VLOOKUP($C34,$C$3:$D$15,2,FALSE)*CZ$20,0,
IF(AND(CY36&lt;VLOOKUP($C34,$C$3:$D$15,2,FALSE)*CZ$20,CZ35&lt;=VLOOKUP($C34,$C$3:$D$15,2,FALSE)*CZ$20),IF(CZ35-CY36&lt;0,0,CZ35-CY36),
IF(AND(CY36&lt;VLOOKUP($C34,$C$3:$D$15,2,FALSE)*CZ$20,CZ35&gt;VLOOKUP($C34,$C$3:$D$15,2,FALSE)*CZ$20),VLOOKUP($C34,$C$3:$D$15,2,FALSE)*CZ$20-CY36)))</f>
        <v>0</v>
      </c>
      <c r="DA34" s="762">
        <f t="shared" ref="DA34" si="917" xml:space="preserve">
IF(CZ36&gt;=VLOOKUP($C34,$C$3:$D$15,2,FALSE)*DA$20,0,
IF(AND(CZ36&lt;VLOOKUP($C34,$C$3:$D$15,2,FALSE)*DA$20,DA35&lt;=VLOOKUP($C34,$C$3:$D$15,2,FALSE)*DA$20),IF(DA35-CZ36&lt;0,0,DA35-CZ36),
IF(AND(CZ36&lt;VLOOKUP($C34,$C$3:$D$15,2,FALSE)*DA$20,DA35&gt;VLOOKUP($C34,$C$3:$D$15,2,FALSE)*DA$20),VLOOKUP($C34,$C$3:$D$15,2,FALSE)*DA$20-CZ36)))</f>
        <v>0</v>
      </c>
      <c r="DB34" s="762">
        <f t="shared" ref="DB34" si="918" xml:space="preserve">
IF(DA36&gt;=VLOOKUP($C34,$C$3:$D$15,2,FALSE)*DB$20,0,
IF(AND(DA36&lt;VLOOKUP($C34,$C$3:$D$15,2,FALSE)*DB$20,DB35&lt;=VLOOKUP($C34,$C$3:$D$15,2,FALSE)*DB$20),IF(DB35-DA36&lt;0,0,DB35-DA36),
IF(AND(DA36&lt;VLOOKUP($C34,$C$3:$D$15,2,FALSE)*DB$20,DB35&gt;VLOOKUP($C34,$C$3:$D$15,2,FALSE)*DB$20),VLOOKUP($C34,$C$3:$D$15,2,FALSE)*DB$20-DA36)))</f>
        <v>0</v>
      </c>
      <c r="DC34" s="762">
        <f t="shared" ref="DC34" si="919" xml:space="preserve">
IF(DB36&gt;=VLOOKUP($C34,$C$3:$D$15,2,FALSE)*DC$20,0,
IF(AND(DB36&lt;VLOOKUP($C34,$C$3:$D$15,2,FALSE)*DC$20,DC35&lt;=VLOOKUP($C34,$C$3:$D$15,2,FALSE)*DC$20),IF(DC35-DB36&lt;0,0,DC35-DB36),
IF(AND(DB36&lt;VLOOKUP($C34,$C$3:$D$15,2,FALSE)*DC$20,DC35&gt;VLOOKUP($C34,$C$3:$D$15,2,FALSE)*DC$20),VLOOKUP($C34,$C$3:$D$15,2,FALSE)*DC$20-DB36)))</f>
        <v>0</v>
      </c>
      <c r="DD34" s="762">
        <f t="shared" ref="DD34" si="920" xml:space="preserve">
IF(DC36&gt;=VLOOKUP($C34,$C$3:$D$15,2,FALSE)*DD$20,0,
IF(AND(DC36&lt;VLOOKUP($C34,$C$3:$D$15,2,FALSE)*DD$20,DD35&lt;=VLOOKUP($C34,$C$3:$D$15,2,FALSE)*DD$20),IF(DD35-DC36&lt;0,0,DD35-DC36),
IF(AND(DC36&lt;VLOOKUP($C34,$C$3:$D$15,2,FALSE)*DD$20,DD35&gt;VLOOKUP($C34,$C$3:$D$15,2,FALSE)*DD$20),VLOOKUP($C34,$C$3:$D$15,2,FALSE)*DD$20-DC36)))</f>
        <v>0</v>
      </c>
      <c r="DE34" s="762">
        <f t="shared" ref="DE34" si="921" xml:space="preserve">
IF(DD36&gt;=VLOOKUP($C34,$C$3:$D$15,2,FALSE)*DE$20,0,
IF(AND(DD36&lt;VLOOKUP($C34,$C$3:$D$15,2,FALSE)*DE$20,DE35&lt;=VLOOKUP($C34,$C$3:$D$15,2,FALSE)*DE$20),IF(DE35-DD36&lt;0,0,DE35-DD36),
IF(AND(DD36&lt;VLOOKUP($C34,$C$3:$D$15,2,FALSE)*DE$20,DE35&gt;VLOOKUP($C34,$C$3:$D$15,2,FALSE)*DE$20),VLOOKUP($C34,$C$3:$D$15,2,FALSE)*DE$20-DD36)))</f>
        <v>0</v>
      </c>
      <c r="DF34" s="762">
        <f t="shared" ref="DF34" si="922" xml:space="preserve">
IF(DE36&gt;=VLOOKUP($C34,$C$3:$D$15,2,FALSE)*DF$20,0,
IF(AND(DE36&lt;VLOOKUP($C34,$C$3:$D$15,2,FALSE)*DF$20,DF35&lt;=VLOOKUP($C34,$C$3:$D$15,2,FALSE)*DF$20),IF(DF35-DE36&lt;0,0,DF35-DE36),
IF(AND(DE36&lt;VLOOKUP($C34,$C$3:$D$15,2,FALSE)*DF$20,DF35&gt;VLOOKUP($C34,$C$3:$D$15,2,FALSE)*DF$20),VLOOKUP($C34,$C$3:$D$15,2,FALSE)*DF$20-DE36)))</f>
        <v>0</v>
      </c>
      <c r="DG34" s="762">
        <f t="shared" ref="DG34" si="923" xml:space="preserve">
IF(DF36&gt;=VLOOKUP($C34,$C$3:$D$15,2,FALSE)*DG$20,0,
IF(AND(DF36&lt;VLOOKUP($C34,$C$3:$D$15,2,FALSE)*DG$20,DG35&lt;=VLOOKUP($C34,$C$3:$D$15,2,FALSE)*DG$20),IF(DG35-DF36&lt;0,0,DG35-DF36),
IF(AND(DF36&lt;VLOOKUP($C34,$C$3:$D$15,2,FALSE)*DG$20,DG35&gt;VLOOKUP($C34,$C$3:$D$15,2,FALSE)*DG$20),VLOOKUP($C34,$C$3:$D$15,2,FALSE)*DG$20-DF36)))</f>
        <v>0</v>
      </c>
      <c r="DH34" s="762">
        <f t="shared" ref="DH34" si="924" xml:space="preserve">
IF(DG36&gt;=VLOOKUP($C34,$C$3:$D$15,2,FALSE)*DH$20,0,
IF(AND(DG36&lt;VLOOKUP($C34,$C$3:$D$15,2,FALSE)*DH$20,DH35&lt;=VLOOKUP($C34,$C$3:$D$15,2,FALSE)*DH$20),IF(DH35-DG36&lt;0,0,DH35-DG36),
IF(AND(DG36&lt;VLOOKUP($C34,$C$3:$D$15,2,FALSE)*DH$20,DH35&gt;VLOOKUP($C34,$C$3:$D$15,2,FALSE)*DH$20),VLOOKUP($C34,$C$3:$D$15,2,FALSE)*DH$20-DG36)))</f>
        <v>0</v>
      </c>
      <c r="DI34" s="762">
        <f t="shared" ref="DI34" si="925" xml:space="preserve">
IF(DH36&gt;=VLOOKUP($C34,$C$3:$D$15,2,FALSE)*DI$20,0,
IF(AND(DH36&lt;VLOOKUP($C34,$C$3:$D$15,2,FALSE)*DI$20,DI35&lt;=VLOOKUP($C34,$C$3:$D$15,2,FALSE)*DI$20),IF(DI35-DH36&lt;0,0,DI35-DH36),
IF(AND(DH36&lt;VLOOKUP($C34,$C$3:$D$15,2,FALSE)*DI$20,DI35&gt;VLOOKUP($C34,$C$3:$D$15,2,FALSE)*DI$20),VLOOKUP($C34,$C$3:$D$15,2,FALSE)*DI$20-DH36)))</f>
        <v>0</v>
      </c>
      <c r="DJ34" s="762">
        <f t="shared" ref="DJ34" si="926" xml:space="preserve">
IF(DI36&gt;=VLOOKUP($C34,$C$3:$D$15,2,FALSE)*DJ$20,0,
IF(AND(DI36&lt;VLOOKUP($C34,$C$3:$D$15,2,FALSE)*DJ$20,DJ35&lt;=VLOOKUP($C34,$C$3:$D$15,2,FALSE)*DJ$20),IF(DJ35-DI36&lt;0,0,DJ35-DI36),
IF(AND(DI36&lt;VLOOKUP($C34,$C$3:$D$15,2,FALSE)*DJ$20,DJ35&gt;VLOOKUP($C34,$C$3:$D$15,2,FALSE)*DJ$20),VLOOKUP($C34,$C$3:$D$15,2,FALSE)*DJ$20-DI36)))</f>
        <v>0</v>
      </c>
      <c r="DK34" s="762">
        <f t="shared" ref="DK34" si="927" xml:space="preserve">
IF(DJ36&gt;=VLOOKUP($C34,$C$3:$D$15,2,FALSE)*DK$20,0,
IF(AND(DJ36&lt;VLOOKUP($C34,$C$3:$D$15,2,FALSE)*DK$20,DK35&lt;=VLOOKUP($C34,$C$3:$D$15,2,FALSE)*DK$20),IF(DK35-DJ36&lt;0,0,DK35-DJ36),
IF(AND(DJ36&lt;VLOOKUP($C34,$C$3:$D$15,2,FALSE)*DK$20,DK35&gt;VLOOKUP($C34,$C$3:$D$15,2,FALSE)*DK$20),VLOOKUP($C34,$C$3:$D$15,2,FALSE)*DK$20-DJ36)))</f>
        <v>0</v>
      </c>
      <c r="DL34" s="762">
        <f t="shared" ref="DL34" si="928" xml:space="preserve">
IF(DK36&gt;=VLOOKUP($C34,$C$3:$D$15,2,FALSE)*DL$20,0,
IF(AND(DK36&lt;VLOOKUP($C34,$C$3:$D$15,2,FALSE)*DL$20,DL35&lt;=VLOOKUP($C34,$C$3:$D$15,2,FALSE)*DL$20),IF(DL35-DK36&lt;0,0,DL35-DK36),
IF(AND(DK36&lt;VLOOKUP($C34,$C$3:$D$15,2,FALSE)*DL$20,DL35&gt;VLOOKUP($C34,$C$3:$D$15,2,FALSE)*DL$20),VLOOKUP($C34,$C$3:$D$15,2,FALSE)*DL$20-DK36)))</f>
        <v>0</v>
      </c>
      <c r="DM34" s="762">
        <f t="shared" ref="DM34" si="929" xml:space="preserve">
IF(DL36&gt;=VLOOKUP($C34,$C$3:$D$15,2,FALSE)*DM$20,0,
IF(AND(DL36&lt;VLOOKUP($C34,$C$3:$D$15,2,FALSE)*DM$20,DM35&lt;=VLOOKUP($C34,$C$3:$D$15,2,FALSE)*DM$20),IF(DM35-DL36&lt;0,0,DM35-DL36),
IF(AND(DL36&lt;VLOOKUP($C34,$C$3:$D$15,2,FALSE)*DM$20,DM35&gt;VLOOKUP($C34,$C$3:$D$15,2,FALSE)*DM$20),VLOOKUP($C34,$C$3:$D$15,2,FALSE)*DM$20-DL36)))</f>
        <v>0</v>
      </c>
      <c r="DN34" s="762">
        <f t="shared" ref="DN34" si="930" xml:space="preserve">
IF(DM36&gt;=VLOOKUP($C34,$C$3:$D$15,2,FALSE)*DN$20,0,
IF(AND(DM36&lt;VLOOKUP($C34,$C$3:$D$15,2,FALSE)*DN$20,DN35&lt;=VLOOKUP($C34,$C$3:$D$15,2,FALSE)*DN$20),IF(DN35-DM36&lt;0,0,DN35-DM36),
IF(AND(DM36&lt;VLOOKUP($C34,$C$3:$D$15,2,FALSE)*DN$20,DN35&gt;VLOOKUP($C34,$C$3:$D$15,2,FALSE)*DN$20),VLOOKUP($C34,$C$3:$D$15,2,FALSE)*DN$20-DM36)))</f>
        <v>0</v>
      </c>
      <c r="DO34" s="762">
        <f t="shared" ref="DO34" si="931" xml:space="preserve">
IF(DN36&gt;=VLOOKUP($C34,$C$3:$D$15,2,FALSE)*DO$20,0,
IF(AND(DN36&lt;VLOOKUP($C34,$C$3:$D$15,2,FALSE)*DO$20,DO35&lt;=VLOOKUP($C34,$C$3:$D$15,2,FALSE)*DO$20),IF(DO35-DN36&lt;0,0,DO35-DN36),
IF(AND(DN36&lt;VLOOKUP($C34,$C$3:$D$15,2,FALSE)*DO$20,DO35&gt;VLOOKUP($C34,$C$3:$D$15,2,FALSE)*DO$20),VLOOKUP($C34,$C$3:$D$15,2,FALSE)*DO$20-DN36)))</f>
        <v>0</v>
      </c>
      <c r="DP34" s="762">
        <f t="shared" ref="DP34" si="932" xml:space="preserve">
IF(DO36&gt;=VLOOKUP($C34,$C$3:$D$15,2,FALSE)*DP$20,0,
IF(AND(DO36&lt;VLOOKUP($C34,$C$3:$D$15,2,FALSE)*DP$20,DP35&lt;=VLOOKUP($C34,$C$3:$D$15,2,FALSE)*DP$20),IF(DP35-DO36&lt;0,0,DP35-DO36),
IF(AND(DO36&lt;VLOOKUP($C34,$C$3:$D$15,2,FALSE)*DP$20,DP35&gt;VLOOKUP($C34,$C$3:$D$15,2,FALSE)*DP$20),VLOOKUP($C34,$C$3:$D$15,2,FALSE)*DP$20-DO36)))</f>
        <v>0</v>
      </c>
      <c r="DQ34" s="762">
        <f t="shared" ref="DQ34" si="933" xml:space="preserve">
IF(DP36&gt;=VLOOKUP($C34,$C$3:$D$15,2,FALSE)*DQ$20,0,
IF(AND(DP36&lt;VLOOKUP($C34,$C$3:$D$15,2,FALSE)*DQ$20,DQ35&lt;=VLOOKUP($C34,$C$3:$D$15,2,FALSE)*DQ$20),IF(DQ35-DP36&lt;0,0,DQ35-DP36),
IF(AND(DP36&lt;VLOOKUP($C34,$C$3:$D$15,2,FALSE)*DQ$20,DQ35&gt;VLOOKUP($C34,$C$3:$D$15,2,FALSE)*DQ$20),VLOOKUP($C34,$C$3:$D$15,2,FALSE)*DQ$20-DP36)))</f>
        <v>0</v>
      </c>
      <c r="DR34" s="762">
        <f t="shared" ref="DR34" si="934" xml:space="preserve">
IF(DQ36&gt;=VLOOKUP($C34,$C$3:$D$15,2,FALSE)*DR$20,0,
IF(AND(DQ36&lt;VLOOKUP($C34,$C$3:$D$15,2,FALSE)*DR$20,DR35&lt;=VLOOKUP($C34,$C$3:$D$15,2,FALSE)*DR$20),IF(DR35-DQ36&lt;0,0,DR35-DQ36),
IF(AND(DQ36&lt;VLOOKUP($C34,$C$3:$D$15,2,FALSE)*DR$20,DR35&gt;VLOOKUP($C34,$C$3:$D$15,2,FALSE)*DR$20),VLOOKUP($C34,$C$3:$D$15,2,FALSE)*DR$20-DQ36)))</f>
        <v>0</v>
      </c>
      <c r="DS34" s="762">
        <f t="shared" ref="DS34" si="935" xml:space="preserve">
IF(DR36&gt;=VLOOKUP($C34,$C$3:$D$15,2,FALSE)*DS$20,0,
IF(AND(DR36&lt;VLOOKUP($C34,$C$3:$D$15,2,FALSE)*DS$20,DS35&lt;=VLOOKUP($C34,$C$3:$D$15,2,FALSE)*DS$20),IF(DS35-DR36&lt;0,0,DS35-DR36),
IF(AND(DR36&lt;VLOOKUP($C34,$C$3:$D$15,2,FALSE)*DS$20,DS35&gt;VLOOKUP($C34,$C$3:$D$15,2,FALSE)*DS$20),VLOOKUP($C34,$C$3:$D$15,2,FALSE)*DS$20-DR36)))</f>
        <v>0</v>
      </c>
      <c r="DT34" s="762">
        <f t="shared" ref="DT34" si="936" xml:space="preserve">
IF(DS36&gt;=VLOOKUP($C34,$C$3:$D$15,2,FALSE)*DT$20,0,
IF(AND(DS36&lt;VLOOKUP($C34,$C$3:$D$15,2,FALSE)*DT$20,DT35&lt;=VLOOKUP($C34,$C$3:$D$15,2,FALSE)*DT$20),IF(DT35-DS36&lt;0,0,DT35-DS36),
IF(AND(DS36&lt;VLOOKUP($C34,$C$3:$D$15,2,FALSE)*DT$20,DT35&gt;VLOOKUP($C34,$C$3:$D$15,2,FALSE)*DT$20),VLOOKUP($C34,$C$3:$D$15,2,FALSE)*DT$20-DS36)))</f>
        <v>0</v>
      </c>
      <c r="DU34" s="762">
        <f t="shared" ref="DU34" si="937" xml:space="preserve">
IF(DT36&gt;=VLOOKUP($C34,$C$3:$D$15,2,FALSE)*DU$20,0,
IF(AND(DT36&lt;VLOOKUP($C34,$C$3:$D$15,2,FALSE)*DU$20,DU35&lt;=VLOOKUP($C34,$C$3:$D$15,2,FALSE)*DU$20),IF(DU35-DT36&lt;0,0,DU35-DT36),
IF(AND(DT36&lt;VLOOKUP($C34,$C$3:$D$15,2,FALSE)*DU$20,DU35&gt;VLOOKUP($C34,$C$3:$D$15,2,FALSE)*DU$20),VLOOKUP($C34,$C$3:$D$15,2,FALSE)*DU$20-DT36)))</f>
        <v>0</v>
      </c>
      <c r="DV34" s="762">
        <f t="shared" ref="DV34" si="938" xml:space="preserve">
IF(DU36&gt;=VLOOKUP($C34,$C$3:$D$15,2,FALSE)*DV$20,0,
IF(AND(DU36&lt;VLOOKUP($C34,$C$3:$D$15,2,FALSE)*DV$20,DV35&lt;=VLOOKUP($C34,$C$3:$D$15,2,FALSE)*DV$20),IF(DV35-DU36&lt;0,0,DV35-DU36),
IF(AND(DU36&lt;VLOOKUP($C34,$C$3:$D$15,2,FALSE)*DV$20,DV35&gt;VLOOKUP($C34,$C$3:$D$15,2,FALSE)*DV$20),VLOOKUP($C34,$C$3:$D$15,2,FALSE)*DV$20-DU36)))</f>
        <v>0</v>
      </c>
      <c r="DW34" s="762">
        <f t="shared" ref="DW34" si="939" xml:space="preserve">
IF(DV36&gt;=VLOOKUP($C34,$C$3:$D$15,2,FALSE)*DW$20,0,
IF(AND(DV36&lt;VLOOKUP($C34,$C$3:$D$15,2,FALSE)*DW$20,DW35&lt;=VLOOKUP($C34,$C$3:$D$15,2,FALSE)*DW$20),IF(DW35-DV36&lt;0,0,DW35-DV36),
IF(AND(DV36&lt;VLOOKUP($C34,$C$3:$D$15,2,FALSE)*DW$20,DW35&gt;VLOOKUP($C34,$C$3:$D$15,2,FALSE)*DW$20),VLOOKUP($C34,$C$3:$D$15,2,FALSE)*DW$20-DV36)))</f>
        <v>0</v>
      </c>
      <c r="DX34" s="762">
        <f t="shared" ref="DX34" si="940" xml:space="preserve">
IF(DW36&gt;=VLOOKUP($C34,$C$3:$D$15,2,FALSE)*DX$20,0,
IF(AND(DW36&lt;VLOOKUP($C34,$C$3:$D$15,2,FALSE)*DX$20,DX35&lt;=VLOOKUP($C34,$C$3:$D$15,2,FALSE)*DX$20),IF(DX35-DW36&lt;0,0,DX35-DW36),
IF(AND(DW36&lt;VLOOKUP($C34,$C$3:$D$15,2,FALSE)*DX$20,DX35&gt;VLOOKUP($C34,$C$3:$D$15,2,FALSE)*DX$20),VLOOKUP($C34,$C$3:$D$15,2,FALSE)*DX$20-DW36)))</f>
        <v>0</v>
      </c>
      <c r="DY34" s="762">
        <f t="shared" ref="DY34" si="941" xml:space="preserve">
IF(DX36&gt;=VLOOKUP($C34,$C$3:$D$15,2,FALSE)*DY$20,0,
IF(AND(DX36&lt;VLOOKUP($C34,$C$3:$D$15,2,FALSE)*DY$20,DY35&lt;=VLOOKUP($C34,$C$3:$D$15,2,FALSE)*DY$20),IF(DY35-DX36&lt;0,0,DY35-DX36),
IF(AND(DX36&lt;VLOOKUP($C34,$C$3:$D$15,2,FALSE)*DY$20,DY35&gt;VLOOKUP($C34,$C$3:$D$15,2,FALSE)*DY$20),VLOOKUP($C34,$C$3:$D$15,2,FALSE)*DY$20-DX36)))</f>
        <v>0</v>
      </c>
      <c r="DZ34" s="762">
        <f t="shared" ref="DZ34" si="942" xml:space="preserve">
IF(DY36&gt;=VLOOKUP($C34,$C$3:$D$15,2,FALSE)*DZ$20,0,
IF(AND(DY36&lt;VLOOKUP($C34,$C$3:$D$15,2,FALSE)*DZ$20,DZ35&lt;=VLOOKUP($C34,$C$3:$D$15,2,FALSE)*DZ$20),IF(DZ35-DY36&lt;0,0,DZ35-DY36),
IF(AND(DY36&lt;VLOOKUP($C34,$C$3:$D$15,2,FALSE)*DZ$20,DZ35&gt;VLOOKUP($C34,$C$3:$D$15,2,FALSE)*DZ$20),VLOOKUP($C34,$C$3:$D$15,2,FALSE)*DZ$20-DY36)))</f>
        <v>0</v>
      </c>
      <c r="EA34" s="762">
        <f t="shared" ref="EA34" si="943" xml:space="preserve">
IF(DZ36&gt;=VLOOKUP($C34,$C$3:$D$15,2,FALSE)*EA$20,0,
IF(AND(DZ36&lt;VLOOKUP($C34,$C$3:$D$15,2,FALSE)*EA$20,EA35&lt;=VLOOKUP($C34,$C$3:$D$15,2,FALSE)*EA$20),IF(EA35-DZ36&lt;0,0,EA35-DZ36),
IF(AND(DZ36&lt;VLOOKUP($C34,$C$3:$D$15,2,FALSE)*EA$20,EA35&gt;VLOOKUP($C34,$C$3:$D$15,2,FALSE)*EA$20),VLOOKUP($C34,$C$3:$D$15,2,FALSE)*EA$20-DZ36)))</f>
        <v>0</v>
      </c>
      <c r="EB34" s="762">
        <f t="shared" ref="EB34" si="944" xml:space="preserve">
IF(EA36&gt;=VLOOKUP($C34,$C$3:$D$15,2,FALSE)*EB$20,0,
IF(AND(EA36&lt;VLOOKUP($C34,$C$3:$D$15,2,FALSE)*EB$20,EB35&lt;=VLOOKUP($C34,$C$3:$D$15,2,FALSE)*EB$20),IF(EB35-EA36&lt;0,0,EB35-EA36),
IF(AND(EA36&lt;VLOOKUP($C34,$C$3:$D$15,2,FALSE)*EB$20,EB35&gt;VLOOKUP($C34,$C$3:$D$15,2,FALSE)*EB$20),VLOOKUP($C34,$C$3:$D$15,2,FALSE)*EB$20-EA36)))</f>
        <v>0</v>
      </c>
      <c r="EC34" s="762">
        <f t="shared" ref="EC34" si="945" xml:space="preserve">
IF(EB36&gt;=VLOOKUP($C34,$C$3:$D$15,2,FALSE)*EC$20,0,
IF(AND(EB36&lt;VLOOKUP($C34,$C$3:$D$15,2,FALSE)*EC$20,EC35&lt;=VLOOKUP($C34,$C$3:$D$15,2,FALSE)*EC$20),IF(EC35-EB36&lt;0,0,EC35-EB36),
IF(AND(EB36&lt;VLOOKUP($C34,$C$3:$D$15,2,FALSE)*EC$20,EC35&gt;VLOOKUP($C34,$C$3:$D$15,2,FALSE)*EC$20),VLOOKUP($C34,$C$3:$D$15,2,FALSE)*EC$20-EB36)))</f>
        <v>0</v>
      </c>
      <c r="ED34" s="762">
        <f t="shared" ref="ED34" si="946" xml:space="preserve">
IF(EC36&gt;=VLOOKUP($C34,$C$3:$D$15,2,FALSE)*ED$20,0,
IF(AND(EC36&lt;VLOOKUP($C34,$C$3:$D$15,2,FALSE)*ED$20,ED35&lt;=VLOOKUP($C34,$C$3:$D$15,2,FALSE)*ED$20),IF(ED35-EC36&lt;0,0,ED35-EC36),
IF(AND(EC36&lt;VLOOKUP($C34,$C$3:$D$15,2,FALSE)*ED$20,ED35&gt;VLOOKUP($C34,$C$3:$D$15,2,FALSE)*ED$20),VLOOKUP($C34,$C$3:$D$15,2,FALSE)*ED$20-EC36)))</f>
        <v>0</v>
      </c>
      <c r="EE34" s="762">
        <f t="shared" ref="EE34" si="947" xml:space="preserve">
IF(ED36&gt;=VLOOKUP($C34,$C$3:$D$15,2,FALSE)*EE$20,0,
IF(AND(ED36&lt;VLOOKUP($C34,$C$3:$D$15,2,FALSE)*EE$20,EE35&lt;=VLOOKUP($C34,$C$3:$D$15,2,FALSE)*EE$20),IF(EE35-ED36&lt;0,0,EE35-ED36),
IF(AND(ED36&lt;VLOOKUP($C34,$C$3:$D$15,2,FALSE)*EE$20,EE35&gt;VLOOKUP($C34,$C$3:$D$15,2,FALSE)*EE$20),VLOOKUP($C34,$C$3:$D$15,2,FALSE)*EE$20-ED36)))</f>
        <v>0</v>
      </c>
      <c r="EF34" s="762">
        <f t="shared" ref="EF34" si="948" xml:space="preserve">
IF(EE36&gt;=VLOOKUP($C34,$C$3:$D$15,2,FALSE)*EF$20,0,
IF(AND(EE36&lt;VLOOKUP($C34,$C$3:$D$15,2,FALSE)*EF$20,EF35&lt;=VLOOKUP($C34,$C$3:$D$15,2,FALSE)*EF$20),IF(EF35-EE36&lt;0,0,EF35-EE36),
IF(AND(EE36&lt;VLOOKUP($C34,$C$3:$D$15,2,FALSE)*EF$20,EF35&gt;VLOOKUP($C34,$C$3:$D$15,2,FALSE)*EF$20),VLOOKUP($C34,$C$3:$D$15,2,FALSE)*EF$20-EE36)))</f>
        <v>0</v>
      </c>
      <c r="EG34" s="762">
        <f t="shared" ref="EG34" si="949" xml:space="preserve">
IF(EF36&gt;=VLOOKUP($C34,$C$3:$D$15,2,FALSE)*EG$20,0,
IF(AND(EF36&lt;VLOOKUP($C34,$C$3:$D$15,2,FALSE)*EG$20,EG35&lt;=VLOOKUP($C34,$C$3:$D$15,2,FALSE)*EG$20),IF(EG35-EF36&lt;0,0,EG35-EF36),
IF(AND(EF36&lt;VLOOKUP($C34,$C$3:$D$15,2,FALSE)*EG$20,EG35&gt;VLOOKUP($C34,$C$3:$D$15,2,FALSE)*EG$20),VLOOKUP($C34,$C$3:$D$15,2,FALSE)*EG$20-EF36)))</f>
        <v>0</v>
      </c>
      <c r="EH34" s="762">
        <f t="shared" ref="EH34" si="950" xml:space="preserve">
IF(EG36&gt;=VLOOKUP($C34,$C$3:$D$15,2,FALSE)*EH$20,0,
IF(AND(EG36&lt;VLOOKUP($C34,$C$3:$D$15,2,FALSE)*EH$20,EH35&lt;=VLOOKUP($C34,$C$3:$D$15,2,FALSE)*EH$20),IF(EH35-EG36&lt;0,0,EH35-EG36),
IF(AND(EG36&lt;VLOOKUP($C34,$C$3:$D$15,2,FALSE)*EH$20,EH35&gt;VLOOKUP($C34,$C$3:$D$15,2,FALSE)*EH$20),VLOOKUP($C34,$C$3:$D$15,2,FALSE)*EH$20-EG36)))</f>
        <v>0</v>
      </c>
      <c r="EI34" s="762">
        <f t="shared" ref="EI34" si="951" xml:space="preserve">
IF(EH36&gt;=VLOOKUP($C34,$C$3:$D$15,2,FALSE)*EI$20,0,
IF(AND(EH36&lt;VLOOKUP($C34,$C$3:$D$15,2,FALSE)*EI$20,EI35&lt;=VLOOKUP($C34,$C$3:$D$15,2,FALSE)*EI$20),IF(EI35-EH36&lt;0,0,EI35-EH36),
IF(AND(EH36&lt;VLOOKUP($C34,$C$3:$D$15,2,FALSE)*EI$20,EI35&gt;VLOOKUP($C34,$C$3:$D$15,2,FALSE)*EI$20),VLOOKUP($C34,$C$3:$D$15,2,FALSE)*EI$20-EH36)))</f>
        <v>0</v>
      </c>
      <c r="EJ34" s="762">
        <f t="shared" ref="EJ34" si="952" xml:space="preserve">
IF(EI36&gt;=VLOOKUP($C34,$C$3:$D$15,2,FALSE)*EJ$20,0,
IF(AND(EI36&lt;VLOOKUP($C34,$C$3:$D$15,2,FALSE)*EJ$20,EJ35&lt;=VLOOKUP($C34,$C$3:$D$15,2,FALSE)*EJ$20),IF(EJ35-EI36&lt;0,0,EJ35-EI36),
IF(AND(EI36&lt;VLOOKUP($C34,$C$3:$D$15,2,FALSE)*EJ$20,EJ35&gt;VLOOKUP($C34,$C$3:$D$15,2,FALSE)*EJ$20),VLOOKUP($C34,$C$3:$D$15,2,FALSE)*EJ$20-EI36)))</f>
        <v>0</v>
      </c>
      <c r="EK34" s="762">
        <f t="shared" ref="EK34" si="953" xml:space="preserve">
IF(EJ36&gt;=VLOOKUP($C34,$C$3:$D$15,2,FALSE)*EK$20,0,
IF(AND(EJ36&lt;VLOOKUP($C34,$C$3:$D$15,2,FALSE)*EK$20,EK35&lt;=VLOOKUP($C34,$C$3:$D$15,2,FALSE)*EK$20),IF(EK35-EJ36&lt;0,0,EK35-EJ36),
IF(AND(EJ36&lt;VLOOKUP($C34,$C$3:$D$15,2,FALSE)*EK$20,EK35&gt;VLOOKUP($C34,$C$3:$D$15,2,FALSE)*EK$20),VLOOKUP($C34,$C$3:$D$15,2,FALSE)*EK$20-EJ36)))</f>
        <v>0</v>
      </c>
      <c r="EL34" s="762">
        <f t="shared" ref="EL34" si="954" xml:space="preserve">
IF(EK36&gt;=VLOOKUP($C34,$C$3:$D$15,2,FALSE)*EL$20,0,
IF(AND(EK36&lt;VLOOKUP($C34,$C$3:$D$15,2,FALSE)*EL$20,EL35&lt;=VLOOKUP($C34,$C$3:$D$15,2,FALSE)*EL$20),IF(EL35-EK36&lt;0,0,EL35-EK36),
IF(AND(EK36&lt;VLOOKUP($C34,$C$3:$D$15,2,FALSE)*EL$20,EL35&gt;VLOOKUP($C34,$C$3:$D$15,2,FALSE)*EL$20),VLOOKUP($C34,$C$3:$D$15,2,FALSE)*EL$20-EK36)))</f>
        <v>0</v>
      </c>
      <c r="EM34" s="762">
        <f t="shared" ref="EM34" si="955" xml:space="preserve">
IF(EL36&gt;=VLOOKUP($C34,$C$3:$D$15,2,FALSE)*EM$20,0,
IF(AND(EL36&lt;VLOOKUP($C34,$C$3:$D$15,2,FALSE)*EM$20,EM35&lt;=VLOOKUP($C34,$C$3:$D$15,2,FALSE)*EM$20),IF(EM35-EL36&lt;0,0,EM35-EL36),
IF(AND(EL36&lt;VLOOKUP($C34,$C$3:$D$15,2,FALSE)*EM$20,EM35&gt;VLOOKUP($C34,$C$3:$D$15,2,FALSE)*EM$20),VLOOKUP($C34,$C$3:$D$15,2,FALSE)*EM$20-EL36)))</f>
        <v>0</v>
      </c>
      <c r="EN34" s="762">
        <f t="shared" ref="EN34" si="956" xml:space="preserve">
IF(EM36&gt;=VLOOKUP($C34,$C$3:$D$15,2,FALSE)*EN$20,0,
IF(AND(EM36&lt;VLOOKUP($C34,$C$3:$D$15,2,FALSE)*EN$20,EN35&lt;=VLOOKUP($C34,$C$3:$D$15,2,FALSE)*EN$20),IF(EN35-EM36&lt;0,0,EN35-EM36),
IF(AND(EM36&lt;VLOOKUP($C34,$C$3:$D$15,2,FALSE)*EN$20,EN35&gt;VLOOKUP($C34,$C$3:$D$15,2,FALSE)*EN$20),VLOOKUP($C34,$C$3:$D$15,2,FALSE)*EN$20-EM36)))</f>
        <v>0</v>
      </c>
      <c r="EO34" s="762">
        <f t="shared" ref="EO34" si="957" xml:space="preserve">
IF(EN36&gt;=VLOOKUP($C34,$C$3:$D$15,2,FALSE)*EO$20,0,
IF(AND(EN36&lt;VLOOKUP($C34,$C$3:$D$15,2,FALSE)*EO$20,EO35&lt;=VLOOKUP($C34,$C$3:$D$15,2,FALSE)*EO$20),IF(EO35-EN36&lt;0,0,EO35-EN36),
IF(AND(EN36&lt;VLOOKUP($C34,$C$3:$D$15,2,FALSE)*EO$20,EO35&gt;VLOOKUP($C34,$C$3:$D$15,2,FALSE)*EO$20),VLOOKUP($C34,$C$3:$D$15,2,FALSE)*EO$20-EN36)))</f>
        <v>0</v>
      </c>
      <c r="EP34" s="762">
        <f t="shared" ref="EP34" si="958" xml:space="preserve">
IF(EO36&gt;=VLOOKUP($C34,$C$3:$D$15,2,FALSE)*EP$20,0,
IF(AND(EO36&lt;VLOOKUP($C34,$C$3:$D$15,2,FALSE)*EP$20,EP35&lt;=VLOOKUP($C34,$C$3:$D$15,2,FALSE)*EP$20),IF(EP35-EO36&lt;0,0,EP35-EO36),
IF(AND(EO36&lt;VLOOKUP($C34,$C$3:$D$15,2,FALSE)*EP$20,EP35&gt;VLOOKUP($C34,$C$3:$D$15,2,FALSE)*EP$20),VLOOKUP($C34,$C$3:$D$15,2,FALSE)*EP$20-EO36)))</f>
        <v>0</v>
      </c>
      <c r="EQ34" s="762">
        <f t="shared" ref="EQ34" si="959" xml:space="preserve">
IF(EP36&gt;=VLOOKUP($C34,$C$3:$D$15,2,FALSE)*EQ$20,0,
IF(AND(EP36&lt;VLOOKUP($C34,$C$3:$D$15,2,FALSE)*EQ$20,EQ35&lt;=VLOOKUP($C34,$C$3:$D$15,2,FALSE)*EQ$20),IF(EQ35-EP36&lt;0,0,EQ35-EP36),
IF(AND(EP36&lt;VLOOKUP($C34,$C$3:$D$15,2,FALSE)*EQ$20,EQ35&gt;VLOOKUP($C34,$C$3:$D$15,2,FALSE)*EQ$20),VLOOKUP($C34,$C$3:$D$15,2,FALSE)*EQ$20-EP36)))</f>
        <v>0</v>
      </c>
      <c r="ER34" s="762">
        <f t="shared" ref="ER34" si="960" xml:space="preserve">
IF(EQ36&gt;=VLOOKUP($C34,$C$3:$D$15,2,FALSE)*ER$20,0,
IF(AND(EQ36&lt;VLOOKUP($C34,$C$3:$D$15,2,FALSE)*ER$20,ER35&lt;=VLOOKUP($C34,$C$3:$D$15,2,FALSE)*ER$20),IF(ER35-EQ36&lt;0,0,ER35-EQ36),
IF(AND(EQ36&lt;VLOOKUP($C34,$C$3:$D$15,2,FALSE)*ER$20,ER35&gt;VLOOKUP($C34,$C$3:$D$15,2,FALSE)*ER$20),VLOOKUP($C34,$C$3:$D$15,2,FALSE)*ER$20-EQ36)))</f>
        <v>0</v>
      </c>
      <c r="ES34" s="762">
        <f t="shared" ref="ES34" si="961" xml:space="preserve">
IF(ER36&gt;=VLOOKUP($C34,$C$3:$D$15,2,FALSE)*ES$20,0,
IF(AND(ER36&lt;VLOOKUP($C34,$C$3:$D$15,2,FALSE)*ES$20,ES35&lt;=VLOOKUP($C34,$C$3:$D$15,2,FALSE)*ES$20),IF(ES35-ER36&lt;0,0,ES35-ER36),
IF(AND(ER36&lt;VLOOKUP($C34,$C$3:$D$15,2,FALSE)*ES$20,ES35&gt;VLOOKUP($C34,$C$3:$D$15,2,FALSE)*ES$20),VLOOKUP($C34,$C$3:$D$15,2,FALSE)*ES$20-ER36)))</f>
        <v>0</v>
      </c>
      <c r="ET34" s="762">
        <f t="shared" ref="ET34" si="962" xml:space="preserve">
IF(ES36&gt;=VLOOKUP($C34,$C$3:$D$15,2,FALSE)*ET$20,0,
IF(AND(ES36&lt;VLOOKUP($C34,$C$3:$D$15,2,FALSE)*ET$20,ET35&lt;=VLOOKUP($C34,$C$3:$D$15,2,FALSE)*ET$20),IF(ET35-ES36&lt;0,0,ET35-ES36),
IF(AND(ES36&lt;VLOOKUP($C34,$C$3:$D$15,2,FALSE)*ET$20,ET35&gt;VLOOKUP($C34,$C$3:$D$15,2,FALSE)*ET$20),VLOOKUP($C34,$C$3:$D$15,2,FALSE)*ET$20-ES36)))</f>
        <v>0</v>
      </c>
      <c r="EU34" s="762">
        <f t="shared" ref="EU34" si="963" xml:space="preserve">
IF(ET36&gt;=VLOOKUP($C34,$C$3:$D$15,2,FALSE)*EU$20,0,
IF(AND(ET36&lt;VLOOKUP($C34,$C$3:$D$15,2,FALSE)*EU$20,EU35&lt;=VLOOKUP($C34,$C$3:$D$15,2,FALSE)*EU$20),IF(EU35-ET36&lt;0,0,EU35-ET36),
IF(AND(ET36&lt;VLOOKUP($C34,$C$3:$D$15,2,FALSE)*EU$20,EU35&gt;VLOOKUP($C34,$C$3:$D$15,2,FALSE)*EU$20),VLOOKUP($C34,$C$3:$D$15,2,FALSE)*EU$20-ET36)))</f>
        <v>0</v>
      </c>
      <c r="EV34" s="762">
        <f t="shared" ref="EV34" si="964" xml:space="preserve">
IF(EU36&gt;=VLOOKUP($C34,$C$3:$D$15,2,FALSE)*EV$20,0,
IF(AND(EU36&lt;VLOOKUP($C34,$C$3:$D$15,2,FALSE)*EV$20,EV35&lt;=VLOOKUP($C34,$C$3:$D$15,2,FALSE)*EV$20),IF(EV35-EU36&lt;0,0,EV35-EU36),
IF(AND(EU36&lt;VLOOKUP($C34,$C$3:$D$15,2,FALSE)*EV$20,EV35&gt;VLOOKUP($C34,$C$3:$D$15,2,FALSE)*EV$20),VLOOKUP($C34,$C$3:$D$15,2,FALSE)*EV$20-EU36)))</f>
        <v>0</v>
      </c>
      <c r="EW34" s="762">
        <f t="shared" ref="EW34" si="965" xml:space="preserve">
IF(EV36&gt;=VLOOKUP($C34,$C$3:$D$15,2,FALSE)*EW$20,0,
IF(AND(EV36&lt;VLOOKUP($C34,$C$3:$D$15,2,FALSE)*EW$20,EW35&lt;=VLOOKUP($C34,$C$3:$D$15,2,FALSE)*EW$20),IF(EW35-EV36&lt;0,0,EW35-EV36),
IF(AND(EV36&lt;VLOOKUP($C34,$C$3:$D$15,2,FALSE)*EW$20,EW35&gt;VLOOKUP($C34,$C$3:$D$15,2,FALSE)*EW$20),VLOOKUP($C34,$C$3:$D$15,2,FALSE)*EW$20-EV36)))</f>
        <v>0</v>
      </c>
      <c r="EX34" s="762">
        <f t="shared" ref="EX34" si="966" xml:space="preserve">
IF(EW36&gt;=VLOOKUP($C34,$C$3:$D$15,2,FALSE)*EX$20,0,
IF(AND(EW36&lt;VLOOKUP($C34,$C$3:$D$15,2,FALSE)*EX$20,EX35&lt;=VLOOKUP($C34,$C$3:$D$15,2,FALSE)*EX$20),IF(EX35-EW36&lt;0,0,EX35-EW36),
IF(AND(EW36&lt;VLOOKUP($C34,$C$3:$D$15,2,FALSE)*EX$20,EX35&gt;VLOOKUP($C34,$C$3:$D$15,2,FALSE)*EX$20),VLOOKUP($C34,$C$3:$D$15,2,FALSE)*EX$20-EW36)))</f>
        <v>0</v>
      </c>
      <c r="EY34" s="762">
        <f t="shared" ref="EY34" si="967" xml:space="preserve">
IF(EX36&gt;=VLOOKUP($C34,$C$3:$D$15,2,FALSE)*EY$20,0,
IF(AND(EX36&lt;VLOOKUP($C34,$C$3:$D$15,2,FALSE)*EY$20,EY35&lt;=VLOOKUP($C34,$C$3:$D$15,2,FALSE)*EY$20),IF(EY35-EX36&lt;0,0,EY35-EX36),
IF(AND(EX36&lt;VLOOKUP($C34,$C$3:$D$15,2,FALSE)*EY$20,EY35&gt;VLOOKUP($C34,$C$3:$D$15,2,FALSE)*EY$20),VLOOKUP($C34,$C$3:$D$15,2,FALSE)*EY$20-EX36)))</f>
        <v>0</v>
      </c>
      <c r="EZ34" s="762">
        <f t="shared" ref="EZ34" si="968" xml:space="preserve">
IF(EY36&gt;=VLOOKUP($C34,$C$3:$D$15,2,FALSE)*EZ$20,0,
IF(AND(EY36&lt;VLOOKUP($C34,$C$3:$D$15,2,FALSE)*EZ$20,EZ35&lt;=VLOOKUP($C34,$C$3:$D$15,2,FALSE)*EZ$20),IF(EZ35-EY36&lt;0,0,EZ35-EY36),
IF(AND(EY36&lt;VLOOKUP($C34,$C$3:$D$15,2,FALSE)*EZ$20,EZ35&gt;VLOOKUP($C34,$C$3:$D$15,2,FALSE)*EZ$20),VLOOKUP($C34,$C$3:$D$15,2,FALSE)*EZ$20-EY36)))</f>
        <v>0</v>
      </c>
      <c r="FA34" s="762">
        <f t="shared" ref="FA34" si="969" xml:space="preserve">
IF(EZ36&gt;=VLOOKUP($C34,$C$3:$D$15,2,FALSE)*FA$20,0,
IF(AND(EZ36&lt;VLOOKUP($C34,$C$3:$D$15,2,FALSE)*FA$20,FA35&lt;=VLOOKUP($C34,$C$3:$D$15,2,FALSE)*FA$20),IF(FA35-EZ36&lt;0,0,FA35-EZ36),
IF(AND(EZ36&lt;VLOOKUP($C34,$C$3:$D$15,2,FALSE)*FA$20,FA35&gt;VLOOKUP($C34,$C$3:$D$15,2,FALSE)*FA$20),VLOOKUP($C34,$C$3:$D$15,2,FALSE)*FA$20-EZ36)))</f>
        <v>0</v>
      </c>
      <c r="FB34" s="762">
        <f t="shared" ref="FB34" si="970" xml:space="preserve">
IF(FA36&gt;=VLOOKUP($C34,$C$3:$D$15,2,FALSE)*FB$20,0,
IF(AND(FA36&lt;VLOOKUP($C34,$C$3:$D$15,2,FALSE)*FB$20,FB35&lt;=VLOOKUP($C34,$C$3:$D$15,2,FALSE)*FB$20),IF(FB35-FA36&lt;0,0,FB35-FA36),
IF(AND(FA36&lt;VLOOKUP($C34,$C$3:$D$15,2,FALSE)*FB$20,FB35&gt;VLOOKUP($C34,$C$3:$D$15,2,FALSE)*FB$20),VLOOKUP($C34,$C$3:$D$15,2,FALSE)*FB$20-FA36)))</f>
        <v>0</v>
      </c>
      <c r="FC34" s="762">
        <f t="shared" ref="FC34" si="971" xml:space="preserve">
IF(FB36&gt;=VLOOKUP($C34,$C$3:$D$15,2,FALSE)*FC$20,0,
IF(AND(FB36&lt;VLOOKUP($C34,$C$3:$D$15,2,FALSE)*FC$20,FC35&lt;=VLOOKUP($C34,$C$3:$D$15,2,FALSE)*FC$20),IF(FC35-FB36&lt;0,0,FC35-FB36),
IF(AND(FB36&lt;VLOOKUP($C34,$C$3:$D$15,2,FALSE)*FC$20,FC35&gt;VLOOKUP($C34,$C$3:$D$15,2,FALSE)*FC$20),VLOOKUP($C34,$C$3:$D$15,2,FALSE)*FC$20-FB36)))</f>
        <v>0</v>
      </c>
      <c r="FD34" s="762">
        <f t="shared" ref="FD34" si="972" xml:space="preserve">
IF(FC36&gt;=VLOOKUP($C34,$C$3:$D$15,2,FALSE)*FD$20,0,
IF(AND(FC36&lt;VLOOKUP($C34,$C$3:$D$15,2,FALSE)*FD$20,FD35&lt;=VLOOKUP($C34,$C$3:$D$15,2,FALSE)*FD$20),IF(FD35-FC36&lt;0,0,FD35-FC36),
IF(AND(FC36&lt;VLOOKUP($C34,$C$3:$D$15,2,FALSE)*FD$20,FD35&gt;VLOOKUP($C34,$C$3:$D$15,2,FALSE)*FD$20),VLOOKUP($C34,$C$3:$D$15,2,FALSE)*FD$20-FC36)))</f>
        <v>0</v>
      </c>
      <c r="FE34" s="762">
        <f t="shared" ref="FE34" si="973" xml:space="preserve">
IF(FD36&gt;=VLOOKUP($C34,$C$3:$D$15,2,FALSE)*FE$20,0,
IF(AND(FD36&lt;VLOOKUP($C34,$C$3:$D$15,2,FALSE)*FE$20,FE35&lt;=VLOOKUP($C34,$C$3:$D$15,2,FALSE)*FE$20),IF(FE35-FD36&lt;0,0,FE35-FD36),
IF(AND(FD36&lt;VLOOKUP($C34,$C$3:$D$15,2,FALSE)*FE$20,FE35&gt;VLOOKUP($C34,$C$3:$D$15,2,FALSE)*FE$20),VLOOKUP($C34,$C$3:$D$15,2,FALSE)*FE$20-FD36)))</f>
        <v>0</v>
      </c>
      <c r="FF34" s="762">
        <f t="shared" ref="FF34" si="974" xml:space="preserve">
IF(FE36&gt;=VLOOKUP($C34,$C$3:$D$15,2,FALSE)*FF$20,0,
IF(AND(FE36&lt;VLOOKUP($C34,$C$3:$D$15,2,FALSE)*FF$20,FF35&lt;=VLOOKUP($C34,$C$3:$D$15,2,FALSE)*FF$20),IF(FF35-FE36&lt;0,0,FF35-FE36),
IF(AND(FE36&lt;VLOOKUP($C34,$C$3:$D$15,2,FALSE)*FF$20,FF35&gt;VLOOKUP($C34,$C$3:$D$15,2,FALSE)*FF$20),VLOOKUP($C34,$C$3:$D$15,2,FALSE)*FF$20-FE36)))</f>
        <v>0</v>
      </c>
      <c r="FG34" s="762">
        <f t="shared" ref="FG34" si="975" xml:space="preserve">
IF(FF36&gt;=VLOOKUP($C34,$C$3:$D$15,2,FALSE)*FG$20,0,
IF(AND(FF36&lt;VLOOKUP($C34,$C$3:$D$15,2,FALSE)*FG$20,FG35&lt;=VLOOKUP($C34,$C$3:$D$15,2,FALSE)*FG$20),IF(FG35-FF36&lt;0,0,FG35-FF36),
IF(AND(FF36&lt;VLOOKUP($C34,$C$3:$D$15,2,FALSE)*FG$20,FG35&gt;VLOOKUP($C34,$C$3:$D$15,2,FALSE)*FG$20),VLOOKUP($C34,$C$3:$D$15,2,FALSE)*FG$20-FF36)))</f>
        <v>0</v>
      </c>
      <c r="FH34" s="762">
        <f t="shared" ref="FH34" si="976" xml:space="preserve">
IF(FG36&gt;=VLOOKUP($C34,$C$3:$D$15,2,FALSE)*FH$20,0,
IF(AND(FG36&lt;VLOOKUP($C34,$C$3:$D$15,2,FALSE)*FH$20,FH35&lt;=VLOOKUP($C34,$C$3:$D$15,2,FALSE)*FH$20),IF(FH35-FG36&lt;0,0,FH35-FG36),
IF(AND(FG36&lt;VLOOKUP($C34,$C$3:$D$15,2,FALSE)*FH$20,FH35&gt;VLOOKUP($C34,$C$3:$D$15,2,FALSE)*FH$20),VLOOKUP($C34,$C$3:$D$15,2,FALSE)*FH$20-FG36)))</f>
        <v>0</v>
      </c>
      <c r="FI34" s="762">
        <f t="shared" ref="FI34" si="977" xml:space="preserve">
IF(FH36&gt;=VLOOKUP($C34,$C$3:$D$15,2,FALSE)*FI$20,0,
IF(AND(FH36&lt;VLOOKUP($C34,$C$3:$D$15,2,FALSE)*FI$20,FI35&lt;=VLOOKUP($C34,$C$3:$D$15,2,FALSE)*FI$20),IF(FI35-FH36&lt;0,0,FI35-FH36),
IF(AND(FH36&lt;VLOOKUP($C34,$C$3:$D$15,2,FALSE)*FI$20,FI35&gt;VLOOKUP($C34,$C$3:$D$15,2,FALSE)*FI$20),VLOOKUP($C34,$C$3:$D$15,2,FALSE)*FI$20-FH36)))</f>
        <v>0</v>
      </c>
      <c r="FJ34" s="762">
        <f t="shared" ref="FJ34" si="978" xml:space="preserve">
IF(FI36&gt;=VLOOKUP($C34,$C$3:$D$15,2,FALSE)*FJ$20,0,
IF(AND(FI36&lt;VLOOKUP($C34,$C$3:$D$15,2,FALSE)*FJ$20,FJ35&lt;=VLOOKUP($C34,$C$3:$D$15,2,FALSE)*FJ$20),IF(FJ35-FI36&lt;0,0,FJ35-FI36),
IF(AND(FI36&lt;VLOOKUP($C34,$C$3:$D$15,2,FALSE)*FJ$20,FJ35&gt;VLOOKUP($C34,$C$3:$D$15,2,FALSE)*FJ$20),VLOOKUP($C34,$C$3:$D$15,2,FALSE)*FJ$20-FI36)))</f>
        <v>0</v>
      </c>
      <c r="FK34" s="762">
        <f t="shared" ref="FK34" si="979" xml:space="preserve">
IF(FJ36&gt;=VLOOKUP($C34,$C$3:$D$15,2,FALSE)*FK$20,0,
IF(AND(FJ36&lt;VLOOKUP($C34,$C$3:$D$15,2,FALSE)*FK$20,FK35&lt;=VLOOKUP($C34,$C$3:$D$15,2,FALSE)*FK$20),IF(FK35-FJ36&lt;0,0,FK35-FJ36),
IF(AND(FJ36&lt;VLOOKUP($C34,$C$3:$D$15,2,FALSE)*FK$20,FK35&gt;VLOOKUP($C34,$C$3:$D$15,2,FALSE)*FK$20),VLOOKUP($C34,$C$3:$D$15,2,FALSE)*FK$20-FJ36)))</f>
        <v>0</v>
      </c>
      <c r="FL34" s="762">
        <f t="shared" ref="FL34" si="980" xml:space="preserve">
IF(FK36&gt;=VLOOKUP($C34,$C$3:$D$15,2,FALSE)*FL$20,0,
IF(AND(FK36&lt;VLOOKUP($C34,$C$3:$D$15,2,FALSE)*FL$20,FL35&lt;=VLOOKUP($C34,$C$3:$D$15,2,FALSE)*FL$20),IF(FL35-FK36&lt;0,0,FL35-FK36),
IF(AND(FK36&lt;VLOOKUP($C34,$C$3:$D$15,2,FALSE)*FL$20,FL35&gt;VLOOKUP($C34,$C$3:$D$15,2,FALSE)*FL$20),VLOOKUP($C34,$C$3:$D$15,2,FALSE)*FL$20-FK36)))</f>
        <v>0</v>
      </c>
      <c r="FM34" s="762">
        <f t="shared" ref="FM34" si="981" xml:space="preserve">
IF(FL36&gt;=VLOOKUP($C34,$C$3:$D$15,2,FALSE)*FM$20,0,
IF(AND(FL36&lt;VLOOKUP($C34,$C$3:$D$15,2,FALSE)*FM$20,FM35&lt;=VLOOKUP($C34,$C$3:$D$15,2,FALSE)*FM$20),IF(FM35-FL36&lt;0,0,FM35-FL36),
IF(AND(FL36&lt;VLOOKUP($C34,$C$3:$D$15,2,FALSE)*FM$20,FM35&gt;VLOOKUP($C34,$C$3:$D$15,2,FALSE)*FM$20),VLOOKUP($C34,$C$3:$D$15,2,FALSE)*FM$20-FL36)))</f>
        <v>0</v>
      </c>
      <c r="FN34" s="762">
        <f t="shared" ref="FN34" si="982" xml:space="preserve">
IF(FM36&gt;=VLOOKUP($C34,$C$3:$D$15,2,FALSE)*FN$20,0,
IF(AND(FM36&lt;VLOOKUP($C34,$C$3:$D$15,2,FALSE)*FN$20,FN35&lt;=VLOOKUP($C34,$C$3:$D$15,2,FALSE)*FN$20),IF(FN35-FM36&lt;0,0,FN35-FM36),
IF(AND(FM36&lt;VLOOKUP($C34,$C$3:$D$15,2,FALSE)*FN$20,FN35&gt;VLOOKUP($C34,$C$3:$D$15,2,FALSE)*FN$20),VLOOKUP($C34,$C$3:$D$15,2,FALSE)*FN$20-FM36)))</f>
        <v>0</v>
      </c>
      <c r="FO34" s="762">
        <f t="shared" ref="FO34" si="983" xml:space="preserve">
IF(FN36&gt;=VLOOKUP($C34,$C$3:$D$15,2,FALSE)*FO$20,0,
IF(AND(FN36&lt;VLOOKUP($C34,$C$3:$D$15,2,FALSE)*FO$20,FO35&lt;=VLOOKUP($C34,$C$3:$D$15,2,FALSE)*FO$20),IF(FO35-FN36&lt;0,0,FO35-FN36),
IF(AND(FN36&lt;VLOOKUP($C34,$C$3:$D$15,2,FALSE)*FO$20,FO35&gt;VLOOKUP($C34,$C$3:$D$15,2,FALSE)*FO$20),VLOOKUP($C34,$C$3:$D$15,2,FALSE)*FO$20-FN36)))</f>
        <v>0</v>
      </c>
      <c r="FP34" s="762">
        <f t="shared" ref="FP34" si="984" xml:space="preserve">
IF(FO36&gt;=VLOOKUP($C34,$C$3:$D$15,2,FALSE)*FP$20,0,
IF(AND(FO36&lt;VLOOKUP($C34,$C$3:$D$15,2,FALSE)*FP$20,FP35&lt;=VLOOKUP($C34,$C$3:$D$15,2,FALSE)*FP$20),IF(FP35-FO36&lt;0,0,FP35-FO36),
IF(AND(FO36&lt;VLOOKUP($C34,$C$3:$D$15,2,FALSE)*FP$20,FP35&gt;VLOOKUP($C34,$C$3:$D$15,2,FALSE)*FP$20),VLOOKUP($C34,$C$3:$D$15,2,FALSE)*FP$20-FO36)))</f>
        <v>0</v>
      </c>
      <c r="FQ34" s="762">
        <f t="shared" ref="FQ34" si="985" xml:space="preserve">
IF(FP36&gt;=VLOOKUP($C34,$C$3:$D$15,2,FALSE)*FQ$20,0,
IF(AND(FP36&lt;VLOOKUP($C34,$C$3:$D$15,2,FALSE)*FQ$20,FQ35&lt;=VLOOKUP($C34,$C$3:$D$15,2,FALSE)*FQ$20),IF(FQ35-FP36&lt;0,0,FQ35-FP36),
IF(AND(FP36&lt;VLOOKUP($C34,$C$3:$D$15,2,FALSE)*FQ$20,FQ35&gt;VLOOKUP($C34,$C$3:$D$15,2,FALSE)*FQ$20),VLOOKUP($C34,$C$3:$D$15,2,FALSE)*FQ$20-FP36)))</f>
        <v>0</v>
      </c>
      <c r="FR34" s="762">
        <f t="shared" ref="FR34" si="986" xml:space="preserve">
IF(FQ36&gt;=VLOOKUP($C34,$C$3:$D$15,2,FALSE)*FR$20,0,
IF(AND(FQ36&lt;VLOOKUP($C34,$C$3:$D$15,2,FALSE)*FR$20,FR35&lt;=VLOOKUP($C34,$C$3:$D$15,2,FALSE)*FR$20),IF(FR35-FQ36&lt;0,0,FR35-FQ36),
IF(AND(FQ36&lt;VLOOKUP($C34,$C$3:$D$15,2,FALSE)*FR$20,FR35&gt;VLOOKUP($C34,$C$3:$D$15,2,FALSE)*FR$20),VLOOKUP($C34,$C$3:$D$15,2,FALSE)*FR$20-FQ36)))</f>
        <v>0</v>
      </c>
      <c r="FS34" s="762">
        <f t="shared" ref="FS34" si="987" xml:space="preserve">
IF(FR36&gt;=VLOOKUP($C34,$C$3:$D$15,2,FALSE)*FS$20,0,
IF(AND(FR36&lt;VLOOKUP($C34,$C$3:$D$15,2,FALSE)*FS$20,FS35&lt;=VLOOKUP($C34,$C$3:$D$15,2,FALSE)*FS$20),IF(FS35-FR36&lt;0,0,FS35-FR36),
IF(AND(FR36&lt;VLOOKUP($C34,$C$3:$D$15,2,FALSE)*FS$20,FS35&gt;VLOOKUP($C34,$C$3:$D$15,2,FALSE)*FS$20),VLOOKUP($C34,$C$3:$D$15,2,FALSE)*FS$20-FR36)))</f>
        <v>0</v>
      </c>
      <c r="FT34" s="762">
        <f t="shared" ref="FT34" si="988" xml:space="preserve">
IF(FS36&gt;=VLOOKUP($C34,$C$3:$D$15,2,FALSE)*FT$20,0,
IF(AND(FS36&lt;VLOOKUP($C34,$C$3:$D$15,2,FALSE)*FT$20,FT35&lt;=VLOOKUP($C34,$C$3:$D$15,2,FALSE)*FT$20),IF(FT35-FS36&lt;0,0,FT35-FS36),
IF(AND(FS36&lt;VLOOKUP($C34,$C$3:$D$15,2,FALSE)*FT$20,FT35&gt;VLOOKUP($C34,$C$3:$D$15,2,FALSE)*FT$20),VLOOKUP($C34,$C$3:$D$15,2,FALSE)*FT$20-FS36)))</f>
        <v>0</v>
      </c>
      <c r="FU34" s="762">
        <f t="shared" ref="FU34" si="989" xml:space="preserve">
IF(FT36&gt;=VLOOKUP($C34,$C$3:$D$15,2,FALSE)*FU$20,0,
IF(AND(FT36&lt;VLOOKUP($C34,$C$3:$D$15,2,FALSE)*FU$20,FU35&lt;=VLOOKUP($C34,$C$3:$D$15,2,FALSE)*FU$20),IF(FU35-FT36&lt;0,0,FU35-FT36),
IF(AND(FT36&lt;VLOOKUP($C34,$C$3:$D$15,2,FALSE)*FU$20,FU35&gt;VLOOKUP($C34,$C$3:$D$15,2,FALSE)*FU$20),VLOOKUP($C34,$C$3:$D$15,2,FALSE)*FU$20-FT36)))</f>
        <v>0</v>
      </c>
      <c r="FV34" s="762">
        <f t="shared" ref="FV34" si="990" xml:space="preserve">
IF(FU36&gt;=VLOOKUP($C34,$C$3:$D$15,2,FALSE)*FV$20,0,
IF(AND(FU36&lt;VLOOKUP($C34,$C$3:$D$15,2,FALSE)*FV$20,FV35&lt;=VLOOKUP($C34,$C$3:$D$15,2,FALSE)*FV$20),IF(FV35-FU36&lt;0,0,FV35-FU36),
IF(AND(FU36&lt;VLOOKUP($C34,$C$3:$D$15,2,FALSE)*FV$20,FV35&gt;VLOOKUP($C34,$C$3:$D$15,2,FALSE)*FV$20),VLOOKUP($C34,$C$3:$D$15,2,FALSE)*FV$20-FU36)))</f>
        <v>0</v>
      </c>
      <c r="FW34" s="762">
        <f t="shared" ref="FW34" si="991" xml:space="preserve">
IF(FV36&gt;=VLOOKUP($C34,$C$3:$D$15,2,FALSE)*FW$20,0,
IF(AND(FV36&lt;VLOOKUP($C34,$C$3:$D$15,2,FALSE)*FW$20,FW35&lt;=VLOOKUP($C34,$C$3:$D$15,2,FALSE)*FW$20),IF(FW35-FV36&lt;0,0,FW35-FV36),
IF(AND(FV36&lt;VLOOKUP($C34,$C$3:$D$15,2,FALSE)*FW$20,FW35&gt;VLOOKUP($C34,$C$3:$D$15,2,FALSE)*FW$20),VLOOKUP($C34,$C$3:$D$15,2,FALSE)*FW$20-FV36)))</f>
        <v>0</v>
      </c>
      <c r="FX34" s="762">
        <f t="shared" ref="FX34" si="992" xml:space="preserve">
IF(FW36&gt;=VLOOKUP($C34,$C$3:$D$15,2,FALSE)*FX$20,0,
IF(AND(FW36&lt;VLOOKUP($C34,$C$3:$D$15,2,FALSE)*FX$20,FX35&lt;=VLOOKUP($C34,$C$3:$D$15,2,FALSE)*FX$20),IF(FX35-FW36&lt;0,0,FX35-FW36),
IF(AND(FW36&lt;VLOOKUP($C34,$C$3:$D$15,2,FALSE)*FX$20,FX35&gt;VLOOKUP($C34,$C$3:$D$15,2,FALSE)*FX$20),VLOOKUP($C34,$C$3:$D$15,2,FALSE)*FX$20-FW36)))</f>
        <v>0</v>
      </c>
      <c r="FY34" s="762">
        <f t="shared" ref="FY34" si="993" xml:space="preserve">
IF(FX36&gt;=VLOOKUP($C34,$C$3:$D$15,2,FALSE)*FY$20,0,
IF(AND(FX36&lt;VLOOKUP($C34,$C$3:$D$15,2,FALSE)*FY$20,FY35&lt;=VLOOKUP($C34,$C$3:$D$15,2,FALSE)*FY$20),IF(FY35-FX36&lt;0,0,FY35-FX36),
IF(AND(FX36&lt;VLOOKUP($C34,$C$3:$D$15,2,FALSE)*FY$20,FY35&gt;VLOOKUP($C34,$C$3:$D$15,2,FALSE)*FY$20),VLOOKUP($C34,$C$3:$D$15,2,FALSE)*FY$20-FX36)))</f>
        <v>0</v>
      </c>
      <c r="FZ34" s="762">
        <f t="shared" ref="FZ34" si="994" xml:space="preserve">
IF(FY36&gt;=VLOOKUP($C34,$C$3:$D$15,2,FALSE)*FZ$20,0,
IF(AND(FY36&lt;VLOOKUP($C34,$C$3:$D$15,2,FALSE)*FZ$20,FZ35&lt;=VLOOKUP($C34,$C$3:$D$15,2,FALSE)*FZ$20),IF(FZ35-FY36&lt;0,0,FZ35-FY36),
IF(AND(FY36&lt;VLOOKUP($C34,$C$3:$D$15,2,FALSE)*FZ$20,FZ35&gt;VLOOKUP($C34,$C$3:$D$15,2,FALSE)*FZ$20),VLOOKUP($C34,$C$3:$D$15,2,FALSE)*FZ$20-FY36)))</f>
        <v>0</v>
      </c>
      <c r="GA34" s="762">
        <f t="shared" ref="GA34" si="995" xml:space="preserve">
IF(FZ36&gt;=VLOOKUP($C34,$C$3:$D$15,2,FALSE)*GA$20,0,
IF(AND(FZ36&lt;VLOOKUP($C34,$C$3:$D$15,2,FALSE)*GA$20,GA35&lt;=VLOOKUP($C34,$C$3:$D$15,2,FALSE)*GA$20),IF(GA35-FZ36&lt;0,0,GA35-FZ36),
IF(AND(FZ36&lt;VLOOKUP($C34,$C$3:$D$15,2,FALSE)*GA$20,GA35&gt;VLOOKUP($C34,$C$3:$D$15,2,FALSE)*GA$20),VLOOKUP($C34,$C$3:$D$15,2,FALSE)*GA$20-FZ36)))</f>
        <v>0</v>
      </c>
      <c r="GB34" s="762">
        <f t="shared" ref="GB34" si="996" xml:space="preserve">
IF(GA36&gt;=VLOOKUP($C34,$C$3:$D$15,2,FALSE)*GB$20,0,
IF(AND(GA36&lt;VLOOKUP($C34,$C$3:$D$15,2,FALSE)*GB$20,GB35&lt;=VLOOKUP($C34,$C$3:$D$15,2,FALSE)*GB$20),IF(GB35-GA36&lt;0,0,GB35-GA36),
IF(AND(GA36&lt;VLOOKUP($C34,$C$3:$D$15,2,FALSE)*GB$20,GB35&gt;VLOOKUP($C34,$C$3:$D$15,2,FALSE)*GB$20),VLOOKUP($C34,$C$3:$D$15,2,FALSE)*GB$20-GA36)))</f>
        <v>0</v>
      </c>
      <c r="GC34" s="762">
        <f t="shared" ref="GC34" si="997" xml:space="preserve">
IF(GB36&gt;=VLOOKUP($C34,$C$3:$D$15,2,FALSE)*GC$20,0,
IF(AND(GB36&lt;VLOOKUP($C34,$C$3:$D$15,2,FALSE)*GC$20,GC35&lt;=VLOOKUP($C34,$C$3:$D$15,2,FALSE)*GC$20),IF(GC35-GB36&lt;0,0,GC35-GB36),
IF(AND(GB36&lt;VLOOKUP($C34,$C$3:$D$15,2,FALSE)*GC$20,GC35&gt;VLOOKUP($C34,$C$3:$D$15,2,FALSE)*GC$20),VLOOKUP($C34,$C$3:$D$15,2,FALSE)*GC$20-GB36)))</f>
        <v>0</v>
      </c>
      <c r="GD34" s="762">
        <f t="shared" ref="GD34" si="998" xml:space="preserve">
IF(GC36&gt;=VLOOKUP($C34,$C$3:$D$15,2,FALSE)*GD$20,0,
IF(AND(GC36&lt;VLOOKUP($C34,$C$3:$D$15,2,FALSE)*GD$20,GD35&lt;=VLOOKUP($C34,$C$3:$D$15,2,FALSE)*GD$20),IF(GD35-GC36&lt;0,0,GD35-GC36),
IF(AND(GC36&lt;VLOOKUP($C34,$C$3:$D$15,2,FALSE)*GD$20,GD35&gt;VLOOKUP($C34,$C$3:$D$15,2,FALSE)*GD$20),VLOOKUP($C34,$C$3:$D$15,2,FALSE)*GD$20-GC36)))</f>
        <v>0</v>
      </c>
      <c r="GE34" s="762">
        <f t="shared" ref="GE34" si="999" xml:space="preserve">
IF(GD36&gt;=VLOOKUP($C34,$C$3:$D$15,2,FALSE)*GE$20,0,
IF(AND(GD36&lt;VLOOKUP($C34,$C$3:$D$15,2,FALSE)*GE$20,GE35&lt;=VLOOKUP($C34,$C$3:$D$15,2,FALSE)*GE$20),IF(GE35-GD36&lt;0,0,GE35-GD36),
IF(AND(GD36&lt;VLOOKUP($C34,$C$3:$D$15,2,FALSE)*GE$20,GE35&gt;VLOOKUP($C34,$C$3:$D$15,2,FALSE)*GE$20),VLOOKUP($C34,$C$3:$D$15,2,FALSE)*GE$20-GD36)))</f>
        <v>0</v>
      </c>
      <c r="GF34" s="762">
        <f t="shared" ref="GF34" si="1000" xml:space="preserve">
IF(GE36&gt;=VLOOKUP($C34,$C$3:$D$15,2,FALSE)*GF$20,0,
IF(AND(GE36&lt;VLOOKUP($C34,$C$3:$D$15,2,FALSE)*GF$20,GF35&lt;=VLOOKUP($C34,$C$3:$D$15,2,FALSE)*GF$20),IF(GF35-GE36&lt;0,0,GF35-GE36),
IF(AND(GE36&lt;VLOOKUP($C34,$C$3:$D$15,2,FALSE)*GF$20,GF35&gt;VLOOKUP($C34,$C$3:$D$15,2,FALSE)*GF$20),VLOOKUP($C34,$C$3:$D$15,2,FALSE)*GF$20-GE36)))</f>
        <v>0</v>
      </c>
      <c r="GG34" s="762">
        <f t="shared" ref="GG34" si="1001" xml:space="preserve">
IF(GF36&gt;=VLOOKUP($C34,$C$3:$D$15,2,FALSE)*GG$20,0,
IF(AND(GF36&lt;VLOOKUP($C34,$C$3:$D$15,2,FALSE)*GG$20,GG35&lt;=VLOOKUP($C34,$C$3:$D$15,2,FALSE)*GG$20),IF(GG35-GF36&lt;0,0,GG35-GF36),
IF(AND(GF36&lt;VLOOKUP($C34,$C$3:$D$15,2,FALSE)*GG$20,GG35&gt;VLOOKUP($C34,$C$3:$D$15,2,FALSE)*GG$20),VLOOKUP($C34,$C$3:$D$15,2,FALSE)*GG$20-GF36)))</f>
        <v>0</v>
      </c>
      <c r="GH34" s="762">
        <f t="shared" ref="GH34" si="1002" xml:space="preserve">
IF(GG36&gt;=VLOOKUP($C34,$C$3:$D$15,2,FALSE)*GH$20,0,
IF(AND(GG36&lt;VLOOKUP($C34,$C$3:$D$15,2,FALSE)*GH$20,GH35&lt;=VLOOKUP($C34,$C$3:$D$15,2,FALSE)*GH$20),IF(GH35-GG36&lt;0,0,GH35-GG36),
IF(AND(GG36&lt;VLOOKUP($C34,$C$3:$D$15,2,FALSE)*GH$20,GH35&gt;VLOOKUP($C34,$C$3:$D$15,2,FALSE)*GH$20),VLOOKUP($C34,$C$3:$D$15,2,FALSE)*GH$20-GG36)))</f>
        <v>0</v>
      </c>
      <c r="GI34" s="762">
        <f t="shared" ref="GI34" si="1003" xml:space="preserve">
IF(GH36&gt;=VLOOKUP($C34,$C$3:$D$15,2,FALSE)*GI$20,0,
IF(AND(GH36&lt;VLOOKUP($C34,$C$3:$D$15,2,FALSE)*GI$20,GI35&lt;=VLOOKUP($C34,$C$3:$D$15,2,FALSE)*GI$20),IF(GI35-GH36&lt;0,0,GI35-GH36),
IF(AND(GH36&lt;VLOOKUP($C34,$C$3:$D$15,2,FALSE)*GI$20,GI35&gt;VLOOKUP($C34,$C$3:$D$15,2,FALSE)*GI$20),VLOOKUP($C34,$C$3:$D$15,2,FALSE)*GI$20-GH36)))</f>
        <v>0</v>
      </c>
      <c r="GJ34" s="762">
        <f t="shared" ref="GJ34" si="1004" xml:space="preserve">
IF(GI36&gt;=VLOOKUP($C34,$C$3:$D$15,2,FALSE)*GJ$20,0,
IF(AND(GI36&lt;VLOOKUP($C34,$C$3:$D$15,2,FALSE)*GJ$20,GJ35&lt;=VLOOKUP($C34,$C$3:$D$15,2,FALSE)*GJ$20),IF(GJ35-GI36&lt;0,0,GJ35-GI36),
IF(AND(GI36&lt;VLOOKUP($C34,$C$3:$D$15,2,FALSE)*GJ$20,GJ35&gt;VLOOKUP($C34,$C$3:$D$15,2,FALSE)*GJ$20),VLOOKUP($C34,$C$3:$D$15,2,FALSE)*GJ$20-GI36)))</f>
        <v>0</v>
      </c>
    </row>
    <row r="35" spans="2:192" s="632" customFormat="1">
      <c r="B35" s="633"/>
      <c r="C35" s="625"/>
      <c r="D35" s="701" t="s">
        <v>1424</v>
      </c>
      <c r="E35" s="706"/>
      <c r="F35" s="653"/>
      <c r="G35" s="762">
        <f>SUMIF(防護具!$Y$30:$Y$212,G$17&amp;$C34,防護具!$Q$30:$Q$212)</f>
        <v>0</v>
      </c>
      <c r="H35" s="762">
        <f>IFERROR(
SUM(G35,SUMIF(防護具!$Y$30:$Y$212,H$17&amp;$C34,防護具!$Q$30:$Q$212))-G34,0)</f>
        <v>0</v>
      </c>
      <c r="I35" s="762">
        <f>IFERROR(
SUM(H35,SUMIF(防護具!$Y$30:$Y$212,I$17&amp;$C34,防護具!$Q$30:$Q$212))-H34,0)</f>
        <v>0</v>
      </c>
      <c r="J35" s="762">
        <f>IFERROR(
SUM(I35,SUMIF(防護具!$Y$30:$Y$212,J$17&amp;$C34,防護具!$Q$30:$Q$212))-I34,0)</f>
        <v>0</v>
      </c>
      <c r="K35" s="762">
        <f>IFERROR(
SUM(J35,SUMIF(防護具!$Y$30:$Y$212,K$17&amp;$C34,防護具!$Q$30:$Q$212))-J34,0)</f>
        <v>0</v>
      </c>
      <c r="L35" s="762">
        <f>IFERROR(
SUM(K35,SUMIF(防護具!$Y$30:$Y$212,L$17&amp;$C34,防護具!$Q$30:$Q$212))-K34,0)</f>
        <v>0</v>
      </c>
      <c r="M35" s="762">
        <f>IFERROR(
SUM(L35,SUMIF(防護具!$Y$30:$Y$212,M$17&amp;$C34,防護具!$Q$30:$Q$212))-L34,0)</f>
        <v>0</v>
      </c>
      <c r="N35" s="762">
        <f>IFERROR(
SUM(M35,SUMIF(防護具!$Y$30:$Y$212,N$17&amp;$C34,防護具!$Q$30:$Q$212))-M34,0)</f>
        <v>0</v>
      </c>
      <c r="O35" s="762">
        <f>IFERROR(
SUM(N35,SUMIF(防護具!$Y$30:$Y$212,O$17&amp;$C34,防護具!$Q$30:$Q$212))-N34,0)</f>
        <v>0</v>
      </c>
      <c r="P35" s="762">
        <f>IFERROR(
SUM(O35,SUMIF(防護具!$Y$30:$Y$212,P$17&amp;$C34,防護具!$Q$30:$Q$212))-O34,0)</f>
        <v>0</v>
      </c>
      <c r="Q35" s="762">
        <f>IFERROR(
SUM(P35,SUMIF(防護具!$Y$30:$Y$212,Q$17&amp;$C34,防護具!$Q$30:$Q$212))-P34,0)</f>
        <v>0</v>
      </c>
      <c r="R35" s="762">
        <f>IFERROR(
SUM(Q35,SUMIF(防護具!$Y$30:$Y$212,R$17&amp;$C34,防護具!$Q$30:$Q$212))-Q34,0)</f>
        <v>0</v>
      </c>
      <c r="S35" s="762">
        <f>IFERROR(
SUM(R35,SUMIF(防護具!$Y$30:$Y$212,S$17&amp;$C34,防護具!$Q$30:$Q$212))-R34,0)</f>
        <v>0</v>
      </c>
      <c r="T35" s="762">
        <f>IFERROR(
SUM(S35,SUMIF(防護具!$Y$30:$Y$212,T$17&amp;$C34,防護具!$Q$30:$Q$212))-S34,0)</f>
        <v>0</v>
      </c>
      <c r="U35" s="762">
        <f>IFERROR(
SUM(T35,SUMIF(防護具!$Y$30:$Y$212,U$17&amp;$C34,防護具!$Q$30:$Q$212))-T34,0)</f>
        <v>0</v>
      </c>
      <c r="V35" s="762">
        <f>IFERROR(
SUM(U35,SUMIF(防護具!$Y$30:$Y$212,V$17&amp;$C34,防護具!$Q$30:$Q$212))-U34,0)</f>
        <v>0</v>
      </c>
      <c r="W35" s="762">
        <f>IFERROR(
SUM(V35,SUMIF(防護具!$Y$30:$Y$212,W$17&amp;$C34,防護具!$Q$30:$Q$212))-V34,0)</f>
        <v>0</v>
      </c>
      <c r="X35" s="762">
        <f>IFERROR(
SUM(W35,SUMIF(防護具!$Y$30:$Y$212,X$17&amp;$C34,防護具!$Q$30:$Q$212))-W34,0)</f>
        <v>0</v>
      </c>
      <c r="Y35" s="762">
        <f>IFERROR(
SUM(X35,SUMIF(防護具!$Y$30:$Y$212,Y$17&amp;$C34,防護具!$Q$30:$Q$212))-X34,0)</f>
        <v>0</v>
      </c>
      <c r="Z35" s="762">
        <f>IFERROR(
SUM(Y35,SUMIF(防護具!$Y$30:$Y$212,Z$17&amp;$C34,防護具!$Q$30:$Q$212))-Y34,0)</f>
        <v>0</v>
      </c>
      <c r="AA35" s="762">
        <f>IFERROR(
SUM(Z35,SUMIF(防護具!$Y$30:$Y$212,AA$17&amp;$C34,防護具!$Q$30:$Q$212))-Z34,0)</f>
        <v>0</v>
      </c>
      <c r="AB35" s="762">
        <f>IFERROR(
SUM(AA35,SUMIF(防護具!$Y$30:$Y$212,AB$17&amp;$C34,防護具!$Q$30:$Q$212))-AA34,0)</f>
        <v>0</v>
      </c>
      <c r="AC35" s="762">
        <f>IFERROR(
SUM(AB35,SUMIF(防護具!$Y$30:$Y$212,AC$17&amp;$C34,防護具!$Q$30:$Q$212))-AB34,0)</f>
        <v>0</v>
      </c>
      <c r="AD35" s="762">
        <f>IFERROR(
SUM(AC35,SUMIF(防護具!$Y$30:$Y$212,AD$17&amp;$C34,防護具!$Q$30:$Q$212))-AC34,0)</f>
        <v>0</v>
      </c>
      <c r="AE35" s="762">
        <f>IFERROR(
SUM(AD35,SUMIF(防護具!$Y$30:$Y$212,AE$17&amp;$C34,防護具!$Q$30:$Q$212))-AD34,0)</f>
        <v>0</v>
      </c>
      <c r="AF35" s="762">
        <f>IFERROR(
SUM(AE35,SUMIF(防護具!$Y$30:$Y$212,AF$17&amp;$C34,防護具!$Q$30:$Q$212))-AE34,0)</f>
        <v>0</v>
      </c>
      <c r="AG35" s="762">
        <f>IFERROR(
SUM(AF35,SUMIF(防護具!$Y$30:$Y$212,AG$17&amp;$C34,防護具!$Q$30:$Q$212))-AF34,0)</f>
        <v>0</v>
      </c>
      <c r="AH35" s="762">
        <f>IFERROR(
SUM(AG35,SUMIF(防護具!$Y$30:$Y$212,AH$17&amp;$C34,防護具!$Q$30:$Q$212))-AG34,0)</f>
        <v>0</v>
      </c>
      <c r="AI35" s="762">
        <f>IFERROR(
SUM(AH35,SUMIF(防護具!$Y$30:$Y$212,AI$17&amp;$C34,防護具!$Q$30:$Q$212))-AH34,0)</f>
        <v>0</v>
      </c>
      <c r="AJ35" s="762">
        <f>IFERROR(
SUM(AI35,SUMIF(防護具!$Y$30:$Y$212,AJ$17&amp;$C34,防護具!$Q$30:$Q$212))-AI34,0)</f>
        <v>0</v>
      </c>
      <c r="AK35" s="762">
        <f>IFERROR(
SUM(AJ35,SUMIF(防護具!$Y$30:$Y$212,AK$17&amp;$C34,防護具!$Q$30:$Q$212))-AJ34,0)</f>
        <v>0</v>
      </c>
      <c r="AL35" s="762">
        <f>IFERROR(
SUM(AK35,SUMIF(防護具!$Y$30:$Y$212,AL$17&amp;$C34,防護具!$Q$30:$Q$212))-AK34,0)</f>
        <v>0</v>
      </c>
      <c r="AM35" s="762">
        <f>IFERROR(
SUM(AL35,SUMIF(防護具!$Y$30:$Y$212,AM$17&amp;$C34,防護具!$Q$30:$Q$212))-AL34,0)</f>
        <v>0</v>
      </c>
      <c r="AN35" s="762">
        <f>IFERROR(
SUM(AM35,SUMIF(防護具!$Y$30:$Y$212,AN$17&amp;$C34,防護具!$Q$30:$Q$212))-AM34,0)</f>
        <v>0</v>
      </c>
      <c r="AO35" s="762">
        <f>IFERROR(
SUM(AN35,SUMIF(防護具!$Y$30:$Y$212,AO$17&amp;$C34,防護具!$Q$30:$Q$212))-AN34,0)</f>
        <v>0</v>
      </c>
      <c r="AP35" s="762">
        <f>IFERROR(
SUM(AO35,SUMIF(防護具!$Y$30:$Y$212,AP$17&amp;$C34,防護具!$Q$30:$Q$212))-AO34,0)</f>
        <v>0</v>
      </c>
      <c r="AQ35" s="762">
        <f>IFERROR(
SUM(AP35,SUMIF(防護具!$Y$30:$Y$212,AQ$17&amp;$C34,防護具!$Q$30:$Q$212))-AP34,0)</f>
        <v>0</v>
      </c>
      <c r="AR35" s="762">
        <f>IFERROR(
SUM(AQ35,SUMIF(防護具!$Y$30:$Y$212,AR$17&amp;$C34,防護具!$Q$30:$Q$212))-AQ34,0)</f>
        <v>0</v>
      </c>
      <c r="AS35" s="762">
        <f>IFERROR(
SUM(AR35,SUMIF(防護具!$Y$30:$Y$212,AS$17&amp;$C34,防護具!$Q$30:$Q$212))-AR34,0)</f>
        <v>0</v>
      </c>
      <c r="AT35" s="762">
        <f>IFERROR(
SUM(AS35,SUMIF(防護具!$Y$30:$Y$212,AT$17&amp;$C34,防護具!$Q$30:$Q$212))-AS34,0)</f>
        <v>0</v>
      </c>
      <c r="AU35" s="762">
        <f>IFERROR(
SUM(AT35,SUMIF(防護具!$Y$30:$Y$212,AU$17&amp;$C34,防護具!$Q$30:$Q$212))-AT34,0)</f>
        <v>0</v>
      </c>
      <c r="AV35" s="762">
        <f>IFERROR(
SUM(AU35,SUMIF(防護具!$Y$30:$Y$212,AV$17&amp;$C34,防護具!$Q$30:$Q$212))-AU34,0)</f>
        <v>0</v>
      </c>
      <c r="AW35" s="762">
        <f>IFERROR(
SUM(AV35,SUMIF(防護具!$Y$30:$Y$212,AW$17&amp;$C34,防護具!$Q$30:$Q$212))-AV34,0)</f>
        <v>0</v>
      </c>
      <c r="AX35" s="762">
        <f>IFERROR(
SUM(AW35,SUMIF(防護具!$Y$30:$Y$212,AX$17&amp;$C34,防護具!$Q$30:$Q$212))-AW34,0)</f>
        <v>0</v>
      </c>
      <c r="AY35" s="762">
        <f>IFERROR(
SUM(AX35,SUMIF(防護具!$Y$30:$Y$212,AY$17&amp;$C34,防護具!$Q$30:$Q$212))-AX34,0)</f>
        <v>0</v>
      </c>
      <c r="AZ35" s="762">
        <f>IFERROR(
SUM(AY35,SUMIF(防護具!$Y$30:$Y$212,AZ$17&amp;$C34,防護具!$Q$30:$Q$212))-AY34,0)</f>
        <v>0</v>
      </c>
      <c r="BA35" s="762">
        <f>IFERROR(
SUM(AZ35,SUMIF(防護具!$Y$30:$Y$212,BA$17&amp;$C34,防護具!$Q$30:$Q$212))-AZ34,0)</f>
        <v>0</v>
      </c>
      <c r="BB35" s="762">
        <f>IFERROR(
SUM(BA35,SUMIF(防護具!$Y$30:$Y$212,BB$17&amp;$C34,防護具!$Q$30:$Q$212))-BA34,0)</f>
        <v>0</v>
      </c>
      <c r="BC35" s="762">
        <f>IFERROR(
SUM(BB35,SUMIF(防護具!$Y$30:$Y$212,BC$17&amp;$C34,防護具!$Q$30:$Q$212))-BB34,0)</f>
        <v>0</v>
      </c>
      <c r="BD35" s="762">
        <f>IFERROR(
SUM(BC35,SUMIF(防護具!$Y$30:$Y$212,BD$17&amp;$C34,防護具!$Q$30:$Q$212))-BC34,0)</f>
        <v>0</v>
      </c>
      <c r="BE35" s="762">
        <f>IFERROR(
SUM(BD35,SUMIF(防護具!$Y$30:$Y$212,BE$17&amp;$C34,防護具!$Q$30:$Q$212))-BD34,0)</f>
        <v>0</v>
      </c>
      <c r="BF35" s="762">
        <f>IFERROR(
SUM(BE35,SUMIF(防護具!$Y$30:$Y$212,BF$17&amp;$C34,防護具!$Q$30:$Q$212))-BE34,0)</f>
        <v>0</v>
      </c>
      <c r="BG35" s="762">
        <f>IFERROR(
SUM(BF35,SUMIF(防護具!$Y$30:$Y$212,BG$17&amp;$C34,防護具!$Q$30:$Q$212))-BF34,0)</f>
        <v>0</v>
      </c>
      <c r="BH35" s="762">
        <f>IFERROR(
SUM(BG35,SUMIF(防護具!$Y$30:$Y$212,BH$17&amp;$C34,防護具!$Q$30:$Q$212))-BG34,0)</f>
        <v>0</v>
      </c>
      <c r="BI35" s="762">
        <f>IFERROR(
SUM(BH35,SUMIF(防護具!$Y$30:$Y$212,BI$17&amp;$C34,防護具!$Q$30:$Q$212))-BH34,0)</f>
        <v>0</v>
      </c>
      <c r="BJ35" s="762">
        <f>IFERROR(
SUM(BI35,SUMIF(防護具!$Y$30:$Y$212,BJ$17&amp;$C34,防護具!$Q$30:$Q$212))-BI34,0)</f>
        <v>0</v>
      </c>
      <c r="BK35" s="762">
        <f>IFERROR(
SUM(BJ35,SUMIF(防護具!$Y$30:$Y$212,BK$17&amp;$C34,防護具!$Q$30:$Q$212))-BJ34,0)</f>
        <v>0</v>
      </c>
      <c r="BL35" s="762">
        <f>IFERROR(
SUM(BK35,SUMIF(防護具!$Y$30:$Y$212,BL$17&amp;$C34,防護具!$Q$30:$Q$212))-BK34,0)</f>
        <v>0</v>
      </c>
      <c r="BM35" s="762">
        <f>IFERROR(
SUM(BL35,SUMIF(防護具!$Y$30:$Y$212,BM$17&amp;$C34,防護具!$Q$30:$Q$212))-BL34,0)</f>
        <v>0</v>
      </c>
      <c r="BN35" s="762">
        <f>IFERROR(
SUM(BM35,SUMIF(防護具!$Y$30:$Y$212,BN$17&amp;$C34,防護具!$Q$30:$Q$212))-BM34,0)</f>
        <v>0</v>
      </c>
      <c r="BO35" s="762">
        <f>IFERROR(
SUM(BN35,SUMIF(防護具!$Y$30:$Y$212,BO$17&amp;$C34,防護具!$Q$30:$Q$212))-BN34,0)</f>
        <v>0</v>
      </c>
      <c r="BP35" s="762">
        <f>IFERROR(
SUM(BO35,SUMIF(防護具!$Y$30:$Y$212,BP$17&amp;$C34,防護具!$Q$30:$Q$212))-BO34,0)</f>
        <v>0</v>
      </c>
      <c r="BQ35" s="762">
        <f>IFERROR(
SUM(BP35,SUMIF(防護具!$Y$30:$Y$212,BQ$17&amp;$C34,防護具!$Q$30:$Q$212))-BP34,0)</f>
        <v>0</v>
      </c>
      <c r="BR35" s="762">
        <f>IFERROR(
SUM(BQ35,SUMIF(防護具!$Y$30:$Y$212,BR$17&amp;$C34,防護具!$Q$30:$Q$212))-BQ34,0)</f>
        <v>0</v>
      </c>
      <c r="BS35" s="762">
        <f>IFERROR(
SUM(BR35,SUMIF(防護具!$Y$30:$Y$212,BS$17&amp;$C34,防護具!$Q$30:$Q$212))-BR34,0)</f>
        <v>0</v>
      </c>
      <c r="BT35" s="762">
        <f>IFERROR(
SUM(BS35,SUMIF(防護具!$Y$30:$Y$212,BT$17&amp;$C34,防護具!$Q$30:$Q$212))-BS34,0)</f>
        <v>0</v>
      </c>
      <c r="BU35" s="762">
        <f>IFERROR(
SUM(BT35,SUMIF(防護具!$Y$30:$Y$212,BU$17&amp;$C34,防護具!$Q$30:$Q$212))-BT34,0)</f>
        <v>0</v>
      </c>
      <c r="BV35" s="762">
        <f>IFERROR(
SUM(BU35,SUMIF(防護具!$Y$30:$Y$212,BV$17&amp;$C34,防護具!$Q$30:$Q$212))-BU34,0)</f>
        <v>0</v>
      </c>
      <c r="BW35" s="762">
        <f>IFERROR(
SUM(BV35,SUMIF(防護具!$Y$30:$Y$212,BW$17&amp;$C34,防護具!$Q$30:$Q$212))-BV34,0)</f>
        <v>0</v>
      </c>
      <c r="BX35" s="762">
        <f>IFERROR(
SUM(BW35,SUMIF(防護具!$Y$30:$Y$212,BX$17&amp;$C34,防護具!$Q$30:$Q$212))-BW34,0)</f>
        <v>0</v>
      </c>
      <c r="BY35" s="762">
        <f>IFERROR(
SUM(BX35,SUMIF(防護具!$Y$30:$Y$212,BY$17&amp;$C34,防護具!$Q$30:$Q$212))-BX34,0)</f>
        <v>0</v>
      </c>
      <c r="BZ35" s="762">
        <f>IFERROR(
SUM(BY35,SUMIF(防護具!$Y$30:$Y$212,BZ$17&amp;$C34,防護具!$Q$30:$Q$212))-BY34,0)</f>
        <v>0</v>
      </c>
      <c r="CA35" s="762">
        <f>IFERROR(
SUM(BZ35,SUMIF(防護具!$Y$30:$Y$212,CA$17&amp;$C34,防護具!$Q$30:$Q$212))-BZ34,0)</f>
        <v>0</v>
      </c>
      <c r="CB35" s="762">
        <f>IFERROR(
SUM(CA35,SUMIF(防護具!$Y$30:$Y$212,CB$17&amp;$C34,防護具!$Q$30:$Q$212))-CA34,0)</f>
        <v>0</v>
      </c>
      <c r="CC35" s="762">
        <f>IFERROR(
SUM(CB35,SUMIF(防護具!$Y$30:$Y$212,CC$17&amp;$C34,防護具!$Q$30:$Q$212))-CB34,0)</f>
        <v>0</v>
      </c>
      <c r="CD35" s="762">
        <f>IFERROR(
SUM(CC35,SUMIF(防護具!$Y$30:$Y$212,CD$17&amp;$C34,防護具!$Q$30:$Q$212))-CC34,0)</f>
        <v>0</v>
      </c>
      <c r="CE35" s="762">
        <f>IFERROR(
SUM(CD35,SUMIF(防護具!$Y$30:$Y$212,CE$17&amp;$C34,防護具!$Q$30:$Q$212))-CD34,0)</f>
        <v>0</v>
      </c>
      <c r="CF35" s="762">
        <f>IFERROR(
SUM(CE35,SUMIF(防護具!$Y$30:$Y$212,CF$17&amp;$C34,防護具!$Q$30:$Q$212))-CE34,0)</f>
        <v>0</v>
      </c>
      <c r="CG35" s="762">
        <f>IFERROR(
SUM(CF35,SUMIF(防護具!$Y$30:$Y$212,CG$17&amp;$C34,防護具!$Q$30:$Q$212))-CF34,0)</f>
        <v>0</v>
      </c>
      <c r="CH35" s="762">
        <f>IFERROR(
SUM(CG35,SUMIF(防護具!$Y$30:$Y$212,CH$17&amp;$C34,防護具!$Q$30:$Q$212))-CG34,0)</f>
        <v>0</v>
      </c>
      <c r="CI35" s="762">
        <f>IFERROR(
SUM(CH35,SUMIF(防護具!$Y$30:$Y$212,CI$17&amp;$C34,防護具!$Q$30:$Q$212))-CH34,0)</f>
        <v>0</v>
      </c>
      <c r="CJ35" s="762">
        <f>IFERROR(
SUM(CI35,SUMIF(防護具!$Y$30:$Y$212,CJ$17&amp;$C34,防護具!$Q$30:$Q$212))-CI34,0)</f>
        <v>0</v>
      </c>
      <c r="CK35" s="762">
        <f>IFERROR(
SUM(CJ35,SUMIF(防護具!$Y$30:$Y$212,CK$17&amp;$C34,防護具!$Q$30:$Q$212))-CJ34,0)</f>
        <v>0</v>
      </c>
      <c r="CL35" s="762">
        <f>IFERROR(
SUM(CK35,SUMIF(防護具!$Y$30:$Y$212,CL$17&amp;$C34,防護具!$Q$30:$Q$212))-CK34,0)</f>
        <v>0</v>
      </c>
      <c r="CM35" s="762">
        <f>IFERROR(
SUM(CL35,SUMIF(防護具!$Y$30:$Y$212,CM$17&amp;$C34,防護具!$Q$30:$Q$212))-CL34,0)</f>
        <v>0</v>
      </c>
      <c r="CN35" s="762">
        <f>IFERROR(
SUM(CM35,SUMIF(防護具!$Y$30:$Y$212,CN$17&amp;$C34,防護具!$Q$30:$Q$212))-CM34,0)</f>
        <v>0</v>
      </c>
      <c r="CO35" s="762">
        <f>IFERROR(
SUM(CN35,SUMIF(防護具!$Y$30:$Y$212,CO$17&amp;$C34,防護具!$Q$30:$Q$212))-CN34,0)</f>
        <v>0</v>
      </c>
      <c r="CP35" s="762">
        <f>IFERROR(
SUM(CO35,SUMIF(防護具!$Y$30:$Y$212,CP$17&amp;$C34,防護具!$Q$30:$Q$212))-CO34,0)</f>
        <v>0</v>
      </c>
      <c r="CQ35" s="762">
        <f>IFERROR(
SUM(CP35,SUMIF(防護具!$Y$30:$Y$212,CQ$17&amp;$C34,防護具!$Q$30:$Q$212))-CP34,0)</f>
        <v>0</v>
      </c>
      <c r="CR35" s="762">
        <f>IFERROR(
SUM(CQ35,SUMIF(防護具!$Y$30:$Y$212,CR$17&amp;$C34,防護具!$Q$30:$Q$212))-CQ34,0)</f>
        <v>0</v>
      </c>
      <c r="CS35" s="762">
        <f>IFERROR(
SUM(CR35,SUMIF(防護具!$Y$30:$Y$212,CS$17&amp;$C34,防護具!$Q$30:$Q$212))-CR34,0)</f>
        <v>0</v>
      </c>
      <c r="CT35" s="762">
        <f>IFERROR(
SUM(CS35,SUMIF(防護具!$Y$30:$Y$212,CT$17&amp;$C34,防護具!$Q$30:$Q$212))-CS34,0)</f>
        <v>0</v>
      </c>
      <c r="CU35" s="762">
        <f>IFERROR(
SUM(CT35,SUMIF(防護具!$Y$30:$Y$212,CU$17&amp;$C34,防護具!$Q$30:$Q$212))-CT34,0)</f>
        <v>0</v>
      </c>
      <c r="CV35" s="762">
        <f>IFERROR(
SUM(CU35,SUMIF(防護具!$Y$30:$Y$212,CV$17&amp;$C34,防護具!$Q$30:$Q$212))-CU34,0)</f>
        <v>0</v>
      </c>
      <c r="CW35" s="762">
        <f>IFERROR(
SUM(CV35,SUMIF(防護具!$Y$30:$Y$212,CW$17&amp;$C34,防護具!$Q$30:$Q$212))-CV34,0)</f>
        <v>0</v>
      </c>
      <c r="CX35" s="762">
        <f>IFERROR(
SUM(CW35,SUMIF(防護具!$Y$30:$Y$212,CX$17&amp;$C34,防護具!$Q$30:$Q$212))-CW34,0)</f>
        <v>0</v>
      </c>
      <c r="CY35" s="762">
        <f>IFERROR(
SUM(CX35,SUMIF(防護具!$Y$30:$Y$212,CY$17&amp;$C34,防護具!$Q$30:$Q$212))-CX34,0)</f>
        <v>0</v>
      </c>
      <c r="CZ35" s="762">
        <f>IFERROR(
SUM(CY35,SUMIF(防護具!$Y$30:$Y$212,CZ$17&amp;$C34,防護具!$Q$30:$Q$212))-CY34,0)</f>
        <v>0</v>
      </c>
      <c r="DA35" s="762">
        <f>IFERROR(
SUM(CZ35,SUMIF(防護具!$Y$30:$Y$212,DA$17&amp;$C34,防護具!$Q$30:$Q$212))-CZ34,0)</f>
        <v>0</v>
      </c>
      <c r="DB35" s="762">
        <f>IFERROR(
SUM(DA35,SUMIF(防護具!$Y$30:$Y$212,DB$17&amp;$C34,防護具!$Q$30:$Q$212))-DA34,0)</f>
        <v>0</v>
      </c>
      <c r="DC35" s="762">
        <f>IFERROR(
SUM(DB35,SUMIF(防護具!$Y$30:$Y$212,DC$17&amp;$C34,防護具!$Q$30:$Q$212))-DB34,0)</f>
        <v>0</v>
      </c>
      <c r="DD35" s="762">
        <f>IFERROR(
SUM(DC35,SUMIF(防護具!$Y$30:$Y$212,DD$17&amp;$C34,防護具!$Q$30:$Q$212))-DC34,0)</f>
        <v>0</v>
      </c>
      <c r="DE35" s="762">
        <f>IFERROR(
SUM(DD35,SUMIF(防護具!$Y$30:$Y$212,DE$17&amp;$C34,防護具!$Q$30:$Q$212))-DD34,0)</f>
        <v>0</v>
      </c>
      <c r="DF35" s="762">
        <f>IFERROR(
SUM(DE35,SUMIF(防護具!$Y$30:$Y$212,DF$17&amp;$C34,防護具!$Q$30:$Q$212))-DE34,0)</f>
        <v>0</v>
      </c>
      <c r="DG35" s="762">
        <f>IFERROR(
SUM(DF35,SUMIF(防護具!$Y$30:$Y$212,DG$17&amp;$C34,防護具!$Q$30:$Q$212))-DF34,0)</f>
        <v>0</v>
      </c>
      <c r="DH35" s="762">
        <f>IFERROR(
SUM(DG35,SUMIF(防護具!$Y$30:$Y$212,DH$17&amp;$C34,防護具!$Q$30:$Q$212))-DG34,0)</f>
        <v>0</v>
      </c>
      <c r="DI35" s="762">
        <f>IFERROR(
SUM(DH35,SUMIF(防護具!$Y$30:$Y$212,DI$17&amp;$C34,防護具!$Q$30:$Q$212))-DH34,0)</f>
        <v>0</v>
      </c>
      <c r="DJ35" s="762">
        <f>IFERROR(
SUM(DI35,SUMIF(防護具!$Y$30:$Y$212,DJ$17&amp;$C34,防護具!$Q$30:$Q$212))-DI34,0)</f>
        <v>0</v>
      </c>
      <c r="DK35" s="762">
        <f>IFERROR(
SUM(DJ35,SUMIF(防護具!$Y$30:$Y$212,DK$17&amp;$C34,防護具!$Q$30:$Q$212))-DJ34,0)</f>
        <v>0</v>
      </c>
      <c r="DL35" s="762">
        <f>IFERROR(
SUM(DK35,SUMIF(防護具!$Y$30:$Y$212,DL$17&amp;$C34,防護具!$Q$30:$Q$212))-DK34,0)</f>
        <v>0</v>
      </c>
      <c r="DM35" s="762">
        <f>IFERROR(
SUM(DL35,SUMIF(防護具!$Y$30:$Y$212,DM$17&amp;$C34,防護具!$Q$30:$Q$212))-DL34,0)</f>
        <v>0</v>
      </c>
      <c r="DN35" s="762">
        <f>IFERROR(
SUM(DM35,SUMIF(防護具!$Y$30:$Y$212,DN$17&amp;$C34,防護具!$Q$30:$Q$212))-DM34,0)</f>
        <v>0</v>
      </c>
      <c r="DO35" s="762">
        <f>IFERROR(
SUM(DN35,SUMIF(防護具!$Y$30:$Y$212,DO$17&amp;$C34,防護具!$Q$30:$Q$212))-DN34,0)</f>
        <v>0</v>
      </c>
      <c r="DP35" s="762">
        <f>IFERROR(
SUM(DO35,SUMIF(防護具!$Y$30:$Y$212,DP$17&amp;$C34,防護具!$Q$30:$Q$212))-DO34,0)</f>
        <v>0</v>
      </c>
      <c r="DQ35" s="762">
        <f>IFERROR(
SUM(DP35,SUMIF(防護具!$Y$30:$Y$212,DQ$17&amp;$C34,防護具!$Q$30:$Q$212))-DP34,0)</f>
        <v>0</v>
      </c>
      <c r="DR35" s="762">
        <f>IFERROR(
SUM(DQ35,SUMIF(防護具!$Y$30:$Y$212,DR$17&amp;$C34,防護具!$Q$30:$Q$212))-DQ34,0)</f>
        <v>0</v>
      </c>
      <c r="DS35" s="762">
        <f>IFERROR(
SUM(DR35,SUMIF(防護具!$Y$30:$Y$212,DS$17&amp;$C34,防護具!$Q$30:$Q$212))-DR34,0)</f>
        <v>0</v>
      </c>
      <c r="DT35" s="762">
        <f>IFERROR(
SUM(DS35,SUMIF(防護具!$Y$30:$Y$212,DT$17&amp;$C34,防護具!$Q$30:$Q$212))-DS34,0)</f>
        <v>0</v>
      </c>
      <c r="DU35" s="762">
        <f>IFERROR(
SUM(DT35,SUMIF(防護具!$Y$30:$Y$212,DU$17&amp;$C34,防護具!$Q$30:$Q$212))-DT34,0)</f>
        <v>0</v>
      </c>
      <c r="DV35" s="762">
        <f>IFERROR(
SUM(DU35,SUMIF(防護具!$Y$30:$Y$212,DV$17&amp;$C34,防護具!$Q$30:$Q$212))-DU34,0)</f>
        <v>0</v>
      </c>
      <c r="DW35" s="762">
        <f>IFERROR(
SUM(DV35,SUMIF(防護具!$Y$30:$Y$212,DW$17&amp;$C34,防護具!$Q$30:$Q$212))-DV34,0)</f>
        <v>0</v>
      </c>
      <c r="DX35" s="762">
        <f>IFERROR(
SUM(DW35,SUMIF(防護具!$Y$30:$Y$212,DX$17&amp;$C34,防護具!$Q$30:$Q$212))-DW34,0)</f>
        <v>0</v>
      </c>
      <c r="DY35" s="762">
        <f>IFERROR(
SUM(DX35,SUMIF(防護具!$Y$30:$Y$212,DY$17&amp;$C34,防護具!$Q$30:$Q$212))-DX34,0)</f>
        <v>0</v>
      </c>
      <c r="DZ35" s="762">
        <f>IFERROR(
SUM(DY35,SUMIF(防護具!$Y$30:$Y$212,DZ$17&amp;$C34,防護具!$Q$30:$Q$212))-DY34,0)</f>
        <v>0</v>
      </c>
      <c r="EA35" s="762">
        <f>IFERROR(
SUM(DZ35,SUMIF(防護具!$Y$30:$Y$212,EA$17&amp;$C34,防護具!$Q$30:$Q$212))-DZ34,0)</f>
        <v>0</v>
      </c>
      <c r="EB35" s="762">
        <f>IFERROR(
SUM(EA35,SUMIF(防護具!$Y$30:$Y$212,EB$17&amp;$C34,防護具!$Q$30:$Q$212))-EA34,0)</f>
        <v>0</v>
      </c>
      <c r="EC35" s="762">
        <f>IFERROR(
SUM(EB35,SUMIF(防護具!$Y$30:$Y$212,EC$17&amp;$C34,防護具!$Q$30:$Q$212))-EB34,0)</f>
        <v>0</v>
      </c>
      <c r="ED35" s="762">
        <f>IFERROR(
SUM(EC35,SUMIF(防護具!$Y$30:$Y$212,ED$17&amp;$C34,防護具!$Q$30:$Q$212))-EC34,0)</f>
        <v>0</v>
      </c>
      <c r="EE35" s="762">
        <f>IFERROR(
SUM(ED35,SUMIF(防護具!$Y$30:$Y$212,EE$17&amp;$C34,防護具!$Q$30:$Q$212))-ED34,0)</f>
        <v>0</v>
      </c>
      <c r="EF35" s="762">
        <f>IFERROR(
SUM(EE35,SUMIF(防護具!$Y$30:$Y$212,EF$17&amp;$C34,防護具!$Q$30:$Q$212))-EE34,0)</f>
        <v>0</v>
      </c>
      <c r="EG35" s="762">
        <f>IFERROR(
SUM(EF35,SUMIF(防護具!$Y$30:$Y$212,EG$17&amp;$C34,防護具!$Q$30:$Q$212))-EF34,0)</f>
        <v>0</v>
      </c>
      <c r="EH35" s="762">
        <f>IFERROR(
SUM(EG35,SUMIF(防護具!$Y$30:$Y$212,EH$17&amp;$C34,防護具!$Q$30:$Q$212))-EG34,0)</f>
        <v>0</v>
      </c>
      <c r="EI35" s="762">
        <f>IFERROR(
SUM(EH35,SUMIF(防護具!$Y$30:$Y$212,EI$17&amp;$C34,防護具!$Q$30:$Q$212))-EH34,0)</f>
        <v>0</v>
      </c>
      <c r="EJ35" s="762">
        <f>IFERROR(
SUM(EI35,SUMIF(防護具!$Y$30:$Y$212,EJ$17&amp;$C34,防護具!$Q$30:$Q$212))-EI34,0)</f>
        <v>0</v>
      </c>
      <c r="EK35" s="762">
        <f>IFERROR(
SUM(EJ35,SUMIF(防護具!$Y$30:$Y$212,EK$17&amp;$C34,防護具!$Q$30:$Q$212))-EJ34,0)</f>
        <v>0</v>
      </c>
      <c r="EL35" s="762">
        <f>IFERROR(
SUM(EK35,SUMIF(防護具!$Y$30:$Y$212,EL$17&amp;$C34,防護具!$Q$30:$Q$212))-EK34,0)</f>
        <v>0</v>
      </c>
      <c r="EM35" s="762">
        <f>IFERROR(
SUM(EL35,SUMIF(防護具!$Y$30:$Y$212,EM$17&amp;$C34,防護具!$Q$30:$Q$212))-EL34,0)</f>
        <v>0</v>
      </c>
      <c r="EN35" s="762">
        <f>IFERROR(
SUM(EM35,SUMIF(防護具!$Y$30:$Y$212,EN$17&amp;$C34,防護具!$Q$30:$Q$212))-EM34,0)</f>
        <v>0</v>
      </c>
      <c r="EO35" s="762">
        <f>IFERROR(
SUM(EN35,SUMIF(防護具!$Y$30:$Y$212,EO$17&amp;$C34,防護具!$Q$30:$Q$212))-EN34,0)</f>
        <v>0</v>
      </c>
      <c r="EP35" s="762">
        <f>IFERROR(
SUM(EO35,SUMIF(防護具!$Y$30:$Y$212,EP$17&amp;$C34,防護具!$Q$30:$Q$212))-EO34,0)</f>
        <v>0</v>
      </c>
      <c r="EQ35" s="762">
        <f>IFERROR(
SUM(EP35,SUMIF(防護具!$Y$30:$Y$212,EQ$17&amp;$C34,防護具!$Q$30:$Q$212))-EP34,0)</f>
        <v>0</v>
      </c>
      <c r="ER35" s="762">
        <f>IFERROR(
SUM(EQ35,SUMIF(防護具!$Y$30:$Y$212,ER$17&amp;$C34,防護具!$Q$30:$Q$212))-EQ34,0)</f>
        <v>0</v>
      </c>
      <c r="ES35" s="762">
        <f>IFERROR(
SUM(ER35,SUMIF(防護具!$Y$30:$Y$212,ES$17&amp;$C34,防護具!$Q$30:$Q$212))-ER34,0)</f>
        <v>0</v>
      </c>
      <c r="ET35" s="762">
        <f>IFERROR(
SUM(ES35,SUMIF(防護具!$Y$30:$Y$212,ET$17&amp;$C34,防護具!$Q$30:$Q$212))-ES34,0)</f>
        <v>0</v>
      </c>
      <c r="EU35" s="762">
        <f>IFERROR(
SUM(ET35,SUMIF(防護具!$Y$30:$Y$212,EU$17&amp;$C34,防護具!$Q$30:$Q$212))-ET34,0)</f>
        <v>0</v>
      </c>
      <c r="EV35" s="762">
        <f>IFERROR(
SUM(EU35,SUMIF(防護具!$Y$30:$Y$212,EV$17&amp;$C34,防護具!$Q$30:$Q$212))-EU34,0)</f>
        <v>0</v>
      </c>
      <c r="EW35" s="762">
        <f>IFERROR(
SUM(EV35,SUMIF(防護具!$Y$30:$Y$212,EW$17&amp;$C34,防護具!$Q$30:$Q$212))-EV34,0)</f>
        <v>0</v>
      </c>
      <c r="EX35" s="762">
        <f>IFERROR(
SUM(EW35,SUMIF(防護具!$Y$30:$Y$212,EX$17&amp;$C34,防護具!$Q$30:$Q$212))-EW34,0)</f>
        <v>0</v>
      </c>
      <c r="EY35" s="762">
        <f>IFERROR(
SUM(EX35,SUMIF(防護具!$Y$30:$Y$212,EY$17&amp;$C34,防護具!$Q$30:$Q$212))-EX34,0)</f>
        <v>0</v>
      </c>
      <c r="EZ35" s="762">
        <f>IFERROR(
SUM(EY35,SUMIF(防護具!$Y$30:$Y$212,EZ$17&amp;$C34,防護具!$Q$30:$Q$212))-EY34,0)</f>
        <v>0</v>
      </c>
      <c r="FA35" s="762">
        <f>IFERROR(
SUM(EZ35,SUMIF(防護具!$Y$30:$Y$212,FA$17&amp;$C34,防護具!$Q$30:$Q$212))-EZ34,0)</f>
        <v>0</v>
      </c>
      <c r="FB35" s="762">
        <f>IFERROR(
SUM(FA35,SUMIF(防護具!$Y$30:$Y$212,FB$17&amp;$C34,防護具!$Q$30:$Q$212))-FA34,0)</f>
        <v>0</v>
      </c>
      <c r="FC35" s="762">
        <f>IFERROR(
SUM(FB35,SUMIF(防護具!$Y$30:$Y$212,FC$17&amp;$C34,防護具!$Q$30:$Q$212))-FB34,0)</f>
        <v>0</v>
      </c>
      <c r="FD35" s="762">
        <f>IFERROR(
SUM(FC35,SUMIF(防護具!$Y$30:$Y$212,FD$17&amp;$C34,防護具!$Q$30:$Q$212))-FC34,0)</f>
        <v>0</v>
      </c>
      <c r="FE35" s="762">
        <f>IFERROR(
SUM(FD35,SUMIF(防護具!$Y$30:$Y$212,FE$17&amp;$C34,防護具!$Q$30:$Q$212))-FD34,0)</f>
        <v>0</v>
      </c>
      <c r="FF35" s="762">
        <f>IFERROR(
SUM(FE35,SUMIF(防護具!$Y$30:$Y$212,FF$17&amp;$C34,防護具!$Q$30:$Q$212))-FE34,0)</f>
        <v>0</v>
      </c>
      <c r="FG35" s="762">
        <f>IFERROR(
SUM(FF35,SUMIF(防護具!$Y$30:$Y$212,FG$17&amp;$C34,防護具!$Q$30:$Q$212))-FF34,0)</f>
        <v>0</v>
      </c>
      <c r="FH35" s="762">
        <f>IFERROR(
SUM(FG35,SUMIF(防護具!$Y$30:$Y$212,FH$17&amp;$C34,防護具!$Q$30:$Q$212))-FG34,0)</f>
        <v>0</v>
      </c>
      <c r="FI35" s="762">
        <f>IFERROR(
SUM(FH35,SUMIF(防護具!$Y$30:$Y$212,FI$17&amp;$C34,防護具!$Q$30:$Q$212))-FH34,0)</f>
        <v>0</v>
      </c>
      <c r="FJ35" s="762">
        <f>IFERROR(
SUM(FI35,SUMIF(防護具!$Y$30:$Y$212,FJ$17&amp;$C34,防護具!$Q$30:$Q$212))-FI34,0)</f>
        <v>0</v>
      </c>
      <c r="FK35" s="762">
        <f>IFERROR(
SUM(FJ35,SUMIF(防護具!$Y$30:$Y$212,FK$17&amp;$C34,防護具!$Q$30:$Q$212))-FJ34,0)</f>
        <v>0</v>
      </c>
      <c r="FL35" s="762">
        <f>IFERROR(
SUM(FK35,SUMIF(防護具!$Y$30:$Y$212,FL$17&amp;$C34,防護具!$Q$30:$Q$212))-FK34,0)</f>
        <v>0</v>
      </c>
      <c r="FM35" s="762">
        <f>IFERROR(
SUM(FL35,SUMIF(防護具!$Y$30:$Y$212,FM$17&amp;$C34,防護具!$Q$30:$Q$212))-FL34,0)</f>
        <v>0</v>
      </c>
      <c r="FN35" s="762">
        <f>IFERROR(
SUM(FM35,SUMIF(防護具!$Y$30:$Y$212,FN$17&amp;$C34,防護具!$Q$30:$Q$212))-FM34,0)</f>
        <v>0</v>
      </c>
      <c r="FO35" s="762">
        <f>IFERROR(
SUM(FN35,SUMIF(防護具!$Y$30:$Y$212,FO$17&amp;$C34,防護具!$Q$30:$Q$212))-FN34,0)</f>
        <v>0</v>
      </c>
      <c r="FP35" s="762">
        <f>IFERROR(
SUM(FO35,SUMIF(防護具!$Y$30:$Y$212,FP$17&amp;$C34,防護具!$Q$30:$Q$212))-FO34,0)</f>
        <v>0</v>
      </c>
      <c r="FQ35" s="762">
        <f>IFERROR(
SUM(FP35,SUMIF(防護具!$Y$30:$Y$212,FQ$17&amp;$C34,防護具!$Q$30:$Q$212))-FP34,0)</f>
        <v>0</v>
      </c>
      <c r="FR35" s="762">
        <f>IFERROR(
SUM(FQ35,SUMIF(防護具!$Y$30:$Y$212,FR$17&amp;$C34,防護具!$Q$30:$Q$212))-FQ34,0)</f>
        <v>0</v>
      </c>
      <c r="FS35" s="762">
        <f>IFERROR(
SUM(FR35,SUMIF(防護具!$Y$30:$Y$212,FS$17&amp;$C34,防護具!$Q$30:$Q$212))-FR34,0)</f>
        <v>0</v>
      </c>
      <c r="FT35" s="762">
        <f>IFERROR(
SUM(FS35,SUMIF(防護具!$Y$30:$Y$212,FT$17&amp;$C34,防護具!$Q$30:$Q$212))-FS34,0)</f>
        <v>0</v>
      </c>
      <c r="FU35" s="762">
        <f>IFERROR(
SUM(FT35,SUMIF(防護具!$Y$30:$Y$212,FU$17&amp;$C34,防護具!$Q$30:$Q$212))-FT34,0)</f>
        <v>0</v>
      </c>
      <c r="FV35" s="762">
        <f>IFERROR(
SUM(FU35,SUMIF(防護具!$Y$30:$Y$212,FV$17&amp;$C34,防護具!$Q$30:$Q$212))-FU34,0)</f>
        <v>0</v>
      </c>
      <c r="FW35" s="762">
        <f>IFERROR(
SUM(FV35,SUMIF(防護具!$Y$30:$Y$212,FW$17&amp;$C34,防護具!$Q$30:$Q$212))-FV34,0)</f>
        <v>0</v>
      </c>
      <c r="FX35" s="762">
        <f>IFERROR(
SUM(FW35,SUMIF(防護具!$Y$30:$Y$212,FX$17&amp;$C34,防護具!$Q$30:$Q$212))-FW34,0)</f>
        <v>0</v>
      </c>
      <c r="FY35" s="762">
        <f>IFERROR(
SUM(FX35,SUMIF(防護具!$Y$30:$Y$212,FY$17&amp;$C34,防護具!$Q$30:$Q$212))-FX34,0)</f>
        <v>0</v>
      </c>
      <c r="FZ35" s="762">
        <f>IFERROR(
SUM(FY35,SUMIF(防護具!$Y$30:$Y$212,FZ$17&amp;$C34,防護具!$Q$30:$Q$212))-FY34,0)</f>
        <v>0</v>
      </c>
      <c r="GA35" s="762">
        <f>IFERROR(
SUM(FZ35,SUMIF(防護具!$Y$30:$Y$212,GA$17&amp;$C34,防護具!$Q$30:$Q$212))-FZ34,0)</f>
        <v>0</v>
      </c>
      <c r="GB35" s="762">
        <f>IFERROR(
SUM(GA35,SUMIF(防護具!$Y$30:$Y$212,GB$17&amp;$C34,防護具!$Q$30:$Q$212))-GA34,0)</f>
        <v>0</v>
      </c>
      <c r="GC35" s="762">
        <f>IFERROR(
SUM(GB35,SUMIF(防護具!$Y$30:$Y$212,GC$17&amp;$C34,防護具!$Q$30:$Q$212))-GB34,0)</f>
        <v>0</v>
      </c>
      <c r="GD35" s="762">
        <f>IFERROR(
SUM(GC35,SUMIF(防護具!$Y$30:$Y$212,GD$17&amp;$C34,防護具!$Q$30:$Q$212))-GC34,0)</f>
        <v>0</v>
      </c>
      <c r="GE35" s="762">
        <f>IFERROR(
SUM(GD35,SUMIF(防護具!$Y$30:$Y$212,GE$17&amp;$C34,防護具!$Q$30:$Q$212))-GD34,0)</f>
        <v>0</v>
      </c>
      <c r="GF35" s="762">
        <f>IFERROR(
SUM(GE35,SUMIF(防護具!$Y$30:$Y$212,GF$17&amp;$C34,防護具!$Q$30:$Q$212))-GE34,0)</f>
        <v>0</v>
      </c>
      <c r="GG35" s="762">
        <f>IFERROR(
SUM(GF35,SUMIF(防護具!$Y$30:$Y$212,GG$17&amp;$C34,防護具!$Q$30:$Q$212))-GF34,0)</f>
        <v>0</v>
      </c>
      <c r="GH35" s="762">
        <f>IFERROR(
SUM(GG35,SUMIF(防護具!$Y$30:$Y$212,GH$17&amp;$C34,防護具!$Q$30:$Q$212))-GG34,0)</f>
        <v>0</v>
      </c>
      <c r="GI35" s="762">
        <f>IFERROR(
SUM(GH35,SUMIF(防護具!$Y$30:$Y$212,GI$17&amp;$C34,防護具!$Q$30:$Q$212))-GH34,0)</f>
        <v>0</v>
      </c>
      <c r="GJ35" s="762">
        <f>IFERROR(
SUM(GI35,SUMIF(防護具!$Y$30:$Y$212,GJ$17&amp;$C34,防護具!$Q$30:$Q$212))-GI34,0)</f>
        <v>0</v>
      </c>
    </row>
    <row r="36" spans="2:192" s="632" customFormat="1">
      <c r="B36" s="633"/>
      <c r="C36" s="625"/>
      <c r="D36" s="701" t="s">
        <v>1425</v>
      </c>
      <c r="E36" s="706"/>
      <c r="F36" s="653"/>
      <c r="G36" s="762">
        <f xml:space="preserve">
IF(
SUM(SUMIF(防護具!$Y$13:$Y$29,G$17&amp;$C34,防護具!$Q$13:$Q$29),F36)-VLOOKUP($C34,$C$3:$D$15,2,FALSE)*F32&lt;0,0,
SUM(SUMIF(防護具!$Y$13:$Y$29,G$17&amp;$C34,防護具!$Q$13:$Q$29),F36)-VLOOKUP($C34,$C$3:$D$15,2,FALSE)*F32)</f>
        <v>0</v>
      </c>
      <c r="H36" s="762">
        <f xml:space="preserve">
IF(
SUM(SUMIF(防護具!$Y$13:$Y$29,H$17&amp;$C34,防護具!$Q$13:$Q$29),G36)-VLOOKUP($C34,$C$3:$D$15,2,FALSE)*G32&lt;0,0,
SUM(SUMIF(防護具!$Y$13:$Y$29,H$17&amp;$C34,防護具!$Q$13:$Q$29),G36)-VLOOKUP($C34,$C$3:$D$15,2,FALSE)*G32)</f>
        <v>0</v>
      </c>
      <c r="I36" s="762">
        <f xml:space="preserve">
IF(
SUM(SUMIF(防護具!$Y$13:$Y$29,I$17&amp;$C34,防護具!$Q$13:$Q$29),H36)-VLOOKUP($C34,$C$3:$D$15,2,FALSE)*H32&lt;0,0,
SUM(SUMIF(防護具!$Y$13:$Y$29,I$17&amp;$C34,防護具!$Q$13:$Q$29),H36)-VLOOKUP($C34,$C$3:$D$15,2,FALSE)*H32)</f>
        <v>0</v>
      </c>
      <c r="J36" s="762">
        <f xml:space="preserve">
IF(
SUM(SUMIF(防護具!$Y$13:$Y$29,J$17&amp;$C34,防護具!$Q$13:$Q$29),I36)-VLOOKUP($C34,$C$3:$D$15,2,FALSE)*I32&lt;0,0,
SUM(SUMIF(防護具!$Y$13:$Y$29,J$17&amp;$C34,防護具!$Q$13:$Q$29),I36)-VLOOKUP($C34,$C$3:$D$15,2,FALSE)*I32)</f>
        <v>0</v>
      </c>
      <c r="K36" s="762">
        <f xml:space="preserve">
IF(
SUM(SUMIF(防護具!$Y$13:$Y$29,K$17&amp;$C34,防護具!$Q$13:$Q$29),J36)-VLOOKUP($C34,$C$3:$D$15,2,FALSE)*J32&lt;0,0,
SUM(SUMIF(防護具!$Y$13:$Y$29,K$17&amp;$C34,防護具!$Q$13:$Q$29),J36)-VLOOKUP($C34,$C$3:$D$15,2,FALSE)*J32)</f>
        <v>0</v>
      </c>
      <c r="L36" s="762">
        <f xml:space="preserve">
IF(
SUM(SUMIF(防護具!$Y$13:$Y$29,L$17&amp;$C34,防護具!$Q$13:$Q$29),K36)-VLOOKUP($C34,$C$3:$D$15,2,FALSE)*K32&lt;0,0,
SUM(SUMIF(防護具!$Y$13:$Y$29,L$17&amp;$C34,防護具!$Q$13:$Q$29),K36)-VLOOKUP($C34,$C$3:$D$15,2,FALSE)*K32)</f>
        <v>0</v>
      </c>
      <c r="M36" s="762">
        <f xml:space="preserve">
IF(
SUM(SUMIF(防護具!$Y$13:$Y$29,M$17&amp;$C34,防護具!$Q$13:$Q$29),L36)-VLOOKUP($C34,$C$3:$D$15,2,FALSE)*L32&lt;0,0,
SUM(SUMIF(防護具!$Y$13:$Y$29,M$17&amp;$C34,防護具!$Q$13:$Q$29),L36)-VLOOKUP($C34,$C$3:$D$15,2,FALSE)*L32)</f>
        <v>0</v>
      </c>
      <c r="N36" s="762">
        <f xml:space="preserve">
IF(
SUM(SUMIF(防護具!$Y$13:$Y$29,N$17&amp;$C34,防護具!$Q$13:$Q$29),M36)-VLOOKUP($C34,$C$3:$D$15,2,FALSE)*M32&lt;0,0,
SUM(SUMIF(防護具!$Y$13:$Y$29,N$17&amp;$C34,防護具!$Q$13:$Q$29),M36)-VLOOKUP($C34,$C$3:$D$15,2,FALSE)*M32)</f>
        <v>0</v>
      </c>
      <c r="O36" s="762">
        <f xml:space="preserve">
IF(
SUM(SUMIF(防護具!$Y$13:$Y$29,O$17&amp;$C34,防護具!$Q$13:$Q$29),N36)-VLOOKUP($C34,$C$3:$D$15,2,FALSE)*N32&lt;0,0,
SUM(SUMIF(防護具!$Y$13:$Y$29,O$17&amp;$C34,防護具!$Q$13:$Q$29),N36)-VLOOKUP($C34,$C$3:$D$15,2,FALSE)*N32)</f>
        <v>0</v>
      </c>
      <c r="P36" s="762">
        <f xml:space="preserve">
IF(
SUM(SUMIF(防護具!$Y$13:$Y$29,P$17&amp;$C34,防護具!$Q$13:$Q$29),O36)-VLOOKUP($C34,$C$3:$D$15,2,FALSE)*O32&lt;0,0,
SUM(SUMIF(防護具!$Y$13:$Y$29,P$17&amp;$C34,防護具!$Q$13:$Q$29),O36)-VLOOKUP($C34,$C$3:$D$15,2,FALSE)*O32)</f>
        <v>0</v>
      </c>
      <c r="Q36" s="762">
        <f xml:space="preserve">
IF(
SUM(SUMIF(防護具!$Y$13:$Y$29,Q$17&amp;$C34,防護具!$Q$13:$Q$29),P36)-VLOOKUP($C34,$C$3:$D$15,2,FALSE)*P$20&lt;0,0,
SUM(SUMIF(防護具!$Y$13:$Y$29,Q$17&amp;$C34,防護具!$Q$13:$Q$29),P36)-VLOOKUP($C34,$C$3:$D$15,2,FALSE)*P$20)</f>
        <v>0</v>
      </c>
      <c r="R36" s="762">
        <f xml:space="preserve">
IF(
SUM(SUMIF(防護具!$Y$13:$Y$29,R$17&amp;$C34,防護具!$Q$13:$Q$29),Q36)-VLOOKUP($C34,$C$3:$D$15,2,FALSE)*Q$20&lt;0,0,
SUM(SUMIF(防護具!$Y$13:$Y$29,R$17&amp;$C34,防護具!$Q$13:$Q$29),Q36)-VLOOKUP($C34,$C$3:$D$15,2,FALSE)*Q$20)</f>
        <v>0</v>
      </c>
      <c r="S36" s="762">
        <f xml:space="preserve">
IF(
SUM(SUMIF(防護具!$Y$13:$Y$29,S$17&amp;$C34,防護具!$Q$13:$Q$29),R36)-VLOOKUP($C34,$C$3:$D$15,2,FALSE)*R$20&lt;0,0,
SUM(SUMIF(防護具!$Y$13:$Y$29,S$17&amp;$C34,防護具!$Q$13:$Q$29),R36)-VLOOKUP($C34,$C$3:$D$15,2,FALSE)*R$20)</f>
        <v>0</v>
      </c>
      <c r="T36" s="762">
        <f xml:space="preserve">
IF(
SUM(SUMIF(防護具!$Y$13:$Y$29,T$17&amp;$C34,防護具!$Q$13:$Q$29),S36)-VLOOKUP($C34,$C$3:$D$15,2,FALSE)*S$20&lt;0,0,
SUM(SUMIF(防護具!$Y$13:$Y$29,T$17&amp;$C34,防護具!$Q$13:$Q$29),S36)-VLOOKUP($C34,$C$3:$D$15,2,FALSE)*S$20)</f>
        <v>0</v>
      </c>
      <c r="U36" s="762">
        <f xml:space="preserve">
IF(
SUM(SUMIF(防護具!$Y$13:$Y$29,U$17&amp;$C34,防護具!$Q$13:$Q$29),T36)-VLOOKUP($C34,$C$3:$D$15,2,FALSE)*T$20&lt;0,0,
SUM(SUMIF(防護具!$Y$13:$Y$29,U$17&amp;$C34,防護具!$Q$13:$Q$29),T36)-VLOOKUP($C34,$C$3:$D$15,2,FALSE)*T$20)</f>
        <v>0</v>
      </c>
      <c r="V36" s="762">
        <f xml:space="preserve">
IF(
SUM(SUMIF(防護具!$Y$13:$Y$29,V$17&amp;$C34,防護具!$Q$13:$Q$29),U36)-VLOOKUP($C34,$C$3:$D$15,2,FALSE)*U$20&lt;0,0,
SUM(SUMIF(防護具!$Y$13:$Y$29,V$17&amp;$C34,防護具!$Q$13:$Q$29),U36)-VLOOKUP($C34,$C$3:$D$15,2,FALSE)*U$20)</f>
        <v>0</v>
      </c>
      <c r="W36" s="762">
        <f xml:space="preserve">
IF(
SUM(SUMIF(防護具!$Y$13:$Y$29,W$17&amp;$C34,防護具!$Q$13:$Q$29),V36)-VLOOKUP($C34,$C$3:$D$15,2,FALSE)*V$20&lt;0,0,
SUM(SUMIF(防護具!$Y$13:$Y$29,W$17&amp;$C34,防護具!$Q$13:$Q$29),V36)-VLOOKUP($C34,$C$3:$D$15,2,FALSE)*V$20)</f>
        <v>0</v>
      </c>
      <c r="X36" s="762">
        <f xml:space="preserve">
IF(
SUM(SUMIF(防護具!$Y$13:$Y$29,X$17&amp;$C34,防護具!$Q$13:$Q$29),W36)-VLOOKUP($C34,$C$3:$D$15,2,FALSE)*W$20&lt;0,0,
SUM(SUMIF(防護具!$Y$13:$Y$29,X$17&amp;$C34,防護具!$Q$13:$Q$29),W36)-VLOOKUP($C34,$C$3:$D$15,2,FALSE)*W$20)</f>
        <v>0</v>
      </c>
      <c r="Y36" s="762">
        <f xml:space="preserve">
IF(
SUM(SUMIF(防護具!$Y$13:$Y$29,Y$17&amp;$C34,防護具!$Q$13:$Q$29),X36)-VLOOKUP($C34,$C$3:$D$15,2,FALSE)*X$20&lt;0,0,
SUM(SUMIF(防護具!$Y$13:$Y$29,Y$17&amp;$C34,防護具!$Q$13:$Q$29),X36)-VLOOKUP($C34,$C$3:$D$15,2,FALSE)*X$20)</f>
        <v>0</v>
      </c>
      <c r="Z36" s="762">
        <f xml:space="preserve">
IF(
SUM(SUMIF(防護具!$Y$13:$Y$29,Z$17&amp;$C34,防護具!$Q$13:$Q$29),Y36)-VLOOKUP($C34,$C$3:$D$15,2,FALSE)*Y$20&lt;0,0,
SUM(SUMIF(防護具!$Y$13:$Y$29,Z$17&amp;$C34,防護具!$Q$13:$Q$29),Y36)-VLOOKUP($C34,$C$3:$D$15,2,FALSE)*Y$20)</f>
        <v>0</v>
      </c>
      <c r="AA36" s="762">
        <f xml:space="preserve">
IF(
SUM(SUMIF(防護具!$Y$13:$Y$29,AA$17&amp;$C34,防護具!$Q$13:$Q$29),Z36)-VLOOKUP($C34,$C$3:$D$15,2,FALSE)*Z$20&lt;0,0,
SUM(SUMIF(防護具!$Y$13:$Y$29,AA$17&amp;$C34,防護具!$Q$13:$Q$29),Z36)-VLOOKUP($C34,$C$3:$D$15,2,FALSE)*Z$20)</f>
        <v>0</v>
      </c>
      <c r="AB36" s="762">
        <f xml:space="preserve">
IF(
SUM(SUMIF(防護具!$Y$13:$Y$29,AB$17&amp;$C34,防護具!$Q$13:$Q$29),AA36)-VLOOKUP($C34,$C$3:$D$15,2,FALSE)*AA$20&lt;0,0,
SUM(SUMIF(防護具!$Y$13:$Y$29,AB$17&amp;$C34,防護具!$Q$13:$Q$29),AA36)-VLOOKUP($C34,$C$3:$D$15,2,FALSE)*AA$20)</f>
        <v>0</v>
      </c>
      <c r="AC36" s="762">
        <f xml:space="preserve">
IF(
SUM(SUMIF(防護具!$Y$13:$Y$29,AC$17&amp;$C34,防護具!$Q$13:$Q$29),AB36)-VLOOKUP($C34,$C$3:$D$15,2,FALSE)*AB$20&lt;0,0,
SUM(SUMIF(防護具!$Y$13:$Y$29,AC$17&amp;$C34,防護具!$Q$13:$Q$29),AB36)-VLOOKUP($C34,$C$3:$D$15,2,FALSE)*AB$20)</f>
        <v>0</v>
      </c>
      <c r="AD36" s="762">
        <f xml:space="preserve">
IF(
SUM(SUMIF(防護具!$Y$13:$Y$29,AD$17&amp;$C34,防護具!$Q$13:$Q$29),AC36)-VLOOKUP($C34,$C$3:$D$15,2,FALSE)*AC$20&lt;0,0,
SUM(SUMIF(防護具!$Y$13:$Y$29,AD$17&amp;$C34,防護具!$Q$13:$Q$29),AC36)-VLOOKUP($C34,$C$3:$D$15,2,FALSE)*AC$20)</f>
        <v>0</v>
      </c>
      <c r="AE36" s="762">
        <f xml:space="preserve">
IF(
SUM(SUMIF(防護具!$Y$13:$Y$29,AE$17&amp;$C34,防護具!$Q$13:$Q$29),AD36)-VLOOKUP($C34,$C$3:$D$15,2,FALSE)*AD$20&lt;0,0,
SUM(SUMIF(防護具!$Y$13:$Y$29,AE$17&amp;$C34,防護具!$Q$13:$Q$29),AD36)-VLOOKUP($C34,$C$3:$D$15,2,FALSE)*AD$20)</f>
        <v>0</v>
      </c>
      <c r="AF36" s="762">
        <f xml:space="preserve">
IF(
SUM(SUMIF(防護具!$Y$13:$Y$29,AF$17&amp;$C34,防護具!$Q$13:$Q$29),AE36)-VLOOKUP($C34,$C$3:$D$15,2,FALSE)*AE$20&lt;0,0,
SUM(SUMIF(防護具!$Y$13:$Y$29,AF$17&amp;$C34,防護具!$Q$13:$Q$29),AE36)-VLOOKUP($C34,$C$3:$D$15,2,FALSE)*AE$20)</f>
        <v>0</v>
      </c>
      <c r="AG36" s="762">
        <f xml:space="preserve">
IF(
SUM(SUMIF(防護具!$Y$13:$Y$29,AG$17&amp;$C34,防護具!$Q$13:$Q$29),AF36)-VLOOKUP($C34,$C$3:$D$15,2,FALSE)*AF$20&lt;0,0,
SUM(SUMIF(防護具!$Y$13:$Y$29,AG$17&amp;$C34,防護具!$Q$13:$Q$29),AF36)-VLOOKUP($C34,$C$3:$D$15,2,FALSE)*AF$20)</f>
        <v>0</v>
      </c>
      <c r="AH36" s="762">
        <f xml:space="preserve">
IF(
SUM(SUMIF(防護具!$Y$13:$Y$29,AH$17&amp;$C34,防護具!$Q$13:$Q$29),AG36)-VLOOKUP($C34,$C$3:$D$15,2,FALSE)*AG$20&lt;0,0,
SUM(SUMIF(防護具!$Y$13:$Y$29,AH$17&amp;$C34,防護具!$Q$13:$Q$29),AG36)-VLOOKUP($C34,$C$3:$D$15,2,FALSE)*AG$20)</f>
        <v>0</v>
      </c>
      <c r="AI36" s="762">
        <f xml:space="preserve">
IF(
SUM(SUMIF(防護具!$Y$13:$Y$29,AI$17&amp;$C34,防護具!$Q$13:$Q$29),AH36)-VLOOKUP($C34,$C$3:$D$15,2,FALSE)*AH$20&lt;0,0,
SUM(SUMIF(防護具!$Y$13:$Y$29,AI$17&amp;$C34,防護具!$Q$13:$Q$29),AH36)-VLOOKUP($C34,$C$3:$D$15,2,FALSE)*AH$20)</f>
        <v>0</v>
      </c>
      <c r="AJ36" s="762">
        <f xml:space="preserve">
IF(
SUM(SUMIF(防護具!$Y$13:$Y$29,AJ$17&amp;$C34,防護具!$Q$13:$Q$29),AI36)-VLOOKUP($C34,$C$3:$D$15,2,FALSE)*AI$20&lt;0,0,
SUM(SUMIF(防護具!$Y$13:$Y$29,AJ$17&amp;$C34,防護具!$Q$13:$Q$29),AI36)-VLOOKUP($C34,$C$3:$D$15,2,FALSE)*AI$20)</f>
        <v>0</v>
      </c>
      <c r="AK36" s="762">
        <f xml:space="preserve">
IF(
SUM(SUMIF(防護具!$Y$13:$Y$29,AK$17&amp;$C34,防護具!$Q$13:$Q$29),AJ36)-VLOOKUP($C34,$C$3:$D$15,2,FALSE)*AJ$20&lt;0,0,
SUM(SUMIF(防護具!$Y$13:$Y$29,AK$17&amp;$C34,防護具!$Q$13:$Q$29),AJ36)-VLOOKUP($C34,$C$3:$D$15,2,FALSE)*AJ$20)</f>
        <v>0</v>
      </c>
      <c r="AL36" s="762">
        <f xml:space="preserve">
IF(
SUM(SUMIF(防護具!$Y$13:$Y$29,AL$17&amp;$C34,防護具!$Q$13:$Q$29),AK36)-VLOOKUP($C34,$C$3:$D$15,2,FALSE)*AK$20&lt;0,0,
SUM(SUMIF(防護具!$Y$13:$Y$29,AL$17&amp;$C34,防護具!$Q$13:$Q$29),AK36)-VLOOKUP($C34,$C$3:$D$15,2,FALSE)*AK$20)</f>
        <v>0</v>
      </c>
      <c r="AM36" s="762">
        <f xml:space="preserve">
IF(
SUM(SUMIF(防護具!$Y$13:$Y$29,AM$17&amp;$C34,防護具!$Q$13:$Q$29),AL36)-VLOOKUP($C34,$C$3:$D$15,2,FALSE)*AL$20&lt;0,0,
SUM(SUMIF(防護具!$Y$13:$Y$29,AM$17&amp;$C34,防護具!$Q$13:$Q$29),AL36)-VLOOKUP($C34,$C$3:$D$15,2,FALSE)*AL$20)</f>
        <v>0</v>
      </c>
      <c r="AN36" s="762">
        <f xml:space="preserve">
IF(
SUM(SUMIF(防護具!$Y$13:$Y$29,AN$17&amp;$C34,防護具!$Q$13:$Q$29),AM36)-VLOOKUP($C34,$C$3:$D$15,2,FALSE)*AM$20&lt;0,0,
SUM(SUMIF(防護具!$Y$13:$Y$29,AN$17&amp;$C34,防護具!$Q$13:$Q$29),AM36)-VLOOKUP($C34,$C$3:$D$15,2,FALSE)*AM$20)</f>
        <v>0</v>
      </c>
      <c r="AO36" s="762">
        <f xml:space="preserve">
IF(
SUM(SUMIF(防護具!$Y$13:$Y$29,AO$17&amp;$C34,防護具!$Q$13:$Q$29),AN36)-VLOOKUP($C34,$C$3:$D$15,2,FALSE)*AN$20&lt;0,0,
SUM(SUMIF(防護具!$Y$13:$Y$29,AO$17&amp;$C34,防護具!$Q$13:$Q$29),AN36)-VLOOKUP($C34,$C$3:$D$15,2,FALSE)*AN$20)</f>
        <v>0</v>
      </c>
      <c r="AP36" s="762">
        <f xml:space="preserve">
IF(
SUM(SUMIF(防護具!$Y$13:$Y$29,AP$17&amp;$C34,防護具!$Q$13:$Q$29),AO36)-VLOOKUP($C34,$C$3:$D$15,2,FALSE)*AO$20&lt;0,0,
SUM(SUMIF(防護具!$Y$13:$Y$29,AP$17&amp;$C34,防護具!$Q$13:$Q$29),AO36)-VLOOKUP($C34,$C$3:$D$15,2,FALSE)*AO$20)</f>
        <v>0</v>
      </c>
      <c r="AQ36" s="762">
        <f xml:space="preserve">
IF(
SUM(SUMIF(防護具!$Y$13:$Y$29,AQ$17&amp;$C34,防護具!$Q$13:$Q$29),AP36)-VLOOKUP($C34,$C$3:$D$15,2,FALSE)*AP$20&lt;0,0,
SUM(SUMIF(防護具!$Y$13:$Y$29,AQ$17&amp;$C34,防護具!$Q$13:$Q$29),AP36)-VLOOKUP($C34,$C$3:$D$15,2,FALSE)*AP$20)</f>
        <v>0</v>
      </c>
      <c r="AR36" s="762">
        <f xml:space="preserve">
IF(
SUM(SUMIF(防護具!$Y$13:$Y$29,AR$17&amp;$C34,防護具!$Q$13:$Q$29),AQ36)-VLOOKUP($C34,$C$3:$D$15,2,FALSE)*AQ$20&lt;0,0,
SUM(SUMIF(防護具!$Y$13:$Y$29,AR$17&amp;$C34,防護具!$Q$13:$Q$29),AQ36)-VLOOKUP($C34,$C$3:$D$15,2,FALSE)*AQ$20)</f>
        <v>0</v>
      </c>
      <c r="AS36" s="762">
        <f xml:space="preserve">
IF(
SUM(SUMIF(防護具!$Y$13:$Y$29,AS$17&amp;$C34,防護具!$Q$13:$Q$29),AR36)-VLOOKUP($C34,$C$3:$D$15,2,FALSE)*AR$20&lt;0,0,
SUM(SUMIF(防護具!$Y$13:$Y$29,AS$17&amp;$C34,防護具!$Q$13:$Q$29),AR36)-VLOOKUP($C34,$C$3:$D$15,2,FALSE)*AR$20)</f>
        <v>0</v>
      </c>
      <c r="AT36" s="762">
        <f xml:space="preserve">
IF(
SUM(SUMIF(防護具!$Y$13:$Y$29,AT$17&amp;$C34,防護具!$Q$13:$Q$29),AS36)-VLOOKUP($C34,$C$3:$D$15,2,FALSE)*AS$20&lt;0,0,
SUM(SUMIF(防護具!$Y$13:$Y$29,AT$17&amp;$C34,防護具!$Q$13:$Q$29),AS36)-VLOOKUP($C34,$C$3:$D$15,2,FALSE)*AS$20)</f>
        <v>0</v>
      </c>
      <c r="AU36" s="762">
        <f xml:space="preserve">
IF(
SUM(SUMIF(防護具!$Y$13:$Y$29,AU$17&amp;$C34,防護具!$Q$13:$Q$29),AT36)-VLOOKUP($C34,$C$3:$D$15,2,FALSE)*AT$20&lt;0,0,
SUM(SUMIF(防護具!$Y$13:$Y$29,AU$17&amp;$C34,防護具!$Q$13:$Q$29),AT36)-VLOOKUP($C34,$C$3:$D$15,2,FALSE)*AT$20)</f>
        <v>0</v>
      </c>
      <c r="AV36" s="762">
        <f xml:space="preserve">
IF(
SUM(SUMIF(防護具!$Y$13:$Y$29,AV$17&amp;$C34,防護具!$Q$13:$Q$29),AU36)-VLOOKUP($C34,$C$3:$D$15,2,FALSE)*AU$20&lt;0,0,
SUM(SUMIF(防護具!$Y$13:$Y$29,AV$17&amp;$C34,防護具!$Q$13:$Q$29),AU36)-VLOOKUP($C34,$C$3:$D$15,2,FALSE)*AU$20)</f>
        <v>0</v>
      </c>
      <c r="AW36" s="762">
        <f xml:space="preserve">
IF(
SUM(SUMIF(防護具!$Y$13:$Y$29,AW$17&amp;$C34,防護具!$Q$13:$Q$29),AV36)-VLOOKUP($C34,$C$3:$D$15,2,FALSE)*AV$20&lt;0,0,
SUM(SUMIF(防護具!$Y$13:$Y$29,AW$17&amp;$C34,防護具!$Q$13:$Q$29),AV36)-VLOOKUP($C34,$C$3:$D$15,2,FALSE)*AV$20)</f>
        <v>0</v>
      </c>
      <c r="AX36" s="762">
        <f xml:space="preserve">
IF(
SUM(SUMIF(防護具!$Y$13:$Y$29,AX$17&amp;$C34,防護具!$Q$13:$Q$29),AW36)-VLOOKUP($C34,$C$3:$D$15,2,FALSE)*AW$20&lt;0,0,
SUM(SUMIF(防護具!$Y$13:$Y$29,AX$17&amp;$C34,防護具!$Q$13:$Q$29),AW36)-VLOOKUP($C34,$C$3:$D$15,2,FALSE)*AW$20)</f>
        <v>0</v>
      </c>
      <c r="AY36" s="762">
        <f xml:space="preserve">
IF(
SUM(SUMIF(防護具!$Y$13:$Y$29,AY$17&amp;$C34,防護具!$Q$13:$Q$29),AX36)-VLOOKUP($C34,$C$3:$D$15,2,FALSE)*AX$20&lt;0,0,
SUM(SUMIF(防護具!$Y$13:$Y$29,AY$17&amp;$C34,防護具!$Q$13:$Q$29),AX36)-VLOOKUP($C34,$C$3:$D$15,2,FALSE)*AX$20)</f>
        <v>0</v>
      </c>
      <c r="AZ36" s="762">
        <f xml:space="preserve">
IF(
SUM(SUMIF(防護具!$Y$13:$Y$29,AZ$17&amp;$C34,防護具!$Q$13:$Q$29),AY36)-VLOOKUP($C34,$C$3:$D$15,2,FALSE)*AY$20&lt;0,0,
SUM(SUMIF(防護具!$Y$13:$Y$29,AZ$17&amp;$C34,防護具!$Q$13:$Q$29),AY36)-VLOOKUP($C34,$C$3:$D$15,2,FALSE)*AY$20)</f>
        <v>0</v>
      </c>
      <c r="BA36" s="762">
        <f xml:space="preserve">
IF(
SUM(SUMIF(防護具!$Y$13:$Y$29,BA$17&amp;$C34,防護具!$Q$13:$Q$29),AZ36)-VLOOKUP($C34,$C$3:$D$15,2,FALSE)*AZ$20&lt;0,0,
SUM(SUMIF(防護具!$Y$13:$Y$29,BA$17&amp;$C34,防護具!$Q$13:$Q$29),AZ36)-VLOOKUP($C34,$C$3:$D$15,2,FALSE)*AZ$20)</f>
        <v>0</v>
      </c>
      <c r="BB36" s="762">
        <f xml:space="preserve">
IF(
SUM(SUMIF(防護具!$Y$13:$Y$29,BB$17&amp;$C34,防護具!$Q$13:$Q$29),BA36)-VLOOKUP($C34,$C$3:$D$15,2,FALSE)*BA$20&lt;0,0,
SUM(SUMIF(防護具!$Y$13:$Y$29,BB$17&amp;$C34,防護具!$Q$13:$Q$29),BA36)-VLOOKUP($C34,$C$3:$D$15,2,FALSE)*BA$20)</f>
        <v>0</v>
      </c>
      <c r="BC36" s="762">
        <f xml:space="preserve">
IF(
SUM(SUMIF(防護具!$Y$13:$Y$29,BC$17&amp;$C34,防護具!$Q$13:$Q$29),BB36)-VLOOKUP($C34,$C$3:$D$15,2,FALSE)*BB$20&lt;0,0,
SUM(SUMIF(防護具!$Y$13:$Y$29,BC$17&amp;$C34,防護具!$Q$13:$Q$29),BB36)-VLOOKUP($C34,$C$3:$D$15,2,FALSE)*BB$20)</f>
        <v>0</v>
      </c>
      <c r="BD36" s="762">
        <f xml:space="preserve">
IF(
SUM(SUMIF(防護具!$Y$13:$Y$29,BD$17&amp;$C34,防護具!$Q$13:$Q$29),BC36)-VLOOKUP($C34,$C$3:$D$15,2,FALSE)*BC$20&lt;0,0,
SUM(SUMIF(防護具!$Y$13:$Y$29,BD$17&amp;$C34,防護具!$Q$13:$Q$29),BC36)-VLOOKUP($C34,$C$3:$D$15,2,FALSE)*BC$20)</f>
        <v>0</v>
      </c>
      <c r="BE36" s="762">
        <f xml:space="preserve">
IF(
SUM(SUMIF(防護具!$Y$13:$Y$29,BE$17&amp;$C34,防護具!$Q$13:$Q$29),BD36)-VLOOKUP($C34,$C$3:$D$15,2,FALSE)*BD$20&lt;0,0,
SUM(SUMIF(防護具!$Y$13:$Y$29,BE$17&amp;$C34,防護具!$Q$13:$Q$29),BD36)-VLOOKUP($C34,$C$3:$D$15,2,FALSE)*BD$20)</f>
        <v>0</v>
      </c>
      <c r="BF36" s="762">
        <f xml:space="preserve">
IF(
SUM(SUMIF(防護具!$Y$13:$Y$29,BF$17&amp;$C34,防護具!$Q$13:$Q$29),BE36)-VLOOKUP($C34,$C$3:$D$15,2,FALSE)*BE$20&lt;0,0,
SUM(SUMIF(防護具!$Y$13:$Y$29,BF$17&amp;$C34,防護具!$Q$13:$Q$29),BE36)-VLOOKUP($C34,$C$3:$D$15,2,FALSE)*BE$20)</f>
        <v>0</v>
      </c>
      <c r="BG36" s="762">
        <f xml:space="preserve">
IF(
SUM(SUMIF(防護具!$Y$13:$Y$29,BG$17&amp;$C34,防護具!$Q$13:$Q$29),BF36)-VLOOKUP($C34,$C$3:$D$15,2,FALSE)*BF$20&lt;0,0,
SUM(SUMIF(防護具!$Y$13:$Y$29,BG$17&amp;$C34,防護具!$Q$13:$Q$29),BF36)-VLOOKUP($C34,$C$3:$D$15,2,FALSE)*BF$20)</f>
        <v>0</v>
      </c>
      <c r="BH36" s="762">
        <f xml:space="preserve">
IF(
SUM(SUMIF(防護具!$Y$13:$Y$29,BH$17&amp;$C34,防護具!$Q$13:$Q$29),BG36)-VLOOKUP($C34,$C$3:$D$15,2,FALSE)*BG$20&lt;0,0,
SUM(SUMIF(防護具!$Y$13:$Y$29,BH$17&amp;$C34,防護具!$Q$13:$Q$29),BG36)-VLOOKUP($C34,$C$3:$D$15,2,FALSE)*BG$20)</f>
        <v>0</v>
      </c>
      <c r="BI36" s="762">
        <f xml:space="preserve">
IF(
SUM(SUMIF(防護具!$Y$13:$Y$29,BI$17&amp;$C34,防護具!$Q$13:$Q$29),BH36)-VLOOKUP($C34,$C$3:$D$15,2,FALSE)*BH$20&lt;0,0,
SUM(SUMIF(防護具!$Y$13:$Y$29,BI$17&amp;$C34,防護具!$Q$13:$Q$29),BH36)-VLOOKUP($C34,$C$3:$D$15,2,FALSE)*BH$20)</f>
        <v>0</v>
      </c>
      <c r="BJ36" s="762">
        <f xml:space="preserve">
IF(
SUM(SUMIF(防護具!$Y$13:$Y$29,BJ$17&amp;$C34,防護具!$Q$13:$Q$29),BI36)-VLOOKUP($C34,$C$3:$D$15,2,FALSE)*BI$20&lt;0,0,
SUM(SUMIF(防護具!$Y$13:$Y$29,BJ$17&amp;$C34,防護具!$Q$13:$Q$29),BI36)-VLOOKUP($C34,$C$3:$D$15,2,FALSE)*BI$20)</f>
        <v>0</v>
      </c>
      <c r="BK36" s="762">
        <f xml:space="preserve">
IF(
SUM(SUMIF(防護具!$Y$13:$Y$29,BK$17&amp;$C34,防護具!$Q$13:$Q$29),BJ36)-VLOOKUP($C34,$C$3:$D$15,2,FALSE)*BJ$20&lt;0,0,
SUM(SUMIF(防護具!$Y$13:$Y$29,BK$17&amp;$C34,防護具!$Q$13:$Q$29),BJ36)-VLOOKUP($C34,$C$3:$D$15,2,FALSE)*BJ$20)</f>
        <v>0</v>
      </c>
      <c r="BL36" s="762">
        <f xml:space="preserve">
IF(
SUM(SUMIF(防護具!$Y$13:$Y$29,BL$17&amp;$C34,防護具!$Q$13:$Q$29),BK36)-VLOOKUP($C34,$C$3:$D$15,2,FALSE)*BK$20&lt;0,0,
SUM(SUMIF(防護具!$Y$13:$Y$29,BL$17&amp;$C34,防護具!$Q$13:$Q$29),BK36)-VLOOKUP($C34,$C$3:$D$15,2,FALSE)*BK$20)</f>
        <v>0</v>
      </c>
      <c r="BM36" s="762">
        <f xml:space="preserve">
IF(
SUM(SUMIF(防護具!$Y$13:$Y$29,BM$17&amp;$C34,防護具!$Q$13:$Q$29),BL36)-VLOOKUP($C34,$C$3:$D$15,2,FALSE)*BL$20&lt;0,0,
SUM(SUMIF(防護具!$Y$13:$Y$29,BM$17&amp;$C34,防護具!$Q$13:$Q$29),BL36)-VLOOKUP($C34,$C$3:$D$15,2,FALSE)*BL$20)</f>
        <v>0</v>
      </c>
      <c r="BN36" s="762">
        <f xml:space="preserve">
IF(
SUM(SUMIF(防護具!$Y$13:$Y$29,BN$17&amp;$C34,防護具!$Q$13:$Q$29),BM36)-VLOOKUP($C34,$C$3:$D$15,2,FALSE)*BM$20&lt;0,0,
SUM(SUMIF(防護具!$Y$13:$Y$29,BN$17&amp;$C34,防護具!$Q$13:$Q$29),BM36)-VLOOKUP($C34,$C$3:$D$15,2,FALSE)*BM$20)</f>
        <v>0</v>
      </c>
      <c r="BO36" s="762">
        <f xml:space="preserve">
IF(
SUM(SUMIF(防護具!$Y$13:$Y$29,BO$17&amp;$C34,防護具!$Q$13:$Q$29),BN36)-VLOOKUP($C34,$C$3:$D$15,2,FALSE)*BN$20&lt;0,0,
SUM(SUMIF(防護具!$Y$13:$Y$29,BO$17&amp;$C34,防護具!$Q$13:$Q$29),BN36)-VLOOKUP($C34,$C$3:$D$15,2,FALSE)*BN$20)</f>
        <v>0</v>
      </c>
      <c r="BP36" s="762">
        <f xml:space="preserve">
IF(
SUM(SUMIF(防護具!$Y$13:$Y$29,BP$17&amp;$C34,防護具!$Q$13:$Q$29),BO36)-VLOOKUP($C34,$C$3:$D$15,2,FALSE)*BO$20&lt;0,0,
SUM(SUMIF(防護具!$Y$13:$Y$29,BP$17&amp;$C34,防護具!$Q$13:$Q$29),BO36)-VLOOKUP($C34,$C$3:$D$15,2,FALSE)*BO$20)</f>
        <v>0</v>
      </c>
      <c r="BQ36" s="762">
        <f xml:space="preserve">
IF(
SUM(SUMIF(防護具!$Y$13:$Y$29,BQ$17&amp;$C34,防護具!$Q$13:$Q$29),BP36)-VLOOKUP($C34,$C$3:$D$15,2,FALSE)*BP$20&lt;0,0,
SUM(SUMIF(防護具!$Y$13:$Y$29,BQ$17&amp;$C34,防護具!$Q$13:$Q$29),BP36)-VLOOKUP($C34,$C$3:$D$15,2,FALSE)*BP$20)</f>
        <v>0</v>
      </c>
      <c r="BR36" s="762">
        <f xml:space="preserve">
IF(
SUM(SUMIF(防護具!$Y$13:$Y$29,BR$17&amp;$C34,防護具!$Q$13:$Q$29),BQ36)-VLOOKUP($C34,$C$3:$D$15,2,FALSE)*BQ$20&lt;0,0,
SUM(SUMIF(防護具!$Y$13:$Y$29,BR$17&amp;$C34,防護具!$Q$13:$Q$29),BQ36)-VLOOKUP($C34,$C$3:$D$15,2,FALSE)*BQ$20)</f>
        <v>0</v>
      </c>
      <c r="BS36" s="762">
        <f xml:space="preserve">
IF(
SUM(SUMIF(防護具!$Y$13:$Y$29,BS$17&amp;$C34,防護具!$Q$13:$Q$29),BR36)-VLOOKUP($C34,$C$3:$D$15,2,FALSE)*BR$20&lt;0,0,
SUM(SUMIF(防護具!$Y$13:$Y$29,BS$17&amp;$C34,防護具!$Q$13:$Q$29),BR36)-VLOOKUP($C34,$C$3:$D$15,2,FALSE)*BR$20)</f>
        <v>0</v>
      </c>
      <c r="BT36" s="762">
        <f xml:space="preserve">
IF(
SUM(SUMIF(防護具!$Y$13:$Y$29,BT$17&amp;$C34,防護具!$Q$13:$Q$29),BS36)-VLOOKUP($C34,$C$3:$D$15,2,FALSE)*BS$20&lt;0,0,
SUM(SUMIF(防護具!$Y$13:$Y$29,BT$17&amp;$C34,防護具!$Q$13:$Q$29),BS36)-VLOOKUP($C34,$C$3:$D$15,2,FALSE)*BS$20)</f>
        <v>0</v>
      </c>
      <c r="BU36" s="762">
        <f xml:space="preserve">
IF(
SUM(SUMIF(防護具!$Y$13:$Y$29,BU$17&amp;$C34,防護具!$Q$13:$Q$29),BT36)-VLOOKUP($C34,$C$3:$D$15,2,FALSE)*BT$20&lt;0,0,
SUM(SUMIF(防護具!$Y$13:$Y$29,BU$17&amp;$C34,防護具!$Q$13:$Q$29),BT36)-VLOOKUP($C34,$C$3:$D$15,2,FALSE)*BT$20)</f>
        <v>0</v>
      </c>
      <c r="BV36" s="762">
        <f xml:space="preserve">
IF(
SUM(SUMIF(防護具!$Y$13:$Y$29,BV$17&amp;$C34,防護具!$Q$13:$Q$29),BU36)-VLOOKUP($C34,$C$3:$D$15,2,FALSE)*BU$20&lt;0,0,
SUM(SUMIF(防護具!$Y$13:$Y$29,BV$17&amp;$C34,防護具!$Q$13:$Q$29),BU36)-VLOOKUP($C34,$C$3:$D$15,2,FALSE)*BU$20)</f>
        <v>0</v>
      </c>
      <c r="BW36" s="762">
        <f xml:space="preserve">
IF(
SUM(SUMIF(防護具!$Y$13:$Y$29,BW$17&amp;$C34,防護具!$Q$13:$Q$29),BV36)-VLOOKUP($C34,$C$3:$D$15,2,FALSE)*BV$20&lt;0,0,
SUM(SUMIF(防護具!$Y$13:$Y$29,BW$17&amp;$C34,防護具!$Q$13:$Q$29),BV36)-VLOOKUP($C34,$C$3:$D$15,2,FALSE)*BV$20)</f>
        <v>0</v>
      </c>
      <c r="BX36" s="762">
        <f xml:space="preserve">
IF(
SUM(SUMIF(防護具!$Y$13:$Y$29,BX$17&amp;$C34,防護具!$Q$13:$Q$29),BW36)-VLOOKUP($C34,$C$3:$D$15,2,FALSE)*BW$20&lt;0,0,
SUM(SUMIF(防護具!$Y$13:$Y$29,BX$17&amp;$C34,防護具!$Q$13:$Q$29),BW36)-VLOOKUP($C34,$C$3:$D$15,2,FALSE)*BW$20)</f>
        <v>0</v>
      </c>
      <c r="BY36" s="762">
        <f xml:space="preserve">
IF(
SUM(SUMIF(防護具!$Y$13:$Y$29,BY$17&amp;$C34,防護具!$Q$13:$Q$29),BX36)-VLOOKUP($C34,$C$3:$D$15,2,FALSE)*BX$20&lt;0,0,
SUM(SUMIF(防護具!$Y$13:$Y$29,BY$17&amp;$C34,防護具!$Q$13:$Q$29),BX36)-VLOOKUP($C34,$C$3:$D$15,2,FALSE)*BX$20)</f>
        <v>0</v>
      </c>
      <c r="BZ36" s="762">
        <f xml:space="preserve">
IF(
SUM(SUMIF(防護具!$Y$13:$Y$29,BZ$17&amp;$C34,防護具!$Q$13:$Q$29),BY36)-VLOOKUP($C34,$C$3:$D$15,2,FALSE)*BY$20&lt;0,0,
SUM(SUMIF(防護具!$Y$13:$Y$29,BZ$17&amp;$C34,防護具!$Q$13:$Q$29),BY36)-VLOOKUP($C34,$C$3:$D$15,2,FALSE)*BY$20)</f>
        <v>0</v>
      </c>
      <c r="CA36" s="762">
        <f xml:space="preserve">
IF(
SUM(SUMIF(防護具!$Y$13:$Y$29,CA$17&amp;$C34,防護具!$Q$13:$Q$29),BZ36)-VLOOKUP($C34,$C$3:$D$15,2,FALSE)*BZ$20&lt;0,0,
SUM(SUMIF(防護具!$Y$13:$Y$29,CA$17&amp;$C34,防護具!$Q$13:$Q$29),BZ36)-VLOOKUP($C34,$C$3:$D$15,2,FALSE)*BZ$20)</f>
        <v>0</v>
      </c>
      <c r="CB36" s="762">
        <f xml:space="preserve">
IF(
SUM(SUMIF(防護具!$Y$13:$Y$29,CB$17&amp;$C34,防護具!$Q$13:$Q$29),CA36)-VLOOKUP($C34,$C$3:$D$15,2,FALSE)*CA$20&lt;0,0,
SUM(SUMIF(防護具!$Y$13:$Y$29,CB$17&amp;$C34,防護具!$Q$13:$Q$29),CA36)-VLOOKUP($C34,$C$3:$D$15,2,FALSE)*CA$20)</f>
        <v>0</v>
      </c>
      <c r="CC36" s="762">
        <f xml:space="preserve">
IF(
SUM(SUMIF(防護具!$Y$13:$Y$29,CC$17&amp;$C34,防護具!$Q$13:$Q$29),CB36)-VLOOKUP($C34,$C$3:$D$15,2,FALSE)*CB$20&lt;0,0,
SUM(SUMIF(防護具!$Y$13:$Y$29,CC$17&amp;$C34,防護具!$Q$13:$Q$29),CB36)-VLOOKUP($C34,$C$3:$D$15,2,FALSE)*CB$20)</f>
        <v>0</v>
      </c>
      <c r="CD36" s="762">
        <f xml:space="preserve">
IF(
SUM(SUMIF(防護具!$Y$13:$Y$29,CD$17&amp;$C34,防護具!$Q$13:$Q$29),CC36)-VLOOKUP($C34,$C$3:$D$15,2,FALSE)*CC$20&lt;0,0,
SUM(SUMIF(防護具!$Y$13:$Y$29,CD$17&amp;$C34,防護具!$Q$13:$Q$29),CC36)-VLOOKUP($C34,$C$3:$D$15,2,FALSE)*CC$20)</f>
        <v>0</v>
      </c>
      <c r="CE36" s="762">
        <f xml:space="preserve">
IF(
SUM(SUMIF(防護具!$Y$13:$Y$29,CE$17&amp;$C34,防護具!$Q$13:$Q$29),CD36)-VLOOKUP($C34,$C$3:$D$15,2,FALSE)*CD$20&lt;0,0,
SUM(SUMIF(防護具!$Y$13:$Y$29,CE$17&amp;$C34,防護具!$Q$13:$Q$29),CD36)-VLOOKUP($C34,$C$3:$D$15,2,FALSE)*CD$20)</f>
        <v>0</v>
      </c>
      <c r="CF36" s="762">
        <f xml:space="preserve">
IF(
SUM(SUMIF(防護具!$Y$13:$Y$29,CF$17&amp;$C34,防護具!$Q$13:$Q$29),CE36)-VLOOKUP($C34,$C$3:$D$15,2,FALSE)*CE$20&lt;0,0,
SUM(SUMIF(防護具!$Y$13:$Y$29,CF$17&amp;$C34,防護具!$Q$13:$Q$29),CE36)-VLOOKUP($C34,$C$3:$D$15,2,FALSE)*CE$20)</f>
        <v>0</v>
      </c>
      <c r="CG36" s="762">
        <f xml:space="preserve">
IF(
SUM(SUMIF(防護具!$Y$13:$Y$29,CG$17&amp;$C34,防護具!$Q$13:$Q$29),CF36)-VLOOKUP($C34,$C$3:$D$15,2,FALSE)*CF$20&lt;0,0,
SUM(SUMIF(防護具!$Y$13:$Y$29,CG$17&amp;$C34,防護具!$Q$13:$Q$29),CF36)-VLOOKUP($C34,$C$3:$D$15,2,FALSE)*CF$20)</f>
        <v>0</v>
      </c>
      <c r="CH36" s="762">
        <f xml:space="preserve">
IF(
SUM(SUMIF(防護具!$Y$13:$Y$29,CH$17&amp;$C34,防護具!$Q$13:$Q$29),CG36)-VLOOKUP($C34,$C$3:$D$15,2,FALSE)*CG$20&lt;0,0,
SUM(SUMIF(防護具!$Y$13:$Y$29,CH$17&amp;$C34,防護具!$Q$13:$Q$29),CG36)-VLOOKUP($C34,$C$3:$D$15,2,FALSE)*CG$20)</f>
        <v>0</v>
      </c>
      <c r="CI36" s="762">
        <f xml:space="preserve">
IF(
SUM(SUMIF(防護具!$Y$13:$Y$29,CI$17&amp;$C34,防護具!$Q$13:$Q$29),CH36)-VLOOKUP($C34,$C$3:$D$15,2,FALSE)*CH$20&lt;0,0,
SUM(SUMIF(防護具!$Y$13:$Y$29,CI$17&amp;$C34,防護具!$Q$13:$Q$29),CH36)-VLOOKUP($C34,$C$3:$D$15,2,FALSE)*CH$20)</f>
        <v>0</v>
      </c>
      <c r="CJ36" s="762">
        <f xml:space="preserve">
IF(
SUM(SUMIF(防護具!$Y$13:$Y$29,CJ$17&amp;$C34,防護具!$Q$13:$Q$29),CI36)-VLOOKUP($C34,$C$3:$D$15,2,FALSE)*CI$20&lt;0,0,
SUM(SUMIF(防護具!$Y$13:$Y$29,CJ$17&amp;$C34,防護具!$Q$13:$Q$29),CI36)-VLOOKUP($C34,$C$3:$D$15,2,FALSE)*CI$20)</f>
        <v>0</v>
      </c>
      <c r="CK36" s="762">
        <f xml:space="preserve">
IF(
SUM(SUMIF(防護具!$Y$13:$Y$29,CK$17&amp;$C34,防護具!$Q$13:$Q$29),CJ36)-VLOOKUP($C34,$C$3:$D$15,2,FALSE)*CJ$20&lt;0,0,
SUM(SUMIF(防護具!$Y$13:$Y$29,CK$17&amp;$C34,防護具!$Q$13:$Q$29),CJ36)-VLOOKUP($C34,$C$3:$D$15,2,FALSE)*CJ$20)</f>
        <v>0</v>
      </c>
      <c r="CL36" s="762">
        <f xml:space="preserve">
IF(
SUM(SUMIF(防護具!$Y$13:$Y$29,CL$17&amp;$C34,防護具!$Q$13:$Q$29),CK36)-VLOOKUP($C34,$C$3:$D$15,2,FALSE)*CK$20&lt;0,0,
SUM(SUMIF(防護具!$Y$13:$Y$29,CL$17&amp;$C34,防護具!$Q$13:$Q$29),CK36)-VLOOKUP($C34,$C$3:$D$15,2,FALSE)*CK$20)</f>
        <v>0</v>
      </c>
      <c r="CM36" s="762">
        <f xml:space="preserve">
IF(
SUM(SUMIF(防護具!$Y$13:$Y$29,CM$17&amp;$C34,防護具!$Q$13:$Q$29),CL36)-VLOOKUP($C34,$C$3:$D$15,2,FALSE)*CL$20&lt;0,0,
SUM(SUMIF(防護具!$Y$13:$Y$29,CM$17&amp;$C34,防護具!$Q$13:$Q$29),CL36)-VLOOKUP($C34,$C$3:$D$15,2,FALSE)*CL$20)</f>
        <v>0</v>
      </c>
      <c r="CN36" s="762">
        <f xml:space="preserve">
IF(
SUM(SUMIF(防護具!$Y$13:$Y$29,CN$17&amp;$C34,防護具!$Q$13:$Q$29),CM36)-VLOOKUP($C34,$C$3:$D$15,2,FALSE)*CM$20&lt;0,0,
SUM(SUMIF(防護具!$Y$13:$Y$29,CN$17&amp;$C34,防護具!$Q$13:$Q$29),CM36)-VLOOKUP($C34,$C$3:$D$15,2,FALSE)*CM$20)</f>
        <v>0</v>
      </c>
      <c r="CO36" s="762">
        <f xml:space="preserve">
IF(
SUM(SUMIF(防護具!$Y$13:$Y$29,CO$17&amp;$C34,防護具!$Q$13:$Q$29),CN36)-VLOOKUP($C34,$C$3:$D$15,2,FALSE)*CN$20&lt;0,0,
SUM(SUMIF(防護具!$Y$13:$Y$29,CO$17&amp;$C34,防護具!$Q$13:$Q$29),CN36)-VLOOKUP($C34,$C$3:$D$15,2,FALSE)*CN$20)</f>
        <v>0</v>
      </c>
      <c r="CP36" s="762">
        <f xml:space="preserve">
IF(
SUM(SUMIF(防護具!$Y$13:$Y$29,CP$17&amp;$C34,防護具!$Q$13:$Q$29),CO36)-VLOOKUP($C34,$C$3:$D$15,2,FALSE)*CO$20&lt;0,0,
SUM(SUMIF(防護具!$Y$13:$Y$29,CP$17&amp;$C34,防護具!$Q$13:$Q$29),CO36)-VLOOKUP($C34,$C$3:$D$15,2,FALSE)*CO$20)</f>
        <v>0</v>
      </c>
      <c r="CQ36" s="762">
        <f xml:space="preserve">
IF(
SUM(SUMIF(防護具!$Y$13:$Y$29,CQ$17&amp;$C34,防護具!$Q$13:$Q$29),CP36)-VLOOKUP($C34,$C$3:$D$15,2,FALSE)*CP$20&lt;0,0,
SUM(SUMIF(防護具!$Y$13:$Y$29,CQ$17&amp;$C34,防護具!$Q$13:$Q$29),CP36)-VLOOKUP($C34,$C$3:$D$15,2,FALSE)*CP$20)</f>
        <v>0</v>
      </c>
      <c r="CR36" s="762">
        <f xml:space="preserve">
IF(
SUM(SUMIF(防護具!$Y$13:$Y$29,CR$17&amp;$C34,防護具!$Q$13:$Q$29),CQ36)-VLOOKUP($C34,$C$3:$D$15,2,FALSE)*CQ$20&lt;0,0,
SUM(SUMIF(防護具!$Y$13:$Y$29,CR$17&amp;$C34,防護具!$Q$13:$Q$29),CQ36)-VLOOKUP($C34,$C$3:$D$15,2,FALSE)*CQ$20)</f>
        <v>0</v>
      </c>
      <c r="CS36" s="762">
        <f xml:space="preserve">
IF(
SUM(SUMIF(防護具!$Y$13:$Y$29,CS$17&amp;$C34,防護具!$Q$13:$Q$29),CR36)-VLOOKUP($C34,$C$3:$D$15,2,FALSE)*CR$20&lt;0,0,
SUM(SUMIF(防護具!$Y$13:$Y$29,CS$17&amp;$C34,防護具!$Q$13:$Q$29),CR36)-VLOOKUP($C34,$C$3:$D$15,2,FALSE)*CR$20)</f>
        <v>0</v>
      </c>
      <c r="CT36" s="762">
        <f xml:space="preserve">
IF(
SUM(SUMIF(防護具!$Y$13:$Y$29,CT$17&amp;$C34,防護具!$Q$13:$Q$29),CS36)-VLOOKUP($C34,$C$3:$D$15,2,FALSE)*CS$20&lt;0,0,
SUM(SUMIF(防護具!$Y$13:$Y$29,CT$17&amp;$C34,防護具!$Q$13:$Q$29),CS36)-VLOOKUP($C34,$C$3:$D$15,2,FALSE)*CS$20)</f>
        <v>0</v>
      </c>
      <c r="CU36" s="762">
        <f xml:space="preserve">
IF(
SUM(SUMIF(防護具!$Y$13:$Y$29,CU$17&amp;$C34,防護具!$Q$13:$Q$29),CT36)-VLOOKUP($C34,$C$3:$D$15,2,FALSE)*CT$20&lt;0,0,
SUM(SUMIF(防護具!$Y$13:$Y$29,CU$17&amp;$C34,防護具!$Q$13:$Q$29),CT36)-VLOOKUP($C34,$C$3:$D$15,2,FALSE)*CT$20)</f>
        <v>0</v>
      </c>
      <c r="CV36" s="762">
        <f xml:space="preserve">
IF(
SUM(SUMIF(防護具!$Y$13:$Y$29,CV$17&amp;$C34,防護具!$Q$13:$Q$29),CU36)-VLOOKUP($C34,$C$3:$D$15,2,FALSE)*CU$20&lt;0,0,
SUM(SUMIF(防護具!$Y$13:$Y$29,CV$17&amp;$C34,防護具!$Q$13:$Q$29),CU36)-VLOOKUP($C34,$C$3:$D$15,2,FALSE)*CU$20)</f>
        <v>0</v>
      </c>
      <c r="CW36" s="762">
        <f xml:space="preserve">
IF(
SUM(SUMIF(防護具!$Y$13:$Y$29,CW$17&amp;$C34,防護具!$Q$13:$Q$29),CV36)-VLOOKUP($C34,$C$3:$D$15,2,FALSE)*CV$20&lt;0,0,
SUM(SUMIF(防護具!$Y$13:$Y$29,CW$17&amp;$C34,防護具!$Q$13:$Q$29),CV36)-VLOOKUP($C34,$C$3:$D$15,2,FALSE)*CV$20)</f>
        <v>0</v>
      </c>
      <c r="CX36" s="762">
        <f xml:space="preserve">
IF(
SUM(SUMIF(防護具!$Y$13:$Y$29,CX$17&amp;$C34,防護具!$Q$13:$Q$29),CW36)-VLOOKUP($C34,$C$3:$D$15,2,FALSE)*CW$20&lt;0,0,
SUM(SUMIF(防護具!$Y$13:$Y$29,CX$17&amp;$C34,防護具!$Q$13:$Q$29),CW36)-VLOOKUP($C34,$C$3:$D$15,2,FALSE)*CW$20)</f>
        <v>0</v>
      </c>
      <c r="CY36" s="762">
        <f xml:space="preserve">
IF(
SUM(SUMIF(防護具!$Y$13:$Y$29,CY$17&amp;$C34,防護具!$Q$13:$Q$29),CX36)-VLOOKUP($C34,$C$3:$D$15,2,FALSE)*CX$20&lt;0,0,
SUM(SUMIF(防護具!$Y$13:$Y$29,CY$17&amp;$C34,防護具!$Q$13:$Q$29),CX36)-VLOOKUP($C34,$C$3:$D$15,2,FALSE)*CX$20)</f>
        <v>0</v>
      </c>
      <c r="CZ36" s="762">
        <f xml:space="preserve">
IF(
SUM(SUMIF(防護具!$Y$13:$Y$29,CZ$17&amp;$C34,防護具!$Q$13:$Q$29),CY36)-VLOOKUP($C34,$C$3:$D$15,2,FALSE)*CY$20&lt;0,0,
SUM(SUMIF(防護具!$Y$13:$Y$29,CZ$17&amp;$C34,防護具!$Q$13:$Q$29),CY36)-VLOOKUP($C34,$C$3:$D$15,2,FALSE)*CY$20)</f>
        <v>0</v>
      </c>
      <c r="DA36" s="762">
        <f xml:space="preserve">
IF(
SUM(SUMIF(防護具!$Y$13:$Y$29,DA$17&amp;$C34,防護具!$Q$13:$Q$29),CZ36)-VLOOKUP($C34,$C$3:$D$15,2,FALSE)*CZ$20&lt;0,0,
SUM(SUMIF(防護具!$Y$13:$Y$29,DA$17&amp;$C34,防護具!$Q$13:$Q$29),CZ36)-VLOOKUP($C34,$C$3:$D$15,2,FALSE)*CZ$20)</f>
        <v>0</v>
      </c>
      <c r="DB36" s="762">
        <f xml:space="preserve">
IF(
SUM(SUMIF(防護具!$Y$13:$Y$29,DB$17&amp;$C34,防護具!$Q$13:$Q$29),DA36)-VLOOKUP($C34,$C$3:$D$15,2,FALSE)*DA$20&lt;0,0,
SUM(SUMIF(防護具!$Y$13:$Y$29,DB$17&amp;$C34,防護具!$Q$13:$Q$29),DA36)-VLOOKUP($C34,$C$3:$D$15,2,FALSE)*DA$20)</f>
        <v>0</v>
      </c>
      <c r="DC36" s="762">
        <f xml:space="preserve">
IF(
SUM(SUMIF(防護具!$Y$13:$Y$29,DC$17&amp;$C34,防護具!$Q$13:$Q$29),DB36)-VLOOKUP($C34,$C$3:$D$15,2,FALSE)*DB$20&lt;0,0,
SUM(SUMIF(防護具!$Y$13:$Y$29,DC$17&amp;$C34,防護具!$Q$13:$Q$29),DB36)-VLOOKUP($C34,$C$3:$D$15,2,FALSE)*DB$20)</f>
        <v>0</v>
      </c>
      <c r="DD36" s="762">
        <f xml:space="preserve">
IF(
SUM(SUMIF(防護具!$Y$13:$Y$29,DD$17&amp;$C34,防護具!$Q$13:$Q$29),DC36)-VLOOKUP($C34,$C$3:$D$15,2,FALSE)*DC$20&lt;0,0,
SUM(SUMIF(防護具!$Y$13:$Y$29,DD$17&amp;$C34,防護具!$Q$13:$Q$29),DC36)-VLOOKUP($C34,$C$3:$D$15,2,FALSE)*DC$20)</f>
        <v>0</v>
      </c>
      <c r="DE36" s="762">
        <f xml:space="preserve">
IF(
SUM(SUMIF(防護具!$Y$13:$Y$29,DE$17&amp;$C34,防護具!$Q$13:$Q$29),DD36)-VLOOKUP($C34,$C$3:$D$15,2,FALSE)*DD$20&lt;0,0,
SUM(SUMIF(防護具!$Y$13:$Y$29,DE$17&amp;$C34,防護具!$Q$13:$Q$29),DD36)-VLOOKUP($C34,$C$3:$D$15,2,FALSE)*DD$20)</f>
        <v>0</v>
      </c>
      <c r="DF36" s="762">
        <f xml:space="preserve">
IF(
SUM(SUMIF(防護具!$Y$13:$Y$29,DF$17&amp;$C34,防護具!$Q$13:$Q$29),DE36)-VLOOKUP($C34,$C$3:$D$15,2,FALSE)*DE$20&lt;0,0,
SUM(SUMIF(防護具!$Y$13:$Y$29,DF$17&amp;$C34,防護具!$Q$13:$Q$29),DE36)-VLOOKUP($C34,$C$3:$D$15,2,FALSE)*DE$20)</f>
        <v>0</v>
      </c>
      <c r="DG36" s="762">
        <f xml:space="preserve">
IF(
SUM(SUMIF(防護具!$Y$13:$Y$29,DG$17&amp;$C34,防護具!$Q$13:$Q$29),DF36)-VLOOKUP($C34,$C$3:$D$15,2,FALSE)*DF$20&lt;0,0,
SUM(SUMIF(防護具!$Y$13:$Y$29,DG$17&amp;$C34,防護具!$Q$13:$Q$29),DF36)-VLOOKUP($C34,$C$3:$D$15,2,FALSE)*DF$20)</f>
        <v>0</v>
      </c>
      <c r="DH36" s="762">
        <f xml:space="preserve">
IF(
SUM(SUMIF(防護具!$Y$13:$Y$29,DH$17&amp;$C34,防護具!$Q$13:$Q$29),DG36)-VLOOKUP($C34,$C$3:$D$15,2,FALSE)*DG$20&lt;0,0,
SUM(SUMIF(防護具!$Y$13:$Y$29,DH$17&amp;$C34,防護具!$Q$13:$Q$29),DG36)-VLOOKUP($C34,$C$3:$D$15,2,FALSE)*DG$20)</f>
        <v>0</v>
      </c>
      <c r="DI36" s="762">
        <f xml:space="preserve">
IF(
SUM(SUMIF(防護具!$Y$13:$Y$29,DI$17&amp;$C34,防護具!$Q$13:$Q$29),DH36)-VLOOKUP($C34,$C$3:$D$15,2,FALSE)*DH$20&lt;0,0,
SUM(SUMIF(防護具!$Y$13:$Y$29,DI$17&amp;$C34,防護具!$Q$13:$Q$29),DH36)-VLOOKUP($C34,$C$3:$D$15,2,FALSE)*DH$20)</f>
        <v>0</v>
      </c>
      <c r="DJ36" s="762">
        <f xml:space="preserve">
IF(
SUM(SUMIF(防護具!$Y$13:$Y$29,DJ$17&amp;$C34,防護具!$Q$13:$Q$29),DI36)-VLOOKUP($C34,$C$3:$D$15,2,FALSE)*DI$20&lt;0,0,
SUM(SUMIF(防護具!$Y$13:$Y$29,DJ$17&amp;$C34,防護具!$Q$13:$Q$29),DI36)-VLOOKUP($C34,$C$3:$D$15,2,FALSE)*DI$20)</f>
        <v>0</v>
      </c>
      <c r="DK36" s="762">
        <f xml:space="preserve">
IF(
SUM(SUMIF(防護具!$Y$13:$Y$29,DK$17&amp;$C34,防護具!$Q$13:$Q$29),DJ36)-VLOOKUP($C34,$C$3:$D$15,2,FALSE)*DJ$20&lt;0,0,
SUM(SUMIF(防護具!$Y$13:$Y$29,DK$17&amp;$C34,防護具!$Q$13:$Q$29),DJ36)-VLOOKUP($C34,$C$3:$D$15,2,FALSE)*DJ$20)</f>
        <v>0</v>
      </c>
      <c r="DL36" s="762">
        <f xml:space="preserve">
IF(
SUM(SUMIF(防護具!$Y$13:$Y$29,DL$17&amp;$C34,防護具!$Q$13:$Q$29),DK36)-VLOOKUP($C34,$C$3:$D$15,2,FALSE)*DK$20&lt;0,0,
SUM(SUMIF(防護具!$Y$13:$Y$29,DL$17&amp;$C34,防護具!$Q$13:$Q$29),DK36)-VLOOKUP($C34,$C$3:$D$15,2,FALSE)*DK$20)</f>
        <v>0</v>
      </c>
      <c r="DM36" s="762">
        <f xml:space="preserve">
IF(
SUM(SUMIF(防護具!$Y$13:$Y$29,DM$17&amp;$C34,防護具!$Q$13:$Q$29),DL36)-VLOOKUP($C34,$C$3:$D$15,2,FALSE)*DL$20&lt;0,0,
SUM(SUMIF(防護具!$Y$13:$Y$29,DM$17&amp;$C34,防護具!$Q$13:$Q$29),DL36)-VLOOKUP($C34,$C$3:$D$15,2,FALSE)*DL$20)</f>
        <v>0</v>
      </c>
      <c r="DN36" s="762">
        <f xml:space="preserve">
IF(
SUM(SUMIF(防護具!$Y$13:$Y$29,DN$17&amp;$C34,防護具!$Q$13:$Q$29),DM36)-VLOOKUP($C34,$C$3:$D$15,2,FALSE)*DM$20&lt;0,0,
SUM(SUMIF(防護具!$Y$13:$Y$29,DN$17&amp;$C34,防護具!$Q$13:$Q$29),DM36)-VLOOKUP($C34,$C$3:$D$15,2,FALSE)*DM$20)</f>
        <v>0</v>
      </c>
      <c r="DO36" s="762">
        <f xml:space="preserve">
IF(
SUM(SUMIF(防護具!$Y$13:$Y$29,DO$17&amp;$C34,防護具!$Q$13:$Q$29),DN36)-VLOOKUP($C34,$C$3:$D$15,2,FALSE)*DN$20&lt;0,0,
SUM(SUMIF(防護具!$Y$13:$Y$29,DO$17&amp;$C34,防護具!$Q$13:$Q$29),DN36)-VLOOKUP($C34,$C$3:$D$15,2,FALSE)*DN$20)</f>
        <v>0</v>
      </c>
      <c r="DP36" s="762">
        <f xml:space="preserve">
IF(
SUM(SUMIF(防護具!$Y$13:$Y$29,DP$17&amp;$C34,防護具!$Q$13:$Q$29),DO36)-VLOOKUP($C34,$C$3:$D$15,2,FALSE)*DO$20&lt;0,0,
SUM(SUMIF(防護具!$Y$13:$Y$29,DP$17&amp;$C34,防護具!$Q$13:$Q$29),DO36)-VLOOKUP($C34,$C$3:$D$15,2,FALSE)*DO$20)</f>
        <v>0</v>
      </c>
      <c r="DQ36" s="762">
        <f xml:space="preserve">
IF(
SUM(SUMIF(防護具!$Y$13:$Y$29,DQ$17&amp;$C34,防護具!$Q$13:$Q$29),DP36)-VLOOKUP($C34,$C$3:$D$15,2,FALSE)*DP$20&lt;0,0,
SUM(SUMIF(防護具!$Y$13:$Y$29,DQ$17&amp;$C34,防護具!$Q$13:$Q$29),DP36)-VLOOKUP($C34,$C$3:$D$15,2,FALSE)*DP$20)</f>
        <v>0</v>
      </c>
      <c r="DR36" s="762">
        <f xml:space="preserve">
IF(
SUM(SUMIF(防護具!$Y$13:$Y$29,DR$17&amp;$C34,防護具!$Q$13:$Q$29),DQ36)-VLOOKUP($C34,$C$3:$D$15,2,FALSE)*DQ$20&lt;0,0,
SUM(SUMIF(防護具!$Y$13:$Y$29,DR$17&amp;$C34,防護具!$Q$13:$Q$29),DQ36)-VLOOKUP($C34,$C$3:$D$15,2,FALSE)*DQ$20)</f>
        <v>0</v>
      </c>
      <c r="DS36" s="762">
        <f xml:space="preserve">
IF(
SUM(SUMIF(防護具!$Y$13:$Y$29,DS$17&amp;$C34,防護具!$Q$13:$Q$29),DR36)-VLOOKUP($C34,$C$3:$D$15,2,FALSE)*DR$20&lt;0,0,
SUM(SUMIF(防護具!$Y$13:$Y$29,DS$17&amp;$C34,防護具!$Q$13:$Q$29),DR36)-VLOOKUP($C34,$C$3:$D$15,2,FALSE)*DR$20)</f>
        <v>0</v>
      </c>
      <c r="DT36" s="762">
        <f xml:space="preserve">
IF(
SUM(SUMIF(防護具!$Y$13:$Y$29,DT$17&amp;$C34,防護具!$Q$13:$Q$29),DS36)-VLOOKUP($C34,$C$3:$D$15,2,FALSE)*DS$20&lt;0,0,
SUM(SUMIF(防護具!$Y$13:$Y$29,DT$17&amp;$C34,防護具!$Q$13:$Q$29),DS36)-VLOOKUP($C34,$C$3:$D$15,2,FALSE)*DS$20)</f>
        <v>0</v>
      </c>
      <c r="DU36" s="762">
        <f xml:space="preserve">
IF(
SUM(SUMIF(防護具!$Y$13:$Y$29,DU$17&amp;$C34,防護具!$Q$13:$Q$29),DT36)-VLOOKUP($C34,$C$3:$D$15,2,FALSE)*DT$20&lt;0,0,
SUM(SUMIF(防護具!$Y$13:$Y$29,DU$17&amp;$C34,防護具!$Q$13:$Q$29),DT36)-VLOOKUP($C34,$C$3:$D$15,2,FALSE)*DT$20)</f>
        <v>0</v>
      </c>
      <c r="DV36" s="762">
        <f xml:space="preserve">
IF(
SUM(SUMIF(防護具!$Y$13:$Y$29,DV$17&amp;$C34,防護具!$Q$13:$Q$29),DU36)-VLOOKUP($C34,$C$3:$D$15,2,FALSE)*DU$20&lt;0,0,
SUM(SUMIF(防護具!$Y$13:$Y$29,DV$17&amp;$C34,防護具!$Q$13:$Q$29),DU36)-VLOOKUP($C34,$C$3:$D$15,2,FALSE)*DU$20)</f>
        <v>0</v>
      </c>
      <c r="DW36" s="762">
        <f xml:space="preserve">
IF(
SUM(SUMIF(防護具!$Y$13:$Y$29,DW$17&amp;$C34,防護具!$Q$13:$Q$29),DV36)-VLOOKUP($C34,$C$3:$D$15,2,FALSE)*DV$20&lt;0,0,
SUM(SUMIF(防護具!$Y$13:$Y$29,DW$17&amp;$C34,防護具!$Q$13:$Q$29),DV36)-VLOOKUP($C34,$C$3:$D$15,2,FALSE)*DV$20)</f>
        <v>0</v>
      </c>
      <c r="DX36" s="762">
        <f xml:space="preserve">
IF(
SUM(SUMIF(防護具!$Y$13:$Y$29,DX$17&amp;$C34,防護具!$Q$13:$Q$29),DW36)-VLOOKUP($C34,$C$3:$D$15,2,FALSE)*DW$20&lt;0,0,
SUM(SUMIF(防護具!$Y$13:$Y$29,DX$17&amp;$C34,防護具!$Q$13:$Q$29),DW36)-VLOOKUP($C34,$C$3:$D$15,2,FALSE)*DW$20)</f>
        <v>0</v>
      </c>
      <c r="DY36" s="762">
        <f xml:space="preserve">
IF(
SUM(SUMIF(防護具!$Y$13:$Y$29,DY$17&amp;$C34,防護具!$Q$13:$Q$29),DX36)-VLOOKUP($C34,$C$3:$D$15,2,FALSE)*DX$20&lt;0,0,
SUM(SUMIF(防護具!$Y$13:$Y$29,DY$17&amp;$C34,防護具!$Q$13:$Q$29),DX36)-VLOOKUP($C34,$C$3:$D$15,2,FALSE)*DX$20)</f>
        <v>0</v>
      </c>
      <c r="DZ36" s="762">
        <f xml:space="preserve">
IF(
SUM(SUMIF(防護具!$Y$13:$Y$29,DZ$17&amp;$C34,防護具!$Q$13:$Q$29),DY36)-VLOOKUP($C34,$C$3:$D$15,2,FALSE)*DY$20&lt;0,0,
SUM(SUMIF(防護具!$Y$13:$Y$29,DZ$17&amp;$C34,防護具!$Q$13:$Q$29),DY36)-VLOOKUP($C34,$C$3:$D$15,2,FALSE)*DY$20)</f>
        <v>0</v>
      </c>
      <c r="EA36" s="762">
        <f xml:space="preserve">
IF(
SUM(SUMIF(防護具!$Y$13:$Y$29,EA$17&amp;$C34,防護具!$Q$13:$Q$29),DZ36)-VLOOKUP($C34,$C$3:$D$15,2,FALSE)*DZ$20&lt;0,0,
SUM(SUMIF(防護具!$Y$13:$Y$29,EA$17&amp;$C34,防護具!$Q$13:$Q$29),DZ36)-VLOOKUP($C34,$C$3:$D$15,2,FALSE)*DZ$20)</f>
        <v>0</v>
      </c>
      <c r="EB36" s="762">
        <f xml:space="preserve">
IF(
SUM(SUMIF(防護具!$Y$13:$Y$29,EB$17&amp;$C34,防護具!$Q$13:$Q$29),EA36)-VLOOKUP($C34,$C$3:$D$15,2,FALSE)*EA$20&lt;0,0,
SUM(SUMIF(防護具!$Y$13:$Y$29,EB$17&amp;$C34,防護具!$Q$13:$Q$29),EA36)-VLOOKUP($C34,$C$3:$D$15,2,FALSE)*EA$20)</f>
        <v>0</v>
      </c>
      <c r="EC36" s="762">
        <f xml:space="preserve">
IF(
SUM(SUMIF(防護具!$Y$13:$Y$29,EC$17&amp;$C34,防護具!$Q$13:$Q$29),EB36)-VLOOKUP($C34,$C$3:$D$15,2,FALSE)*EB$20&lt;0,0,
SUM(SUMIF(防護具!$Y$13:$Y$29,EC$17&amp;$C34,防護具!$Q$13:$Q$29),EB36)-VLOOKUP($C34,$C$3:$D$15,2,FALSE)*EB$20)</f>
        <v>0</v>
      </c>
      <c r="ED36" s="762">
        <f xml:space="preserve">
IF(
SUM(SUMIF(防護具!$Y$13:$Y$29,ED$17&amp;$C34,防護具!$Q$13:$Q$29),EC36)-VLOOKUP($C34,$C$3:$D$15,2,FALSE)*EC$20&lt;0,0,
SUM(SUMIF(防護具!$Y$13:$Y$29,ED$17&amp;$C34,防護具!$Q$13:$Q$29),EC36)-VLOOKUP($C34,$C$3:$D$15,2,FALSE)*EC$20)</f>
        <v>0</v>
      </c>
      <c r="EE36" s="762">
        <f xml:space="preserve">
IF(
SUM(SUMIF(防護具!$Y$13:$Y$29,EE$17&amp;$C34,防護具!$Q$13:$Q$29),ED36)-VLOOKUP($C34,$C$3:$D$15,2,FALSE)*ED$20&lt;0,0,
SUM(SUMIF(防護具!$Y$13:$Y$29,EE$17&amp;$C34,防護具!$Q$13:$Q$29),ED36)-VLOOKUP($C34,$C$3:$D$15,2,FALSE)*ED$20)</f>
        <v>0</v>
      </c>
      <c r="EF36" s="762">
        <f xml:space="preserve">
IF(
SUM(SUMIF(防護具!$Y$13:$Y$29,EF$17&amp;$C34,防護具!$Q$13:$Q$29),EE36)-VLOOKUP($C34,$C$3:$D$15,2,FALSE)*EE$20&lt;0,0,
SUM(SUMIF(防護具!$Y$13:$Y$29,EF$17&amp;$C34,防護具!$Q$13:$Q$29),EE36)-VLOOKUP($C34,$C$3:$D$15,2,FALSE)*EE$20)</f>
        <v>0</v>
      </c>
      <c r="EG36" s="762">
        <f xml:space="preserve">
IF(
SUM(SUMIF(防護具!$Y$13:$Y$29,EG$17&amp;$C34,防護具!$Q$13:$Q$29),EF36)-VLOOKUP($C34,$C$3:$D$15,2,FALSE)*EF$20&lt;0,0,
SUM(SUMIF(防護具!$Y$13:$Y$29,EG$17&amp;$C34,防護具!$Q$13:$Q$29),EF36)-VLOOKUP($C34,$C$3:$D$15,2,FALSE)*EF$20)</f>
        <v>0</v>
      </c>
      <c r="EH36" s="762">
        <f xml:space="preserve">
IF(
SUM(SUMIF(防護具!$Y$13:$Y$29,EH$17&amp;$C34,防護具!$Q$13:$Q$29),EG36)-VLOOKUP($C34,$C$3:$D$15,2,FALSE)*EG$20&lt;0,0,
SUM(SUMIF(防護具!$Y$13:$Y$29,EH$17&amp;$C34,防護具!$Q$13:$Q$29),EG36)-VLOOKUP($C34,$C$3:$D$15,2,FALSE)*EG$20)</f>
        <v>0</v>
      </c>
      <c r="EI36" s="762">
        <f xml:space="preserve">
IF(
SUM(SUMIF(防護具!$Y$13:$Y$29,EI$17&amp;$C34,防護具!$Q$13:$Q$29),EH36)-VLOOKUP($C34,$C$3:$D$15,2,FALSE)*EH$20&lt;0,0,
SUM(SUMIF(防護具!$Y$13:$Y$29,EI$17&amp;$C34,防護具!$Q$13:$Q$29),EH36)-VLOOKUP($C34,$C$3:$D$15,2,FALSE)*EH$20)</f>
        <v>0</v>
      </c>
      <c r="EJ36" s="762">
        <f xml:space="preserve">
IF(
SUM(SUMIF(防護具!$Y$13:$Y$29,EJ$17&amp;$C34,防護具!$Q$13:$Q$29),EI36)-VLOOKUP($C34,$C$3:$D$15,2,FALSE)*EI$20&lt;0,0,
SUM(SUMIF(防護具!$Y$13:$Y$29,EJ$17&amp;$C34,防護具!$Q$13:$Q$29),EI36)-VLOOKUP($C34,$C$3:$D$15,2,FALSE)*EI$20)</f>
        <v>0</v>
      </c>
      <c r="EK36" s="762">
        <f xml:space="preserve">
IF(
SUM(SUMIF(防護具!$Y$13:$Y$29,EK$17&amp;$C34,防護具!$Q$13:$Q$29),EJ36)-VLOOKUP($C34,$C$3:$D$15,2,FALSE)*EJ$20&lt;0,0,
SUM(SUMIF(防護具!$Y$13:$Y$29,EK$17&amp;$C34,防護具!$Q$13:$Q$29),EJ36)-VLOOKUP($C34,$C$3:$D$15,2,FALSE)*EJ$20)</f>
        <v>0</v>
      </c>
      <c r="EL36" s="762">
        <f xml:space="preserve">
IF(
SUM(SUMIF(防護具!$Y$13:$Y$29,EL$17&amp;$C34,防護具!$Q$13:$Q$29),EK36)-VLOOKUP($C34,$C$3:$D$15,2,FALSE)*EK$20&lt;0,0,
SUM(SUMIF(防護具!$Y$13:$Y$29,EL$17&amp;$C34,防護具!$Q$13:$Q$29),EK36)-VLOOKUP($C34,$C$3:$D$15,2,FALSE)*EK$20)</f>
        <v>0</v>
      </c>
      <c r="EM36" s="762">
        <f xml:space="preserve">
IF(
SUM(SUMIF(防護具!$Y$13:$Y$29,EM$17&amp;$C34,防護具!$Q$13:$Q$29),EL36)-VLOOKUP($C34,$C$3:$D$15,2,FALSE)*EL$20&lt;0,0,
SUM(SUMIF(防護具!$Y$13:$Y$29,EM$17&amp;$C34,防護具!$Q$13:$Q$29),EL36)-VLOOKUP($C34,$C$3:$D$15,2,FALSE)*EL$20)</f>
        <v>0</v>
      </c>
      <c r="EN36" s="762">
        <f xml:space="preserve">
IF(
SUM(SUMIF(防護具!$Y$13:$Y$29,EN$17&amp;$C34,防護具!$Q$13:$Q$29),EM36)-VLOOKUP($C34,$C$3:$D$15,2,FALSE)*EM$20&lt;0,0,
SUM(SUMIF(防護具!$Y$13:$Y$29,EN$17&amp;$C34,防護具!$Q$13:$Q$29),EM36)-VLOOKUP($C34,$C$3:$D$15,2,FALSE)*EM$20)</f>
        <v>0</v>
      </c>
      <c r="EO36" s="762">
        <f xml:space="preserve">
IF(
SUM(SUMIF(防護具!$Y$13:$Y$29,EO$17&amp;$C34,防護具!$Q$13:$Q$29),EN36)-VLOOKUP($C34,$C$3:$D$15,2,FALSE)*EN$20&lt;0,0,
SUM(SUMIF(防護具!$Y$13:$Y$29,EO$17&amp;$C34,防護具!$Q$13:$Q$29),EN36)-VLOOKUP($C34,$C$3:$D$15,2,FALSE)*EN$20)</f>
        <v>0</v>
      </c>
      <c r="EP36" s="762">
        <f xml:space="preserve">
IF(
SUM(SUMIF(防護具!$Y$13:$Y$29,EP$17&amp;$C34,防護具!$Q$13:$Q$29),EO36)-VLOOKUP($C34,$C$3:$D$15,2,FALSE)*EO$20&lt;0,0,
SUM(SUMIF(防護具!$Y$13:$Y$29,EP$17&amp;$C34,防護具!$Q$13:$Q$29),EO36)-VLOOKUP($C34,$C$3:$D$15,2,FALSE)*EO$20)</f>
        <v>0</v>
      </c>
      <c r="EQ36" s="762">
        <f xml:space="preserve">
IF(
SUM(SUMIF(防護具!$Y$13:$Y$29,EQ$17&amp;$C34,防護具!$Q$13:$Q$29),EP36)-VLOOKUP($C34,$C$3:$D$15,2,FALSE)*EP$20&lt;0,0,
SUM(SUMIF(防護具!$Y$13:$Y$29,EQ$17&amp;$C34,防護具!$Q$13:$Q$29),EP36)-VLOOKUP($C34,$C$3:$D$15,2,FALSE)*EP$20)</f>
        <v>0</v>
      </c>
      <c r="ER36" s="762">
        <f xml:space="preserve">
IF(
SUM(SUMIF(防護具!$Y$13:$Y$29,ER$17&amp;$C34,防護具!$Q$13:$Q$29),EQ36)-VLOOKUP($C34,$C$3:$D$15,2,FALSE)*EQ$20&lt;0,0,
SUM(SUMIF(防護具!$Y$13:$Y$29,ER$17&amp;$C34,防護具!$Q$13:$Q$29),EQ36)-VLOOKUP($C34,$C$3:$D$15,2,FALSE)*EQ$20)</f>
        <v>0</v>
      </c>
      <c r="ES36" s="762">
        <f xml:space="preserve">
IF(
SUM(SUMIF(防護具!$Y$13:$Y$29,ES$17&amp;$C34,防護具!$Q$13:$Q$29),ER36)-VLOOKUP($C34,$C$3:$D$15,2,FALSE)*ER$20&lt;0,0,
SUM(SUMIF(防護具!$Y$13:$Y$29,ES$17&amp;$C34,防護具!$Q$13:$Q$29),ER36)-VLOOKUP($C34,$C$3:$D$15,2,FALSE)*ER$20)</f>
        <v>0</v>
      </c>
      <c r="ET36" s="762">
        <f xml:space="preserve">
IF(
SUM(SUMIF(防護具!$Y$13:$Y$29,ET$17&amp;$C34,防護具!$Q$13:$Q$29),ES36)-VLOOKUP($C34,$C$3:$D$15,2,FALSE)*ES$20&lt;0,0,
SUM(SUMIF(防護具!$Y$13:$Y$29,ET$17&amp;$C34,防護具!$Q$13:$Q$29),ES36)-VLOOKUP($C34,$C$3:$D$15,2,FALSE)*ES$20)</f>
        <v>0</v>
      </c>
      <c r="EU36" s="762">
        <f xml:space="preserve">
IF(
SUM(SUMIF(防護具!$Y$13:$Y$29,EU$17&amp;$C34,防護具!$Q$13:$Q$29),ET36)-VLOOKUP($C34,$C$3:$D$15,2,FALSE)*ET$20&lt;0,0,
SUM(SUMIF(防護具!$Y$13:$Y$29,EU$17&amp;$C34,防護具!$Q$13:$Q$29),ET36)-VLOOKUP($C34,$C$3:$D$15,2,FALSE)*ET$20)</f>
        <v>0</v>
      </c>
      <c r="EV36" s="762">
        <f xml:space="preserve">
IF(
SUM(SUMIF(防護具!$Y$13:$Y$29,EV$17&amp;$C34,防護具!$Q$13:$Q$29),EU36)-VLOOKUP($C34,$C$3:$D$15,2,FALSE)*EU$20&lt;0,0,
SUM(SUMIF(防護具!$Y$13:$Y$29,EV$17&amp;$C34,防護具!$Q$13:$Q$29),EU36)-VLOOKUP($C34,$C$3:$D$15,2,FALSE)*EU$20)</f>
        <v>0</v>
      </c>
      <c r="EW36" s="762">
        <f xml:space="preserve">
IF(
SUM(SUMIF(防護具!$Y$13:$Y$29,EW$17&amp;$C34,防護具!$Q$13:$Q$29),EV36)-VLOOKUP($C34,$C$3:$D$15,2,FALSE)*EV$20&lt;0,0,
SUM(SUMIF(防護具!$Y$13:$Y$29,EW$17&amp;$C34,防護具!$Q$13:$Q$29),EV36)-VLOOKUP($C34,$C$3:$D$15,2,FALSE)*EV$20)</f>
        <v>0</v>
      </c>
      <c r="EX36" s="762">
        <f xml:space="preserve">
IF(
SUM(SUMIF(防護具!$Y$13:$Y$29,EX$17&amp;$C34,防護具!$Q$13:$Q$29),EW36)-VLOOKUP($C34,$C$3:$D$15,2,FALSE)*EW$20&lt;0,0,
SUM(SUMIF(防護具!$Y$13:$Y$29,EX$17&amp;$C34,防護具!$Q$13:$Q$29),EW36)-VLOOKUP($C34,$C$3:$D$15,2,FALSE)*EW$20)</f>
        <v>0</v>
      </c>
      <c r="EY36" s="762">
        <f xml:space="preserve">
IF(
SUM(SUMIF(防護具!$Y$13:$Y$29,EY$17&amp;$C34,防護具!$Q$13:$Q$29),EX36)-VLOOKUP($C34,$C$3:$D$15,2,FALSE)*EX$20&lt;0,0,
SUM(SUMIF(防護具!$Y$13:$Y$29,EY$17&amp;$C34,防護具!$Q$13:$Q$29),EX36)-VLOOKUP($C34,$C$3:$D$15,2,FALSE)*EX$20)</f>
        <v>0</v>
      </c>
      <c r="EZ36" s="762">
        <f xml:space="preserve">
IF(
SUM(SUMIF(防護具!$Y$13:$Y$29,EZ$17&amp;$C34,防護具!$Q$13:$Q$29),EY36)-VLOOKUP($C34,$C$3:$D$15,2,FALSE)*EY$20&lt;0,0,
SUM(SUMIF(防護具!$Y$13:$Y$29,EZ$17&amp;$C34,防護具!$Q$13:$Q$29),EY36)-VLOOKUP($C34,$C$3:$D$15,2,FALSE)*EY$20)</f>
        <v>0</v>
      </c>
      <c r="FA36" s="762">
        <f xml:space="preserve">
IF(
SUM(SUMIF(防護具!$Y$13:$Y$29,FA$17&amp;$C34,防護具!$Q$13:$Q$29),EZ36)-VLOOKUP($C34,$C$3:$D$15,2,FALSE)*EZ$20&lt;0,0,
SUM(SUMIF(防護具!$Y$13:$Y$29,FA$17&amp;$C34,防護具!$Q$13:$Q$29),EZ36)-VLOOKUP($C34,$C$3:$D$15,2,FALSE)*EZ$20)</f>
        <v>0</v>
      </c>
      <c r="FB36" s="762">
        <f xml:space="preserve">
IF(
SUM(SUMIF(防護具!$Y$13:$Y$29,FB$17&amp;$C34,防護具!$Q$13:$Q$29),FA36)-VLOOKUP($C34,$C$3:$D$15,2,FALSE)*FA$20&lt;0,0,
SUM(SUMIF(防護具!$Y$13:$Y$29,FB$17&amp;$C34,防護具!$Q$13:$Q$29),FA36)-VLOOKUP($C34,$C$3:$D$15,2,FALSE)*FA$20)</f>
        <v>0</v>
      </c>
      <c r="FC36" s="762">
        <f xml:space="preserve">
IF(
SUM(SUMIF(防護具!$Y$13:$Y$29,FC$17&amp;$C34,防護具!$Q$13:$Q$29),FB36)-VLOOKUP($C34,$C$3:$D$15,2,FALSE)*FB$20&lt;0,0,
SUM(SUMIF(防護具!$Y$13:$Y$29,FC$17&amp;$C34,防護具!$Q$13:$Q$29),FB36)-VLOOKUP($C34,$C$3:$D$15,2,FALSE)*FB$20)</f>
        <v>0</v>
      </c>
      <c r="FD36" s="762">
        <f xml:space="preserve">
IF(
SUM(SUMIF(防護具!$Y$13:$Y$29,FD$17&amp;$C34,防護具!$Q$13:$Q$29),FC36)-VLOOKUP($C34,$C$3:$D$15,2,FALSE)*FC$20&lt;0,0,
SUM(SUMIF(防護具!$Y$13:$Y$29,FD$17&amp;$C34,防護具!$Q$13:$Q$29),FC36)-VLOOKUP($C34,$C$3:$D$15,2,FALSE)*FC$20)</f>
        <v>0</v>
      </c>
      <c r="FE36" s="762">
        <f xml:space="preserve">
IF(
SUM(SUMIF(防護具!$Y$13:$Y$29,FE$17&amp;$C34,防護具!$Q$13:$Q$29),FD36)-VLOOKUP($C34,$C$3:$D$15,2,FALSE)*FD$20&lt;0,0,
SUM(SUMIF(防護具!$Y$13:$Y$29,FE$17&amp;$C34,防護具!$Q$13:$Q$29),FD36)-VLOOKUP($C34,$C$3:$D$15,2,FALSE)*FD$20)</f>
        <v>0</v>
      </c>
      <c r="FF36" s="762">
        <f xml:space="preserve">
IF(
SUM(SUMIF(防護具!$Y$13:$Y$29,FF$17&amp;$C34,防護具!$Q$13:$Q$29),FE36)-VLOOKUP($C34,$C$3:$D$15,2,FALSE)*FE$20&lt;0,0,
SUM(SUMIF(防護具!$Y$13:$Y$29,FF$17&amp;$C34,防護具!$Q$13:$Q$29),FE36)-VLOOKUP($C34,$C$3:$D$15,2,FALSE)*FE$20)</f>
        <v>0</v>
      </c>
      <c r="FG36" s="762">
        <f xml:space="preserve">
IF(
SUM(SUMIF(防護具!$Y$13:$Y$29,FG$17&amp;$C34,防護具!$Q$13:$Q$29),FF36)-VLOOKUP($C34,$C$3:$D$15,2,FALSE)*FF$20&lt;0,0,
SUM(SUMIF(防護具!$Y$13:$Y$29,FG$17&amp;$C34,防護具!$Q$13:$Q$29),FF36)-VLOOKUP($C34,$C$3:$D$15,2,FALSE)*FF$20)</f>
        <v>0</v>
      </c>
      <c r="FH36" s="762">
        <f xml:space="preserve">
IF(
SUM(SUMIF(防護具!$Y$13:$Y$29,FH$17&amp;$C34,防護具!$Q$13:$Q$29),FG36)-VLOOKUP($C34,$C$3:$D$15,2,FALSE)*FG$20&lt;0,0,
SUM(SUMIF(防護具!$Y$13:$Y$29,FH$17&amp;$C34,防護具!$Q$13:$Q$29),FG36)-VLOOKUP($C34,$C$3:$D$15,2,FALSE)*FG$20)</f>
        <v>0</v>
      </c>
      <c r="FI36" s="762">
        <f xml:space="preserve">
IF(
SUM(SUMIF(防護具!$Y$13:$Y$29,FI$17&amp;$C34,防護具!$Q$13:$Q$29),FH36)-VLOOKUP($C34,$C$3:$D$15,2,FALSE)*FH$20&lt;0,0,
SUM(SUMIF(防護具!$Y$13:$Y$29,FI$17&amp;$C34,防護具!$Q$13:$Q$29),FH36)-VLOOKUP($C34,$C$3:$D$15,2,FALSE)*FH$20)</f>
        <v>0</v>
      </c>
      <c r="FJ36" s="762">
        <f xml:space="preserve">
IF(
SUM(SUMIF(防護具!$Y$13:$Y$29,FJ$17&amp;$C34,防護具!$Q$13:$Q$29),FI36)-VLOOKUP($C34,$C$3:$D$15,2,FALSE)*FI$20&lt;0,0,
SUM(SUMIF(防護具!$Y$13:$Y$29,FJ$17&amp;$C34,防護具!$Q$13:$Q$29),FI36)-VLOOKUP($C34,$C$3:$D$15,2,FALSE)*FI$20)</f>
        <v>0</v>
      </c>
      <c r="FK36" s="762">
        <f xml:space="preserve">
IF(
SUM(SUMIF(防護具!$Y$13:$Y$29,FK$17&amp;$C34,防護具!$Q$13:$Q$29),FJ36)-VLOOKUP($C34,$C$3:$D$15,2,FALSE)*FJ$20&lt;0,0,
SUM(SUMIF(防護具!$Y$13:$Y$29,FK$17&amp;$C34,防護具!$Q$13:$Q$29),FJ36)-VLOOKUP($C34,$C$3:$D$15,2,FALSE)*FJ$20)</f>
        <v>0</v>
      </c>
      <c r="FL36" s="762">
        <f xml:space="preserve">
IF(
SUM(SUMIF(防護具!$Y$13:$Y$29,FL$17&amp;$C34,防護具!$Q$13:$Q$29),FK36)-VLOOKUP($C34,$C$3:$D$15,2,FALSE)*FK$20&lt;0,0,
SUM(SUMIF(防護具!$Y$13:$Y$29,FL$17&amp;$C34,防護具!$Q$13:$Q$29),FK36)-VLOOKUP($C34,$C$3:$D$15,2,FALSE)*FK$20)</f>
        <v>0</v>
      </c>
      <c r="FM36" s="762">
        <f xml:space="preserve">
IF(
SUM(SUMIF(防護具!$Y$13:$Y$29,FM$17&amp;$C34,防護具!$Q$13:$Q$29),FL36)-VLOOKUP($C34,$C$3:$D$15,2,FALSE)*FL$20&lt;0,0,
SUM(SUMIF(防護具!$Y$13:$Y$29,FM$17&amp;$C34,防護具!$Q$13:$Q$29),FL36)-VLOOKUP($C34,$C$3:$D$15,2,FALSE)*FL$20)</f>
        <v>0</v>
      </c>
      <c r="FN36" s="762">
        <f xml:space="preserve">
IF(
SUM(SUMIF(防護具!$Y$13:$Y$29,FN$17&amp;$C34,防護具!$Q$13:$Q$29),FM36)-VLOOKUP($C34,$C$3:$D$15,2,FALSE)*FM$20&lt;0,0,
SUM(SUMIF(防護具!$Y$13:$Y$29,FN$17&amp;$C34,防護具!$Q$13:$Q$29),FM36)-VLOOKUP($C34,$C$3:$D$15,2,FALSE)*FM$20)</f>
        <v>0</v>
      </c>
      <c r="FO36" s="762">
        <f xml:space="preserve">
IF(
SUM(SUMIF(防護具!$Y$13:$Y$29,FO$17&amp;$C34,防護具!$Q$13:$Q$29),FN36)-VLOOKUP($C34,$C$3:$D$15,2,FALSE)*FN$20&lt;0,0,
SUM(SUMIF(防護具!$Y$13:$Y$29,FO$17&amp;$C34,防護具!$Q$13:$Q$29),FN36)-VLOOKUP($C34,$C$3:$D$15,2,FALSE)*FN$20)</f>
        <v>0</v>
      </c>
      <c r="FP36" s="762">
        <f xml:space="preserve">
IF(
SUM(SUMIF(防護具!$Y$13:$Y$29,FP$17&amp;$C34,防護具!$Q$13:$Q$29),FO36)-VLOOKUP($C34,$C$3:$D$15,2,FALSE)*FO$20&lt;0,0,
SUM(SUMIF(防護具!$Y$13:$Y$29,FP$17&amp;$C34,防護具!$Q$13:$Q$29),FO36)-VLOOKUP($C34,$C$3:$D$15,2,FALSE)*FO$20)</f>
        <v>0</v>
      </c>
      <c r="FQ36" s="762">
        <f xml:space="preserve">
IF(
SUM(SUMIF(防護具!$Y$13:$Y$29,FQ$17&amp;$C34,防護具!$Q$13:$Q$29),FP36)-VLOOKUP($C34,$C$3:$D$15,2,FALSE)*FP$20&lt;0,0,
SUM(SUMIF(防護具!$Y$13:$Y$29,FQ$17&amp;$C34,防護具!$Q$13:$Q$29),FP36)-VLOOKUP($C34,$C$3:$D$15,2,FALSE)*FP$20)</f>
        <v>0</v>
      </c>
      <c r="FR36" s="762">
        <f xml:space="preserve">
IF(
SUM(SUMIF(防護具!$Y$13:$Y$29,FR$17&amp;$C34,防護具!$Q$13:$Q$29),FQ36)-VLOOKUP($C34,$C$3:$D$15,2,FALSE)*FQ$20&lt;0,0,
SUM(SUMIF(防護具!$Y$13:$Y$29,FR$17&amp;$C34,防護具!$Q$13:$Q$29),FQ36)-VLOOKUP($C34,$C$3:$D$15,2,FALSE)*FQ$20)</f>
        <v>0</v>
      </c>
      <c r="FS36" s="762">
        <f xml:space="preserve">
IF(
SUM(SUMIF(防護具!$Y$13:$Y$29,FS$17&amp;$C34,防護具!$Q$13:$Q$29),FR36)-VLOOKUP($C34,$C$3:$D$15,2,FALSE)*FR$20&lt;0,0,
SUM(SUMIF(防護具!$Y$13:$Y$29,FS$17&amp;$C34,防護具!$Q$13:$Q$29),FR36)-VLOOKUP($C34,$C$3:$D$15,2,FALSE)*FR$20)</f>
        <v>0</v>
      </c>
      <c r="FT36" s="762">
        <f xml:space="preserve">
IF(
SUM(SUMIF(防護具!$Y$13:$Y$29,FT$17&amp;$C34,防護具!$Q$13:$Q$29),FS36)-VLOOKUP($C34,$C$3:$D$15,2,FALSE)*FS$20&lt;0,0,
SUM(SUMIF(防護具!$Y$13:$Y$29,FT$17&amp;$C34,防護具!$Q$13:$Q$29),FS36)-VLOOKUP($C34,$C$3:$D$15,2,FALSE)*FS$20)</f>
        <v>0</v>
      </c>
      <c r="FU36" s="762">
        <f xml:space="preserve">
IF(
SUM(SUMIF(防護具!$Y$13:$Y$29,FU$17&amp;$C34,防護具!$Q$13:$Q$29),FT36)-VLOOKUP($C34,$C$3:$D$15,2,FALSE)*FT$20&lt;0,0,
SUM(SUMIF(防護具!$Y$13:$Y$29,FU$17&amp;$C34,防護具!$Q$13:$Q$29),FT36)-VLOOKUP($C34,$C$3:$D$15,2,FALSE)*FT$20)</f>
        <v>0</v>
      </c>
      <c r="FV36" s="762">
        <f xml:space="preserve">
IF(
SUM(SUMIF(防護具!$Y$13:$Y$29,FV$17&amp;$C34,防護具!$Q$13:$Q$29),FU36)-VLOOKUP($C34,$C$3:$D$15,2,FALSE)*FU$20&lt;0,0,
SUM(SUMIF(防護具!$Y$13:$Y$29,FV$17&amp;$C34,防護具!$Q$13:$Q$29),FU36)-VLOOKUP($C34,$C$3:$D$15,2,FALSE)*FU$20)</f>
        <v>0</v>
      </c>
      <c r="FW36" s="762">
        <f xml:space="preserve">
IF(
SUM(SUMIF(防護具!$Y$13:$Y$29,FW$17&amp;$C34,防護具!$Q$13:$Q$29),FV36)-VLOOKUP($C34,$C$3:$D$15,2,FALSE)*FV$20&lt;0,0,
SUM(SUMIF(防護具!$Y$13:$Y$29,FW$17&amp;$C34,防護具!$Q$13:$Q$29),FV36)-VLOOKUP($C34,$C$3:$D$15,2,FALSE)*FV$20)</f>
        <v>0</v>
      </c>
      <c r="FX36" s="762">
        <f xml:space="preserve">
IF(
SUM(SUMIF(防護具!$Y$13:$Y$29,FX$17&amp;$C34,防護具!$Q$13:$Q$29),FW36)-VLOOKUP($C34,$C$3:$D$15,2,FALSE)*FW$20&lt;0,0,
SUM(SUMIF(防護具!$Y$13:$Y$29,FX$17&amp;$C34,防護具!$Q$13:$Q$29),FW36)-VLOOKUP($C34,$C$3:$D$15,2,FALSE)*FW$20)</f>
        <v>0</v>
      </c>
      <c r="FY36" s="762">
        <f xml:space="preserve">
IF(
SUM(SUMIF(防護具!$Y$13:$Y$29,FY$17&amp;$C34,防護具!$Q$13:$Q$29),FX36)-VLOOKUP($C34,$C$3:$D$15,2,FALSE)*FX$20&lt;0,0,
SUM(SUMIF(防護具!$Y$13:$Y$29,FY$17&amp;$C34,防護具!$Q$13:$Q$29),FX36)-VLOOKUP($C34,$C$3:$D$15,2,FALSE)*FX$20)</f>
        <v>0</v>
      </c>
      <c r="FZ36" s="762">
        <f xml:space="preserve">
IF(
SUM(SUMIF(防護具!$Y$13:$Y$29,FZ$17&amp;$C34,防護具!$Q$13:$Q$29),FY36)-VLOOKUP($C34,$C$3:$D$15,2,FALSE)*FY$20&lt;0,0,
SUM(SUMIF(防護具!$Y$13:$Y$29,FZ$17&amp;$C34,防護具!$Q$13:$Q$29),FY36)-VLOOKUP($C34,$C$3:$D$15,2,FALSE)*FY$20)</f>
        <v>0</v>
      </c>
      <c r="GA36" s="762">
        <f xml:space="preserve">
IF(
SUM(SUMIF(防護具!$Y$13:$Y$29,GA$17&amp;$C34,防護具!$Q$13:$Q$29),FZ36)-VLOOKUP($C34,$C$3:$D$15,2,FALSE)*FZ$20&lt;0,0,
SUM(SUMIF(防護具!$Y$13:$Y$29,GA$17&amp;$C34,防護具!$Q$13:$Q$29),FZ36)-VLOOKUP($C34,$C$3:$D$15,2,FALSE)*FZ$20)</f>
        <v>0</v>
      </c>
      <c r="GB36" s="762">
        <f xml:space="preserve">
IF(
SUM(SUMIF(防護具!$Y$13:$Y$29,GB$17&amp;$C34,防護具!$Q$13:$Q$29),GA36)-VLOOKUP($C34,$C$3:$D$15,2,FALSE)*GA$20&lt;0,0,
SUM(SUMIF(防護具!$Y$13:$Y$29,GB$17&amp;$C34,防護具!$Q$13:$Q$29),GA36)-VLOOKUP($C34,$C$3:$D$15,2,FALSE)*GA$20)</f>
        <v>0</v>
      </c>
      <c r="GC36" s="762">
        <f xml:space="preserve">
IF(
SUM(SUMIF(防護具!$Y$13:$Y$29,GC$17&amp;$C34,防護具!$Q$13:$Q$29),GB36)-VLOOKUP($C34,$C$3:$D$15,2,FALSE)*GB$20&lt;0,0,
SUM(SUMIF(防護具!$Y$13:$Y$29,GC$17&amp;$C34,防護具!$Q$13:$Q$29),GB36)-VLOOKUP($C34,$C$3:$D$15,2,FALSE)*GB$20)</f>
        <v>0</v>
      </c>
      <c r="GD36" s="762">
        <f xml:space="preserve">
IF(
SUM(SUMIF(防護具!$Y$13:$Y$29,GD$17&amp;$C34,防護具!$Q$13:$Q$29),GC36)-VLOOKUP($C34,$C$3:$D$15,2,FALSE)*GC$20&lt;0,0,
SUM(SUMIF(防護具!$Y$13:$Y$29,GD$17&amp;$C34,防護具!$Q$13:$Q$29),GC36)-VLOOKUP($C34,$C$3:$D$15,2,FALSE)*GC$20)</f>
        <v>0</v>
      </c>
      <c r="GE36" s="762">
        <f xml:space="preserve">
IF(
SUM(SUMIF(防護具!$Y$13:$Y$29,GE$17&amp;$C34,防護具!$Q$13:$Q$29),GD36)-VLOOKUP($C34,$C$3:$D$15,2,FALSE)*GD$20&lt;0,0,
SUM(SUMIF(防護具!$Y$13:$Y$29,GE$17&amp;$C34,防護具!$Q$13:$Q$29),GD36)-VLOOKUP($C34,$C$3:$D$15,2,FALSE)*GD$20)</f>
        <v>0</v>
      </c>
      <c r="GF36" s="762">
        <f xml:space="preserve">
IF(
SUM(SUMIF(防護具!$Y$13:$Y$29,GF$17&amp;$C34,防護具!$Q$13:$Q$29),GE36)-VLOOKUP($C34,$C$3:$D$15,2,FALSE)*GE$20&lt;0,0,
SUM(SUMIF(防護具!$Y$13:$Y$29,GF$17&amp;$C34,防護具!$Q$13:$Q$29),GE36)-VLOOKUP($C34,$C$3:$D$15,2,FALSE)*GE$20)</f>
        <v>0</v>
      </c>
      <c r="GG36" s="762">
        <f xml:space="preserve">
IF(
SUM(SUMIF(防護具!$Y$13:$Y$29,GG$17&amp;$C34,防護具!$Q$13:$Q$29),GF36)-VLOOKUP($C34,$C$3:$D$15,2,FALSE)*GF$20&lt;0,0,
SUM(SUMIF(防護具!$Y$13:$Y$29,GG$17&amp;$C34,防護具!$Q$13:$Q$29),GF36)-VLOOKUP($C34,$C$3:$D$15,2,FALSE)*GF$20)</f>
        <v>0</v>
      </c>
      <c r="GH36" s="762">
        <f xml:space="preserve">
IF(
SUM(SUMIF(防護具!$Y$13:$Y$29,GH$17&amp;$C34,防護具!$Q$13:$Q$29),GG36)-VLOOKUP($C34,$C$3:$D$15,2,FALSE)*GG$20&lt;0,0,
SUM(SUMIF(防護具!$Y$13:$Y$29,GH$17&amp;$C34,防護具!$Q$13:$Q$29),GG36)-VLOOKUP($C34,$C$3:$D$15,2,FALSE)*GG$20)</f>
        <v>0</v>
      </c>
      <c r="GI36" s="762">
        <f xml:space="preserve">
IF(
SUM(SUMIF(防護具!$Y$13:$Y$29,GI$17&amp;$C34,防護具!$Q$13:$Q$29),GH36)-VLOOKUP($C34,$C$3:$D$15,2,FALSE)*GH$20&lt;0,0,
SUM(SUMIF(防護具!$Y$13:$Y$29,GI$17&amp;$C34,防護具!$Q$13:$Q$29),GH36)-VLOOKUP($C34,$C$3:$D$15,2,FALSE)*GH$20)</f>
        <v>0</v>
      </c>
      <c r="GJ36" s="762">
        <f xml:space="preserve">
IF(
SUM(SUMIF(防護具!$Y$13:$Y$29,GJ$17&amp;$C34,防護具!$Q$13:$Q$29),GI36)-VLOOKUP($C34,$C$3:$D$15,2,FALSE)*GI$20&lt;0,0,
SUM(SUMIF(防護具!$Y$13:$Y$29,GJ$17&amp;$C34,防護具!$Q$13:$Q$29),GI36)-VLOOKUP($C34,$C$3:$D$15,2,FALSE)*GI$20)</f>
        <v>0</v>
      </c>
    </row>
    <row r="37" spans="2:192" s="627" customFormat="1">
      <c r="B37" s="631"/>
      <c r="C37" s="626" t="s">
        <v>1226</v>
      </c>
      <c r="D37" s="702" t="s">
        <v>1423</v>
      </c>
      <c r="E37" s="707"/>
      <c r="F37" s="654"/>
      <c r="G37" s="763">
        <f xml:space="preserve">
MIN(G38,
IF((VLOOKUP($C37,$C$3:$D$15,2,FALSE)*G$20-G39)&lt;0,0,VLOOKUP($C37,$C$3:$D$15,2,FALSE)*G$20-G39))</f>
        <v>0</v>
      </c>
      <c r="H37" s="763">
        <f xml:space="preserve">
IF(G39&gt;=VLOOKUP($C37,$C$3:$D$15,2,FALSE)*H$20,0,
IF(AND(G39&lt;VLOOKUP($C37,$C$3:$D$15,2,FALSE)*H$20,H38&lt;=VLOOKUP($C37,$C$3:$D$15,2,FALSE)*H$20),IF(H38-G39&lt;0,0,H38-G39),
IF(AND(G39&lt;VLOOKUP($C37,$C$3:$D$15,2,FALSE)*H$20,H38&gt;VLOOKUP($C37,$C$3:$D$15,2,FALSE)*H$20),VLOOKUP($C37,$C$3:$D$15,2,FALSE)*H$20-G39)))</f>
        <v>0</v>
      </c>
      <c r="I37" s="763">
        <f t="shared" ref="I37:P37" si="1005" xml:space="preserve">
IF(H39&gt;=VLOOKUP($C37,$C$3:$D$15,2,FALSE)*I$20,0,
IF(AND(H39&lt;VLOOKUP($C37,$C$3:$D$15,2,FALSE)*I$20,I38&lt;=VLOOKUP($C37,$C$3:$D$15,2,FALSE)*I$20),IF(I38-H39&lt;0,0,I38-H39),
IF(AND(H39&lt;VLOOKUP($C37,$C$3:$D$15,2,FALSE)*I$20,I38&gt;VLOOKUP($C37,$C$3:$D$15,2,FALSE)*I$20),VLOOKUP($C37,$C$3:$D$15,2,FALSE)*I$20-H39)))</f>
        <v>0</v>
      </c>
      <c r="J37" s="763">
        <f t="shared" si="1005"/>
        <v>0</v>
      </c>
      <c r="K37" s="763">
        <f t="shared" si="1005"/>
        <v>0</v>
      </c>
      <c r="L37" s="763">
        <f t="shared" si="1005"/>
        <v>0</v>
      </c>
      <c r="M37" s="763">
        <f t="shared" si="1005"/>
        <v>0</v>
      </c>
      <c r="N37" s="763">
        <f t="shared" si="1005"/>
        <v>0</v>
      </c>
      <c r="O37" s="763">
        <f t="shared" si="1005"/>
        <v>0</v>
      </c>
      <c r="P37" s="763">
        <f t="shared" si="1005"/>
        <v>0</v>
      </c>
      <c r="Q37" s="763">
        <f t="shared" ref="Q37" si="1006" xml:space="preserve">
IF(P39&gt;=VLOOKUP($C37,$C$3:$D$15,2,FALSE)*Q$20,0,
IF(AND(P39&lt;VLOOKUP($C37,$C$3:$D$15,2,FALSE)*Q$20,Q38&lt;=VLOOKUP($C37,$C$3:$D$15,2,FALSE)*Q$20),IF(Q38-P39&lt;0,0,Q38-P39),
IF(AND(P39&lt;VLOOKUP($C37,$C$3:$D$15,2,FALSE)*Q$20,Q38&gt;VLOOKUP($C37,$C$3:$D$15,2,FALSE)*Q$20),VLOOKUP($C37,$C$3:$D$15,2,FALSE)*Q$20-P39)))</f>
        <v>0</v>
      </c>
      <c r="R37" s="763">
        <f t="shared" ref="R37" si="1007" xml:space="preserve">
IF(Q39&gt;=VLOOKUP($C37,$C$3:$D$15,2,FALSE)*R$20,0,
IF(AND(Q39&lt;VLOOKUP($C37,$C$3:$D$15,2,FALSE)*R$20,R38&lt;=VLOOKUP($C37,$C$3:$D$15,2,FALSE)*R$20),IF(R38-Q39&lt;0,0,R38-Q39),
IF(AND(Q39&lt;VLOOKUP($C37,$C$3:$D$15,2,FALSE)*R$20,R38&gt;VLOOKUP($C37,$C$3:$D$15,2,FALSE)*R$20),VLOOKUP($C37,$C$3:$D$15,2,FALSE)*R$20-Q39)))</f>
        <v>0</v>
      </c>
      <c r="S37" s="763">
        <f t="shared" ref="S37" si="1008" xml:space="preserve">
IF(R39&gt;=VLOOKUP($C37,$C$3:$D$15,2,FALSE)*S$20,0,
IF(AND(R39&lt;VLOOKUP($C37,$C$3:$D$15,2,FALSE)*S$20,S38&lt;=VLOOKUP($C37,$C$3:$D$15,2,FALSE)*S$20),IF(S38-R39&lt;0,0,S38-R39),
IF(AND(R39&lt;VLOOKUP($C37,$C$3:$D$15,2,FALSE)*S$20,S38&gt;VLOOKUP($C37,$C$3:$D$15,2,FALSE)*S$20),VLOOKUP($C37,$C$3:$D$15,2,FALSE)*S$20-R39)))</f>
        <v>0</v>
      </c>
      <c r="T37" s="763">
        <f t="shared" ref="T37" si="1009" xml:space="preserve">
IF(S39&gt;=VLOOKUP($C37,$C$3:$D$15,2,FALSE)*T$20,0,
IF(AND(S39&lt;VLOOKUP($C37,$C$3:$D$15,2,FALSE)*T$20,T38&lt;=VLOOKUP($C37,$C$3:$D$15,2,FALSE)*T$20),IF(T38-S39&lt;0,0,T38-S39),
IF(AND(S39&lt;VLOOKUP($C37,$C$3:$D$15,2,FALSE)*T$20,T38&gt;VLOOKUP($C37,$C$3:$D$15,2,FALSE)*T$20),VLOOKUP($C37,$C$3:$D$15,2,FALSE)*T$20-S39)))</f>
        <v>0</v>
      </c>
      <c r="U37" s="763">
        <f t="shared" ref="U37" si="1010" xml:space="preserve">
IF(T39&gt;=VLOOKUP($C37,$C$3:$D$15,2,FALSE)*U$20,0,
IF(AND(T39&lt;VLOOKUP($C37,$C$3:$D$15,2,FALSE)*U$20,U38&lt;=VLOOKUP($C37,$C$3:$D$15,2,FALSE)*U$20),IF(U38-T39&lt;0,0,U38-T39),
IF(AND(T39&lt;VLOOKUP($C37,$C$3:$D$15,2,FALSE)*U$20,U38&gt;VLOOKUP($C37,$C$3:$D$15,2,FALSE)*U$20),VLOOKUP($C37,$C$3:$D$15,2,FALSE)*U$20-T39)))</f>
        <v>0</v>
      </c>
      <c r="V37" s="763">
        <f t="shared" ref="V37" si="1011" xml:space="preserve">
IF(U39&gt;=VLOOKUP($C37,$C$3:$D$15,2,FALSE)*V$20,0,
IF(AND(U39&lt;VLOOKUP($C37,$C$3:$D$15,2,FALSE)*V$20,V38&lt;=VLOOKUP($C37,$C$3:$D$15,2,FALSE)*V$20),IF(V38-U39&lt;0,0,V38-U39),
IF(AND(U39&lt;VLOOKUP($C37,$C$3:$D$15,2,FALSE)*V$20,V38&gt;VLOOKUP($C37,$C$3:$D$15,2,FALSE)*V$20),VLOOKUP($C37,$C$3:$D$15,2,FALSE)*V$20-U39)))</f>
        <v>0</v>
      </c>
      <c r="W37" s="763">
        <f t="shared" ref="W37" si="1012" xml:space="preserve">
IF(V39&gt;=VLOOKUP($C37,$C$3:$D$15,2,FALSE)*W$20,0,
IF(AND(V39&lt;VLOOKUP($C37,$C$3:$D$15,2,FALSE)*W$20,W38&lt;=VLOOKUP($C37,$C$3:$D$15,2,FALSE)*W$20),IF(W38-V39&lt;0,0,W38-V39),
IF(AND(V39&lt;VLOOKUP($C37,$C$3:$D$15,2,FALSE)*W$20,W38&gt;VLOOKUP($C37,$C$3:$D$15,2,FALSE)*W$20),VLOOKUP($C37,$C$3:$D$15,2,FALSE)*W$20-V39)))</f>
        <v>0</v>
      </c>
      <c r="X37" s="763">
        <f t="shared" ref="X37" si="1013" xml:space="preserve">
IF(W39&gt;=VLOOKUP($C37,$C$3:$D$15,2,FALSE)*X$20,0,
IF(AND(W39&lt;VLOOKUP($C37,$C$3:$D$15,2,FALSE)*X$20,X38&lt;=VLOOKUP($C37,$C$3:$D$15,2,FALSE)*X$20),IF(X38-W39&lt;0,0,X38-W39),
IF(AND(W39&lt;VLOOKUP($C37,$C$3:$D$15,2,FALSE)*X$20,X38&gt;VLOOKUP($C37,$C$3:$D$15,2,FALSE)*X$20),VLOOKUP($C37,$C$3:$D$15,2,FALSE)*X$20-W39)))</f>
        <v>0</v>
      </c>
      <c r="Y37" s="763">
        <f t="shared" ref="Y37" si="1014" xml:space="preserve">
IF(X39&gt;=VLOOKUP($C37,$C$3:$D$15,2,FALSE)*Y$20,0,
IF(AND(X39&lt;VLOOKUP($C37,$C$3:$D$15,2,FALSE)*Y$20,Y38&lt;=VLOOKUP($C37,$C$3:$D$15,2,FALSE)*Y$20),IF(Y38-X39&lt;0,0,Y38-X39),
IF(AND(X39&lt;VLOOKUP($C37,$C$3:$D$15,2,FALSE)*Y$20,Y38&gt;VLOOKUP($C37,$C$3:$D$15,2,FALSE)*Y$20),VLOOKUP($C37,$C$3:$D$15,2,FALSE)*Y$20-X39)))</f>
        <v>0</v>
      </c>
      <c r="Z37" s="763">
        <f t="shared" ref="Z37" si="1015" xml:space="preserve">
IF(Y39&gt;=VLOOKUP($C37,$C$3:$D$15,2,FALSE)*Z$20,0,
IF(AND(Y39&lt;VLOOKUP($C37,$C$3:$D$15,2,FALSE)*Z$20,Z38&lt;=VLOOKUP($C37,$C$3:$D$15,2,FALSE)*Z$20),IF(Z38-Y39&lt;0,0,Z38-Y39),
IF(AND(Y39&lt;VLOOKUP($C37,$C$3:$D$15,2,FALSE)*Z$20,Z38&gt;VLOOKUP($C37,$C$3:$D$15,2,FALSE)*Z$20),VLOOKUP($C37,$C$3:$D$15,2,FALSE)*Z$20-Y39)))</f>
        <v>0</v>
      </c>
      <c r="AA37" s="763">
        <f t="shared" ref="AA37" si="1016" xml:space="preserve">
IF(Z39&gt;=VLOOKUP($C37,$C$3:$D$15,2,FALSE)*AA$20,0,
IF(AND(Z39&lt;VLOOKUP($C37,$C$3:$D$15,2,FALSE)*AA$20,AA38&lt;=VLOOKUP($C37,$C$3:$D$15,2,FALSE)*AA$20),IF(AA38-Z39&lt;0,0,AA38-Z39),
IF(AND(Z39&lt;VLOOKUP($C37,$C$3:$D$15,2,FALSE)*AA$20,AA38&gt;VLOOKUP($C37,$C$3:$D$15,2,FALSE)*AA$20),VLOOKUP($C37,$C$3:$D$15,2,FALSE)*AA$20-Z39)))</f>
        <v>0</v>
      </c>
      <c r="AB37" s="763">
        <f t="shared" ref="AB37" si="1017" xml:space="preserve">
IF(AA39&gt;=VLOOKUP($C37,$C$3:$D$15,2,FALSE)*AB$20,0,
IF(AND(AA39&lt;VLOOKUP($C37,$C$3:$D$15,2,FALSE)*AB$20,AB38&lt;=VLOOKUP($C37,$C$3:$D$15,2,FALSE)*AB$20),IF(AB38-AA39&lt;0,0,AB38-AA39),
IF(AND(AA39&lt;VLOOKUP($C37,$C$3:$D$15,2,FALSE)*AB$20,AB38&gt;VLOOKUP($C37,$C$3:$D$15,2,FALSE)*AB$20),VLOOKUP($C37,$C$3:$D$15,2,FALSE)*AB$20-AA39)))</f>
        <v>0</v>
      </c>
      <c r="AC37" s="763">
        <f t="shared" ref="AC37" si="1018" xml:space="preserve">
IF(AB39&gt;=VLOOKUP($C37,$C$3:$D$15,2,FALSE)*AC$20,0,
IF(AND(AB39&lt;VLOOKUP($C37,$C$3:$D$15,2,FALSE)*AC$20,AC38&lt;=VLOOKUP($C37,$C$3:$D$15,2,FALSE)*AC$20),IF(AC38-AB39&lt;0,0,AC38-AB39),
IF(AND(AB39&lt;VLOOKUP($C37,$C$3:$D$15,2,FALSE)*AC$20,AC38&gt;VLOOKUP($C37,$C$3:$D$15,2,FALSE)*AC$20),VLOOKUP($C37,$C$3:$D$15,2,FALSE)*AC$20-AB39)))</f>
        <v>0</v>
      </c>
      <c r="AD37" s="763">
        <f t="shared" ref="AD37" si="1019" xml:space="preserve">
IF(AC39&gt;=VLOOKUP($C37,$C$3:$D$15,2,FALSE)*AD$20,0,
IF(AND(AC39&lt;VLOOKUP($C37,$C$3:$D$15,2,FALSE)*AD$20,AD38&lt;=VLOOKUP($C37,$C$3:$D$15,2,FALSE)*AD$20),IF(AD38-AC39&lt;0,0,AD38-AC39),
IF(AND(AC39&lt;VLOOKUP($C37,$C$3:$D$15,2,FALSE)*AD$20,AD38&gt;VLOOKUP($C37,$C$3:$D$15,2,FALSE)*AD$20),VLOOKUP($C37,$C$3:$D$15,2,FALSE)*AD$20-AC39)))</f>
        <v>0</v>
      </c>
      <c r="AE37" s="763">
        <f t="shared" ref="AE37" si="1020" xml:space="preserve">
IF(AD39&gt;=VLOOKUP($C37,$C$3:$D$15,2,FALSE)*AE$20,0,
IF(AND(AD39&lt;VLOOKUP($C37,$C$3:$D$15,2,FALSE)*AE$20,AE38&lt;=VLOOKUP($C37,$C$3:$D$15,2,FALSE)*AE$20),IF(AE38-AD39&lt;0,0,AE38-AD39),
IF(AND(AD39&lt;VLOOKUP($C37,$C$3:$D$15,2,FALSE)*AE$20,AE38&gt;VLOOKUP($C37,$C$3:$D$15,2,FALSE)*AE$20),VLOOKUP($C37,$C$3:$D$15,2,FALSE)*AE$20-AD39)))</f>
        <v>0</v>
      </c>
      <c r="AF37" s="763">
        <f t="shared" ref="AF37" si="1021" xml:space="preserve">
IF(AE39&gt;=VLOOKUP($C37,$C$3:$D$15,2,FALSE)*AF$20,0,
IF(AND(AE39&lt;VLOOKUP($C37,$C$3:$D$15,2,FALSE)*AF$20,AF38&lt;=VLOOKUP($C37,$C$3:$D$15,2,FALSE)*AF$20),IF(AF38-AE39&lt;0,0,AF38-AE39),
IF(AND(AE39&lt;VLOOKUP($C37,$C$3:$D$15,2,FALSE)*AF$20,AF38&gt;VLOOKUP($C37,$C$3:$D$15,2,FALSE)*AF$20),VLOOKUP($C37,$C$3:$D$15,2,FALSE)*AF$20-AE39)))</f>
        <v>0</v>
      </c>
      <c r="AG37" s="763">
        <f t="shared" ref="AG37" si="1022" xml:space="preserve">
IF(AF39&gt;=VLOOKUP($C37,$C$3:$D$15,2,FALSE)*AG$20,0,
IF(AND(AF39&lt;VLOOKUP($C37,$C$3:$D$15,2,FALSE)*AG$20,AG38&lt;=VLOOKUP($C37,$C$3:$D$15,2,FALSE)*AG$20),IF(AG38-AF39&lt;0,0,AG38-AF39),
IF(AND(AF39&lt;VLOOKUP($C37,$C$3:$D$15,2,FALSE)*AG$20,AG38&gt;VLOOKUP($C37,$C$3:$D$15,2,FALSE)*AG$20),VLOOKUP($C37,$C$3:$D$15,2,FALSE)*AG$20-AF39)))</f>
        <v>0</v>
      </c>
      <c r="AH37" s="763">
        <f t="shared" ref="AH37" si="1023" xml:space="preserve">
IF(AG39&gt;=VLOOKUP($C37,$C$3:$D$15,2,FALSE)*AH$20,0,
IF(AND(AG39&lt;VLOOKUP($C37,$C$3:$D$15,2,FALSE)*AH$20,AH38&lt;=VLOOKUP($C37,$C$3:$D$15,2,FALSE)*AH$20),IF(AH38-AG39&lt;0,0,AH38-AG39),
IF(AND(AG39&lt;VLOOKUP($C37,$C$3:$D$15,2,FALSE)*AH$20,AH38&gt;VLOOKUP($C37,$C$3:$D$15,2,FALSE)*AH$20),VLOOKUP($C37,$C$3:$D$15,2,FALSE)*AH$20-AG39)))</f>
        <v>0</v>
      </c>
      <c r="AI37" s="763">
        <f t="shared" ref="AI37" si="1024" xml:space="preserve">
IF(AH39&gt;=VLOOKUP($C37,$C$3:$D$15,2,FALSE)*AI$20,0,
IF(AND(AH39&lt;VLOOKUP($C37,$C$3:$D$15,2,FALSE)*AI$20,AI38&lt;=VLOOKUP($C37,$C$3:$D$15,2,FALSE)*AI$20),IF(AI38-AH39&lt;0,0,AI38-AH39),
IF(AND(AH39&lt;VLOOKUP($C37,$C$3:$D$15,2,FALSE)*AI$20,AI38&gt;VLOOKUP($C37,$C$3:$D$15,2,FALSE)*AI$20),VLOOKUP($C37,$C$3:$D$15,2,FALSE)*AI$20-AH39)))</f>
        <v>0</v>
      </c>
      <c r="AJ37" s="763">
        <f t="shared" ref="AJ37" si="1025" xml:space="preserve">
IF(AI39&gt;=VLOOKUP($C37,$C$3:$D$15,2,FALSE)*AJ$20,0,
IF(AND(AI39&lt;VLOOKUP($C37,$C$3:$D$15,2,FALSE)*AJ$20,AJ38&lt;=VLOOKUP($C37,$C$3:$D$15,2,FALSE)*AJ$20),IF(AJ38-AI39&lt;0,0,AJ38-AI39),
IF(AND(AI39&lt;VLOOKUP($C37,$C$3:$D$15,2,FALSE)*AJ$20,AJ38&gt;VLOOKUP($C37,$C$3:$D$15,2,FALSE)*AJ$20),VLOOKUP($C37,$C$3:$D$15,2,FALSE)*AJ$20-AI39)))</f>
        <v>0</v>
      </c>
      <c r="AK37" s="763">
        <f t="shared" ref="AK37" si="1026" xml:space="preserve">
IF(AJ39&gt;=VLOOKUP($C37,$C$3:$D$15,2,FALSE)*AK$20,0,
IF(AND(AJ39&lt;VLOOKUP($C37,$C$3:$D$15,2,FALSE)*AK$20,AK38&lt;=VLOOKUP($C37,$C$3:$D$15,2,FALSE)*AK$20),IF(AK38-AJ39&lt;0,0,AK38-AJ39),
IF(AND(AJ39&lt;VLOOKUP($C37,$C$3:$D$15,2,FALSE)*AK$20,AK38&gt;VLOOKUP($C37,$C$3:$D$15,2,FALSE)*AK$20),VLOOKUP($C37,$C$3:$D$15,2,FALSE)*AK$20-AJ39)))</f>
        <v>0</v>
      </c>
      <c r="AL37" s="763">
        <f t="shared" ref="AL37" si="1027" xml:space="preserve">
IF(AK39&gt;=VLOOKUP($C37,$C$3:$D$15,2,FALSE)*AL$20,0,
IF(AND(AK39&lt;VLOOKUP($C37,$C$3:$D$15,2,FALSE)*AL$20,AL38&lt;=VLOOKUP($C37,$C$3:$D$15,2,FALSE)*AL$20),IF(AL38-AK39&lt;0,0,AL38-AK39),
IF(AND(AK39&lt;VLOOKUP($C37,$C$3:$D$15,2,FALSE)*AL$20,AL38&gt;VLOOKUP($C37,$C$3:$D$15,2,FALSE)*AL$20),VLOOKUP($C37,$C$3:$D$15,2,FALSE)*AL$20-AK39)))</f>
        <v>0</v>
      </c>
      <c r="AM37" s="763">
        <f t="shared" ref="AM37" si="1028" xml:space="preserve">
IF(AL39&gt;=VLOOKUP($C37,$C$3:$D$15,2,FALSE)*AM$20,0,
IF(AND(AL39&lt;VLOOKUP($C37,$C$3:$D$15,2,FALSE)*AM$20,AM38&lt;=VLOOKUP($C37,$C$3:$D$15,2,FALSE)*AM$20),IF(AM38-AL39&lt;0,0,AM38-AL39),
IF(AND(AL39&lt;VLOOKUP($C37,$C$3:$D$15,2,FALSE)*AM$20,AM38&gt;VLOOKUP($C37,$C$3:$D$15,2,FALSE)*AM$20),VLOOKUP($C37,$C$3:$D$15,2,FALSE)*AM$20-AL39)))</f>
        <v>0</v>
      </c>
      <c r="AN37" s="763">
        <f t="shared" ref="AN37" si="1029" xml:space="preserve">
IF(AM39&gt;=VLOOKUP($C37,$C$3:$D$15,2,FALSE)*AN$20,0,
IF(AND(AM39&lt;VLOOKUP($C37,$C$3:$D$15,2,FALSE)*AN$20,AN38&lt;=VLOOKUP($C37,$C$3:$D$15,2,FALSE)*AN$20),IF(AN38-AM39&lt;0,0,AN38-AM39),
IF(AND(AM39&lt;VLOOKUP($C37,$C$3:$D$15,2,FALSE)*AN$20,AN38&gt;VLOOKUP($C37,$C$3:$D$15,2,FALSE)*AN$20),VLOOKUP($C37,$C$3:$D$15,2,FALSE)*AN$20-AM39)))</f>
        <v>0</v>
      </c>
      <c r="AO37" s="763">
        <f t="shared" ref="AO37" si="1030" xml:space="preserve">
IF(AN39&gt;=VLOOKUP($C37,$C$3:$D$15,2,FALSE)*AO$20,0,
IF(AND(AN39&lt;VLOOKUP($C37,$C$3:$D$15,2,FALSE)*AO$20,AO38&lt;=VLOOKUP($C37,$C$3:$D$15,2,FALSE)*AO$20),IF(AO38-AN39&lt;0,0,AO38-AN39),
IF(AND(AN39&lt;VLOOKUP($C37,$C$3:$D$15,2,FALSE)*AO$20,AO38&gt;VLOOKUP($C37,$C$3:$D$15,2,FALSE)*AO$20),VLOOKUP($C37,$C$3:$D$15,2,FALSE)*AO$20-AN39)))</f>
        <v>0</v>
      </c>
      <c r="AP37" s="763">
        <f t="shared" ref="AP37" si="1031" xml:space="preserve">
IF(AO39&gt;=VLOOKUP($C37,$C$3:$D$15,2,FALSE)*AP$20,0,
IF(AND(AO39&lt;VLOOKUP($C37,$C$3:$D$15,2,FALSE)*AP$20,AP38&lt;=VLOOKUP($C37,$C$3:$D$15,2,FALSE)*AP$20),IF(AP38-AO39&lt;0,0,AP38-AO39),
IF(AND(AO39&lt;VLOOKUP($C37,$C$3:$D$15,2,FALSE)*AP$20,AP38&gt;VLOOKUP($C37,$C$3:$D$15,2,FALSE)*AP$20),VLOOKUP($C37,$C$3:$D$15,2,FALSE)*AP$20-AO39)))</f>
        <v>0</v>
      </c>
      <c r="AQ37" s="763">
        <f t="shared" ref="AQ37" si="1032" xml:space="preserve">
IF(AP39&gt;=VLOOKUP($C37,$C$3:$D$15,2,FALSE)*AQ$20,0,
IF(AND(AP39&lt;VLOOKUP($C37,$C$3:$D$15,2,FALSE)*AQ$20,AQ38&lt;=VLOOKUP($C37,$C$3:$D$15,2,FALSE)*AQ$20),IF(AQ38-AP39&lt;0,0,AQ38-AP39),
IF(AND(AP39&lt;VLOOKUP($C37,$C$3:$D$15,2,FALSE)*AQ$20,AQ38&gt;VLOOKUP($C37,$C$3:$D$15,2,FALSE)*AQ$20),VLOOKUP($C37,$C$3:$D$15,2,FALSE)*AQ$20-AP39)))</f>
        <v>0</v>
      </c>
      <c r="AR37" s="763">
        <f t="shared" ref="AR37" si="1033" xml:space="preserve">
IF(AQ39&gt;=VLOOKUP($C37,$C$3:$D$15,2,FALSE)*AR$20,0,
IF(AND(AQ39&lt;VLOOKUP($C37,$C$3:$D$15,2,FALSE)*AR$20,AR38&lt;=VLOOKUP($C37,$C$3:$D$15,2,FALSE)*AR$20),IF(AR38-AQ39&lt;0,0,AR38-AQ39),
IF(AND(AQ39&lt;VLOOKUP($C37,$C$3:$D$15,2,FALSE)*AR$20,AR38&gt;VLOOKUP($C37,$C$3:$D$15,2,FALSE)*AR$20),VLOOKUP($C37,$C$3:$D$15,2,FALSE)*AR$20-AQ39)))</f>
        <v>0</v>
      </c>
      <c r="AS37" s="763">
        <f t="shared" ref="AS37" si="1034" xml:space="preserve">
IF(AR39&gt;=VLOOKUP($C37,$C$3:$D$15,2,FALSE)*AS$20,0,
IF(AND(AR39&lt;VLOOKUP($C37,$C$3:$D$15,2,FALSE)*AS$20,AS38&lt;=VLOOKUP($C37,$C$3:$D$15,2,FALSE)*AS$20),IF(AS38-AR39&lt;0,0,AS38-AR39),
IF(AND(AR39&lt;VLOOKUP($C37,$C$3:$D$15,2,FALSE)*AS$20,AS38&gt;VLOOKUP($C37,$C$3:$D$15,2,FALSE)*AS$20),VLOOKUP($C37,$C$3:$D$15,2,FALSE)*AS$20-AR39)))</f>
        <v>0</v>
      </c>
      <c r="AT37" s="763">
        <f t="shared" ref="AT37" si="1035" xml:space="preserve">
IF(AS39&gt;=VLOOKUP($C37,$C$3:$D$15,2,FALSE)*AT$20,0,
IF(AND(AS39&lt;VLOOKUP($C37,$C$3:$D$15,2,FALSE)*AT$20,AT38&lt;=VLOOKUP($C37,$C$3:$D$15,2,FALSE)*AT$20),IF(AT38-AS39&lt;0,0,AT38-AS39),
IF(AND(AS39&lt;VLOOKUP($C37,$C$3:$D$15,2,FALSE)*AT$20,AT38&gt;VLOOKUP($C37,$C$3:$D$15,2,FALSE)*AT$20),VLOOKUP($C37,$C$3:$D$15,2,FALSE)*AT$20-AS39)))</f>
        <v>0</v>
      </c>
      <c r="AU37" s="763">
        <f t="shared" ref="AU37" si="1036" xml:space="preserve">
IF(AT39&gt;=VLOOKUP($C37,$C$3:$D$15,2,FALSE)*AU$20,0,
IF(AND(AT39&lt;VLOOKUP($C37,$C$3:$D$15,2,FALSE)*AU$20,AU38&lt;=VLOOKUP($C37,$C$3:$D$15,2,FALSE)*AU$20),IF(AU38-AT39&lt;0,0,AU38-AT39),
IF(AND(AT39&lt;VLOOKUP($C37,$C$3:$D$15,2,FALSE)*AU$20,AU38&gt;VLOOKUP($C37,$C$3:$D$15,2,FALSE)*AU$20),VLOOKUP($C37,$C$3:$D$15,2,FALSE)*AU$20-AT39)))</f>
        <v>0</v>
      </c>
      <c r="AV37" s="763">
        <f t="shared" ref="AV37" si="1037" xml:space="preserve">
IF(AU39&gt;=VLOOKUP($C37,$C$3:$D$15,2,FALSE)*AV$20,0,
IF(AND(AU39&lt;VLOOKUP($C37,$C$3:$D$15,2,FALSE)*AV$20,AV38&lt;=VLOOKUP($C37,$C$3:$D$15,2,FALSE)*AV$20),IF(AV38-AU39&lt;0,0,AV38-AU39),
IF(AND(AU39&lt;VLOOKUP($C37,$C$3:$D$15,2,FALSE)*AV$20,AV38&gt;VLOOKUP($C37,$C$3:$D$15,2,FALSE)*AV$20),VLOOKUP($C37,$C$3:$D$15,2,FALSE)*AV$20-AU39)))</f>
        <v>0</v>
      </c>
      <c r="AW37" s="763">
        <f t="shared" ref="AW37" si="1038" xml:space="preserve">
IF(AV39&gt;=VLOOKUP($C37,$C$3:$D$15,2,FALSE)*AW$20,0,
IF(AND(AV39&lt;VLOOKUP($C37,$C$3:$D$15,2,FALSE)*AW$20,AW38&lt;=VLOOKUP($C37,$C$3:$D$15,2,FALSE)*AW$20),IF(AW38-AV39&lt;0,0,AW38-AV39),
IF(AND(AV39&lt;VLOOKUP($C37,$C$3:$D$15,2,FALSE)*AW$20,AW38&gt;VLOOKUP($C37,$C$3:$D$15,2,FALSE)*AW$20),VLOOKUP($C37,$C$3:$D$15,2,FALSE)*AW$20-AV39)))</f>
        <v>0</v>
      </c>
      <c r="AX37" s="763">
        <f t="shared" ref="AX37" si="1039" xml:space="preserve">
IF(AW39&gt;=VLOOKUP($C37,$C$3:$D$15,2,FALSE)*AX$20,0,
IF(AND(AW39&lt;VLOOKUP($C37,$C$3:$D$15,2,FALSE)*AX$20,AX38&lt;=VLOOKUP($C37,$C$3:$D$15,2,FALSE)*AX$20),IF(AX38-AW39&lt;0,0,AX38-AW39),
IF(AND(AW39&lt;VLOOKUP($C37,$C$3:$D$15,2,FALSE)*AX$20,AX38&gt;VLOOKUP($C37,$C$3:$D$15,2,FALSE)*AX$20),VLOOKUP($C37,$C$3:$D$15,2,FALSE)*AX$20-AW39)))</f>
        <v>0</v>
      </c>
      <c r="AY37" s="763">
        <f t="shared" ref="AY37" si="1040" xml:space="preserve">
IF(AX39&gt;=VLOOKUP($C37,$C$3:$D$15,2,FALSE)*AY$20,0,
IF(AND(AX39&lt;VLOOKUP($C37,$C$3:$D$15,2,FALSE)*AY$20,AY38&lt;=VLOOKUP($C37,$C$3:$D$15,2,FALSE)*AY$20),IF(AY38-AX39&lt;0,0,AY38-AX39),
IF(AND(AX39&lt;VLOOKUP($C37,$C$3:$D$15,2,FALSE)*AY$20,AY38&gt;VLOOKUP($C37,$C$3:$D$15,2,FALSE)*AY$20),VLOOKUP($C37,$C$3:$D$15,2,FALSE)*AY$20-AX39)))</f>
        <v>0</v>
      </c>
      <c r="AZ37" s="763">
        <f t="shared" ref="AZ37" si="1041" xml:space="preserve">
IF(AY39&gt;=VLOOKUP($C37,$C$3:$D$15,2,FALSE)*AZ$20,0,
IF(AND(AY39&lt;VLOOKUP($C37,$C$3:$D$15,2,FALSE)*AZ$20,AZ38&lt;=VLOOKUP($C37,$C$3:$D$15,2,FALSE)*AZ$20),IF(AZ38-AY39&lt;0,0,AZ38-AY39),
IF(AND(AY39&lt;VLOOKUP($C37,$C$3:$D$15,2,FALSE)*AZ$20,AZ38&gt;VLOOKUP($C37,$C$3:$D$15,2,FALSE)*AZ$20),VLOOKUP($C37,$C$3:$D$15,2,FALSE)*AZ$20-AY39)))</f>
        <v>0</v>
      </c>
      <c r="BA37" s="763">
        <f t="shared" ref="BA37" si="1042" xml:space="preserve">
IF(AZ39&gt;=VLOOKUP($C37,$C$3:$D$15,2,FALSE)*BA$20,0,
IF(AND(AZ39&lt;VLOOKUP($C37,$C$3:$D$15,2,FALSE)*BA$20,BA38&lt;=VLOOKUP($C37,$C$3:$D$15,2,FALSE)*BA$20),IF(BA38-AZ39&lt;0,0,BA38-AZ39),
IF(AND(AZ39&lt;VLOOKUP($C37,$C$3:$D$15,2,FALSE)*BA$20,BA38&gt;VLOOKUP($C37,$C$3:$D$15,2,FALSE)*BA$20),VLOOKUP($C37,$C$3:$D$15,2,FALSE)*BA$20-AZ39)))</f>
        <v>0</v>
      </c>
      <c r="BB37" s="763">
        <f t="shared" ref="BB37" si="1043" xml:space="preserve">
IF(BA39&gt;=VLOOKUP($C37,$C$3:$D$15,2,FALSE)*BB$20,0,
IF(AND(BA39&lt;VLOOKUP($C37,$C$3:$D$15,2,FALSE)*BB$20,BB38&lt;=VLOOKUP($C37,$C$3:$D$15,2,FALSE)*BB$20),IF(BB38-BA39&lt;0,0,BB38-BA39),
IF(AND(BA39&lt;VLOOKUP($C37,$C$3:$D$15,2,FALSE)*BB$20,BB38&gt;VLOOKUP($C37,$C$3:$D$15,2,FALSE)*BB$20),VLOOKUP($C37,$C$3:$D$15,2,FALSE)*BB$20-BA39)))</f>
        <v>0</v>
      </c>
      <c r="BC37" s="763">
        <f t="shared" ref="BC37" si="1044" xml:space="preserve">
IF(BB39&gt;=VLOOKUP($C37,$C$3:$D$15,2,FALSE)*BC$20,0,
IF(AND(BB39&lt;VLOOKUP($C37,$C$3:$D$15,2,FALSE)*BC$20,BC38&lt;=VLOOKUP($C37,$C$3:$D$15,2,FALSE)*BC$20),IF(BC38-BB39&lt;0,0,BC38-BB39),
IF(AND(BB39&lt;VLOOKUP($C37,$C$3:$D$15,2,FALSE)*BC$20,BC38&gt;VLOOKUP($C37,$C$3:$D$15,2,FALSE)*BC$20),VLOOKUP($C37,$C$3:$D$15,2,FALSE)*BC$20-BB39)))</f>
        <v>0</v>
      </c>
      <c r="BD37" s="763">
        <f t="shared" ref="BD37" si="1045" xml:space="preserve">
IF(BC39&gt;=VLOOKUP($C37,$C$3:$D$15,2,FALSE)*BD$20,0,
IF(AND(BC39&lt;VLOOKUP($C37,$C$3:$D$15,2,FALSE)*BD$20,BD38&lt;=VLOOKUP($C37,$C$3:$D$15,2,FALSE)*BD$20),IF(BD38-BC39&lt;0,0,BD38-BC39),
IF(AND(BC39&lt;VLOOKUP($C37,$C$3:$D$15,2,FALSE)*BD$20,BD38&gt;VLOOKUP($C37,$C$3:$D$15,2,FALSE)*BD$20),VLOOKUP($C37,$C$3:$D$15,2,FALSE)*BD$20-BC39)))</f>
        <v>0</v>
      </c>
      <c r="BE37" s="763">
        <f t="shared" ref="BE37" si="1046" xml:space="preserve">
IF(BD39&gt;=VLOOKUP($C37,$C$3:$D$15,2,FALSE)*BE$20,0,
IF(AND(BD39&lt;VLOOKUP($C37,$C$3:$D$15,2,FALSE)*BE$20,BE38&lt;=VLOOKUP($C37,$C$3:$D$15,2,FALSE)*BE$20),IF(BE38-BD39&lt;0,0,BE38-BD39),
IF(AND(BD39&lt;VLOOKUP($C37,$C$3:$D$15,2,FALSE)*BE$20,BE38&gt;VLOOKUP($C37,$C$3:$D$15,2,FALSE)*BE$20),VLOOKUP($C37,$C$3:$D$15,2,FALSE)*BE$20-BD39)))</f>
        <v>0</v>
      </c>
      <c r="BF37" s="763">
        <f t="shared" ref="BF37" si="1047" xml:space="preserve">
IF(BE39&gt;=VLOOKUP($C37,$C$3:$D$15,2,FALSE)*BF$20,0,
IF(AND(BE39&lt;VLOOKUP($C37,$C$3:$D$15,2,FALSE)*BF$20,BF38&lt;=VLOOKUP($C37,$C$3:$D$15,2,FALSE)*BF$20),IF(BF38-BE39&lt;0,0,BF38-BE39),
IF(AND(BE39&lt;VLOOKUP($C37,$C$3:$D$15,2,FALSE)*BF$20,BF38&gt;VLOOKUP($C37,$C$3:$D$15,2,FALSE)*BF$20),VLOOKUP($C37,$C$3:$D$15,2,FALSE)*BF$20-BE39)))</f>
        <v>0</v>
      </c>
      <c r="BG37" s="763">
        <f t="shared" ref="BG37" si="1048" xml:space="preserve">
IF(BF39&gt;=VLOOKUP($C37,$C$3:$D$15,2,FALSE)*BG$20,0,
IF(AND(BF39&lt;VLOOKUP($C37,$C$3:$D$15,2,FALSE)*BG$20,BG38&lt;=VLOOKUP($C37,$C$3:$D$15,2,FALSE)*BG$20),IF(BG38-BF39&lt;0,0,BG38-BF39),
IF(AND(BF39&lt;VLOOKUP($C37,$C$3:$D$15,2,FALSE)*BG$20,BG38&gt;VLOOKUP($C37,$C$3:$D$15,2,FALSE)*BG$20),VLOOKUP($C37,$C$3:$D$15,2,FALSE)*BG$20-BF39)))</f>
        <v>0</v>
      </c>
      <c r="BH37" s="763">
        <f t="shared" ref="BH37" si="1049" xml:space="preserve">
IF(BG39&gt;=VLOOKUP($C37,$C$3:$D$15,2,FALSE)*BH$20,0,
IF(AND(BG39&lt;VLOOKUP($C37,$C$3:$D$15,2,FALSE)*BH$20,BH38&lt;=VLOOKUP($C37,$C$3:$D$15,2,FALSE)*BH$20),IF(BH38-BG39&lt;0,0,BH38-BG39),
IF(AND(BG39&lt;VLOOKUP($C37,$C$3:$D$15,2,FALSE)*BH$20,BH38&gt;VLOOKUP($C37,$C$3:$D$15,2,FALSE)*BH$20),VLOOKUP($C37,$C$3:$D$15,2,FALSE)*BH$20-BG39)))</f>
        <v>0</v>
      </c>
      <c r="BI37" s="763">
        <f t="shared" ref="BI37" si="1050" xml:space="preserve">
IF(BH39&gt;=VLOOKUP($C37,$C$3:$D$15,2,FALSE)*BI$20,0,
IF(AND(BH39&lt;VLOOKUP($C37,$C$3:$D$15,2,FALSE)*BI$20,BI38&lt;=VLOOKUP($C37,$C$3:$D$15,2,FALSE)*BI$20),IF(BI38-BH39&lt;0,0,BI38-BH39),
IF(AND(BH39&lt;VLOOKUP($C37,$C$3:$D$15,2,FALSE)*BI$20,BI38&gt;VLOOKUP($C37,$C$3:$D$15,2,FALSE)*BI$20),VLOOKUP($C37,$C$3:$D$15,2,FALSE)*BI$20-BH39)))</f>
        <v>0</v>
      </c>
      <c r="BJ37" s="763">
        <f t="shared" ref="BJ37" si="1051" xml:space="preserve">
IF(BI39&gt;=VLOOKUP($C37,$C$3:$D$15,2,FALSE)*BJ$20,0,
IF(AND(BI39&lt;VLOOKUP($C37,$C$3:$D$15,2,FALSE)*BJ$20,BJ38&lt;=VLOOKUP($C37,$C$3:$D$15,2,FALSE)*BJ$20),IF(BJ38-BI39&lt;0,0,BJ38-BI39),
IF(AND(BI39&lt;VLOOKUP($C37,$C$3:$D$15,2,FALSE)*BJ$20,BJ38&gt;VLOOKUP($C37,$C$3:$D$15,2,FALSE)*BJ$20),VLOOKUP($C37,$C$3:$D$15,2,FALSE)*BJ$20-BI39)))</f>
        <v>0</v>
      </c>
      <c r="BK37" s="763">
        <f t="shared" ref="BK37" si="1052" xml:space="preserve">
IF(BJ39&gt;=VLOOKUP($C37,$C$3:$D$15,2,FALSE)*BK$20,0,
IF(AND(BJ39&lt;VLOOKUP($C37,$C$3:$D$15,2,FALSE)*BK$20,BK38&lt;=VLOOKUP($C37,$C$3:$D$15,2,FALSE)*BK$20),IF(BK38-BJ39&lt;0,0,BK38-BJ39),
IF(AND(BJ39&lt;VLOOKUP($C37,$C$3:$D$15,2,FALSE)*BK$20,BK38&gt;VLOOKUP($C37,$C$3:$D$15,2,FALSE)*BK$20),VLOOKUP($C37,$C$3:$D$15,2,FALSE)*BK$20-BJ39)))</f>
        <v>0</v>
      </c>
      <c r="BL37" s="763">
        <f t="shared" ref="BL37" si="1053" xml:space="preserve">
IF(BK39&gt;=VLOOKUP($C37,$C$3:$D$15,2,FALSE)*BL$20,0,
IF(AND(BK39&lt;VLOOKUP($C37,$C$3:$D$15,2,FALSE)*BL$20,BL38&lt;=VLOOKUP($C37,$C$3:$D$15,2,FALSE)*BL$20),IF(BL38-BK39&lt;0,0,BL38-BK39),
IF(AND(BK39&lt;VLOOKUP($C37,$C$3:$D$15,2,FALSE)*BL$20,BL38&gt;VLOOKUP($C37,$C$3:$D$15,2,FALSE)*BL$20),VLOOKUP($C37,$C$3:$D$15,2,FALSE)*BL$20-BK39)))</f>
        <v>0</v>
      </c>
      <c r="BM37" s="763">
        <f t="shared" ref="BM37" si="1054" xml:space="preserve">
IF(BL39&gt;=VLOOKUP($C37,$C$3:$D$15,2,FALSE)*BM$20,0,
IF(AND(BL39&lt;VLOOKUP($C37,$C$3:$D$15,2,FALSE)*BM$20,BM38&lt;=VLOOKUP($C37,$C$3:$D$15,2,FALSE)*BM$20),IF(BM38-BL39&lt;0,0,BM38-BL39),
IF(AND(BL39&lt;VLOOKUP($C37,$C$3:$D$15,2,FALSE)*BM$20,BM38&gt;VLOOKUP($C37,$C$3:$D$15,2,FALSE)*BM$20),VLOOKUP($C37,$C$3:$D$15,2,FALSE)*BM$20-BL39)))</f>
        <v>0</v>
      </c>
      <c r="BN37" s="763">
        <f t="shared" ref="BN37" si="1055" xml:space="preserve">
IF(BM39&gt;=VLOOKUP($C37,$C$3:$D$15,2,FALSE)*BN$20,0,
IF(AND(BM39&lt;VLOOKUP($C37,$C$3:$D$15,2,FALSE)*BN$20,BN38&lt;=VLOOKUP($C37,$C$3:$D$15,2,FALSE)*BN$20),IF(BN38-BM39&lt;0,0,BN38-BM39),
IF(AND(BM39&lt;VLOOKUP($C37,$C$3:$D$15,2,FALSE)*BN$20,BN38&gt;VLOOKUP($C37,$C$3:$D$15,2,FALSE)*BN$20),VLOOKUP($C37,$C$3:$D$15,2,FALSE)*BN$20-BM39)))</f>
        <v>0</v>
      </c>
      <c r="BO37" s="763">
        <f t="shared" ref="BO37" si="1056" xml:space="preserve">
IF(BN39&gt;=VLOOKUP($C37,$C$3:$D$15,2,FALSE)*BO$20,0,
IF(AND(BN39&lt;VLOOKUP($C37,$C$3:$D$15,2,FALSE)*BO$20,BO38&lt;=VLOOKUP($C37,$C$3:$D$15,2,FALSE)*BO$20),IF(BO38-BN39&lt;0,0,BO38-BN39),
IF(AND(BN39&lt;VLOOKUP($C37,$C$3:$D$15,2,FALSE)*BO$20,BO38&gt;VLOOKUP($C37,$C$3:$D$15,2,FALSE)*BO$20),VLOOKUP($C37,$C$3:$D$15,2,FALSE)*BO$20-BN39)))</f>
        <v>0</v>
      </c>
      <c r="BP37" s="763">
        <f t="shared" ref="BP37" si="1057" xml:space="preserve">
IF(BO39&gt;=VLOOKUP($C37,$C$3:$D$15,2,FALSE)*BP$20,0,
IF(AND(BO39&lt;VLOOKUP($C37,$C$3:$D$15,2,FALSE)*BP$20,BP38&lt;=VLOOKUP($C37,$C$3:$D$15,2,FALSE)*BP$20),IF(BP38-BO39&lt;0,0,BP38-BO39),
IF(AND(BO39&lt;VLOOKUP($C37,$C$3:$D$15,2,FALSE)*BP$20,BP38&gt;VLOOKUP($C37,$C$3:$D$15,2,FALSE)*BP$20),VLOOKUP($C37,$C$3:$D$15,2,FALSE)*BP$20-BO39)))</f>
        <v>0</v>
      </c>
      <c r="BQ37" s="763">
        <f t="shared" ref="BQ37" si="1058" xml:space="preserve">
IF(BP39&gt;=VLOOKUP($C37,$C$3:$D$15,2,FALSE)*BQ$20,0,
IF(AND(BP39&lt;VLOOKUP($C37,$C$3:$D$15,2,FALSE)*BQ$20,BQ38&lt;=VLOOKUP($C37,$C$3:$D$15,2,FALSE)*BQ$20),IF(BQ38-BP39&lt;0,0,BQ38-BP39),
IF(AND(BP39&lt;VLOOKUP($C37,$C$3:$D$15,2,FALSE)*BQ$20,BQ38&gt;VLOOKUP($C37,$C$3:$D$15,2,FALSE)*BQ$20),VLOOKUP($C37,$C$3:$D$15,2,FALSE)*BQ$20-BP39)))</f>
        <v>0</v>
      </c>
      <c r="BR37" s="763">
        <f t="shared" ref="BR37" si="1059" xml:space="preserve">
IF(BQ39&gt;=VLOOKUP($C37,$C$3:$D$15,2,FALSE)*BR$20,0,
IF(AND(BQ39&lt;VLOOKUP($C37,$C$3:$D$15,2,FALSE)*BR$20,BR38&lt;=VLOOKUP($C37,$C$3:$D$15,2,FALSE)*BR$20),IF(BR38-BQ39&lt;0,0,BR38-BQ39),
IF(AND(BQ39&lt;VLOOKUP($C37,$C$3:$D$15,2,FALSE)*BR$20,BR38&gt;VLOOKUP($C37,$C$3:$D$15,2,FALSE)*BR$20),VLOOKUP($C37,$C$3:$D$15,2,FALSE)*BR$20-BQ39)))</f>
        <v>0</v>
      </c>
      <c r="BS37" s="763">
        <f t="shared" ref="BS37" si="1060" xml:space="preserve">
IF(BR39&gt;=VLOOKUP($C37,$C$3:$D$15,2,FALSE)*BS$20,0,
IF(AND(BR39&lt;VLOOKUP($C37,$C$3:$D$15,2,FALSE)*BS$20,BS38&lt;=VLOOKUP($C37,$C$3:$D$15,2,FALSE)*BS$20),IF(BS38-BR39&lt;0,0,BS38-BR39),
IF(AND(BR39&lt;VLOOKUP($C37,$C$3:$D$15,2,FALSE)*BS$20,BS38&gt;VLOOKUP($C37,$C$3:$D$15,2,FALSE)*BS$20),VLOOKUP($C37,$C$3:$D$15,2,FALSE)*BS$20-BR39)))</f>
        <v>0</v>
      </c>
      <c r="BT37" s="763">
        <f t="shared" ref="BT37" si="1061" xml:space="preserve">
IF(BS39&gt;=VLOOKUP($C37,$C$3:$D$15,2,FALSE)*BT$20,0,
IF(AND(BS39&lt;VLOOKUP($C37,$C$3:$D$15,2,FALSE)*BT$20,BT38&lt;=VLOOKUP($C37,$C$3:$D$15,2,FALSE)*BT$20),IF(BT38-BS39&lt;0,0,BT38-BS39),
IF(AND(BS39&lt;VLOOKUP($C37,$C$3:$D$15,2,FALSE)*BT$20,BT38&gt;VLOOKUP($C37,$C$3:$D$15,2,FALSE)*BT$20),VLOOKUP($C37,$C$3:$D$15,2,FALSE)*BT$20-BS39)))</f>
        <v>0</v>
      </c>
      <c r="BU37" s="763">
        <f t="shared" ref="BU37" si="1062" xml:space="preserve">
IF(BT39&gt;=VLOOKUP($C37,$C$3:$D$15,2,FALSE)*BU$20,0,
IF(AND(BT39&lt;VLOOKUP($C37,$C$3:$D$15,2,FALSE)*BU$20,BU38&lt;=VLOOKUP($C37,$C$3:$D$15,2,FALSE)*BU$20),IF(BU38-BT39&lt;0,0,BU38-BT39),
IF(AND(BT39&lt;VLOOKUP($C37,$C$3:$D$15,2,FALSE)*BU$20,BU38&gt;VLOOKUP($C37,$C$3:$D$15,2,FALSE)*BU$20),VLOOKUP($C37,$C$3:$D$15,2,FALSE)*BU$20-BT39)))</f>
        <v>0</v>
      </c>
      <c r="BV37" s="763">
        <f t="shared" ref="BV37" si="1063" xml:space="preserve">
IF(BU39&gt;=VLOOKUP($C37,$C$3:$D$15,2,FALSE)*BV$20,0,
IF(AND(BU39&lt;VLOOKUP($C37,$C$3:$D$15,2,FALSE)*BV$20,BV38&lt;=VLOOKUP($C37,$C$3:$D$15,2,FALSE)*BV$20),IF(BV38-BU39&lt;0,0,BV38-BU39),
IF(AND(BU39&lt;VLOOKUP($C37,$C$3:$D$15,2,FALSE)*BV$20,BV38&gt;VLOOKUP($C37,$C$3:$D$15,2,FALSE)*BV$20),VLOOKUP($C37,$C$3:$D$15,2,FALSE)*BV$20-BU39)))</f>
        <v>0</v>
      </c>
      <c r="BW37" s="763">
        <f t="shared" ref="BW37" si="1064" xml:space="preserve">
IF(BV39&gt;=VLOOKUP($C37,$C$3:$D$15,2,FALSE)*BW$20,0,
IF(AND(BV39&lt;VLOOKUP($C37,$C$3:$D$15,2,FALSE)*BW$20,BW38&lt;=VLOOKUP($C37,$C$3:$D$15,2,FALSE)*BW$20),IF(BW38-BV39&lt;0,0,BW38-BV39),
IF(AND(BV39&lt;VLOOKUP($C37,$C$3:$D$15,2,FALSE)*BW$20,BW38&gt;VLOOKUP($C37,$C$3:$D$15,2,FALSE)*BW$20),VLOOKUP($C37,$C$3:$D$15,2,FALSE)*BW$20-BV39)))</f>
        <v>0</v>
      </c>
      <c r="BX37" s="763">
        <f t="shared" ref="BX37" si="1065" xml:space="preserve">
IF(BW39&gt;=VLOOKUP($C37,$C$3:$D$15,2,FALSE)*BX$20,0,
IF(AND(BW39&lt;VLOOKUP($C37,$C$3:$D$15,2,FALSE)*BX$20,BX38&lt;=VLOOKUP($C37,$C$3:$D$15,2,FALSE)*BX$20),IF(BX38-BW39&lt;0,0,BX38-BW39),
IF(AND(BW39&lt;VLOOKUP($C37,$C$3:$D$15,2,FALSE)*BX$20,BX38&gt;VLOOKUP($C37,$C$3:$D$15,2,FALSE)*BX$20),VLOOKUP($C37,$C$3:$D$15,2,FALSE)*BX$20-BW39)))</f>
        <v>0</v>
      </c>
      <c r="BY37" s="763">
        <f t="shared" ref="BY37" si="1066" xml:space="preserve">
IF(BX39&gt;=VLOOKUP($C37,$C$3:$D$15,2,FALSE)*BY$20,0,
IF(AND(BX39&lt;VLOOKUP($C37,$C$3:$D$15,2,FALSE)*BY$20,BY38&lt;=VLOOKUP($C37,$C$3:$D$15,2,FALSE)*BY$20),IF(BY38-BX39&lt;0,0,BY38-BX39),
IF(AND(BX39&lt;VLOOKUP($C37,$C$3:$D$15,2,FALSE)*BY$20,BY38&gt;VLOOKUP($C37,$C$3:$D$15,2,FALSE)*BY$20),VLOOKUP($C37,$C$3:$D$15,2,FALSE)*BY$20-BX39)))</f>
        <v>0</v>
      </c>
      <c r="BZ37" s="763">
        <f t="shared" ref="BZ37" si="1067" xml:space="preserve">
IF(BY39&gt;=VLOOKUP($C37,$C$3:$D$15,2,FALSE)*BZ$20,0,
IF(AND(BY39&lt;VLOOKUP($C37,$C$3:$D$15,2,FALSE)*BZ$20,BZ38&lt;=VLOOKUP($C37,$C$3:$D$15,2,FALSE)*BZ$20),IF(BZ38-BY39&lt;0,0,BZ38-BY39),
IF(AND(BY39&lt;VLOOKUP($C37,$C$3:$D$15,2,FALSE)*BZ$20,BZ38&gt;VLOOKUP($C37,$C$3:$D$15,2,FALSE)*BZ$20),VLOOKUP($C37,$C$3:$D$15,2,FALSE)*BZ$20-BY39)))</f>
        <v>0</v>
      </c>
      <c r="CA37" s="763">
        <f t="shared" ref="CA37" si="1068" xml:space="preserve">
IF(BZ39&gt;=VLOOKUP($C37,$C$3:$D$15,2,FALSE)*CA$20,0,
IF(AND(BZ39&lt;VLOOKUP($C37,$C$3:$D$15,2,FALSE)*CA$20,CA38&lt;=VLOOKUP($C37,$C$3:$D$15,2,FALSE)*CA$20),IF(CA38-BZ39&lt;0,0,CA38-BZ39),
IF(AND(BZ39&lt;VLOOKUP($C37,$C$3:$D$15,2,FALSE)*CA$20,CA38&gt;VLOOKUP($C37,$C$3:$D$15,2,FALSE)*CA$20),VLOOKUP($C37,$C$3:$D$15,2,FALSE)*CA$20-BZ39)))</f>
        <v>0</v>
      </c>
      <c r="CB37" s="763">
        <f t="shared" ref="CB37" si="1069" xml:space="preserve">
IF(CA39&gt;=VLOOKUP($C37,$C$3:$D$15,2,FALSE)*CB$20,0,
IF(AND(CA39&lt;VLOOKUP($C37,$C$3:$D$15,2,FALSE)*CB$20,CB38&lt;=VLOOKUP($C37,$C$3:$D$15,2,FALSE)*CB$20),IF(CB38-CA39&lt;0,0,CB38-CA39),
IF(AND(CA39&lt;VLOOKUP($C37,$C$3:$D$15,2,FALSE)*CB$20,CB38&gt;VLOOKUP($C37,$C$3:$D$15,2,FALSE)*CB$20),VLOOKUP($C37,$C$3:$D$15,2,FALSE)*CB$20-CA39)))</f>
        <v>0</v>
      </c>
      <c r="CC37" s="763">
        <f t="shared" ref="CC37" si="1070" xml:space="preserve">
IF(CB39&gt;=VLOOKUP($C37,$C$3:$D$15,2,FALSE)*CC$20,0,
IF(AND(CB39&lt;VLOOKUP($C37,$C$3:$D$15,2,FALSE)*CC$20,CC38&lt;=VLOOKUP($C37,$C$3:$D$15,2,FALSE)*CC$20),IF(CC38-CB39&lt;0,0,CC38-CB39),
IF(AND(CB39&lt;VLOOKUP($C37,$C$3:$D$15,2,FALSE)*CC$20,CC38&gt;VLOOKUP($C37,$C$3:$D$15,2,FALSE)*CC$20),VLOOKUP($C37,$C$3:$D$15,2,FALSE)*CC$20-CB39)))</f>
        <v>0</v>
      </c>
      <c r="CD37" s="763">
        <f t="shared" ref="CD37" si="1071" xml:space="preserve">
IF(CC39&gt;=VLOOKUP($C37,$C$3:$D$15,2,FALSE)*CD$20,0,
IF(AND(CC39&lt;VLOOKUP($C37,$C$3:$D$15,2,FALSE)*CD$20,CD38&lt;=VLOOKUP($C37,$C$3:$D$15,2,FALSE)*CD$20),IF(CD38-CC39&lt;0,0,CD38-CC39),
IF(AND(CC39&lt;VLOOKUP($C37,$C$3:$D$15,2,FALSE)*CD$20,CD38&gt;VLOOKUP($C37,$C$3:$D$15,2,FALSE)*CD$20),VLOOKUP($C37,$C$3:$D$15,2,FALSE)*CD$20-CC39)))</f>
        <v>0</v>
      </c>
      <c r="CE37" s="763">
        <f t="shared" ref="CE37" si="1072" xml:space="preserve">
IF(CD39&gt;=VLOOKUP($C37,$C$3:$D$15,2,FALSE)*CE$20,0,
IF(AND(CD39&lt;VLOOKUP($C37,$C$3:$D$15,2,FALSE)*CE$20,CE38&lt;=VLOOKUP($C37,$C$3:$D$15,2,FALSE)*CE$20),IF(CE38-CD39&lt;0,0,CE38-CD39),
IF(AND(CD39&lt;VLOOKUP($C37,$C$3:$D$15,2,FALSE)*CE$20,CE38&gt;VLOOKUP($C37,$C$3:$D$15,2,FALSE)*CE$20),VLOOKUP($C37,$C$3:$D$15,2,FALSE)*CE$20-CD39)))</f>
        <v>0</v>
      </c>
      <c r="CF37" s="763">
        <f t="shared" ref="CF37" si="1073" xml:space="preserve">
IF(CE39&gt;=VLOOKUP($C37,$C$3:$D$15,2,FALSE)*CF$20,0,
IF(AND(CE39&lt;VLOOKUP($C37,$C$3:$D$15,2,FALSE)*CF$20,CF38&lt;=VLOOKUP($C37,$C$3:$D$15,2,FALSE)*CF$20),IF(CF38-CE39&lt;0,0,CF38-CE39),
IF(AND(CE39&lt;VLOOKUP($C37,$C$3:$D$15,2,FALSE)*CF$20,CF38&gt;VLOOKUP($C37,$C$3:$D$15,2,FALSE)*CF$20),VLOOKUP($C37,$C$3:$D$15,2,FALSE)*CF$20-CE39)))</f>
        <v>0</v>
      </c>
      <c r="CG37" s="763">
        <f t="shared" ref="CG37" si="1074" xml:space="preserve">
IF(CF39&gt;=VLOOKUP($C37,$C$3:$D$15,2,FALSE)*CG$20,0,
IF(AND(CF39&lt;VLOOKUP($C37,$C$3:$D$15,2,FALSE)*CG$20,CG38&lt;=VLOOKUP($C37,$C$3:$D$15,2,FALSE)*CG$20),IF(CG38-CF39&lt;0,0,CG38-CF39),
IF(AND(CF39&lt;VLOOKUP($C37,$C$3:$D$15,2,FALSE)*CG$20,CG38&gt;VLOOKUP($C37,$C$3:$D$15,2,FALSE)*CG$20),VLOOKUP($C37,$C$3:$D$15,2,FALSE)*CG$20-CF39)))</f>
        <v>0</v>
      </c>
      <c r="CH37" s="763">
        <f t="shared" ref="CH37" si="1075" xml:space="preserve">
IF(CG39&gt;=VLOOKUP($C37,$C$3:$D$15,2,FALSE)*CH$20,0,
IF(AND(CG39&lt;VLOOKUP($C37,$C$3:$D$15,2,FALSE)*CH$20,CH38&lt;=VLOOKUP($C37,$C$3:$D$15,2,FALSE)*CH$20),IF(CH38-CG39&lt;0,0,CH38-CG39),
IF(AND(CG39&lt;VLOOKUP($C37,$C$3:$D$15,2,FALSE)*CH$20,CH38&gt;VLOOKUP($C37,$C$3:$D$15,2,FALSE)*CH$20),VLOOKUP($C37,$C$3:$D$15,2,FALSE)*CH$20-CG39)))</f>
        <v>0</v>
      </c>
      <c r="CI37" s="763">
        <f t="shared" ref="CI37" si="1076" xml:space="preserve">
IF(CH39&gt;=VLOOKUP($C37,$C$3:$D$15,2,FALSE)*CI$20,0,
IF(AND(CH39&lt;VLOOKUP($C37,$C$3:$D$15,2,FALSE)*CI$20,CI38&lt;=VLOOKUP($C37,$C$3:$D$15,2,FALSE)*CI$20),IF(CI38-CH39&lt;0,0,CI38-CH39),
IF(AND(CH39&lt;VLOOKUP($C37,$C$3:$D$15,2,FALSE)*CI$20,CI38&gt;VLOOKUP($C37,$C$3:$D$15,2,FALSE)*CI$20),VLOOKUP($C37,$C$3:$D$15,2,FALSE)*CI$20-CH39)))</f>
        <v>0</v>
      </c>
      <c r="CJ37" s="763">
        <f t="shared" ref="CJ37" si="1077" xml:space="preserve">
IF(CI39&gt;=VLOOKUP($C37,$C$3:$D$15,2,FALSE)*CJ$20,0,
IF(AND(CI39&lt;VLOOKUP($C37,$C$3:$D$15,2,FALSE)*CJ$20,CJ38&lt;=VLOOKUP($C37,$C$3:$D$15,2,FALSE)*CJ$20),IF(CJ38-CI39&lt;0,0,CJ38-CI39),
IF(AND(CI39&lt;VLOOKUP($C37,$C$3:$D$15,2,FALSE)*CJ$20,CJ38&gt;VLOOKUP($C37,$C$3:$D$15,2,FALSE)*CJ$20),VLOOKUP($C37,$C$3:$D$15,2,FALSE)*CJ$20-CI39)))</f>
        <v>0</v>
      </c>
      <c r="CK37" s="763">
        <f t="shared" ref="CK37" si="1078" xml:space="preserve">
IF(CJ39&gt;=VLOOKUP($C37,$C$3:$D$15,2,FALSE)*CK$20,0,
IF(AND(CJ39&lt;VLOOKUP($C37,$C$3:$D$15,2,FALSE)*CK$20,CK38&lt;=VLOOKUP($C37,$C$3:$D$15,2,FALSE)*CK$20),IF(CK38-CJ39&lt;0,0,CK38-CJ39),
IF(AND(CJ39&lt;VLOOKUP($C37,$C$3:$D$15,2,FALSE)*CK$20,CK38&gt;VLOOKUP($C37,$C$3:$D$15,2,FALSE)*CK$20),VLOOKUP($C37,$C$3:$D$15,2,FALSE)*CK$20-CJ39)))</f>
        <v>0</v>
      </c>
      <c r="CL37" s="763">
        <f t="shared" ref="CL37" si="1079" xml:space="preserve">
IF(CK39&gt;=VLOOKUP($C37,$C$3:$D$15,2,FALSE)*CL$20,0,
IF(AND(CK39&lt;VLOOKUP($C37,$C$3:$D$15,2,FALSE)*CL$20,CL38&lt;=VLOOKUP($C37,$C$3:$D$15,2,FALSE)*CL$20),IF(CL38-CK39&lt;0,0,CL38-CK39),
IF(AND(CK39&lt;VLOOKUP($C37,$C$3:$D$15,2,FALSE)*CL$20,CL38&gt;VLOOKUP($C37,$C$3:$D$15,2,FALSE)*CL$20),VLOOKUP($C37,$C$3:$D$15,2,FALSE)*CL$20-CK39)))</f>
        <v>0</v>
      </c>
      <c r="CM37" s="763">
        <f t="shared" ref="CM37" si="1080" xml:space="preserve">
IF(CL39&gt;=VLOOKUP($C37,$C$3:$D$15,2,FALSE)*CM$20,0,
IF(AND(CL39&lt;VLOOKUP($C37,$C$3:$D$15,2,FALSE)*CM$20,CM38&lt;=VLOOKUP($C37,$C$3:$D$15,2,FALSE)*CM$20),IF(CM38-CL39&lt;0,0,CM38-CL39),
IF(AND(CL39&lt;VLOOKUP($C37,$C$3:$D$15,2,FALSE)*CM$20,CM38&gt;VLOOKUP($C37,$C$3:$D$15,2,FALSE)*CM$20),VLOOKUP($C37,$C$3:$D$15,2,FALSE)*CM$20-CL39)))</f>
        <v>0</v>
      </c>
      <c r="CN37" s="763">
        <f t="shared" ref="CN37" si="1081" xml:space="preserve">
IF(CM39&gt;=VLOOKUP($C37,$C$3:$D$15,2,FALSE)*CN$20,0,
IF(AND(CM39&lt;VLOOKUP($C37,$C$3:$D$15,2,FALSE)*CN$20,CN38&lt;=VLOOKUP($C37,$C$3:$D$15,2,FALSE)*CN$20),IF(CN38-CM39&lt;0,0,CN38-CM39),
IF(AND(CM39&lt;VLOOKUP($C37,$C$3:$D$15,2,FALSE)*CN$20,CN38&gt;VLOOKUP($C37,$C$3:$D$15,2,FALSE)*CN$20),VLOOKUP($C37,$C$3:$D$15,2,FALSE)*CN$20-CM39)))</f>
        <v>0</v>
      </c>
      <c r="CO37" s="763">
        <f t="shared" ref="CO37" si="1082" xml:space="preserve">
IF(CN39&gt;=VLOOKUP($C37,$C$3:$D$15,2,FALSE)*CO$20,0,
IF(AND(CN39&lt;VLOOKUP($C37,$C$3:$D$15,2,FALSE)*CO$20,CO38&lt;=VLOOKUP($C37,$C$3:$D$15,2,FALSE)*CO$20),IF(CO38-CN39&lt;0,0,CO38-CN39),
IF(AND(CN39&lt;VLOOKUP($C37,$C$3:$D$15,2,FALSE)*CO$20,CO38&gt;VLOOKUP($C37,$C$3:$D$15,2,FALSE)*CO$20),VLOOKUP($C37,$C$3:$D$15,2,FALSE)*CO$20-CN39)))</f>
        <v>0</v>
      </c>
      <c r="CP37" s="763">
        <f t="shared" ref="CP37" si="1083" xml:space="preserve">
IF(CO39&gt;=VLOOKUP($C37,$C$3:$D$15,2,FALSE)*CP$20,0,
IF(AND(CO39&lt;VLOOKUP($C37,$C$3:$D$15,2,FALSE)*CP$20,CP38&lt;=VLOOKUP($C37,$C$3:$D$15,2,FALSE)*CP$20),IF(CP38-CO39&lt;0,0,CP38-CO39),
IF(AND(CO39&lt;VLOOKUP($C37,$C$3:$D$15,2,FALSE)*CP$20,CP38&gt;VLOOKUP($C37,$C$3:$D$15,2,FALSE)*CP$20),VLOOKUP($C37,$C$3:$D$15,2,FALSE)*CP$20-CO39)))</f>
        <v>0</v>
      </c>
      <c r="CQ37" s="763">
        <f t="shared" ref="CQ37" si="1084" xml:space="preserve">
IF(CP39&gt;=VLOOKUP($C37,$C$3:$D$15,2,FALSE)*CQ$20,0,
IF(AND(CP39&lt;VLOOKUP($C37,$C$3:$D$15,2,FALSE)*CQ$20,CQ38&lt;=VLOOKUP($C37,$C$3:$D$15,2,FALSE)*CQ$20),IF(CQ38-CP39&lt;0,0,CQ38-CP39),
IF(AND(CP39&lt;VLOOKUP($C37,$C$3:$D$15,2,FALSE)*CQ$20,CQ38&gt;VLOOKUP($C37,$C$3:$D$15,2,FALSE)*CQ$20),VLOOKUP($C37,$C$3:$D$15,2,FALSE)*CQ$20-CP39)))</f>
        <v>0</v>
      </c>
      <c r="CR37" s="763">
        <f t="shared" ref="CR37" si="1085" xml:space="preserve">
IF(CQ39&gt;=VLOOKUP($C37,$C$3:$D$15,2,FALSE)*CR$20,0,
IF(AND(CQ39&lt;VLOOKUP($C37,$C$3:$D$15,2,FALSE)*CR$20,CR38&lt;=VLOOKUP($C37,$C$3:$D$15,2,FALSE)*CR$20),IF(CR38-CQ39&lt;0,0,CR38-CQ39),
IF(AND(CQ39&lt;VLOOKUP($C37,$C$3:$D$15,2,FALSE)*CR$20,CR38&gt;VLOOKUP($C37,$C$3:$D$15,2,FALSE)*CR$20),VLOOKUP($C37,$C$3:$D$15,2,FALSE)*CR$20-CQ39)))</f>
        <v>0</v>
      </c>
      <c r="CS37" s="763">
        <f t="shared" ref="CS37" si="1086" xml:space="preserve">
IF(CR39&gt;=VLOOKUP($C37,$C$3:$D$15,2,FALSE)*CS$20,0,
IF(AND(CR39&lt;VLOOKUP($C37,$C$3:$D$15,2,FALSE)*CS$20,CS38&lt;=VLOOKUP($C37,$C$3:$D$15,2,FALSE)*CS$20),IF(CS38-CR39&lt;0,0,CS38-CR39),
IF(AND(CR39&lt;VLOOKUP($C37,$C$3:$D$15,2,FALSE)*CS$20,CS38&gt;VLOOKUP($C37,$C$3:$D$15,2,FALSE)*CS$20),VLOOKUP($C37,$C$3:$D$15,2,FALSE)*CS$20-CR39)))</f>
        <v>0</v>
      </c>
      <c r="CT37" s="763">
        <f t="shared" ref="CT37" si="1087" xml:space="preserve">
IF(CS39&gt;=VLOOKUP($C37,$C$3:$D$15,2,FALSE)*CT$20,0,
IF(AND(CS39&lt;VLOOKUP($C37,$C$3:$D$15,2,FALSE)*CT$20,CT38&lt;=VLOOKUP($C37,$C$3:$D$15,2,FALSE)*CT$20),IF(CT38-CS39&lt;0,0,CT38-CS39),
IF(AND(CS39&lt;VLOOKUP($C37,$C$3:$D$15,2,FALSE)*CT$20,CT38&gt;VLOOKUP($C37,$C$3:$D$15,2,FALSE)*CT$20),VLOOKUP($C37,$C$3:$D$15,2,FALSE)*CT$20-CS39)))</f>
        <v>0</v>
      </c>
      <c r="CU37" s="763">
        <f t="shared" ref="CU37" si="1088" xml:space="preserve">
IF(CT39&gt;=VLOOKUP($C37,$C$3:$D$15,2,FALSE)*CU$20,0,
IF(AND(CT39&lt;VLOOKUP($C37,$C$3:$D$15,2,FALSE)*CU$20,CU38&lt;=VLOOKUP($C37,$C$3:$D$15,2,FALSE)*CU$20),IF(CU38-CT39&lt;0,0,CU38-CT39),
IF(AND(CT39&lt;VLOOKUP($C37,$C$3:$D$15,2,FALSE)*CU$20,CU38&gt;VLOOKUP($C37,$C$3:$D$15,2,FALSE)*CU$20),VLOOKUP($C37,$C$3:$D$15,2,FALSE)*CU$20-CT39)))</f>
        <v>0</v>
      </c>
      <c r="CV37" s="763">
        <f t="shared" ref="CV37" si="1089" xml:space="preserve">
IF(CU39&gt;=VLOOKUP($C37,$C$3:$D$15,2,FALSE)*CV$20,0,
IF(AND(CU39&lt;VLOOKUP($C37,$C$3:$D$15,2,FALSE)*CV$20,CV38&lt;=VLOOKUP($C37,$C$3:$D$15,2,FALSE)*CV$20),IF(CV38-CU39&lt;0,0,CV38-CU39),
IF(AND(CU39&lt;VLOOKUP($C37,$C$3:$D$15,2,FALSE)*CV$20,CV38&gt;VLOOKUP($C37,$C$3:$D$15,2,FALSE)*CV$20),VLOOKUP($C37,$C$3:$D$15,2,FALSE)*CV$20-CU39)))</f>
        <v>0</v>
      </c>
      <c r="CW37" s="763">
        <f t="shared" ref="CW37" si="1090" xml:space="preserve">
IF(CV39&gt;=VLOOKUP($C37,$C$3:$D$15,2,FALSE)*CW$20,0,
IF(AND(CV39&lt;VLOOKUP($C37,$C$3:$D$15,2,FALSE)*CW$20,CW38&lt;=VLOOKUP($C37,$C$3:$D$15,2,FALSE)*CW$20),IF(CW38-CV39&lt;0,0,CW38-CV39),
IF(AND(CV39&lt;VLOOKUP($C37,$C$3:$D$15,2,FALSE)*CW$20,CW38&gt;VLOOKUP($C37,$C$3:$D$15,2,FALSE)*CW$20),VLOOKUP($C37,$C$3:$D$15,2,FALSE)*CW$20-CV39)))</f>
        <v>0</v>
      </c>
      <c r="CX37" s="763">
        <f t="shared" ref="CX37" si="1091" xml:space="preserve">
IF(CW39&gt;=VLOOKUP($C37,$C$3:$D$15,2,FALSE)*CX$20,0,
IF(AND(CW39&lt;VLOOKUP($C37,$C$3:$D$15,2,FALSE)*CX$20,CX38&lt;=VLOOKUP($C37,$C$3:$D$15,2,FALSE)*CX$20),IF(CX38-CW39&lt;0,0,CX38-CW39),
IF(AND(CW39&lt;VLOOKUP($C37,$C$3:$D$15,2,FALSE)*CX$20,CX38&gt;VLOOKUP($C37,$C$3:$D$15,2,FALSE)*CX$20),VLOOKUP($C37,$C$3:$D$15,2,FALSE)*CX$20-CW39)))</f>
        <v>0</v>
      </c>
      <c r="CY37" s="763">
        <f t="shared" ref="CY37" si="1092" xml:space="preserve">
IF(CX39&gt;=VLOOKUP($C37,$C$3:$D$15,2,FALSE)*CY$20,0,
IF(AND(CX39&lt;VLOOKUP($C37,$C$3:$D$15,2,FALSE)*CY$20,CY38&lt;=VLOOKUP($C37,$C$3:$D$15,2,FALSE)*CY$20),IF(CY38-CX39&lt;0,0,CY38-CX39),
IF(AND(CX39&lt;VLOOKUP($C37,$C$3:$D$15,2,FALSE)*CY$20,CY38&gt;VLOOKUP($C37,$C$3:$D$15,2,FALSE)*CY$20),VLOOKUP($C37,$C$3:$D$15,2,FALSE)*CY$20-CX39)))</f>
        <v>0</v>
      </c>
      <c r="CZ37" s="763">
        <f t="shared" ref="CZ37" si="1093" xml:space="preserve">
IF(CY39&gt;=VLOOKUP($C37,$C$3:$D$15,2,FALSE)*CZ$20,0,
IF(AND(CY39&lt;VLOOKUP($C37,$C$3:$D$15,2,FALSE)*CZ$20,CZ38&lt;=VLOOKUP($C37,$C$3:$D$15,2,FALSE)*CZ$20),IF(CZ38-CY39&lt;0,0,CZ38-CY39),
IF(AND(CY39&lt;VLOOKUP($C37,$C$3:$D$15,2,FALSE)*CZ$20,CZ38&gt;VLOOKUP($C37,$C$3:$D$15,2,FALSE)*CZ$20),VLOOKUP($C37,$C$3:$D$15,2,FALSE)*CZ$20-CY39)))</f>
        <v>0</v>
      </c>
      <c r="DA37" s="763">
        <f t="shared" ref="DA37" si="1094" xml:space="preserve">
IF(CZ39&gt;=VLOOKUP($C37,$C$3:$D$15,2,FALSE)*DA$20,0,
IF(AND(CZ39&lt;VLOOKUP($C37,$C$3:$D$15,2,FALSE)*DA$20,DA38&lt;=VLOOKUP($C37,$C$3:$D$15,2,FALSE)*DA$20),IF(DA38-CZ39&lt;0,0,DA38-CZ39),
IF(AND(CZ39&lt;VLOOKUP($C37,$C$3:$D$15,2,FALSE)*DA$20,DA38&gt;VLOOKUP($C37,$C$3:$D$15,2,FALSE)*DA$20),VLOOKUP($C37,$C$3:$D$15,2,FALSE)*DA$20-CZ39)))</f>
        <v>0</v>
      </c>
      <c r="DB37" s="763">
        <f t="shared" ref="DB37" si="1095" xml:space="preserve">
IF(DA39&gt;=VLOOKUP($C37,$C$3:$D$15,2,FALSE)*DB$20,0,
IF(AND(DA39&lt;VLOOKUP($C37,$C$3:$D$15,2,FALSE)*DB$20,DB38&lt;=VLOOKUP($C37,$C$3:$D$15,2,FALSE)*DB$20),IF(DB38-DA39&lt;0,0,DB38-DA39),
IF(AND(DA39&lt;VLOOKUP($C37,$C$3:$D$15,2,FALSE)*DB$20,DB38&gt;VLOOKUP($C37,$C$3:$D$15,2,FALSE)*DB$20),VLOOKUP($C37,$C$3:$D$15,2,FALSE)*DB$20-DA39)))</f>
        <v>0</v>
      </c>
      <c r="DC37" s="763">
        <f t="shared" ref="DC37" si="1096" xml:space="preserve">
IF(DB39&gt;=VLOOKUP($C37,$C$3:$D$15,2,FALSE)*DC$20,0,
IF(AND(DB39&lt;VLOOKUP($C37,$C$3:$D$15,2,FALSE)*DC$20,DC38&lt;=VLOOKUP($C37,$C$3:$D$15,2,FALSE)*DC$20),IF(DC38-DB39&lt;0,0,DC38-DB39),
IF(AND(DB39&lt;VLOOKUP($C37,$C$3:$D$15,2,FALSE)*DC$20,DC38&gt;VLOOKUP($C37,$C$3:$D$15,2,FALSE)*DC$20),VLOOKUP($C37,$C$3:$D$15,2,FALSE)*DC$20-DB39)))</f>
        <v>0</v>
      </c>
      <c r="DD37" s="763">
        <f t="shared" ref="DD37" si="1097" xml:space="preserve">
IF(DC39&gt;=VLOOKUP($C37,$C$3:$D$15,2,FALSE)*DD$20,0,
IF(AND(DC39&lt;VLOOKUP($C37,$C$3:$D$15,2,FALSE)*DD$20,DD38&lt;=VLOOKUP($C37,$C$3:$D$15,2,FALSE)*DD$20),IF(DD38-DC39&lt;0,0,DD38-DC39),
IF(AND(DC39&lt;VLOOKUP($C37,$C$3:$D$15,2,FALSE)*DD$20,DD38&gt;VLOOKUP($C37,$C$3:$D$15,2,FALSE)*DD$20),VLOOKUP($C37,$C$3:$D$15,2,FALSE)*DD$20-DC39)))</f>
        <v>0</v>
      </c>
      <c r="DE37" s="763">
        <f t="shared" ref="DE37" si="1098" xml:space="preserve">
IF(DD39&gt;=VLOOKUP($C37,$C$3:$D$15,2,FALSE)*DE$20,0,
IF(AND(DD39&lt;VLOOKUP($C37,$C$3:$D$15,2,FALSE)*DE$20,DE38&lt;=VLOOKUP($C37,$C$3:$D$15,2,FALSE)*DE$20),IF(DE38-DD39&lt;0,0,DE38-DD39),
IF(AND(DD39&lt;VLOOKUP($C37,$C$3:$D$15,2,FALSE)*DE$20,DE38&gt;VLOOKUP($C37,$C$3:$D$15,2,FALSE)*DE$20),VLOOKUP($C37,$C$3:$D$15,2,FALSE)*DE$20-DD39)))</f>
        <v>0</v>
      </c>
      <c r="DF37" s="763">
        <f t="shared" ref="DF37" si="1099" xml:space="preserve">
IF(DE39&gt;=VLOOKUP($C37,$C$3:$D$15,2,FALSE)*DF$20,0,
IF(AND(DE39&lt;VLOOKUP($C37,$C$3:$D$15,2,FALSE)*DF$20,DF38&lt;=VLOOKUP($C37,$C$3:$D$15,2,FALSE)*DF$20),IF(DF38-DE39&lt;0,0,DF38-DE39),
IF(AND(DE39&lt;VLOOKUP($C37,$C$3:$D$15,2,FALSE)*DF$20,DF38&gt;VLOOKUP($C37,$C$3:$D$15,2,FALSE)*DF$20),VLOOKUP($C37,$C$3:$D$15,2,FALSE)*DF$20-DE39)))</f>
        <v>0</v>
      </c>
      <c r="DG37" s="763">
        <f t="shared" ref="DG37" si="1100" xml:space="preserve">
IF(DF39&gt;=VLOOKUP($C37,$C$3:$D$15,2,FALSE)*DG$20,0,
IF(AND(DF39&lt;VLOOKUP($C37,$C$3:$D$15,2,FALSE)*DG$20,DG38&lt;=VLOOKUP($C37,$C$3:$D$15,2,FALSE)*DG$20),IF(DG38-DF39&lt;0,0,DG38-DF39),
IF(AND(DF39&lt;VLOOKUP($C37,$C$3:$D$15,2,FALSE)*DG$20,DG38&gt;VLOOKUP($C37,$C$3:$D$15,2,FALSE)*DG$20),VLOOKUP($C37,$C$3:$D$15,2,FALSE)*DG$20-DF39)))</f>
        <v>0</v>
      </c>
      <c r="DH37" s="763">
        <f t="shared" ref="DH37" si="1101" xml:space="preserve">
IF(DG39&gt;=VLOOKUP($C37,$C$3:$D$15,2,FALSE)*DH$20,0,
IF(AND(DG39&lt;VLOOKUP($C37,$C$3:$D$15,2,FALSE)*DH$20,DH38&lt;=VLOOKUP($C37,$C$3:$D$15,2,FALSE)*DH$20),IF(DH38-DG39&lt;0,0,DH38-DG39),
IF(AND(DG39&lt;VLOOKUP($C37,$C$3:$D$15,2,FALSE)*DH$20,DH38&gt;VLOOKUP($C37,$C$3:$D$15,2,FALSE)*DH$20),VLOOKUP($C37,$C$3:$D$15,2,FALSE)*DH$20-DG39)))</f>
        <v>0</v>
      </c>
      <c r="DI37" s="763">
        <f t="shared" ref="DI37" si="1102" xml:space="preserve">
IF(DH39&gt;=VLOOKUP($C37,$C$3:$D$15,2,FALSE)*DI$20,0,
IF(AND(DH39&lt;VLOOKUP($C37,$C$3:$D$15,2,FALSE)*DI$20,DI38&lt;=VLOOKUP($C37,$C$3:$D$15,2,FALSE)*DI$20),IF(DI38-DH39&lt;0,0,DI38-DH39),
IF(AND(DH39&lt;VLOOKUP($C37,$C$3:$D$15,2,FALSE)*DI$20,DI38&gt;VLOOKUP($C37,$C$3:$D$15,2,FALSE)*DI$20),VLOOKUP($C37,$C$3:$D$15,2,FALSE)*DI$20-DH39)))</f>
        <v>0</v>
      </c>
      <c r="DJ37" s="763">
        <f t="shared" ref="DJ37" si="1103" xml:space="preserve">
IF(DI39&gt;=VLOOKUP($C37,$C$3:$D$15,2,FALSE)*DJ$20,0,
IF(AND(DI39&lt;VLOOKUP($C37,$C$3:$D$15,2,FALSE)*DJ$20,DJ38&lt;=VLOOKUP($C37,$C$3:$D$15,2,FALSE)*DJ$20),IF(DJ38-DI39&lt;0,0,DJ38-DI39),
IF(AND(DI39&lt;VLOOKUP($C37,$C$3:$D$15,2,FALSE)*DJ$20,DJ38&gt;VLOOKUP($C37,$C$3:$D$15,2,FALSE)*DJ$20),VLOOKUP($C37,$C$3:$D$15,2,FALSE)*DJ$20-DI39)))</f>
        <v>0</v>
      </c>
      <c r="DK37" s="763">
        <f t="shared" ref="DK37" si="1104" xml:space="preserve">
IF(DJ39&gt;=VLOOKUP($C37,$C$3:$D$15,2,FALSE)*DK$20,0,
IF(AND(DJ39&lt;VLOOKUP($C37,$C$3:$D$15,2,FALSE)*DK$20,DK38&lt;=VLOOKUP($C37,$C$3:$D$15,2,FALSE)*DK$20),IF(DK38-DJ39&lt;0,0,DK38-DJ39),
IF(AND(DJ39&lt;VLOOKUP($C37,$C$3:$D$15,2,FALSE)*DK$20,DK38&gt;VLOOKUP($C37,$C$3:$D$15,2,FALSE)*DK$20),VLOOKUP($C37,$C$3:$D$15,2,FALSE)*DK$20-DJ39)))</f>
        <v>0</v>
      </c>
      <c r="DL37" s="763">
        <f t="shared" ref="DL37" si="1105" xml:space="preserve">
IF(DK39&gt;=VLOOKUP($C37,$C$3:$D$15,2,FALSE)*DL$20,0,
IF(AND(DK39&lt;VLOOKUP($C37,$C$3:$D$15,2,FALSE)*DL$20,DL38&lt;=VLOOKUP($C37,$C$3:$D$15,2,FALSE)*DL$20),IF(DL38-DK39&lt;0,0,DL38-DK39),
IF(AND(DK39&lt;VLOOKUP($C37,$C$3:$D$15,2,FALSE)*DL$20,DL38&gt;VLOOKUP($C37,$C$3:$D$15,2,FALSE)*DL$20),VLOOKUP($C37,$C$3:$D$15,2,FALSE)*DL$20-DK39)))</f>
        <v>0</v>
      </c>
      <c r="DM37" s="763">
        <f t="shared" ref="DM37" si="1106" xml:space="preserve">
IF(DL39&gt;=VLOOKUP($C37,$C$3:$D$15,2,FALSE)*DM$20,0,
IF(AND(DL39&lt;VLOOKUP($C37,$C$3:$D$15,2,FALSE)*DM$20,DM38&lt;=VLOOKUP($C37,$C$3:$D$15,2,FALSE)*DM$20),IF(DM38-DL39&lt;0,0,DM38-DL39),
IF(AND(DL39&lt;VLOOKUP($C37,$C$3:$D$15,2,FALSE)*DM$20,DM38&gt;VLOOKUP($C37,$C$3:$D$15,2,FALSE)*DM$20),VLOOKUP($C37,$C$3:$D$15,2,FALSE)*DM$20-DL39)))</f>
        <v>0</v>
      </c>
      <c r="DN37" s="763">
        <f t="shared" ref="DN37" si="1107" xml:space="preserve">
IF(DM39&gt;=VLOOKUP($C37,$C$3:$D$15,2,FALSE)*DN$20,0,
IF(AND(DM39&lt;VLOOKUP($C37,$C$3:$D$15,2,FALSE)*DN$20,DN38&lt;=VLOOKUP($C37,$C$3:$D$15,2,FALSE)*DN$20),IF(DN38-DM39&lt;0,0,DN38-DM39),
IF(AND(DM39&lt;VLOOKUP($C37,$C$3:$D$15,2,FALSE)*DN$20,DN38&gt;VLOOKUP($C37,$C$3:$D$15,2,FALSE)*DN$20),VLOOKUP($C37,$C$3:$D$15,2,FALSE)*DN$20-DM39)))</f>
        <v>0</v>
      </c>
      <c r="DO37" s="763">
        <f t="shared" ref="DO37" si="1108" xml:space="preserve">
IF(DN39&gt;=VLOOKUP($C37,$C$3:$D$15,2,FALSE)*DO$20,0,
IF(AND(DN39&lt;VLOOKUP($C37,$C$3:$D$15,2,FALSE)*DO$20,DO38&lt;=VLOOKUP($C37,$C$3:$D$15,2,FALSE)*DO$20),IF(DO38-DN39&lt;0,0,DO38-DN39),
IF(AND(DN39&lt;VLOOKUP($C37,$C$3:$D$15,2,FALSE)*DO$20,DO38&gt;VLOOKUP($C37,$C$3:$D$15,2,FALSE)*DO$20),VLOOKUP($C37,$C$3:$D$15,2,FALSE)*DO$20-DN39)))</f>
        <v>0</v>
      </c>
      <c r="DP37" s="763">
        <f t="shared" ref="DP37" si="1109" xml:space="preserve">
IF(DO39&gt;=VLOOKUP($C37,$C$3:$D$15,2,FALSE)*DP$20,0,
IF(AND(DO39&lt;VLOOKUP($C37,$C$3:$D$15,2,FALSE)*DP$20,DP38&lt;=VLOOKUP($C37,$C$3:$D$15,2,FALSE)*DP$20),IF(DP38-DO39&lt;0,0,DP38-DO39),
IF(AND(DO39&lt;VLOOKUP($C37,$C$3:$D$15,2,FALSE)*DP$20,DP38&gt;VLOOKUP($C37,$C$3:$D$15,2,FALSE)*DP$20),VLOOKUP($C37,$C$3:$D$15,2,FALSE)*DP$20-DO39)))</f>
        <v>0</v>
      </c>
      <c r="DQ37" s="763">
        <f t="shared" ref="DQ37" si="1110" xml:space="preserve">
IF(DP39&gt;=VLOOKUP($C37,$C$3:$D$15,2,FALSE)*DQ$20,0,
IF(AND(DP39&lt;VLOOKUP($C37,$C$3:$D$15,2,FALSE)*DQ$20,DQ38&lt;=VLOOKUP($C37,$C$3:$D$15,2,FALSE)*DQ$20),IF(DQ38-DP39&lt;0,0,DQ38-DP39),
IF(AND(DP39&lt;VLOOKUP($C37,$C$3:$D$15,2,FALSE)*DQ$20,DQ38&gt;VLOOKUP($C37,$C$3:$D$15,2,FALSE)*DQ$20),VLOOKUP($C37,$C$3:$D$15,2,FALSE)*DQ$20-DP39)))</f>
        <v>0</v>
      </c>
      <c r="DR37" s="763">
        <f t="shared" ref="DR37" si="1111" xml:space="preserve">
IF(DQ39&gt;=VLOOKUP($C37,$C$3:$D$15,2,FALSE)*DR$20,0,
IF(AND(DQ39&lt;VLOOKUP($C37,$C$3:$D$15,2,FALSE)*DR$20,DR38&lt;=VLOOKUP($C37,$C$3:$D$15,2,FALSE)*DR$20),IF(DR38-DQ39&lt;0,0,DR38-DQ39),
IF(AND(DQ39&lt;VLOOKUP($C37,$C$3:$D$15,2,FALSE)*DR$20,DR38&gt;VLOOKUP($C37,$C$3:$D$15,2,FALSE)*DR$20),VLOOKUP($C37,$C$3:$D$15,2,FALSE)*DR$20-DQ39)))</f>
        <v>0</v>
      </c>
      <c r="DS37" s="763">
        <f t="shared" ref="DS37" si="1112" xml:space="preserve">
IF(DR39&gt;=VLOOKUP($C37,$C$3:$D$15,2,FALSE)*DS$20,0,
IF(AND(DR39&lt;VLOOKUP($C37,$C$3:$D$15,2,FALSE)*DS$20,DS38&lt;=VLOOKUP($C37,$C$3:$D$15,2,FALSE)*DS$20),IF(DS38-DR39&lt;0,0,DS38-DR39),
IF(AND(DR39&lt;VLOOKUP($C37,$C$3:$D$15,2,FALSE)*DS$20,DS38&gt;VLOOKUP($C37,$C$3:$D$15,2,FALSE)*DS$20),VLOOKUP($C37,$C$3:$D$15,2,FALSE)*DS$20-DR39)))</f>
        <v>0</v>
      </c>
      <c r="DT37" s="763">
        <f t="shared" ref="DT37" si="1113" xml:space="preserve">
IF(DS39&gt;=VLOOKUP($C37,$C$3:$D$15,2,FALSE)*DT$20,0,
IF(AND(DS39&lt;VLOOKUP($C37,$C$3:$D$15,2,FALSE)*DT$20,DT38&lt;=VLOOKUP($C37,$C$3:$D$15,2,FALSE)*DT$20),IF(DT38-DS39&lt;0,0,DT38-DS39),
IF(AND(DS39&lt;VLOOKUP($C37,$C$3:$D$15,2,FALSE)*DT$20,DT38&gt;VLOOKUP($C37,$C$3:$D$15,2,FALSE)*DT$20),VLOOKUP($C37,$C$3:$D$15,2,FALSE)*DT$20-DS39)))</f>
        <v>0</v>
      </c>
      <c r="DU37" s="763">
        <f t="shared" ref="DU37" si="1114" xml:space="preserve">
IF(DT39&gt;=VLOOKUP($C37,$C$3:$D$15,2,FALSE)*DU$20,0,
IF(AND(DT39&lt;VLOOKUP($C37,$C$3:$D$15,2,FALSE)*DU$20,DU38&lt;=VLOOKUP($C37,$C$3:$D$15,2,FALSE)*DU$20),IF(DU38-DT39&lt;0,0,DU38-DT39),
IF(AND(DT39&lt;VLOOKUP($C37,$C$3:$D$15,2,FALSE)*DU$20,DU38&gt;VLOOKUP($C37,$C$3:$D$15,2,FALSE)*DU$20),VLOOKUP($C37,$C$3:$D$15,2,FALSE)*DU$20-DT39)))</f>
        <v>0</v>
      </c>
      <c r="DV37" s="763">
        <f t="shared" ref="DV37" si="1115" xml:space="preserve">
IF(DU39&gt;=VLOOKUP($C37,$C$3:$D$15,2,FALSE)*DV$20,0,
IF(AND(DU39&lt;VLOOKUP($C37,$C$3:$D$15,2,FALSE)*DV$20,DV38&lt;=VLOOKUP($C37,$C$3:$D$15,2,FALSE)*DV$20),IF(DV38-DU39&lt;0,0,DV38-DU39),
IF(AND(DU39&lt;VLOOKUP($C37,$C$3:$D$15,2,FALSE)*DV$20,DV38&gt;VLOOKUP($C37,$C$3:$D$15,2,FALSE)*DV$20),VLOOKUP($C37,$C$3:$D$15,2,FALSE)*DV$20-DU39)))</f>
        <v>0</v>
      </c>
      <c r="DW37" s="763">
        <f t="shared" ref="DW37" si="1116" xml:space="preserve">
IF(DV39&gt;=VLOOKUP($C37,$C$3:$D$15,2,FALSE)*DW$20,0,
IF(AND(DV39&lt;VLOOKUP($C37,$C$3:$D$15,2,FALSE)*DW$20,DW38&lt;=VLOOKUP($C37,$C$3:$D$15,2,FALSE)*DW$20),IF(DW38-DV39&lt;0,0,DW38-DV39),
IF(AND(DV39&lt;VLOOKUP($C37,$C$3:$D$15,2,FALSE)*DW$20,DW38&gt;VLOOKUP($C37,$C$3:$D$15,2,FALSE)*DW$20),VLOOKUP($C37,$C$3:$D$15,2,FALSE)*DW$20-DV39)))</f>
        <v>0</v>
      </c>
      <c r="DX37" s="763">
        <f t="shared" ref="DX37" si="1117" xml:space="preserve">
IF(DW39&gt;=VLOOKUP($C37,$C$3:$D$15,2,FALSE)*DX$20,0,
IF(AND(DW39&lt;VLOOKUP($C37,$C$3:$D$15,2,FALSE)*DX$20,DX38&lt;=VLOOKUP($C37,$C$3:$D$15,2,FALSE)*DX$20),IF(DX38-DW39&lt;0,0,DX38-DW39),
IF(AND(DW39&lt;VLOOKUP($C37,$C$3:$D$15,2,FALSE)*DX$20,DX38&gt;VLOOKUP($C37,$C$3:$D$15,2,FALSE)*DX$20),VLOOKUP($C37,$C$3:$D$15,2,FALSE)*DX$20-DW39)))</f>
        <v>0</v>
      </c>
      <c r="DY37" s="763">
        <f t="shared" ref="DY37" si="1118" xml:space="preserve">
IF(DX39&gt;=VLOOKUP($C37,$C$3:$D$15,2,FALSE)*DY$20,0,
IF(AND(DX39&lt;VLOOKUP($C37,$C$3:$D$15,2,FALSE)*DY$20,DY38&lt;=VLOOKUP($C37,$C$3:$D$15,2,FALSE)*DY$20),IF(DY38-DX39&lt;0,0,DY38-DX39),
IF(AND(DX39&lt;VLOOKUP($C37,$C$3:$D$15,2,FALSE)*DY$20,DY38&gt;VLOOKUP($C37,$C$3:$D$15,2,FALSE)*DY$20),VLOOKUP($C37,$C$3:$D$15,2,FALSE)*DY$20-DX39)))</f>
        <v>0</v>
      </c>
      <c r="DZ37" s="763">
        <f t="shared" ref="DZ37" si="1119" xml:space="preserve">
IF(DY39&gt;=VLOOKUP($C37,$C$3:$D$15,2,FALSE)*DZ$20,0,
IF(AND(DY39&lt;VLOOKUP($C37,$C$3:$D$15,2,FALSE)*DZ$20,DZ38&lt;=VLOOKUP($C37,$C$3:$D$15,2,FALSE)*DZ$20),IF(DZ38-DY39&lt;0,0,DZ38-DY39),
IF(AND(DY39&lt;VLOOKUP($C37,$C$3:$D$15,2,FALSE)*DZ$20,DZ38&gt;VLOOKUP($C37,$C$3:$D$15,2,FALSE)*DZ$20),VLOOKUP($C37,$C$3:$D$15,2,FALSE)*DZ$20-DY39)))</f>
        <v>0</v>
      </c>
      <c r="EA37" s="763">
        <f t="shared" ref="EA37" si="1120" xml:space="preserve">
IF(DZ39&gt;=VLOOKUP($C37,$C$3:$D$15,2,FALSE)*EA$20,0,
IF(AND(DZ39&lt;VLOOKUP($C37,$C$3:$D$15,2,FALSE)*EA$20,EA38&lt;=VLOOKUP($C37,$C$3:$D$15,2,FALSE)*EA$20),IF(EA38-DZ39&lt;0,0,EA38-DZ39),
IF(AND(DZ39&lt;VLOOKUP($C37,$C$3:$D$15,2,FALSE)*EA$20,EA38&gt;VLOOKUP($C37,$C$3:$D$15,2,FALSE)*EA$20),VLOOKUP($C37,$C$3:$D$15,2,FALSE)*EA$20-DZ39)))</f>
        <v>0</v>
      </c>
      <c r="EB37" s="763">
        <f t="shared" ref="EB37" si="1121" xml:space="preserve">
IF(EA39&gt;=VLOOKUP($C37,$C$3:$D$15,2,FALSE)*EB$20,0,
IF(AND(EA39&lt;VLOOKUP($C37,$C$3:$D$15,2,FALSE)*EB$20,EB38&lt;=VLOOKUP($C37,$C$3:$D$15,2,FALSE)*EB$20),IF(EB38-EA39&lt;0,0,EB38-EA39),
IF(AND(EA39&lt;VLOOKUP($C37,$C$3:$D$15,2,FALSE)*EB$20,EB38&gt;VLOOKUP($C37,$C$3:$D$15,2,FALSE)*EB$20),VLOOKUP($C37,$C$3:$D$15,2,FALSE)*EB$20-EA39)))</f>
        <v>0</v>
      </c>
      <c r="EC37" s="763">
        <f t="shared" ref="EC37" si="1122" xml:space="preserve">
IF(EB39&gt;=VLOOKUP($C37,$C$3:$D$15,2,FALSE)*EC$20,0,
IF(AND(EB39&lt;VLOOKUP($C37,$C$3:$D$15,2,FALSE)*EC$20,EC38&lt;=VLOOKUP($C37,$C$3:$D$15,2,FALSE)*EC$20),IF(EC38-EB39&lt;0,0,EC38-EB39),
IF(AND(EB39&lt;VLOOKUP($C37,$C$3:$D$15,2,FALSE)*EC$20,EC38&gt;VLOOKUP($C37,$C$3:$D$15,2,FALSE)*EC$20),VLOOKUP($C37,$C$3:$D$15,2,FALSE)*EC$20-EB39)))</f>
        <v>0</v>
      </c>
      <c r="ED37" s="763">
        <f t="shared" ref="ED37" si="1123" xml:space="preserve">
IF(EC39&gt;=VLOOKUP($C37,$C$3:$D$15,2,FALSE)*ED$20,0,
IF(AND(EC39&lt;VLOOKUP($C37,$C$3:$D$15,2,FALSE)*ED$20,ED38&lt;=VLOOKUP($C37,$C$3:$D$15,2,FALSE)*ED$20),IF(ED38-EC39&lt;0,0,ED38-EC39),
IF(AND(EC39&lt;VLOOKUP($C37,$C$3:$D$15,2,FALSE)*ED$20,ED38&gt;VLOOKUP($C37,$C$3:$D$15,2,FALSE)*ED$20),VLOOKUP($C37,$C$3:$D$15,2,FALSE)*ED$20-EC39)))</f>
        <v>0</v>
      </c>
      <c r="EE37" s="763">
        <f t="shared" ref="EE37" si="1124" xml:space="preserve">
IF(ED39&gt;=VLOOKUP($C37,$C$3:$D$15,2,FALSE)*EE$20,0,
IF(AND(ED39&lt;VLOOKUP($C37,$C$3:$D$15,2,FALSE)*EE$20,EE38&lt;=VLOOKUP($C37,$C$3:$D$15,2,FALSE)*EE$20),IF(EE38-ED39&lt;0,0,EE38-ED39),
IF(AND(ED39&lt;VLOOKUP($C37,$C$3:$D$15,2,FALSE)*EE$20,EE38&gt;VLOOKUP($C37,$C$3:$D$15,2,FALSE)*EE$20),VLOOKUP($C37,$C$3:$D$15,2,FALSE)*EE$20-ED39)))</f>
        <v>0</v>
      </c>
      <c r="EF37" s="763">
        <f t="shared" ref="EF37" si="1125" xml:space="preserve">
IF(EE39&gt;=VLOOKUP($C37,$C$3:$D$15,2,FALSE)*EF$20,0,
IF(AND(EE39&lt;VLOOKUP($C37,$C$3:$D$15,2,FALSE)*EF$20,EF38&lt;=VLOOKUP($C37,$C$3:$D$15,2,FALSE)*EF$20),IF(EF38-EE39&lt;0,0,EF38-EE39),
IF(AND(EE39&lt;VLOOKUP($C37,$C$3:$D$15,2,FALSE)*EF$20,EF38&gt;VLOOKUP($C37,$C$3:$D$15,2,FALSE)*EF$20),VLOOKUP($C37,$C$3:$D$15,2,FALSE)*EF$20-EE39)))</f>
        <v>0</v>
      </c>
      <c r="EG37" s="763">
        <f t="shared" ref="EG37" si="1126" xml:space="preserve">
IF(EF39&gt;=VLOOKUP($C37,$C$3:$D$15,2,FALSE)*EG$20,0,
IF(AND(EF39&lt;VLOOKUP($C37,$C$3:$D$15,2,FALSE)*EG$20,EG38&lt;=VLOOKUP($C37,$C$3:$D$15,2,FALSE)*EG$20),IF(EG38-EF39&lt;0,0,EG38-EF39),
IF(AND(EF39&lt;VLOOKUP($C37,$C$3:$D$15,2,FALSE)*EG$20,EG38&gt;VLOOKUP($C37,$C$3:$D$15,2,FALSE)*EG$20),VLOOKUP($C37,$C$3:$D$15,2,FALSE)*EG$20-EF39)))</f>
        <v>0</v>
      </c>
      <c r="EH37" s="763">
        <f t="shared" ref="EH37" si="1127" xml:space="preserve">
IF(EG39&gt;=VLOOKUP($C37,$C$3:$D$15,2,FALSE)*EH$20,0,
IF(AND(EG39&lt;VLOOKUP($C37,$C$3:$D$15,2,FALSE)*EH$20,EH38&lt;=VLOOKUP($C37,$C$3:$D$15,2,FALSE)*EH$20),IF(EH38-EG39&lt;0,0,EH38-EG39),
IF(AND(EG39&lt;VLOOKUP($C37,$C$3:$D$15,2,FALSE)*EH$20,EH38&gt;VLOOKUP($C37,$C$3:$D$15,2,FALSE)*EH$20),VLOOKUP($C37,$C$3:$D$15,2,FALSE)*EH$20-EG39)))</f>
        <v>0</v>
      </c>
      <c r="EI37" s="763">
        <f t="shared" ref="EI37" si="1128" xml:space="preserve">
IF(EH39&gt;=VLOOKUP($C37,$C$3:$D$15,2,FALSE)*EI$20,0,
IF(AND(EH39&lt;VLOOKUP($C37,$C$3:$D$15,2,FALSE)*EI$20,EI38&lt;=VLOOKUP($C37,$C$3:$D$15,2,FALSE)*EI$20),IF(EI38-EH39&lt;0,0,EI38-EH39),
IF(AND(EH39&lt;VLOOKUP($C37,$C$3:$D$15,2,FALSE)*EI$20,EI38&gt;VLOOKUP($C37,$C$3:$D$15,2,FALSE)*EI$20),VLOOKUP($C37,$C$3:$D$15,2,FALSE)*EI$20-EH39)))</f>
        <v>0</v>
      </c>
      <c r="EJ37" s="763">
        <f t="shared" ref="EJ37" si="1129" xml:space="preserve">
IF(EI39&gt;=VLOOKUP($C37,$C$3:$D$15,2,FALSE)*EJ$20,0,
IF(AND(EI39&lt;VLOOKUP($C37,$C$3:$D$15,2,FALSE)*EJ$20,EJ38&lt;=VLOOKUP($C37,$C$3:$D$15,2,FALSE)*EJ$20),IF(EJ38-EI39&lt;0,0,EJ38-EI39),
IF(AND(EI39&lt;VLOOKUP($C37,$C$3:$D$15,2,FALSE)*EJ$20,EJ38&gt;VLOOKUP($C37,$C$3:$D$15,2,FALSE)*EJ$20),VLOOKUP($C37,$C$3:$D$15,2,FALSE)*EJ$20-EI39)))</f>
        <v>0</v>
      </c>
      <c r="EK37" s="763">
        <f t="shared" ref="EK37" si="1130" xml:space="preserve">
IF(EJ39&gt;=VLOOKUP($C37,$C$3:$D$15,2,FALSE)*EK$20,0,
IF(AND(EJ39&lt;VLOOKUP($C37,$C$3:$D$15,2,FALSE)*EK$20,EK38&lt;=VLOOKUP($C37,$C$3:$D$15,2,FALSE)*EK$20),IF(EK38-EJ39&lt;0,0,EK38-EJ39),
IF(AND(EJ39&lt;VLOOKUP($C37,$C$3:$D$15,2,FALSE)*EK$20,EK38&gt;VLOOKUP($C37,$C$3:$D$15,2,FALSE)*EK$20),VLOOKUP($C37,$C$3:$D$15,2,FALSE)*EK$20-EJ39)))</f>
        <v>0</v>
      </c>
      <c r="EL37" s="763">
        <f t="shared" ref="EL37" si="1131" xml:space="preserve">
IF(EK39&gt;=VLOOKUP($C37,$C$3:$D$15,2,FALSE)*EL$20,0,
IF(AND(EK39&lt;VLOOKUP($C37,$C$3:$D$15,2,FALSE)*EL$20,EL38&lt;=VLOOKUP($C37,$C$3:$D$15,2,FALSE)*EL$20),IF(EL38-EK39&lt;0,0,EL38-EK39),
IF(AND(EK39&lt;VLOOKUP($C37,$C$3:$D$15,2,FALSE)*EL$20,EL38&gt;VLOOKUP($C37,$C$3:$D$15,2,FALSE)*EL$20),VLOOKUP($C37,$C$3:$D$15,2,FALSE)*EL$20-EK39)))</f>
        <v>0</v>
      </c>
      <c r="EM37" s="763">
        <f t="shared" ref="EM37" si="1132" xml:space="preserve">
IF(EL39&gt;=VLOOKUP($C37,$C$3:$D$15,2,FALSE)*EM$20,0,
IF(AND(EL39&lt;VLOOKUP($C37,$C$3:$D$15,2,FALSE)*EM$20,EM38&lt;=VLOOKUP($C37,$C$3:$D$15,2,FALSE)*EM$20),IF(EM38-EL39&lt;0,0,EM38-EL39),
IF(AND(EL39&lt;VLOOKUP($C37,$C$3:$D$15,2,FALSE)*EM$20,EM38&gt;VLOOKUP($C37,$C$3:$D$15,2,FALSE)*EM$20),VLOOKUP($C37,$C$3:$D$15,2,FALSE)*EM$20-EL39)))</f>
        <v>0</v>
      </c>
      <c r="EN37" s="763">
        <f t="shared" ref="EN37" si="1133" xml:space="preserve">
IF(EM39&gt;=VLOOKUP($C37,$C$3:$D$15,2,FALSE)*EN$20,0,
IF(AND(EM39&lt;VLOOKUP($C37,$C$3:$D$15,2,FALSE)*EN$20,EN38&lt;=VLOOKUP($C37,$C$3:$D$15,2,FALSE)*EN$20),IF(EN38-EM39&lt;0,0,EN38-EM39),
IF(AND(EM39&lt;VLOOKUP($C37,$C$3:$D$15,2,FALSE)*EN$20,EN38&gt;VLOOKUP($C37,$C$3:$D$15,2,FALSE)*EN$20),VLOOKUP($C37,$C$3:$D$15,2,FALSE)*EN$20-EM39)))</f>
        <v>0</v>
      </c>
      <c r="EO37" s="763">
        <f t="shared" ref="EO37" si="1134" xml:space="preserve">
IF(EN39&gt;=VLOOKUP($C37,$C$3:$D$15,2,FALSE)*EO$20,0,
IF(AND(EN39&lt;VLOOKUP($C37,$C$3:$D$15,2,FALSE)*EO$20,EO38&lt;=VLOOKUP($C37,$C$3:$D$15,2,FALSE)*EO$20),IF(EO38-EN39&lt;0,0,EO38-EN39),
IF(AND(EN39&lt;VLOOKUP($C37,$C$3:$D$15,2,FALSE)*EO$20,EO38&gt;VLOOKUP($C37,$C$3:$D$15,2,FALSE)*EO$20),VLOOKUP($C37,$C$3:$D$15,2,FALSE)*EO$20-EN39)))</f>
        <v>0</v>
      </c>
      <c r="EP37" s="763">
        <f t="shared" ref="EP37" si="1135" xml:space="preserve">
IF(EO39&gt;=VLOOKUP($C37,$C$3:$D$15,2,FALSE)*EP$20,0,
IF(AND(EO39&lt;VLOOKUP($C37,$C$3:$D$15,2,FALSE)*EP$20,EP38&lt;=VLOOKUP($C37,$C$3:$D$15,2,FALSE)*EP$20),IF(EP38-EO39&lt;0,0,EP38-EO39),
IF(AND(EO39&lt;VLOOKUP($C37,$C$3:$D$15,2,FALSE)*EP$20,EP38&gt;VLOOKUP($C37,$C$3:$D$15,2,FALSE)*EP$20),VLOOKUP($C37,$C$3:$D$15,2,FALSE)*EP$20-EO39)))</f>
        <v>0</v>
      </c>
      <c r="EQ37" s="763">
        <f t="shared" ref="EQ37" si="1136" xml:space="preserve">
IF(EP39&gt;=VLOOKUP($C37,$C$3:$D$15,2,FALSE)*EQ$20,0,
IF(AND(EP39&lt;VLOOKUP($C37,$C$3:$D$15,2,FALSE)*EQ$20,EQ38&lt;=VLOOKUP($C37,$C$3:$D$15,2,FALSE)*EQ$20),IF(EQ38-EP39&lt;0,0,EQ38-EP39),
IF(AND(EP39&lt;VLOOKUP($C37,$C$3:$D$15,2,FALSE)*EQ$20,EQ38&gt;VLOOKUP($C37,$C$3:$D$15,2,FALSE)*EQ$20),VLOOKUP($C37,$C$3:$D$15,2,FALSE)*EQ$20-EP39)))</f>
        <v>0</v>
      </c>
      <c r="ER37" s="763">
        <f t="shared" ref="ER37" si="1137" xml:space="preserve">
IF(EQ39&gt;=VLOOKUP($C37,$C$3:$D$15,2,FALSE)*ER$20,0,
IF(AND(EQ39&lt;VLOOKUP($C37,$C$3:$D$15,2,FALSE)*ER$20,ER38&lt;=VLOOKUP($C37,$C$3:$D$15,2,FALSE)*ER$20),IF(ER38-EQ39&lt;0,0,ER38-EQ39),
IF(AND(EQ39&lt;VLOOKUP($C37,$C$3:$D$15,2,FALSE)*ER$20,ER38&gt;VLOOKUP($C37,$C$3:$D$15,2,FALSE)*ER$20),VLOOKUP($C37,$C$3:$D$15,2,FALSE)*ER$20-EQ39)))</f>
        <v>0</v>
      </c>
      <c r="ES37" s="763">
        <f t="shared" ref="ES37" si="1138" xml:space="preserve">
IF(ER39&gt;=VLOOKUP($C37,$C$3:$D$15,2,FALSE)*ES$20,0,
IF(AND(ER39&lt;VLOOKUP($C37,$C$3:$D$15,2,FALSE)*ES$20,ES38&lt;=VLOOKUP($C37,$C$3:$D$15,2,FALSE)*ES$20),IF(ES38-ER39&lt;0,0,ES38-ER39),
IF(AND(ER39&lt;VLOOKUP($C37,$C$3:$D$15,2,FALSE)*ES$20,ES38&gt;VLOOKUP($C37,$C$3:$D$15,2,FALSE)*ES$20),VLOOKUP($C37,$C$3:$D$15,2,FALSE)*ES$20-ER39)))</f>
        <v>0</v>
      </c>
      <c r="ET37" s="763">
        <f t="shared" ref="ET37" si="1139" xml:space="preserve">
IF(ES39&gt;=VLOOKUP($C37,$C$3:$D$15,2,FALSE)*ET$20,0,
IF(AND(ES39&lt;VLOOKUP($C37,$C$3:$D$15,2,FALSE)*ET$20,ET38&lt;=VLOOKUP($C37,$C$3:$D$15,2,FALSE)*ET$20),IF(ET38-ES39&lt;0,0,ET38-ES39),
IF(AND(ES39&lt;VLOOKUP($C37,$C$3:$D$15,2,FALSE)*ET$20,ET38&gt;VLOOKUP($C37,$C$3:$D$15,2,FALSE)*ET$20),VLOOKUP($C37,$C$3:$D$15,2,FALSE)*ET$20-ES39)))</f>
        <v>0</v>
      </c>
      <c r="EU37" s="763">
        <f t="shared" ref="EU37" si="1140" xml:space="preserve">
IF(ET39&gt;=VLOOKUP($C37,$C$3:$D$15,2,FALSE)*EU$20,0,
IF(AND(ET39&lt;VLOOKUP($C37,$C$3:$D$15,2,FALSE)*EU$20,EU38&lt;=VLOOKUP($C37,$C$3:$D$15,2,FALSE)*EU$20),IF(EU38-ET39&lt;0,0,EU38-ET39),
IF(AND(ET39&lt;VLOOKUP($C37,$C$3:$D$15,2,FALSE)*EU$20,EU38&gt;VLOOKUP($C37,$C$3:$D$15,2,FALSE)*EU$20),VLOOKUP($C37,$C$3:$D$15,2,FALSE)*EU$20-ET39)))</f>
        <v>0</v>
      </c>
      <c r="EV37" s="763">
        <f t="shared" ref="EV37" si="1141" xml:space="preserve">
IF(EU39&gt;=VLOOKUP($C37,$C$3:$D$15,2,FALSE)*EV$20,0,
IF(AND(EU39&lt;VLOOKUP($C37,$C$3:$D$15,2,FALSE)*EV$20,EV38&lt;=VLOOKUP($C37,$C$3:$D$15,2,FALSE)*EV$20),IF(EV38-EU39&lt;0,0,EV38-EU39),
IF(AND(EU39&lt;VLOOKUP($C37,$C$3:$D$15,2,FALSE)*EV$20,EV38&gt;VLOOKUP($C37,$C$3:$D$15,2,FALSE)*EV$20),VLOOKUP($C37,$C$3:$D$15,2,FALSE)*EV$20-EU39)))</f>
        <v>0</v>
      </c>
      <c r="EW37" s="763">
        <f t="shared" ref="EW37" si="1142" xml:space="preserve">
IF(EV39&gt;=VLOOKUP($C37,$C$3:$D$15,2,FALSE)*EW$20,0,
IF(AND(EV39&lt;VLOOKUP($C37,$C$3:$D$15,2,FALSE)*EW$20,EW38&lt;=VLOOKUP($C37,$C$3:$D$15,2,FALSE)*EW$20),IF(EW38-EV39&lt;0,0,EW38-EV39),
IF(AND(EV39&lt;VLOOKUP($C37,$C$3:$D$15,2,FALSE)*EW$20,EW38&gt;VLOOKUP($C37,$C$3:$D$15,2,FALSE)*EW$20),VLOOKUP($C37,$C$3:$D$15,2,FALSE)*EW$20-EV39)))</f>
        <v>0</v>
      </c>
      <c r="EX37" s="763">
        <f t="shared" ref="EX37" si="1143" xml:space="preserve">
IF(EW39&gt;=VLOOKUP($C37,$C$3:$D$15,2,FALSE)*EX$20,0,
IF(AND(EW39&lt;VLOOKUP($C37,$C$3:$D$15,2,FALSE)*EX$20,EX38&lt;=VLOOKUP($C37,$C$3:$D$15,2,FALSE)*EX$20),IF(EX38-EW39&lt;0,0,EX38-EW39),
IF(AND(EW39&lt;VLOOKUP($C37,$C$3:$D$15,2,FALSE)*EX$20,EX38&gt;VLOOKUP($C37,$C$3:$D$15,2,FALSE)*EX$20),VLOOKUP($C37,$C$3:$D$15,2,FALSE)*EX$20-EW39)))</f>
        <v>0</v>
      </c>
      <c r="EY37" s="763">
        <f t="shared" ref="EY37" si="1144" xml:space="preserve">
IF(EX39&gt;=VLOOKUP($C37,$C$3:$D$15,2,FALSE)*EY$20,0,
IF(AND(EX39&lt;VLOOKUP($C37,$C$3:$D$15,2,FALSE)*EY$20,EY38&lt;=VLOOKUP($C37,$C$3:$D$15,2,FALSE)*EY$20),IF(EY38-EX39&lt;0,0,EY38-EX39),
IF(AND(EX39&lt;VLOOKUP($C37,$C$3:$D$15,2,FALSE)*EY$20,EY38&gt;VLOOKUP($C37,$C$3:$D$15,2,FALSE)*EY$20),VLOOKUP($C37,$C$3:$D$15,2,FALSE)*EY$20-EX39)))</f>
        <v>0</v>
      </c>
      <c r="EZ37" s="763">
        <f t="shared" ref="EZ37" si="1145" xml:space="preserve">
IF(EY39&gt;=VLOOKUP($C37,$C$3:$D$15,2,FALSE)*EZ$20,0,
IF(AND(EY39&lt;VLOOKUP($C37,$C$3:$D$15,2,FALSE)*EZ$20,EZ38&lt;=VLOOKUP($C37,$C$3:$D$15,2,FALSE)*EZ$20),IF(EZ38-EY39&lt;0,0,EZ38-EY39),
IF(AND(EY39&lt;VLOOKUP($C37,$C$3:$D$15,2,FALSE)*EZ$20,EZ38&gt;VLOOKUP($C37,$C$3:$D$15,2,FALSE)*EZ$20),VLOOKUP($C37,$C$3:$D$15,2,FALSE)*EZ$20-EY39)))</f>
        <v>0</v>
      </c>
      <c r="FA37" s="763">
        <f t="shared" ref="FA37" si="1146" xml:space="preserve">
IF(EZ39&gt;=VLOOKUP($C37,$C$3:$D$15,2,FALSE)*FA$20,0,
IF(AND(EZ39&lt;VLOOKUP($C37,$C$3:$D$15,2,FALSE)*FA$20,FA38&lt;=VLOOKUP($C37,$C$3:$D$15,2,FALSE)*FA$20),IF(FA38-EZ39&lt;0,0,FA38-EZ39),
IF(AND(EZ39&lt;VLOOKUP($C37,$C$3:$D$15,2,FALSE)*FA$20,FA38&gt;VLOOKUP($C37,$C$3:$D$15,2,FALSE)*FA$20),VLOOKUP($C37,$C$3:$D$15,2,FALSE)*FA$20-EZ39)))</f>
        <v>0</v>
      </c>
      <c r="FB37" s="763">
        <f t="shared" ref="FB37" si="1147" xml:space="preserve">
IF(FA39&gt;=VLOOKUP($C37,$C$3:$D$15,2,FALSE)*FB$20,0,
IF(AND(FA39&lt;VLOOKUP($C37,$C$3:$D$15,2,FALSE)*FB$20,FB38&lt;=VLOOKUP($C37,$C$3:$D$15,2,FALSE)*FB$20),IF(FB38-FA39&lt;0,0,FB38-FA39),
IF(AND(FA39&lt;VLOOKUP($C37,$C$3:$D$15,2,FALSE)*FB$20,FB38&gt;VLOOKUP($C37,$C$3:$D$15,2,FALSE)*FB$20),VLOOKUP($C37,$C$3:$D$15,2,FALSE)*FB$20-FA39)))</f>
        <v>0</v>
      </c>
      <c r="FC37" s="763">
        <f t="shared" ref="FC37" si="1148" xml:space="preserve">
IF(FB39&gt;=VLOOKUP($C37,$C$3:$D$15,2,FALSE)*FC$20,0,
IF(AND(FB39&lt;VLOOKUP($C37,$C$3:$D$15,2,FALSE)*FC$20,FC38&lt;=VLOOKUP($C37,$C$3:$D$15,2,FALSE)*FC$20),IF(FC38-FB39&lt;0,0,FC38-FB39),
IF(AND(FB39&lt;VLOOKUP($C37,$C$3:$D$15,2,FALSE)*FC$20,FC38&gt;VLOOKUP($C37,$C$3:$D$15,2,FALSE)*FC$20),VLOOKUP($C37,$C$3:$D$15,2,FALSE)*FC$20-FB39)))</f>
        <v>0</v>
      </c>
      <c r="FD37" s="763">
        <f t="shared" ref="FD37" si="1149" xml:space="preserve">
IF(FC39&gt;=VLOOKUP($C37,$C$3:$D$15,2,FALSE)*FD$20,0,
IF(AND(FC39&lt;VLOOKUP($C37,$C$3:$D$15,2,FALSE)*FD$20,FD38&lt;=VLOOKUP($C37,$C$3:$D$15,2,FALSE)*FD$20),IF(FD38-FC39&lt;0,0,FD38-FC39),
IF(AND(FC39&lt;VLOOKUP($C37,$C$3:$D$15,2,FALSE)*FD$20,FD38&gt;VLOOKUP($C37,$C$3:$D$15,2,FALSE)*FD$20),VLOOKUP($C37,$C$3:$D$15,2,FALSE)*FD$20-FC39)))</f>
        <v>0</v>
      </c>
      <c r="FE37" s="763">
        <f t="shared" ref="FE37" si="1150" xml:space="preserve">
IF(FD39&gt;=VLOOKUP($C37,$C$3:$D$15,2,FALSE)*FE$20,0,
IF(AND(FD39&lt;VLOOKUP($C37,$C$3:$D$15,2,FALSE)*FE$20,FE38&lt;=VLOOKUP($C37,$C$3:$D$15,2,FALSE)*FE$20),IF(FE38-FD39&lt;0,0,FE38-FD39),
IF(AND(FD39&lt;VLOOKUP($C37,$C$3:$D$15,2,FALSE)*FE$20,FE38&gt;VLOOKUP($C37,$C$3:$D$15,2,FALSE)*FE$20),VLOOKUP($C37,$C$3:$D$15,2,FALSE)*FE$20-FD39)))</f>
        <v>0</v>
      </c>
      <c r="FF37" s="763">
        <f t="shared" ref="FF37" si="1151" xml:space="preserve">
IF(FE39&gt;=VLOOKUP($C37,$C$3:$D$15,2,FALSE)*FF$20,0,
IF(AND(FE39&lt;VLOOKUP($C37,$C$3:$D$15,2,FALSE)*FF$20,FF38&lt;=VLOOKUP($C37,$C$3:$D$15,2,FALSE)*FF$20),IF(FF38-FE39&lt;0,0,FF38-FE39),
IF(AND(FE39&lt;VLOOKUP($C37,$C$3:$D$15,2,FALSE)*FF$20,FF38&gt;VLOOKUP($C37,$C$3:$D$15,2,FALSE)*FF$20),VLOOKUP($C37,$C$3:$D$15,2,FALSE)*FF$20-FE39)))</f>
        <v>0</v>
      </c>
      <c r="FG37" s="763">
        <f t="shared" ref="FG37" si="1152" xml:space="preserve">
IF(FF39&gt;=VLOOKUP($C37,$C$3:$D$15,2,FALSE)*FG$20,0,
IF(AND(FF39&lt;VLOOKUP($C37,$C$3:$D$15,2,FALSE)*FG$20,FG38&lt;=VLOOKUP($C37,$C$3:$D$15,2,FALSE)*FG$20),IF(FG38-FF39&lt;0,0,FG38-FF39),
IF(AND(FF39&lt;VLOOKUP($C37,$C$3:$D$15,2,FALSE)*FG$20,FG38&gt;VLOOKUP($C37,$C$3:$D$15,2,FALSE)*FG$20),VLOOKUP($C37,$C$3:$D$15,2,FALSE)*FG$20-FF39)))</f>
        <v>0</v>
      </c>
      <c r="FH37" s="763">
        <f t="shared" ref="FH37" si="1153" xml:space="preserve">
IF(FG39&gt;=VLOOKUP($C37,$C$3:$D$15,2,FALSE)*FH$20,0,
IF(AND(FG39&lt;VLOOKUP($C37,$C$3:$D$15,2,FALSE)*FH$20,FH38&lt;=VLOOKUP($C37,$C$3:$D$15,2,FALSE)*FH$20),IF(FH38-FG39&lt;0,0,FH38-FG39),
IF(AND(FG39&lt;VLOOKUP($C37,$C$3:$D$15,2,FALSE)*FH$20,FH38&gt;VLOOKUP($C37,$C$3:$D$15,2,FALSE)*FH$20),VLOOKUP($C37,$C$3:$D$15,2,FALSE)*FH$20-FG39)))</f>
        <v>0</v>
      </c>
      <c r="FI37" s="763">
        <f t="shared" ref="FI37" si="1154" xml:space="preserve">
IF(FH39&gt;=VLOOKUP($C37,$C$3:$D$15,2,FALSE)*FI$20,0,
IF(AND(FH39&lt;VLOOKUP($C37,$C$3:$D$15,2,FALSE)*FI$20,FI38&lt;=VLOOKUP($C37,$C$3:$D$15,2,FALSE)*FI$20),IF(FI38-FH39&lt;0,0,FI38-FH39),
IF(AND(FH39&lt;VLOOKUP($C37,$C$3:$D$15,2,FALSE)*FI$20,FI38&gt;VLOOKUP($C37,$C$3:$D$15,2,FALSE)*FI$20),VLOOKUP($C37,$C$3:$D$15,2,FALSE)*FI$20-FH39)))</f>
        <v>0</v>
      </c>
      <c r="FJ37" s="763">
        <f t="shared" ref="FJ37" si="1155" xml:space="preserve">
IF(FI39&gt;=VLOOKUP($C37,$C$3:$D$15,2,FALSE)*FJ$20,0,
IF(AND(FI39&lt;VLOOKUP($C37,$C$3:$D$15,2,FALSE)*FJ$20,FJ38&lt;=VLOOKUP($C37,$C$3:$D$15,2,FALSE)*FJ$20),IF(FJ38-FI39&lt;0,0,FJ38-FI39),
IF(AND(FI39&lt;VLOOKUP($C37,$C$3:$D$15,2,FALSE)*FJ$20,FJ38&gt;VLOOKUP($C37,$C$3:$D$15,2,FALSE)*FJ$20),VLOOKUP($C37,$C$3:$D$15,2,FALSE)*FJ$20-FI39)))</f>
        <v>0</v>
      </c>
      <c r="FK37" s="763">
        <f t="shared" ref="FK37" si="1156" xml:space="preserve">
IF(FJ39&gt;=VLOOKUP($C37,$C$3:$D$15,2,FALSE)*FK$20,0,
IF(AND(FJ39&lt;VLOOKUP($C37,$C$3:$D$15,2,FALSE)*FK$20,FK38&lt;=VLOOKUP($C37,$C$3:$D$15,2,FALSE)*FK$20),IF(FK38-FJ39&lt;0,0,FK38-FJ39),
IF(AND(FJ39&lt;VLOOKUP($C37,$C$3:$D$15,2,FALSE)*FK$20,FK38&gt;VLOOKUP($C37,$C$3:$D$15,2,FALSE)*FK$20),VLOOKUP($C37,$C$3:$D$15,2,FALSE)*FK$20-FJ39)))</f>
        <v>0</v>
      </c>
      <c r="FL37" s="763">
        <f t="shared" ref="FL37" si="1157" xml:space="preserve">
IF(FK39&gt;=VLOOKUP($C37,$C$3:$D$15,2,FALSE)*FL$20,0,
IF(AND(FK39&lt;VLOOKUP($C37,$C$3:$D$15,2,FALSE)*FL$20,FL38&lt;=VLOOKUP($C37,$C$3:$D$15,2,FALSE)*FL$20),IF(FL38-FK39&lt;0,0,FL38-FK39),
IF(AND(FK39&lt;VLOOKUP($C37,$C$3:$D$15,2,FALSE)*FL$20,FL38&gt;VLOOKUP($C37,$C$3:$D$15,2,FALSE)*FL$20),VLOOKUP($C37,$C$3:$D$15,2,FALSE)*FL$20-FK39)))</f>
        <v>0</v>
      </c>
      <c r="FM37" s="763">
        <f t="shared" ref="FM37" si="1158" xml:space="preserve">
IF(FL39&gt;=VLOOKUP($C37,$C$3:$D$15,2,FALSE)*FM$20,0,
IF(AND(FL39&lt;VLOOKUP($C37,$C$3:$D$15,2,FALSE)*FM$20,FM38&lt;=VLOOKUP($C37,$C$3:$D$15,2,FALSE)*FM$20),IF(FM38-FL39&lt;0,0,FM38-FL39),
IF(AND(FL39&lt;VLOOKUP($C37,$C$3:$D$15,2,FALSE)*FM$20,FM38&gt;VLOOKUP($C37,$C$3:$D$15,2,FALSE)*FM$20),VLOOKUP($C37,$C$3:$D$15,2,FALSE)*FM$20-FL39)))</f>
        <v>0</v>
      </c>
      <c r="FN37" s="763">
        <f t="shared" ref="FN37" si="1159" xml:space="preserve">
IF(FM39&gt;=VLOOKUP($C37,$C$3:$D$15,2,FALSE)*FN$20,0,
IF(AND(FM39&lt;VLOOKUP($C37,$C$3:$D$15,2,FALSE)*FN$20,FN38&lt;=VLOOKUP($C37,$C$3:$D$15,2,FALSE)*FN$20),IF(FN38-FM39&lt;0,0,FN38-FM39),
IF(AND(FM39&lt;VLOOKUP($C37,$C$3:$D$15,2,FALSE)*FN$20,FN38&gt;VLOOKUP($C37,$C$3:$D$15,2,FALSE)*FN$20),VLOOKUP($C37,$C$3:$D$15,2,FALSE)*FN$20-FM39)))</f>
        <v>0</v>
      </c>
      <c r="FO37" s="763">
        <f t="shared" ref="FO37" si="1160" xml:space="preserve">
IF(FN39&gt;=VLOOKUP($C37,$C$3:$D$15,2,FALSE)*FO$20,0,
IF(AND(FN39&lt;VLOOKUP($C37,$C$3:$D$15,2,FALSE)*FO$20,FO38&lt;=VLOOKUP($C37,$C$3:$D$15,2,FALSE)*FO$20),IF(FO38-FN39&lt;0,0,FO38-FN39),
IF(AND(FN39&lt;VLOOKUP($C37,$C$3:$D$15,2,FALSE)*FO$20,FO38&gt;VLOOKUP($C37,$C$3:$D$15,2,FALSE)*FO$20),VLOOKUP($C37,$C$3:$D$15,2,FALSE)*FO$20-FN39)))</f>
        <v>0</v>
      </c>
      <c r="FP37" s="763">
        <f t="shared" ref="FP37" si="1161" xml:space="preserve">
IF(FO39&gt;=VLOOKUP($C37,$C$3:$D$15,2,FALSE)*FP$20,0,
IF(AND(FO39&lt;VLOOKUP($C37,$C$3:$D$15,2,FALSE)*FP$20,FP38&lt;=VLOOKUP($C37,$C$3:$D$15,2,FALSE)*FP$20),IF(FP38-FO39&lt;0,0,FP38-FO39),
IF(AND(FO39&lt;VLOOKUP($C37,$C$3:$D$15,2,FALSE)*FP$20,FP38&gt;VLOOKUP($C37,$C$3:$D$15,2,FALSE)*FP$20),VLOOKUP($C37,$C$3:$D$15,2,FALSE)*FP$20-FO39)))</f>
        <v>0</v>
      </c>
      <c r="FQ37" s="763">
        <f t="shared" ref="FQ37" si="1162" xml:space="preserve">
IF(FP39&gt;=VLOOKUP($C37,$C$3:$D$15,2,FALSE)*FQ$20,0,
IF(AND(FP39&lt;VLOOKUP($C37,$C$3:$D$15,2,FALSE)*FQ$20,FQ38&lt;=VLOOKUP($C37,$C$3:$D$15,2,FALSE)*FQ$20),IF(FQ38-FP39&lt;0,0,FQ38-FP39),
IF(AND(FP39&lt;VLOOKUP($C37,$C$3:$D$15,2,FALSE)*FQ$20,FQ38&gt;VLOOKUP($C37,$C$3:$D$15,2,FALSE)*FQ$20),VLOOKUP($C37,$C$3:$D$15,2,FALSE)*FQ$20-FP39)))</f>
        <v>0</v>
      </c>
      <c r="FR37" s="763">
        <f t="shared" ref="FR37" si="1163" xml:space="preserve">
IF(FQ39&gt;=VLOOKUP($C37,$C$3:$D$15,2,FALSE)*FR$20,0,
IF(AND(FQ39&lt;VLOOKUP($C37,$C$3:$D$15,2,FALSE)*FR$20,FR38&lt;=VLOOKUP($C37,$C$3:$D$15,2,FALSE)*FR$20),IF(FR38-FQ39&lt;0,0,FR38-FQ39),
IF(AND(FQ39&lt;VLOOKUP($C37,$C$3:$D$15,2,FALSE)*FR$20,FR38&gt;VLOOKUP($C37,$C$3:$D$15,2,FALSE)*FR$20),VLOOKUP($C37,$C$3:$D$15,2,FALSE)*FR$20-FQ39)))</f>
        <v>0</v>
      </c>
      <c r="FS37" s="763">
        <f t="shared" ref="FS37" si="1164" xml:space="preserve">
IF(FR39&gt;=VLOOKUP($C37,$C$3:$D$15,2,FALSE)*FS$20,0,
IF(AND(FR39&lt;VLOOKUP($C37,$C$3:$D$15,2,FALSE)*FS$20,FS38&lt;=VLOOKUP($C37,$C$3:$D$15,2,FALSE)*FS$20),IF(FS38-FR39&lt;0,0,FS38-FR39),
IF(AND(FR39&lt;VLOOKUP($C37,$C$3:$D$15,2,FALSE)*FS$20,FS38&gt;VLOOKUP($C37,$C$3:$D$15,2,FALSE)*FS$20),VLOOKUP($C37,$C$3:$D$15,2,FALSE)*FS$20-FR39)))</f>
        <v>0</v>
      </c>
      <c r="FT37" s="763">
        <f t="shared" ref="FT37" si="1165" xml:space="preserve">
IF(FS39&gt;=VLOOKUP($C37,$C$3:$D$15,2,FALSE)*FT$20,0,
IF(AND(FS39&lt;VLOOKUP($C37,$C$3:$D$15,2,FALSE)*FT$20,FT38&lt;=VLOOKUP($C37,$C$3:$D$15,2,FALSE)*FT$20),IF(FT38-FS39&lt;0,0,FT38-FS39),
IF(AND(FS39&lt;VLOOKUP($C37,$C$3:$D$15,2,FALSE)*FT$20,FT38&gt;VLOOKUP($C37,$C$3:$D$15,2,FALSE)*FT$20),VLOOKUP($C37,$C$3:$D$15,2,FALSE)*FT$20-FS39)))</f>
        <v>0</v>
      </c>
      <c r="FU37" s="763">
        <f t="shared" ref="FU37" si="1166" xml:space="preserve">
IF(FT39&gt;=VLOOKUP($C37,$C$3:$D$15,2,FALSE)*FU$20,0,
IF(AND(FT39&lt;VLOOKUP($C37,$C$3:$D$15,2,FALSE)*FU$20,FU38&lt;=VLOOKUP($C37,$C$3:$D$15,2,FALSE)*FU$20),IF(FU38-FT39&lt;0,0,FU38-FT39),
IF(AND(FT39&lt;VLOOKUP($C37,$C$3:$D$15,2,FALSE)*FU$20,FU38&gt;VLOOKUP($C37,$C$3:$D$15,2,FALSE)*FU$20),VLOOKUP($C37,$C$3:$D$15,2,FALSE)*FU$20-FT39)))</f>
        <v>0</v>
      </c>
      <c r="FV37" s="763">
        <f t="shared" ref="FV37" si="1167" xml:space="preserve">
IF(FU39&gt;=VLOOKUP($C37,$C$3:$D$15,2,FALSE)*FV$20,0,
IF(AND(FU39&lt;VLOOKUP($C37,$C$3:$D$15,2,FALSE)*FV$20,FV38&lt;=VLOOKUP($C37,$C$3:$D$15,2,FALSE)*FV$20),IF(FV38-FU39&lt;0,0,FV38-FU39),
IF(AND(FU39&lt;VLOOKUP($C37,$C$3:$D$15,2,FALSE)*FV$20,FV38&gt;VLOOKUP($C37,$C$3:$D$15,2,FALSE)*FV$20),VLOOKUP($C37,$C$3:$D$15,2,FALSE)*FV$20-FU39)))</f>
        <v>0</v>
      </c>
      <c r="FW37" s="763">
        <f t="shared" ref="FW37" si="1168" xml:space="preserve">
IF(FV39&gt;=VLOOKUP($C37,$C$3:$D$15,2,FALSE)*FW$20,0,
IF(AND(FV39&lt;VLOOKUP($C37,$C$3:$D$15,2,FALSE)*FW$20,FW38&lt;=VLOOKUP($C37,$C$3:$D$15,2,FALSE)*FW$20),IF(FW38-FV39&lt;0,0,FW38-FV39),
IF(AND(FV39&lt;VLOOKUP($C37,$C$3:$D$15,2,FALSE)*FW$20,FW38&gt;VLOOKUP($C37,$C$3:$D$15,2,FALSE)*FW$20),VLOOKUP($C37,$C$3:$D$15,2,FALSE)*FW$20-FV39)))</f>
        <v>0</v>
      </c>
      <c r="FX37" s="763">
        <f t="shared" ref="FX37" si="1169" xml:space="preserve">
IF(FW39&gt;=VLOOKUP($C37,$C$3:$D$15,2,FALSE)*FX$20,0,
IF(AND(FW39&lt;VLOOKUP($C37,$C$3:$D$15,2,FALSE)*FX$20,FX38&lt;=VLOOKUP($C37,$C$3:$D$15,2,FALSE)*FX$20),IF(FX38-FW39&lt;0,0,FX38-FW39),
IF(AND(FW39&lt;VLOOKUP($C37,$C$3:$D$15,2,FALSE)*FX$20,FX38&gt;VLOOKUP($C37,$C$3:$D$15,2,FALSE)*FX$20),VLOOKUP($C37,$C$3:$D$15,2,FALSE)*FX$20-FW39)))</f>
        <v>0</v>
      </c>
      <c r="FY37" s="763">
        <f t="shared" ref="FY37" si="1170" xml:space="preserve">
IF(FX39&gt;=VLOOKUP($C37,$C$3:$D$15,2,FALSE)*FY$20,0,
IF(AND(FX39&lt;VLOOKUP($C37,$C$3:$D$15,2,FALSE)*FY$20,FY38&lt;=VLOOKUP($C37,$C$3:$D$15,2,FALSE)*FY$20),IF(FY38-FX39&lt;0,0,FY38-FX39),
IF(AND(FX39&lt;VLOOKUP($C37,$C$3:$D$15,2,FALSE)*FY$20,FY38&gt;VLOOKUP($C37,$C$3:$D$15,2,FALSE)*FY$20),VLOOKUP($C37,$C$3:$D$15,2,FALSE)*FY$20-FX39)))</f>
        <v>0</v>
      </c>
      <c r="FZ37" s="763">
        <f t="shared" ref="FZ37" si="1171" xml:space="preserve">
IF(FY39&gt;=VLOOKUP($C37,$C$3:$D$15,2,FALSE)*FZ$20,0,
IF(AND(FY39&lt;VLOOKUP($C37,$C$3:$D$15,2,FALSE)*FZ$20,FZ38&lt;=VLOOKUP($C37,$C$3:$D$15,2,FALSE)*FZ$20),IF(FZ38-FY39&lt;0,0,FZ38-FY39),
IF(AND(FY39&lt;VLOOKUP($C37,$C$3:$D$15,2,FALSE)*FZ$20,FZ38&gt;VLOOKUP($C37,$C$3:$D$15,2,FALSE)*FZ$20),VLOOKUP($C37,$C$3:$D$15,2,FALSE)*FZ$20-FY39)))</f>
        <v>0</v>
      </c>
      <c r="GA37" s="763">
        <f t="shared" ref="GA37" si="1172" xml:space="preserve">
IF(FZ39&gt;=VLOOKUP($C37,$C$3:$D$15,2,FALSE)*GA$20,0,
IF(AND(FZ39&lt;VLOOKUP($C37,$C$3:$D$15,2,FALSE)*GA$20,GA38&lt;=VLOOKUP($C37,$C$3:$D$15,2,FALSE)*GA$20),IF(GA38-FZ39&lt;0,0,GA38-FZ39),
IF(AND(FZ39&lt;VLOOKUP($C37,$C$3:$D$15,2,FALSE)*GA$20,GA38&gt;VLOOKUP($C37,$C$3:$D$15,2,FALSE)*GA$20),VLOOKUP($C37,$C$3:$D$15,2,FALSE)*GA$20-FZ39)))</f>
        <v>0</v>
      </c>
      <c r="GB37" s="763">
        <f t="shared" ref="GB37" si="1173" xml:space="preserve">
IF(GA39&gt;=VLOOKUP($C37,$C$3:$D$15,2,FALSE)*GB$20,0,
IF(AND(GA39&lt;VLOOKUP($C37,$C$3:$D$15,2,FALSE)*GB$20,GB38&lt;=VLOOKUP($C37,$C$3:$D$15,2,FALSE)*GB$20),IF(GB38-GA39&lt;0,0,GB38-GA39),
IF(AND(GA39&lt;VLOOKUP($C37,$C$3:$D$15,2,FALSE)*GB$20,GB38&gt;VLOOKUP($C37,$C$3:$D$15,2,FALSE)*GB$20),VLOOKUP($C37,$C$3:$D$15,2,FALSE)*GB$20-GA39)))</f>
        <v>0</v>
      </c>
      <c r="GC37" s="763">
        <f t="shared" ref="GC37" si="1174" xml:space="preserve">
IF(GB39&gt;=VLOOKUP($C37,$C$3:$D$15,2,FALSE)*GC$20,0,
IF(AND(GB39&lt;VLOOKUP($C37,$C$3:$D$15,2,FALSE)*GC$20,GC38&lt;=VLOOKUP($C37,$C$3:$D$15,2,FALSE)*GC$20),IF(GC38-GB39&lt;0,0,GC38-GB39),
IF(AND(GB39&lt;VLOOKUP($C37,$C$3:$D$15,2,FALSE)*GC$20,GC38&gt;VLOOKUP($C37,$C$3:$D$15,2,FALSE)*GC$20),VLOOKUP($C37,$C$3:$D$15,2,FALSE)*GC$20-GB39)))</f>
        <v>0</v>
      </c>
      <c r="GD37" s="763">
        <f t="shared" ref="GD37" si="1175" xml:space="preserve">
IF(GC39&gt;=VLOOKUP($C37,$C$3:$D$15,2,FALSE)*GD$20,0,
IF(AND(GC39&lt;VLOOKUP($C37,$C$3:$D$15,2,FALSE)*GD$20,GD38&lt;=VLOOKUP($C37,$C$3:$D$15,2,FALSE)*GD$20),IF(GD38-GC39&lt;0,0,GD38-GC39),
IF(AND(GC39&lt;VLOOKUP($C37,$C$3:$D$15,2,FALSE)*GD$20,GD38&gt;VLOOKUP($C37,$C$3:$D$15,2,FALSE)*GD$20),VLOOKUP($C37,$C$3:$D$15,2,FALSE)*GD$20-GC39)))</f>
        <v>0</v>
      </c>
      <c r="GE37" s="763">
        <f t="shared" ref="GE37" si="1176" xml:space="preserve">
IF(GD39&gt;=VLOOKUP($C37,$C$3:$D$15,2,FALSE)*GE$20,0,
IF(AND(GD39&lt;VLOOKUP($C37,$C$3:$D$15,2,FALSE)*GE$20,GE38&lt;=VLOOKUP($C37,$C$3:$D$15,2,FALSE)*GE$20),IF(GE38-GD39&lt;0,0,GE38-GD39),
IF(AND(GD39&lt;VLOOKUP($C37,$C$3:$D$15,2,FALSE)*GE$20,GE38&gt;VLOOKUP($C37,$C$3:$D$15,2,FALSE)*GE$20),VLOOKUP($C37,$C$3:$D$15,2,FALSE)*GE$20-GD39)))</f>
        <v>0</v>
      </c>
      <c r="GF37" s="763">
        <f t="shared" ref="GF37" si="1177" xml:space="preserve">
IF(GE39&gt;=VLOOKUP($C37,$C$3:$D$15,2,FALSE)*GF$20,0,
IF(AND(GE39&lt;VLOOKUP($C37,$C$3:$D$15,2,FALSE)*GF$20,GF38&lt;=VLOOKUP($C37,$C$3:$D$15,2,FALSE)*GF$20),IF(GF38-GE39&lt;0,0,GF38-GE39),
IF(AND(GE39&lt;VLOOKUP($C37,$C$3:$D$15,2,FALSE)*GF$20,GF38&gt;VLOOKUP($C37,$C$3:$D$15,2,FALSE)*GF$20),VLOOKUP($C37,$C$3:$D$15,2,FALSE)*GF$20-GE39)))</f>
        <v>0</v>
      </c>
      <c r="GG37" s="763">
        <f t="shared" ref="GG37" si="1178" xml:space="preserve">
IF(GF39&gt;=VLOOKUP($C37,$C$3:$D$15,2,FALSE)*GG$20,0,
IF(AND(GF39&lt;VLOOKUP($C37,$C$3:$D$15,2,FALSE)*GG$20,GG38&lt;=VLOOKUP($C37,$C$3:$D$15,2,FALSE)*GG$20),IF(GG38-GF39&lt;0,0,GG38-GF39),
IF(AND(GF39&lt;VLOOKUP($C37,$C$3:$D$15,2,FALSE)*GG$20,GG38&gt;VLOOKUP($C37,$C$3:$D$15,2,FALSE)*GG$20),VLOOKUP($C37,$C$3:$D$15,2,FALSE)*GG$20-GF39)))</f>
        <v>0</v>
      </c>
      <c r="GH37" s="763">
        <f t="shared" ref="GH37" si="1179" xml:space="preserve">
IF(GG39&gt;=VLOOKUP($C37,$C$3:$D$15,2,FALSE)*GH$20,0,
IF(AND(GG39&lt;VLOOKUP($C37,$C$3:$D$15,2,FALSE)*GH$20,GH38&lt;=VLOOKUP($C37,$C$3:$D$15,2,FALSE)*GH$20),IF(GH38-GG39&lt;0,0,GH38-GG39),
IF(AND(GG39&lt;VLOOKUP($C37,$C$3:$D$15,2,FALSE)*GH$20,GH38&gt;VLOOKUP($C37,$C$3:$D$15,2,FALSE)*GH$20),VLOOKUP($C37,$C$3:$D$15,2,FALSE)*GH$20-GG39)))</f>
        <v>0</v>
      </c>
      <c r="GI37" s="763">
        <f t="shared" ref="GI37" si="1180" xml:space="preserve">
IF(GH39&gt;=VLOOKUP($C37,$C$3:$D$15,2,FALSE)*GI$20,0,
IF(AND(GH39&lt;VLOOKUP($C37,$C$3:$D$15,2,FALSE)*GI$20,GI38&lt;=VLOOKUP($C37,$C$3:$D$15,2,FALSE)*GI$20),IF(GI38-GH39&lt;0,0,GI38-GH39),
IF(AND(GH39&lt;VLOOKUP($C37,$C$3:$D$15,2,FALSE)*GI$20,GI38&gt;VLOOKUP($C37,$C$3:$D$15,2,FALSE)*GI$20),VLOOKUP($C37,$C$3:$D$15,2,FALSE)*GI$20-GH39)))</f>
        <v>0</v>
      </c>
      <c r="GJ37" s="763">
        <f t="shared" ref="GJ37" si="1181" xml:space="preserve">
IF(GI39&gt;=VLOOKUP($C37,$C$3:$D$15,2,FALSE)*GJ$20,0,
IF(AND(GI39&lt;VLOOKUP($C37,$C$3:$D$15,2,FALSE)*GJ$20,GJ38&lt;=VLOOKUP($C37,$C$3:$D$15,2,FALSE)*GJ$20),IF(GJ38-GI39&lt;0,0,GJ38-GI39),
IF(AND(GI39&lt;VLOOKUP($C37,$C$3:$D$15,2,FALSE)*GJ$20,GJ38&gt;VLOOKUP($C37,$C$3:$D$15,2,FALSE)*GJ$20),VLOOKUP($C37,$C$3:$D$15,2,FALSE)*GJ$20-GI39)))</f>
        <v>0</v>
      </c>
    </row>
    <row r="38" spans="2:192" s="627" customFormat="1">
      <c r="B38" s="631"/>
      <c r="C38" s="626"/>
      <c r="D38" s="702" t="s">
        <v>1424</v>
      </c>
      <c r="E38" s="707"/>
      <c r="F38" s="654"/>
      <c r="G38" s="763">
        <f>SUMIF(防護具!$Y$30:$Y$212,G$17&amp;$C37,防護具!$Q$30:$Q$212)</f>
        <v>0</v>
      </c>
      <c r="H38" s="763">
        <f>IFERROR(
SUM(G38,SUMIF(防護具!$Y$30:$Y$212,H$17&amp;$C37,防護具!$Q$30:$Q$212))-G37,0)</f>
        <v>0</v>
      </c>
      <c r="I38" s="763">
        <f>IFERROR(
SUM(H38,SUMIF(防護具!$Y$30:$Y$212,I$17&amp;$C37,防護具!$Q$30:$Q$212))-H37,0)</f>
        <v>0</v>
      </c>
      <c r="J38" s="763">
        <f>IFERROR(
SUM(I38,SUMIF(防護具!$Y$30:$Y$212,J$17&amp;$C37,防護具!$Q$30:$Q$212))-I37,0)</f>
        <v>0</v>
      </c>
      <c r="K38" s="763">
        <f>IFERROR(
SUM(J38,SUMIF(防護具!$Y$30:$Y$212,K$17&amp;$C37,防護具!$Q$30:$Q$212))-J37,0)</f>
        <v>0</v>
      </c>
      <c r="L38" s="763">
        <f>IFERROR(
SUM(K38,SUMIF(防護具!$Y$30:$Y$212,L$17&amp;$C37,防護具!$Q$30:$Q$212))-K37,0)</f>
        <v>0</v>
      </c>
      <c r="M38" s="763">
        <f>IFERROR(
SUM(L38,SUMIF(防護具!$Y$30:$Y$212,M$17&amp;$C37,防護具!$Q$30:$Q$212))-L37,0)</f>
        <v>0</v>
      </c>
      <c r="N38" s="763">
        <f>IFERROR(
SUM(M38,SUMIF(防護具!$Y$30:$Y$212,N$17&amp;$C37,防護具!$Q$30:$Q$212))-M37,0)</f>
        <v>0</v>
      </c>
      <c r="O38" s="763">
        <f>IFERROR(
SUM(N38,SUMIF(防護具!$Y$30:$Y$212,O$17&amp;$C37,防護具!$Q$30:$Q$212))-N37,0)</f>
        <v>0</v>
      </c>
      <c r="P38" s="763">
        <f>IFERROR(
SUM(O38,SUMIF(防護具!$Y$30:$Y$212,P$17&amp;$C37,防護具!$Q$30:$Q$212))-O37,0)</f>
        <v>0</v>
      </c>
      <c r="Q38" s="763">
        <f>IFERROR(
SUM(P38,SUMIF(防護具!$Y$30:$Y$212,Q$17&amp;$C37,防護具!$Q$30:$Q$212))-P37,0)</f>
        <v>0</v>
      </c>
      <c r="R38" s="763">
        <f>IFERROR(
SUM(Q38,SUMIF(防護具!$Y$30:$Y$212,R$17&amp;$C37,防護具!$Q$30:$Q$212))-Q37,0)</f>
        <v>0</v>
      </c>
      <c r="S38" s="763">
        <f>IFERROR(
SUM(R38,SUMIF(防護具!$Y$30:$Y$212,S$17&amp;$C37,防護具!$Q$30:$Q$212))-R37,0)</f>
        <v>0</v>
      </c>
      <c r="T38" s="763">
        <f>IFERROR(
SUM(S38,SUMIF(防護具!$Y$30:$Y$212,T$17&amp;$C37,防護具!$Q$30:$Q$212))-S37,0)</f>
        <v>0</v>
      </c>
      <c r="U38" s="763">
        <f>IFERROR(
SUM(T38,SUMIF(防護具!$Y$30:$Y$212,U$17&amp;$C37,防護具!$Q$30:$Q$212))-T37,0)</f>
        <v>0</v>
      </c>
      <c r="V38" s="763">
        <f>IFERROR(
SUM(U38,SUMIF(防護具!$Y$30:$Y$212,V$17&amp;$C37,防護具!$Q$30:$Q$212))-U37,0)</f>
        <v>0</v>
      </c>
      <c r="W38" s="763">
        <f>IFERROR(
SUM(V38,SUMIF(防護具!$Y$30:$Y$212,W$17&amp;$C37,防護具!$Q$30:$Q$212))-V37,0)</f>
        <v>0</v>
      </c>
      <c r="X38" s="763">
        <f>IFERROR(
SUM(W38,SUMIF(防護具!$Y$30:$Y$212,X$17&amp;$C37,防護具!$Q$30:$Q$212))-W37,0)</f>
        <v>0</v>
      </c>
      <c r="Y38" s="763">
        <f>IFERROR(
SUM(X38,SUMIF(防護具!$Y$30:$Y$212,Y$17&amp;$C37,防護具!$Q$30:$Q$212))-X37,0)</f>
        <v>0</v>
      </c>
      <c r="Z38" s="763">
        <f>IFERROR(
SUM(Y38,SUMIF(防護具!$Y$30:$Y$212,Z$17&amp;$C37,防護具!$Q$30:$Q$212))-Y37,0)</f>
        <v>0</v>
      </c>
      <c r="AA38" s="763">
        <f>IFERROR(
SUM(Z38,SUMIF(防護具!$Y$30:$Y$212,AA$17&amp;$C37,防護具!$Q$30:$Q$212))-Z37,0)</f>
        <v>0</v>
      </c>
      <c r="AB38" s="763">
        <f>IFERROR(
SUM(AA38,SUMIF(防護具!$Y$30:$Y$212,AB$17&amp;$C37,防護具!$Q$30:$Q$212))-AA37,0)</f>
        <v>0</v>
      </c>
      <c r="AC38" s="763">
        <f>IFERROR(
SUM(AB38,SUMIF(防護具!$Y$30:$Y$212,AC$17&amp;$C37,防護具!$Q$30:$Q$212))-AB37,0)</f>
        <v>0</v>
      </c>
      <c r="AD38" s="763">
        <f>IFERROR(
SUM(AC38,SUMIF(防護具!$Y$30:$Y$212,AD$17&amp;$C37,防護具!$Q$30:$Q$212))-AC37,0)</f>
        <v>0</v>
      </c>
      <c r="AE38" s="763">
        <f>IFERROR(
SUM(AD38,SUMIF(防護具!$Y$30:$Y$212,AE$17&amp;$C37,防護具!$Q$30:$Q$212))-AD37,0)</f>
        <v>0</v>
      </c>
      <c r="AF38" s="763">
        <f>IFERROR(
SUM(AE38,SUMIF(防護具!$Y$30:$Y$212,AF$17&amp;$C37,防護具!$Q$30:$Q$212))-AE37,0)</f>
        <v>0</v>
      </c>
      <c r="AG38" s="763">
        <f>IFERROR(
SUM(AF38,SUMIF(防護具!$Y$30:$Y$212,AG$17&amp;$C37,防護具!$Q$30:$Q$212))-AF37,0)</f>
        <v>0</v>
      </c>
      <c r="AH38" s="763">
        <f>IFERROR(
SUM(AG38,SUMIF(防護具!$Y$30:$Y$212,AH$17&amp;$C37,防護具!$Q$30:$Q$212))-AG37,0)</f>
        <v>0</v>
      </c>
      <c r="AI38" s="763">
        <f>IFERROR(
SUM(AH38,SUMIF(防護具!$Y$30:$Y$212,AI$17&amp;$C37,防護具!$Q$30:$Q$212))-AH37,0)</f>
        <v>0</v>
      </c>
      <c r="AJ38" s="763">
        <f>IFERROR(
SUM(AI38,SUMIF(防護具!$Y$30:$Y$212,AJ$17&amp;$C37,防護具!$Q$30:$Q$212))-AI37,0)</f>
        <v>0</v>
      </c>
      <c r="AK38" s="763">
        <f>IFERROR(
SUM(AJ38,SUMIF(防護具!$Y$30:$Y$212,AK$17&amp;$C37,防護具!$Q$30:$Q$212))-AJ37,0)</f>
        <v>0</v>
      </c>
      <c r="AL38" s="763">
        <f>IFERROR(
SUM(AK38,SUMIF(防護具!$Y$30:$Y$212,AL$17&amp;$C37,防護具!$Q$30:$Q$212))-AK37,0)</f>
        <v>0</v>
      </c>
      <c r="AM38" s="763">
        <f>IFERROR(
SUM(AL38,SUMIF(防護具!$Y$30:$Y$212,AM$17&amp;$C37,防護具!$Q$30:$Q$212))-AL37,0)</f>
        <v>0</v>
      </c>
      <c r="AN38" s="763">
        <f>IFERROR(
SUM(AM38,SUMIF(防護具!$Y$30:$Y$212,AN$17&amp;$C37,防護具!$Q$30:$Q$212))-AM37,0)</f>
        <v>0</v>
      </c>
      <c r="AO38" s="763">
        <f>IFERROR(
SUM(AN38,SUMIF(防護具!$Y$30:$Y$212,AO$17&amp;$C37,防護具!$Q$30:$Q$212))-AN37,0)</f>
        <v>0</v>
      </c>
      <c r="AP38" s="763">
        <f>IFERROR(
SUM(AO38,SUMIF(防護具!$Y$30:$Y$212,AP$17&amp;$C37,防護具!$Q$30:$Q$212))-AO37,0)</f>
        <v>0</v>
      </c>
      <c r="AQ38" s="763">
        <f>IFERROR(
SUM(AP38,SUMIF(防護具!$Y$30:$Y$212,AQ$17&amp;$C37,防護具!$Q$30:$Q$212))-AP37,0)</f>
        <v>0</v>
      </c>
      <c r="AR38" s="763">
        <f>IFERROR(
SUM(AQ38,SUMIF(防護具!$Y$30:$Y$212,AR$17&amp;$C37,防護具!$Q$30:$Q$212))-AQ37,0)</f>
        <v>0</v>
      </c>
      <c r="AS38" s="763">
        <f>IFERROR(
SUM(AR38,SUMIF(防護具!$Y$30:$Y$212,AS$17&amp;$C37,防護具!$Q$30:$Q$212))-AR37,0)</f>
        <v>0</v>
      </c>
      <c r="AT38" s="763">
        <f>IFERROR(
SUM(AS38,SUMIF(防護具!$Y$30:$Y$212,AT$17&amp;$C37,防護具!$Q$30:$Q$212))-AS37,0)</f>
        <v>0</v>
      </c>
      <c r="AU38" s="763">
        <f>IFERROR(
SUM(AT38,SUMIF(防護具!$Y$30:$Y$212,AU$17&amp;$C37,防護具!$Q$30:$Q$212))-AT37,0)</f>
        <v>0</v>
      </c>
      <c r="AV38" s="763">
        <f>IFERROR(
SUM(AU38,SUMIF(防護具!$Y$30:$Y$212,AV$17&amp;$C37,防護具!$Q$30:$Q$212))-AU37,0)</f>
        <v>0</v>
      </c>
      <c r="AW38" s="763">
        <f>IFERROR(
SUM(AV38,SUMIF(防護具!$Y$30:$Y$212,AW$17&amp;$C37,防護具!$Q$30:$Q$212))-AV37,0)</f>
        <v>0</v>
      </c>
      <c r="AX38" s="763">
        <f>IFERROR(
SUM(AW38,SUMIF(防護具!$Y$30:$Y$212,AX$17&amp;$C37,防護具!$Q$30:$Q$212))-AW37,0)</f>
        <v>0</v>
      </c>
      <c r="AY38" s="763">
        <f>IFERROR(
SUM(AX38,SUMIF(防護具!$Y$30:$Y$212,AY$17&amp;$C37,防護具!$Q$30:$Q$212))-AX37,0)</f>
        <v>0</v>
      </c>
      <c r="AZ38" s="763">
        <f>IFERROR(
SUM(AY38,SUMIF(防護具!$Y$30:$Y$212,AZ$17&amp;$C37,防護具!$Q$30:$Q$212))-AY37,0)</f>
        <v>0</v>
      </c>
      <c r="BA38" s="763">
        <f>IFERROR(
SUM(AZ38,SUMIF(防護具!$Y$30:$Y$212,BA$17&amp;$C37,防護具!$Q$30:$Q$212))-AZ37,0)</f>
        <v>0</v>
      </c>
      <c r="BB38" s="763">
        <f>IFERROR(
SUM(BA38,SUMIF(防護具!$Y$30:$Y$212,BB$17&amp;$C37,防護具!$Q$30:$Q$212))-BA37,0)</f>
        <v>0</v>
      </c>
      <c r="BC38" s="763">
        <f>IFERROR(
SUM(BB38,SUMIF(防護具!$Y$30:$Y$212,BC$17&amp;$C37,防護具!$Q$30:$Q$212))-BB37,0)</f>
        <v>0</v>
      </c>
      <c r="BD38" s="763">
        <f>IFERROR(
SUM(BC38,SUMIF(防護具!$Y$30:$Y$212,BD$17&amp;$C37,防護具!$Q$30:$Q$212))-BC37,0)</f>
        <v>0</v>
      </c>
      <c r="BE38" s="763">
        <f>IFERROR(
SUM(BD38,SUMIF(防護具!$Y$30:$Y$212,BE$17&amp;$C37,防護具!$Q$30:$Q$212))-BD37,0)</f>
        <v>0</v>
      </c>
      <c r="BF38" s="763">
        <f>IFERROR(
SUM(BE38,SUMIF(防護具!$Y$30:$Y$212,BF$17&amp;$C37,防護具!$Q$30:$Q$212))-BE37,0)</f>
        <v>0</v>
      </c>
      <c r="BG38" s="763">
        <f>IFERROR(
SUM(BF38,SUMIF(防護具!$Y$30:$Y$212,BG$17&amp;$C37,防護具!$Q$30:$Q$212))-BF37,0)</f>
        <v>0</v>
      </c>
      <c r="BH38" s="763">
        <f>IFERROR(
SUM(BG38,SUMIF(防護具!$Y$30:$Y$212,BH$17&amp;$C37,防護具!$Q$30:$Q$212))-BG37,0)</f>
        <v>0</v>
      </c>
      <c r="BI38" s="763">
        <f>IFERROR(
SUM(BH38,SUMIF(防護具!$Y$30:$Y$212,BI$17&amp;$C37,防護具!$Q$30:$Q$212))-BH37,0)</f>
        <v>0</v>
      </c>
      <c r="BJ38" s="763">
        <f>IFERROR(
SUM(BI38,SUMIF(防護具!$Y$30:$Y$212,BJ$17&amp;$C37,防護具!$Q$30:$Q$212))-BI37,0)</f>
        <v>0</v>
      </c>
      <c r="BK38" s="763">
        <f>IFERROR(
SUM(BJ38,SUMIF(防護具!$Y$30:$Y$212,BK$17&amp;$C37,防護具!$Q$30:$Q$212))-BJ37,0)</f>
        <v>0</v>
      </c>
      <c r="BL38" s="763">
        <f>IFERROR(
SUM(BK38,SUMIF(防護具!$Y$30:$Y$212,BL$17&amp;$C37,防護具!$Q$30:$Q$212))-BK37,0)</f>
        <v>0</v>
      </c>
      <c r="BM38" s="763">
        <f>IFERROR(
SUM(BL38,SUMIF(防護具!$Y$30:$Y$212,BM$17&amp;$C37,防護具!$Q$30:$Q$212))-BL37,0)</f>
        <v>0</v>
      </c>
      <c r="BN38" s="763">
        <f>IFERROR(
SUM(BM38,SUMIF(防護具!$Y$30:$Y$212,BN$17&amp;$C37,防護具!$Q$30:$Q$212))-BM37,0)</f>
        <v>0</v>
      </c>
      <c r="BO38" s="763">
        <f>IFERROR(
SUM(BN38,SUMIF(防護具!$Y$30:$Y$212,BO$17&amp;$C37,防護具!$Q$30:$Q$212))-BN37,0)</f>
        <v>0</v>
      </c>
      <c r="BP38" s="763">
        <f>IFERROR(
SUM(BO38,SUMIF(防護具!$Y$30:$Y$212,BP$17&amp;$C37,防護具!$Q$30:$Q$212))-BO37,0)</f>
        <v>0</v>
      </c>
      <c r="BQ38" s="763">
        <f>IFERROR(
SUM(BP38,SUMIF(防護具!$Y$30:$Y$212,BQ$17&amp;$C37,防護具!$Q$30:$Q$212))-BP37,0)</f>
        <v>0</v>
      </c>
      <c r="BR38" s="763">
        <f>IFERROR(
SUM(BQ38,SUMIF(防護具!$Y$30:$Y$212,BR$17&amp;$C37,防護具!$Q$30:$Q$212))-BQ37,0)</f>
        <v>0</v>
      </c>
      <c r="BS38" s="763">
        <f>IFERROR(
SUM(BR38,SUMIF(防護具!$Y$30:$Y$212,BS$17&amp;$C37,防護具!$Q$30:$Q$212))-BR37,0)</f>
        <v>0</v>
      </c>
      <c r="BT38" s="763">
        <f>IFERROR(
SUM(BS38,SUMIF(防護具!$Y$30:$Y$212,BT$17&amp;$C37,防護具!$Q$30:$Q$212))-BS37,0)</f>
        <v>0</v>
      </c>
      <c r="BU38" s="763">
        <f>IFERROR(
SUM(BT38,SUMIF(防護具!$Y$30:$Y$212,BU$17&amp;$C37,防護具!$Q$30:$Q$212))-BT37,0)</f>
        <v>0</v>
      </c>
      <c r="BV38" s="763">
        <f>IFERROR(
SUM(BU38,SUMIF(防護具!$Y$30:$Y$212,BV$17&amp;$C37,防護具!$Q$30:$Q$212))-BU37,0)</f>
        <v>0</v>
      </c>
      <c r="BW38" s="763">
        <f>IFERROR(
SUM(BV38,SUMIF(防護具!$Y$30:$Y$212,BW$17&amp;$C37,防護具!$Q$30:$Q$212))-BV37,0)</f>
        <v>0</v>
      </c>
      <c r="BX38" s="763">
        <f>IFERROR(
SUM(BW38,SUMIF(防護具!$Y$30:$Y$212,BX$17&amp;$C37,防護具!$Q$30:$Q$212))-BW37,0)</f>
        <v>0</v>
      </c>
      <c r="BY38" s="763">
        <f>IFERROR(
SUM(BX38,SUMIF(防護具!$Y$30:$Y$212,BY$17&amp;$C37,防護具!$Q$30:$Q$212))-BX37,0)</f>
        <v>0</v>
      </c>
      <c r="BZ38" s="763">
        <f>IFERROR(
SUM(BY38,SUMIF(防護具!$Y$30:$Y$212,BZ$17&amp;$C37,防護具!$Q$30:$Q$212))-BY37,0)</f>
        <v>0</v>
      </c>
      <c r="CA38" s="763">
        <f>IFERROR(
SUM(BZ38,SUMIF(防護具!$Y$30:$Y$212,CA$17&amp;$C37,防護具!$Q$30:$Q$212))-BZ37,0)</f>
        <v>0</v>
      </c>
      <c r="CB38" s="763">
        <f>IFERROR(
SUM(CA38,SUMIF(防護具!$Y$30:$Y$212,CB$17&amp;$C37,防護具!$Q$30:$Q$212))-CA37,0)</f>
        <v>0</v>
      </c>
      <c r="CC38" s="763">
        <f>IFERROR(
SUM(CB38,SUMIF(防護具!$Y$30:$Y$212,CC$17&amp;$C37,防護具!$Q$30:$Q$212))-CB37,0)</f>
        <v>0</v>
      </c>
      <c r="CD38" s="763">
        <f>IFERROR(
SUM(CC38,SUMIF(防護具!$Y$30:$Y$212,CD$17&amp;$C37,防護具!$Q$30:$Q$212))-CC37,0)</f>
        <v>0</v>
      </c>
      <c r="CE38" s="763">
        <f>IFERROR(
SUM(CD38,SUMIF(防護具!$Y$30:$Y$212,CE$17&amp;$C37,防護具!$Q$30:$Q$212))-CD37,0)</f>
        <v>0</v>
      </c>
      <c r="CF38" s="763">
        <f>IFERROR(
SUM(CE38,SUMIF(防護具!$Y$30:$Y$212,CF$17&amp;$C37,防護具!$Q$30:$Q$212))-CE37,0)</f>
        <v>0</v>
      </c>
      <c r="CG38" s="763">
        <f>IFERROR(
SUM(CF38,SUMIF(防護具!$Y$30:$Y$212,CG$17&amp;$C37,防護具!$Q$30:$Q$212))-CF37,0)</f>
        <v>0</v>
      </c>
      <c r="CH38" s="763">
        <f>IFERROR(
SUM(CG38,SUMIF(防護具!$Y$30:$Y$212,CH$17&amp;$C37,防護具!$Q$30:$Q$212))-CG37,0)</f>
        <v>0</v>
      </c>
      <c r="CI38" s="763">
        <f>IFERROR(
SUM(CH38,SUMIF(防護具!$Y$30:$Y$212,CI$17&amp;$C37,防護具!$Q$30:$Q$212))-CH37,0)</f>
        <v>0</v>
      </c>
      <c r="CJ38" s="763">
        <f>IFERROR(
SUM(CI38,SUMIF(防護具!$Y$30:$Y$212,CJ$17&amp;$C37,防護具!$Q$30:$Q$212))-CI37,0)</f>
        <v>0</v>
      </c>
      <c r="CK38" s="763">
        <f>IFERROR(
SUM(CJ38,SUMIF(防護具!$Y$30:$Y$212,CK$17&amp;$C37,防護具!$Q$30:$Q$212))-CJ37,0)</f>
        <v>0</v>
      </c>
      <c r="CL38" s="763">
        <f>IFERROR(
SUM(CK38,SUMIF(防護具!$Y$30:$Y$212,CL$17&amp;$C37,防護具!$Q$30:$Q$212))-CK37,0)</f>
        <v>0</v>
      </c>
      <c r="CM38" s="763">
        <f>IFERROR(
SUM(CL38,SUMIF(防護具!$Y$30:$Y$212,CM$17&amp;$C37,防護具!$Q$30:$Q$212))-CL37,0)</f>
        <v>0</v>
      </c>
      <c r="CN38" s="763">
        <f>IFERROR(
SUM(CM38,SUMIF(防護具!$Y$30:$Y$212,CN$17&amp;$C37,防護具!$Q$30:$Q$212))-CM37,0)</f>
        <v>0</v>
      </c>
      <c r="CO38" s="763">
        <f>IFERROR(
SUM(CN38,SUMIF(防護具!$Y$30:$Y$212,CO$17&amp;$C37,防護具!$Q$30:$Q$212))-CN37,0)</f>
        <v>0</v>
      </c>
      <c r="CP38" s="763">
        <f>IFERROR(
SUM(CO38,SUMIF(防護具!$Y$30:$Y$212,CP$17&amp;$C37,防護具!$Q$30:$Q$212))-CO37,0)</f>
        <v>0</v>
      </c>
      <c r="CQ38" s="763">
        <f>IFERROR(
SUM(CP38,SUMIF(防護具!$Y$30:$Y$212,CQ$17&amp;$C37,防護具!$Q$30:$Q$212))-CP37,0)</f>
        <v>0</v>
      </c>
      <c r="CR38" s="763">
        <f>IFERROR(
SUM(CQ38,SUMIF(防護具!$Y$30:$Y$212,CR$17&amp;$C37,防護具!$Q$30:$Q$212))-CQ37,0)</f>
        <v>0</v>
      </c>
      <c r="CS38" s="763">
        <f>IFERROR(
SUM(CR38,SUMIF(防護具!$Y$30:$Y$212,CS$17&amp;$C37,防護具!$Q$30:$Q$212))-CR37,0)</f>
        <v>0</v>
      </c>
      <c r="CT38" s="763">
        <f>IFERROR(
SUM(CS38,SUMIF(防護具!$Y$30:$Y$212,CT$17&amp;$C37,防護具!$Q$30:$Q$212))-CS37,0)</f>
        <v>0</v>
      </c>
      <c r="CU38" s="763">
        <f>IFERROR(
SUM(CT38,SUMIF(防護具!$Y$30:$Y$212,CU$17&amp;$C37,防護具!$Q$30:$Q$212))-CT37,0)</f>
        <v>0</v>
      </c>
      <c r="CV38" s="763">
        <f>IFERROR(
SUM(CU38,SUMIF(防護具!$Y$30:$Y$212,CV$17&amp;$C37,防護具!$Q$30:$Q$212))-CU37,0)</f>
        <v>0</v>
      </c>
      <c r="CW38" s="763">
        <f>IFERROR(
SUM(CV38,SUMIF(防護具!$Y$30:$Y$212,CW$17&amp;$C37,防護具!$Q$30:$Q$212))-CV37,0)</f>
        <v>0</v>
      </c>
      <c r="CX38" s="763">
        <f>IFERROR(
SUM(CW38,SUMIF(防護具!$Y$30:$Y$212,CX$17&amp;$C37,防護具!$Q$30:$Q$212))-CW37,0)</f>
        <v>0</v>
      </c>
      <c r="CY38" s="763">
        <f>IFERROR(
SUM(CX38,SUMIF(防護具!$Y$30:$Y$212,CY$17&amp;$C37,防護具!$Q$30:$Q$212))-CX37,0)</f>
        <v>0</v>
      </c>
      <c r="CZ38" s="763">
        <f>IFERROR(
SUM(CY38,SUMIF(防護具!$Y$30:$Y$212,CZ$17&amp;$C37,防護具!$Q$30:$Q$212))-CY37,0)</f>
        <v>0</v>
      </c>
      <c r="DA38" s="763">
        <f>IFERROR(
SUM(CZ38,SUMIF(防護具!$Y$30:$Y$212,DA$17&amp;$C37,防護具!$Q$30:$Q$212))-CZ37,0)</f>
        <v>0</v>
      </c>
      <c r="DB38" s="763">
        <f>IFERROR(
SUM(DA38,SUMIF(防護具!$Y$30:$Y$212,DB$17&amp;$C37,防護具!$Q$30:$Q$212))-DA37,0)</f>
        <v>0</v>
      </c>
      <c r="DC38" s="763">
        <f>IFERROR(
SUM(DB38,SUMIF(防護具!$Y$30:$Y$212,DC$17&amp;$C37,防護具!$Q$30:$Q$212))-DB37,0)</f>
        <v>0</v>
      </c>
      <c r="DD38" s="763">
        <f>IFERROR(
SUM(DC38,SUMIF(防護具!$Y$30:$Y$212,DD$17&amp;$C37,防護具!$Q$30:$Q$212))-DC37,0)</f>
        <v>0</v>
      </c>
      <c r="DE38" s="763">
        <f>IFERROR(
SUM(DD38,SUMIF(防護具!$Y$30:$Y$212,DE$17&amp;$C37,防護具!$Q$30:$Q$212))-DD37,0)</f>
        <v>0</v>
      </c>
      <c r="DF38" s="763">
        <f>IFERROR(
SUM(DE38,SUMIF(防護具!$Y$30:$Y$212,DF$17&amp;$C37,防護具!$Q$30:$Q$212))-DE37,0)</f>
        <v>0</v>
      </c>
      <c r="DG38" s="763">
        <f>IFERROR(
SUM(DF38,SUMIF(防護具!$Y$30:$Y$212,DG$17&amp;$C37,防護具!$Q$30:$Q$212))-DF37,0)</f>
        <v>0</v>
      </c>
      <c r="DH38" s="763">
        <f>IFERROR(
SUM(DG38,SUMIF(防護具!$Y$30:$Y$212,DH$17&amp;$C37,防護具!$Q$30:$Q$212))-DG37,0)</f>
        <v>0</v>
      </c>
      <c r="DI38" s="763">
        <f>IFERROR(
SUM(DH38,SUMIF(防護具!$Y$30:$Y$212,DI$17&amp;$C37,防護具!$Q$30:$Q$212))-DH37,0)</f>
        <v>0</v>
      </c>
      <c r="DJ38" s="763">
        <f>IFERROR(
SUM(DI38,SUMIF(防護具!$Y$30:$Y$212,DJ$17&amp;$C37,防護具!$Q$30:$Q$212))-DI37,0)</f>
        <v>0</v>
      </c>
      <c r="DK38" s="763">
        <f>IFERROR(
SUM(DJ38,SUMIF(防護具!$Y$30:$Y$212,DK$17&amp;$C37,防護具!$Q$30:$Q$212))-DJ37,0)</f>
        <v>0</v>
      </c>
      <c r="DL38" s="763">
        <f>IFERROR(
SUM(DK38,SUMIF(防護具!$Y$30:$Y$212,DL$17&amp;$C37,防護具!$Q$30:$Q$212))-DK37,0)</f>
        <v>0</v>
      </c>
      <c r="DM38" s="763">
        <f>IFERROR(
SUM(DL38,SUMIF(防護具!$Y$30:$Y$212,DM$17&amp;$C37,防護具!$Q$30:$Q$212))-DL37,0)</f>
        <v>0</v>
      </c>
      <c r="DN38" s="763">
        <f>IFERROR(
SUM(DM38,SUMIF(防護具!$Y$30:$Y$212,DN$17&amp;$C37,防護具!$Q$30:$Q$212))-DM37,0)</f>
        <v>0</v>
      </c>
      <c r="DO38" s="763">
        <f>IFERROR(
SUM(DN38,SUMIF(防護具!$Y$30:$Y$212,DO$17&amp;$C37,防護具!$Q$30:$Q$212))-DN37,0)</f>
        <v>0</v>
      </c>
      <c r="DP38" s="763">
        <f>IFERROR(
SUM(DO38,SUMIF(防護具!$Y$30:$Y$212,DP$17&amp;$C37,防護具!$Q$30:$Q$212))-DO37,0)</f>
        <v>0</v>
      </c>
      <c r="DQ38" s="763">
        <f>IFERROR(
SUM(DP38,SUMIF(防護具!$Y$30:$Y$212,DQ$17&amp;$C37,防護具!$Q$30:$Q$212))-DP37,0)</f>
        <v>0</v>
      </c>
      <c r="DR38" s="763">
        <f>IFERROR(
SUM(DQ38,SUMIF(防護具!$Y$30:$Y$212,DR$17&amp;$C37,防護具!$Q$30:$Q$212))-DQ37,0)</f>
        <v>0</v>
      </c>
      <c r="DS38" s="763">
        <f>IFERROR(
SUM(DR38,SUMIF(防護具!$Y$30:$Y$212,DS$17&amp;$C37,防護具!$Q$30:$Q$212))-DR37,0)</f>
        <v>0</v>
      </c>
      <c r="DT38" s="763">
        <f>IFERROR(
SUM(DS38,SUMIF(防護具!$Y$30:$Y$212,DT$17&amp;$C37,防護具!$Q$30:$Q$212))-DS37,0)</f>
        <v>0</v>
      </c>
      <c r="DU38" s="763">
        <f>IFERROR(
SUM(DT38,SUMIF(防護具!$Y$30:$Y$212,DU$17&amp;$C37,防護具!$Q$30:$Q$212))-DT37,0)</f>
        <v>0</v>
      </c>
      <c r="DV38" s="763">
        <f>IFERROR(
SUM(DU38,SUMIF(防護具!$Y$30:$Y$212,DV$17&amp;$C37,防護具!$Q$30:$Q$212))-DU37,0)</f>
        <v>0</v>
      </c>
      <c r="DW38" s="763">
        <f>IFERROR(
SUM(DV38,SUMIF(防護具!$Y$30:$Y$212,DW$17&amp;$C37,防護具!$Q$30:$Q$212))-DV37,0)</f>
        <v>0</v>
      </c>
      <c r="DX38" s="763">
        <f>IFERROR(
SUM(DW38,SUMIF(防護具!$Y$30:$Y$212,DX$17&amp;$C37,防護具!$Q$30:$Q$212))-DW37,0)</f>
        <v>0</v>
      </c>
      <c r="DY38" s="763">
        <f>IFERROR(
SUM(DX38,SUMIF(防護具!$Y$30:$Y$212,DY$17&amp;$C37,防護具!$Q$30:$Q$212))-DX37,0)</f>
        <v>0</v>
      </c>
      <c r="DZ38" s="763">
        <f>IFERROR(
SUM(DY38,SUMIF(防護具!$Y$30:$Y$212,DZ$17&amp;$C37,防護具!$Q$30:$Q$212))-DY37,0)</f>
        <v>0</v>
      </c>
      <c r="EA38" s="763">
        <f>IFERROR(
SUM(DZ38,SUMIF(防護具!$Y$30:$Y$212,EA$17&amp;$C37,防護具!$Q$30:$Q$212))-DZ37,0)</f>
        <v>0</v>
      </c>
      <c r="EB38" s="763">
        <f>IFERROR(
SUM(EA38,SUMIF(防護具!$Y$30:$Y$212,EB$17&amp;$C37,防護具!$Q$30:$Q$212))-EA37,0)</f>
        <v>0</v>
      </c>
      <c r="EC38" s="763">
        <f>IFERROR(
SUM(EB38,SUMIF(防護具!$Y$30:$Y$212,EC$17&amp;$C37,防護具!$Q$30:$Q$212))-EB37,0)</f>
        <v>0</v>
      </c>
      <c r="ED38" s="763">
        <f>IFERROR(
SUM(EC38,SUMIF(防護具!$Y$30:$Y$212,ED$17&amp;$C37,防護具!$Q$30:$Q$212))-EC37,0)</f>
        <v>0</v>
      </c>
      <c r="EE38" s="763">
        <f>IFERROR(
SUM(ED38,SUMIF(防護具!$Y$30:$Y$212,EE$17&amp;$C37,防護具!$Q$30:$Q$212))-ED37,0)</f>
        <v>0</v>
      </c>
      <c r="EF38" s="763">
        <f>IFERROR(
SUM(EE38,SUMIF(防護具!$Y$30:$Y$212,EF$17&amp;$C37,防護具!$Q$30:$Q$212))-EE37,0)</f>
        <v>0</v>
      </c>
      <c r="EG38" s="763">
        <f>IFERROR(
SUM(EF38,SUMIF(防護具!$Y$30:$Y$212,EG$17&amp;$C37,防護具!$Q$30:$Q$212))-EF37,0)</f>
        <v>0</v>
      </c>
      <c r="EH38" s="763">
        <f>IFERROR(
SUM(EG38,SUMIF(防護具!$Y$30:$Y$212,EH$17&amp;$C37,防護具!$Q$30:$Q$212))-EG37,0)</f>
        <v>0</v>
      </c>
      <c r="EI38" s="763">
        <f>IFERROR(
SUM(EH38,SUMIF(防護具!$Y$30:$Y$212,EI$17&amp;$C37,防護具!$Q$30:$Q$212))-EH37,0)</f>
        <v>0</v>
      </c>
      <c r="EJ38" s="763">
        <f>IFERROR(
SUM(EI38,SUMIF(防護具!$Y$30:$Y$212,EJ$17&amp;$C37,防護具!$Q$30:$Q$212))-EI37,0)</f>
        <v>0</v>
      </c>
      <c r="EK38" s="763">
        <f>IFERROR(
SUM(EJ38,SUMIF(防護具!$Y$30:$Y$212,EK$17&amp;$C37,防護具!$Q$30:$Q$212))-EJ37,0)</f>
        <v>0</v>
      </c>
      <c r="EL38" s="763">
        <f>IFERROR(
SUM(EK38,SUMIF(防護具!$Y$30:$Y$212,EL$17&amp;$C37,防護具!$Q$30:$Q$212))-EK37,0)</f>
        <v>0</v>
      </c>
      <c r="EM38" s="763">
        <f>IFERROR(
SUM(EL38,SUMIF(防護具!$Y$30:$Y$212,EM$17&amp;$C37,防護具!$Q$30:$Q$212))-EL37,0)</f>
        <v>0</v>
      </c>
      <c r="EN38" s="763">
        <f>IFERROR(
SUM(EM38,SUMIF(防護具!$Y$30:$Y$212,EN$17&amp;$C37,防護具!$Q$30:$Q$212))-EM37,0)</f>
        <v>0</v>
      </c>
      <c r="EO38" s="763">
        <f>IFERROR(
SUM(EN38,SUMIF(防護具!$Y$30:$Y$212,EO$17&amp;$C37,防護具!$Q$30:$Q$212))-EN37,0)</f>
        <v>0</v>
      </c>
      <c r="EP38" s="763">
        <f>IFERROR(
SUM(EO38,SUMIF(防護具!$Y$30:$Y$212,EP$17&amp;$C37,防護具!$Q$30:$Q$212))-EO37,0)</f>
        <v>0</v>
      </c>
      <c r="EQ38" s="763">
        <f>IFERROR(
SUM(EP38,SUMIF(防護具!$Y$30:$Y$212,EQ$17&amp;$C37,防護具!$Q$30:$Q$212))-EP37,0)</f>
        <v>0</v>
      </c>
      <c r="ER38" s="763">
        <f>IFERROR(
SUM(EQ38,SUMIF(防護具!$Y$30:$Y$212,ER$17&amp;$C37,防護具!$Q$30:$Q$212))-EQ37,0)</f>
        <v>0</v>
      </c>
      <c r="ES38" s="763">
        <f>IFERROR(
SUM(ER38,SUMIF(防護具!$Y$30:$Y$212,ES$17&amp;$C37,防護具!$Q$30:$Q$212))-ER37,0)</f>
        <v>0</v>
      </c>
      <c r="ET38" s="763">
        <f>IFERROR(
SUM(ES38,SUMIF(防護具!$Y$30:$Y$212,ET$17&amp;$C37,防護具!$Q$30:$Q$212))-ES37,0)</f>
        <v>0</v>
      </c>
      <c r="EU38" s="763">
        <f>IFERROR(
SUM(ET38,SUMIF(防護具!$Y$30:$Y$212,EU$17&amp;$C37,防護具!$Q$30:$Q$212))-ET37,0)</f>
        <v>0</v>
      </c>
      <c r="EV38" s="763">
        <f>IFERROR(
SUM(EU38,SUMIF(防護具!$Y$30:$Y$212,EV$17&amp;$C37,防護具!$Q$30:$Q$212))-EU37,0)</f>
        <v>0</v>
      </c>
      <c r="EW38" s="763">
        <f>IFERROR(
SUM(EV38,SUMIF(防護具!$Y$30:$Y$212,EW$17&amp;$C37,防護具!$Q$30:$Q$212))-EV37,0)</f>
        <v>0</v>
      </c>
      <c r="EX38" s="763">
        <f>IFERROR(
SUM(EW38,SUMIF(防護具!$Y$30:$Y$212,EX$17&amp;$C37,防護具!$Q$30:$Q$212))-EW37,0)</f>
        <v>0</v>
      </c>
      <c r="EY38" s="763">
        <f>IFERROR(
SUM(EX38,SUMIF(防護具!$Y$30:$Y$212,EY$17&amp;$C37,防護具!$Q$30:$Q$212))-EX37,0)</f>
        <v>0</v>
      </c>
      <c r="EZ38" s="763">
        <f>IFERROR(
SUM(EY38,SUMIF(防護具!$Y$30:$Y$212,EZ$17&amp;$C37,防護具!$Q$30:$Q$212))-EY37,0)</f>
        <v>0</v>
      </c>
      <c r="FA38" s="763">
        <f>IFERROR(
SUM(EZ38,SUMIF(防護具!$Y$30:$Y$212,FA$17&amp;$C37,防護具!$Q$30:$Q$212))-EZ37,0)</f>
        <v>0</v>
      </c>
      <c r="FB38" s="763">
        <f>IFERROR(
SUM(FA38,SUMIF(防護具!$Y$30:$Y$212,FB$17&amp;$C37,防護具!$Q$30:$Q$212))-FA37,0)</f>
        <v>0</v>
      </c>
      <c r="FC38" s="763">
        <f>IFERROR(
SUM(FB38,SUMIF(防護具!$Y$30:$Y$212,FC$17&amp;$C37,防護具!$Q$30:$Q$212))-FB37,0)</f>
        <v>0</v>
      </c>
      <c r="FD38" s="763">
        <f>IFERROR(
SUM(FC38,SUMIF(防護具!$Y$30:$Y$212,FD$17&amp;$C37,防護具!$Q$30:$Q$212))-FC37,0)</f>
        <v>0</v>
      </c>
      <c r="FE38" s="763">
        <f>IFERROR(
SUM(FD38,SUMIF(防護具!$Y$30:$Y$212,FE$17&amp;$C37,防護具!$Q$30:$Q$212))-FD37,0)</f>
        <v>0</v>
      </c>
      <c r="FF38" s="763">
        <f>IFERROR(
SUM(FE38,SUMIF(防護具!$Y$30:$Y$212,FF$17&amp;$C37,防護具!$Q$30:$Q$212))-FE37,0)</f>
        <v>0</v>
      </c>
      <c r="FG38" s="763">
        <f>IFERROR(
SUM(FF38,SUMIF(防護具!$Y$30:$Y$212,FG$17&amp;$C37,防護具!$Q$30:$Q$212))-FF37,0)</f>
        <v>0</v>
      </c>
      <c r="FH38" s="763">
        <f>IFERROR(
SUM(FG38,SUMIF(防護具!$Y$30:$Y$212,FH$17&amp;$C37,防護具!$Q$30:$Q$212))-FG37,0)</f>
        <v>0</v>
      </c>
      <c r="FI38" s="763">
        <f>IFERROR(
SUM(FH38,SUMIF(防護具!$Y$30:$Y$212,FI$17&amp;$C37,防護具!$Q$30:$Q$212))-FH37,0)</f>
        <v>0</v>
      </c>
      <c r="FJ38" s="763">
        <f>IFERROR(
SUM(FI38,SUMIF(防護具!$Y$30:$Y$212,FJ$17&amp;$C37,防護具!$Q$30:$Q$212))-FI37,0)</f>
        <v>0</v>
      </c>
      <c r="FK38" s="763">
        <f>IFERROR(
SUM(FJ38,SUMIF(防護具!$Y$30:$Y$212,FK$17&amp;$C37,防護具!$Q$30:$Q$212))-FJ37,0)</f>
        <v>0</v>
      </c>
      <c r="FL38" s="763">
        <f>IFERROR(
SUM(FK38,SUMIF(防護具!$Y$30:$Y$212,FL$17&amp;$C37,防護具!$Q$30:$Q$212))-FK37,0)</f>
        <v>0</v>
      </c>
      <c r="FM38" s="763">
        <f>IFERROR(
SUM(FL38,SUMIF(防護具!$Y$30:$Y$212,FM$17&amp;$C37,防護具!$Q$30:$Q$212))-FL37,0)</f>
        <v>0</v>
      </c>
      <c r="FN38" s="763">
        <f>IFERROR(
SUM(FM38,SUMIF(防護具!$Y$30:$Y$212,FN$17&amp;$C37,防護具!$Q$30:$Q$212))-FM37,0)</f>
        <v>0</v>
      </c>
      <c r="FO38" s="763">
        <f>IFERROR(
SUM(FN38,SUMIF(防護具!$Y$30:$Y$212,FO$17&amp;$C37,防護具!$Q$30:$Q$212))-FN37,0)</f>
        <v>0</v>
      </c>
      <c r="FP38" s="763">
        <f>IFERROR(
SUM(FO38,SUMIF(防護具!$Y$30:$Y$212,FP$17&amp;$C37,防護具!$Q$30:$Q$212))-FO37,0)</f>
        <v>0</v>
      </c>
      <c r="FQ38" s="763">
        <f>IFERROR(
SUM(FP38,SUMIF(防護具!$Y$30:$Y$212,FQ$17&amp;$C37,防護具!$Q$30:$Q$212))-FP37,0)</f>
        <v>0</v>
      </c>
      <c r="FR38" s="763">
        <f>IFERROR(
SUM(FQ38,SUMIF(防護具!$Y$30:$Y$212,FR$17&amp;$C37,防護具!$Q$30:$Q$212))-FQ37,0)</f>
        <v>0</v>
      </c>
      <c r="FS38" s="763">
        <f>IFERROR(
SUM(FR38,SUMIF(防護具!$Y$30:$Y$212,FS$17&amp;$C37,防護具!$Q$30:$Q$212))-FR37,0)</f>
        <v>0</v>
      </c>
      <c r="FT38" s="763">
        <f>IFERROR(
SUM(FS38,SUMIF(防護具!$Y$30:$Y$212,FT$17&amp;$C37,防護具!$Q$30:$Q$212))-FS37,0)</f>
        <v>0</v>
      </c>
      <c r="FU38" s="763">
        <f>IFERROR(
SUM(FT38,SUMIF(防護具!$Y$30:$Y$212,FU$17&amp;$C37,防護具!$Q$30:$Q$212))-FT37,0)</f>
        <v>0</v>
      </c>
      <c r="FV38" s="763">
        <f>IFERROR(
SUM(FU38,SUMIF(防護具!$Y$30:$Y$212,FV$17&amp;$C37,防護具!$Q$30:$Q$212))-FU37,0)</f>
        <v>0</v>
      </c>
      <c r="FW38" s="763">
        <f>IFERROR(
SUM(FV38,SUMIF(防護具!$Y$30:$Y$212,FW$17&amp;$C37,防護具!$Q$30:$Q$212))-FV37,0)</f>
        <v>0</v>
      </c>
      <c r="FX38" s="763">
        <f>IFERROR(
SUM(FW38,SUMIF(防護具!$Y$30:$Y$212,FX$17&amp;$C37,防護具!$Q$30:$Q$212))-FW37,0)</f>
        <v>0</v>
      </c>
      <c r="FY38" s="763">
        <f>IFERROR(
SUM(FX38,SUMIF(防護具!$Y$30:$Y$212,FY$17&amp;$C37,防護具!$Q$30:$Q$212))-FX37,0)</f>
        <v>0</v>
      </c>
      <c r="FZ38" s="763">
        <f>IFERROR(
SUM(FY38,SUMIF(防護具!$Y$30:$Y$212,FZ$17&amp;$C37,防護具!$Q$30:$Q$212))-FY37,0)</f>
        <v>0</v>
      </c>
      <c r="GA38" s="763">
        <f>IFERROR(
SUM(FZ38,SUMIF(防護具!$Y$30:$Y$212,GA$17&amp;$C37,防護具!$Q$30:$Q$212))-FZ37,0)</f>
        <v>0</v>
      </c>
      <c r="GB38" s="763">
        <f>IFERROR(
SUM(GA38,SUMIF(防護具!$Y$30:$Y$212,GB$17&amp;$C37,防護具!$Q$30:$Q$212))-GA37,0)</f>
        <v>0</v>
      </c>
      <c r="GC38" s="763">
        <f>IFERROR(
SUM(GB38,SUMIF(防護具!$Y$30:$Y$212,GC$17&amp;$C37,防護具!$Q$30:$Q$212))-GB37,0)</f>
        <v>0</v>
      </c>
      <c r="GD38" s="763">
        <f>IFERROR(
SUM(GC38,SUMIF(防護具!$Y$30:$Y$212,GD$17&amp;$C37,防護具!$Q$30:$Q$212))-GC37,0)</f>
        <v>0</v>
      </c>
      <c r="GE38" s="763">
        <f>IFERROR(
SUM(GD38,SUMIF(防護具!$Y$30:$Y$212,GE$17&amp;$C37,防護具!$Q$30:$Q$212))-GD37,0)</f>
        <v>0</v>
      </c>
      <c r="GF38" s="763">
        <f>IFERROR(
SUM(GE38,SUMIF(防護具!$Y$30:$Y$212,GF$17&amp;$C37,防護具!$Q$30:$Q$212))-GE37,0)</f>
        <v>0</v>
      </c>
      <c r="GG38" s="763">
        <f>IFERROR(
SUM(GF38,SUMIF(防護具!$Y$30:$Y$212,GG$17&amp;$C37,防護具!$Q$30:$Q$212))-GF37,0)</f>
        <v>0</v>
      </c>
      <c r="GH38" s="763">
        <f>IFERROR(
SUM(GG38,SUMIF(防護具!$Y$30:$Y$212,GH$17&amp;$C37,防護具!$Q$30:$Q$212))-GG37,0)</f>
        <v>0</v>
      </c>
      <c r="GI38" s="763">
        <f>IFERROR(
SUM(GH38,SUMIF(防護具!$Y$30:$Y$212,GI$17&amp;$C37,防護具!$Q$30:$Q$212))-GH37,0)</f>
        <v>0</v>
      </c>
      <c r="GJ38" s="763">
        <f>IFERROR(
SUM(GI38,SUMIF(防護具!$Y$30:$Y$212,GJ$17&amp;$C37,防護具!$Q$30:$Q$212))-GI37,0)</f>
        <v>0</v>
      </c>
    </row>
    <row r="39" spans="2:192" s="627" customFormat="1">
      <c r="B39" s="631"/>
      <c r="C39" s="626"/>
      <c r="D39" s="702" t="s">
        <v>1425</v>
      </c>
      <c r="E39" s="707"/>
      <c r="F39" s="654"/>
      <c r="G39" s="763">
        <f xml:space="preserve">
IF(
SUM(SUMIF(防護具!$Y$13:$Y$29,G$17&amp;$C37,防護具!$Q$13:$Q$29),F39)-VLOOKUP($C37,$C$3:$D$15,2,FALSE)*F35&lt;0,0,
SUM(SUMIF(防護具!$Y$13:$Y$29,G$17&amp;$C37,防護具!$Q$13:$Q$29),F39)-VLOOKUP($C37,$C$3:$D$15,2,FALSE)*F35)</f>
        <v>0</v>
      </c>
      <c r="H39" s="763">
        <f xml:space="preserve">
IF(
SUM(SUMIF(防護具!$Y$13:$Y$29,H$17&amp;$C37,防護具!$Q$13:$Q$29),G39)-VLOOKUP($C37,$C$3:$D$15,2,FALSE)*G35&lt;0,0,
SUM(SUMIF(防護具!$Y$13:$Y$29,H$17&amp;$C37,防護具!$Q$13:$Q$29),G39)-VLOOKUP($C37,$C$3:$D$15,2,FALSE)*G35)</f>
        <v>0</v>
      </c>
      <c r="I39" s="763">
        <f xml:space="preserve">
IF(
SUM(SUMIF(防護具!$Y$13:$Y$29,I$17&amp;$C37,防護具!$Q$13:$Q$29),H39)-VLOOKUP($C37,$C$3:$D$15,2,FALSE)*H35&lt;0,0,
SUM(SUMIF(防護具!$Y$13:$Y$29,I$17&amp;$C37,防護具!$Q$13:$Q$29),H39)-VLOOKUP($C37,$C$3:$D$15,2,FALSE)*H35)</f>
        <v>0</v>
      </c>
      <c r="J39" s="763">
        <f xml:space="preserve">
IF(
SUM(SUMIF(防護具!$Y$13:$Y$29,J$17&amp;$C37,防護具!$Q$13:$Q$29),I39)-VLOOKUP($C37,$C$3:$D$15,2,FALSE)*I35&lt;0,0,
SUM(SUMIF(防護具!$Y$13:$Y$29,J$17&amp;$C37,防護具!$Q$13:$Q$29),I39)-VLOOKUP($C37,$C$3:$D$15,2,FALSE)*I35)</f>
        <v>0</v>
      </c>
      <c r="K39" s="763">
        <f xml:space="preserve">
IF(
SUM(SUMIF(防護具!$Y$13:$Y$29,K$17&amp;$C37,防護具!$Q$13:$Q$29),J39)-VLOOKUP($C37,$C$3:$D$15,2,FALSE)*J35&lt;0,0,
SUM(SUMIF(防護具!$Y$13:$Y$29,K$17&amp;$C37,防護具!$Q$13:$Q$29),J39)-VLOOKUP($C37,$C$3:$D$15,2,FALSE)*J35)</f>
        <v>0</v>
      </c>
      <c r="L39" s="763">
        <f xml:space="preserve">
IF(
SUM(SUMIF(防護具!$Y$13:$Y$29,L$17&amp;$C37,防護具!$Q$13:$Q$29),K39)-VLOOKUP($C37,$C$3:$D$15,2,FALSE)*K35&lt;0,0,
SUM(SUMIF(防護具!$Y$13:$Y$29,L$17&amp;$C37,防護具!$Q$13:$Q$29),K39)-VLOOKUP($C37,$C$3:$D$15,2,FALSE)*K35)</f>
        <v>0</v>
      </c>
      <c r="M39" s="763">
        <f xml:space="preserve">
IF(
SUM(SUMIF(防護具!$Y$13:$Y$29,M$17&amp;$C37,防護具!$Q$13:$Q$29),L39)-VLOOKUP($C37,$C$3:$D$15,2,FALSE)*L35&lt;0,0,
SUM(SUMIF(防護具!$Y$13:$Y$29,M$17&amp;$C37,防護具!$Q$13:$Q$29),L39)-VLOOKUP($C37,$C$3:$D$15,2,FALSE)*L35)</f>
        <v>0</v>
      </c>
      <c r="N39" s="763">
        <f xml:space="preserve">
IF(
SUM(SUMIF(防護具!$Y$13:$Y$29,N$17&amp;$C37,防護具!$Q$13:$Q$29),M39)-VLOOKUP($C37,$C$3:$D$15,2,FALSE)*M35&lt;0,0,
SUM(SUMIF(防護具!$Y$13:$Y$29,N$17&amp;$C37,防護具!$Q$13:$Q$29),M39)-VLOOKUP($C37,$C$3:$D$15,2,FALSE)*M35)</f>
        <v>0</v>
      </c>
      <c r="O39" s="763">
        <f xml:space="preserve">
IF(
SUM(SUMIF(防護具!$Y$13:$Y$29,O$17&amp;$C37,防護具!$Q$13:$Q$29),N39)-VLOOKUP($C37,$C$3:$D$15,2,FALSE)*N35&lt;0,0,
SUM(SUMIF(防護具!$Y$13:$Y$29,O$17&amp;$C37,防護具!$Q$13:$Q$29),N39)-VLOOKUP($C37,$C$3:$D$15,2,FALSE)*N35)</f>
        <v>0</v>
      </c>
      <c r="P39" s="763">
        <f xml:space="preserve">
IF(
SUM(SUMIF(防護具!$Y$13:$Y$29,P$17&amp;$C37,防護具!$Q$13:$Q$29),O39)-VLOOKUP($C37,$C$3:$D$15,2,FALSE)*O35&lt;0,0,
SUM(SUMIF(防護具!$Y$13:$Y$29,P$17&amp;$C37,防護具!$Q$13:$Q$29),O39)-VLOOKUP($C37,$C$3:$D$15,2,FALSE)*O35)</f>
        <v>0</v>
      </c>
      <c r="Q39" s="763">
        <f xml:space="preserve">
IF(
SUM(SUMIF(防護具!$Y$13:$Y$29,Q$17&amp;$C37,防護具!$Q$13:$Q$29),P39)-VLOOKUP($C37,$C$3:$D$15,2,FALSE)*P$20&lt;0,0,
SUM(SUMIF(防護具!$Y$13:$Y$29,Q$17&amp;$C37,防護具!$Q$13:$Q$29),P39)-VLOOKUP($C37,$C$3:$D$15,2,FALSE)*P$20)</f>
        <v>0</v>
      </c>
      <c r="R39" s="763">
        <f xml:space="preserve">
IF(
SUM(SUMIF(防護具!$Y$13:$Y$29,R$17&amp;$C37,防護具!$Q$13:$Q$29),Q39)-VLOOKUP($C37,$C$3:$D$15,2,FALSE)*Q$20&lt;0,0,
SUM(SUMIF(防護具!$Y$13:$Y$29,R$17&amp;$C37,防護具!$Q$13:$Q$29),Q39)-VLOOKUP($C37,$C$3:$D$15,2,FALSE)*Q$20)</f>
        <v>0</v>
      </c>
      <c r="S39" s="763">
        <f xml:space="preserve">
IF(
SUM(SUMIF(防護具!$Y$13:$Y$29,S$17&amp;$C37,防護具!$Q$13:$Q$29),R39)-VLOOKUP($C37,$C$3:$D$15,2,FALSE)*R$20&lt;0,0,
SUM(SUMIF(防護具!$Y$13:$Y$29,S$17&amp;$C37,防護具!$Q$13:$Q$29),R39)-VLOOKUP($C37,$C$3:$D$15,2,FALSE)*R$20)</f>
        <v>0</v>
      </c>
      <c r="T39" s="763">
        <f xml:space="preserve">
IF(
SUM(SUMIF(防護具!$Y$13:$Y$29,T$17&amp;$C37,防護具!$Q$13:$Q$29),S39)-VLOOKUP($C37,$C$3:$D$15,2,FALSE)*S$20&lt;0,0,
SUM(SUMIF(防護具!$Y$13:$Y$29,T$17&amp;$C37,防護具!$Q$13:$Q$29),S39)-VLOOKUP($C37,$C$3:$D$15,2,FALSE)*S$20)</f>
        <v>0</v>
      </c>
      <c r="U39" s="763">
        <f xml:space="preserve">
IF(
SUM(SUMIF(防護具!$Y$13:$Y$29,U$17&amp;$C37,防護具!$Q$13:$Q$29),T39)-VLOOKUP($C37,$C$3:$D$15,2,FALSE)*T$20&lt;0,0,
SUM(SUMIF(防護具!$Y$13:$Y$29,U$17&amp;$C37,防護具!$Q$13:$Q$29),T39)-VLOOKUP($C37,$C$3:$D$15,2,FALSE)*T$20)</f>
        <v>0</v>
      </c>
      <c r="V39" s="763">
        <f xml:space="preserve">
IF(
SUM(SUMIF(防護具!$Y$13:$Y$29,V$17&amp;$C37,防護具!$Q$13:$Q$29),U39)-VLOOKUP($C37,$C$3:$D$15,2,FALSE)*U$20&lt;0,0,
SUM(SUMIF(防護具!$Y$13:$Y$29,V$17&amp;$C37,防護具!$Q$13:$Q$29),U39)-VLOOKUP($C37,$C$3:$D$15,2,FALSE)*U$20)</f>
        <v>0</v>
      </c>
      <c r="W39" s="763">
        <f xml:space="preserve">
IF(
SUM(SUMIF(防護具!$Y$13:$Y$29,W$17&amp;$C37,防護具!$Q$13:$Q$29),V39)-VLOOKUP($C37,$C$3:$D$15,2,FALSE)*V$20&lt;0,0,
SUM(SUMIF(防護具!$Y$13:$Y$29,W$17&amp;$C37,防護具!$Q$13:$Q$29),V39)-VLOOKUP($C37,$C$3:$D$15,2,FALSE)*V$20)</f>
        <v>0</v>
      </c>
      <c r="X39" s="763">
        <f xml:space="preserve">
IF(
SUM(SUMIF(防護具!$Y$13:$Y$29,X$17&amp;$C37,防護具!$Q$13:$Q$29),W39)-VLOOKUP($C37,$C$3:$D$15,2,FALSE)*W$20&lt;0,0,
SUM(SUMIF(防護具!$Y$13:$Y$29,X$17&amp;$C37,防護具!$Q$13:$Q$29),W39)-VLOOKUP($C37,$C$3:$D$15,2,FALSE)*W$20)</f>
        <v>0</v>
      </c>
      <c r="Y39" s="763">
        <f xml:space="preserve">
IF(
SUM(SUMIF(防護具!$Y$13:$Y$29,Y$17&amp;$C37,防護具!$Q$13:$Q$29),X39)-VLOOKUP($C37,$C$3:$D$15,2,FALSE)*X$20&lt;0,0,
SUM(SUMIF(防護具!$Y$13:$Y$29,Y$17&amp;$C37,防護具!$Q$13:$Q$29),X39)-VLOOKUP($C37,$C$3:$D$15,2,FALSE)*X$20)</f>
        <v>0</v>
      </c>
      <c r="Z39" s="763">
        <f xml:space="preserve">
IF(
SUM(SUMIF(防護具!$Y$13:$Y$29,Z$17&amp;$C37,防護具!$Q$13:$Q$29),Y39)-VLOOKUP($C37,$C$3:$D$15,2,FALSE)*Y$20&lt;0,0,
SUM(SUMIF(防護具!$Y$13:$Y$29,Z$17&amp;$C37,防護具!$Q$13:$Q$29),Y39)-VLOOKUP($C37,$C$3:$D$15,2,FALSE)*Y$20)</f>
        <v>0</v>
      </c>
      <c r="AA39" s="763">
        <f xml:space="preserve">
IF(
SUM(SUMIF(防護具!$Y$13:$Y$29,AA$17&amp;$C37,防護具!$Q$13:$Q$29),Z39)-VLOOKUP($C37,$C$3:$D$15,2,FALSE)*Z$20&lt;0,0,
SUM(SUMIF(防護具!$Y$13:$Y$29,AA$17&amp;$C37,防護具!$Q$13:$Q$29),Z39)-VLOOKUP($C37,$C$3:$D$15,2,FALSE)*Z$20)</f>
        <v>0</v>
      </c>
      <c r="AB39" s="763">
        <f xml:space="preserve">
IF(
SUM(SUMIF(防護具!$Y$13:$Y$29,AB$17&amp;$C37,防護具!$Q$13:$Q$29),AA39)-VLOOKUP($C37,$C$3:$D$15,2,FALSE)*AA$20&lt;0,0,
SUM(SUMIF(防護具!$Y$13:$Y$29,AB$17&amp;$C37,防護具!$Q$13:$Q$29),AA39)-VLOOKUP($C37,$C$3:$D$15,2,FALSE)*AA$20)</f>
        <v>0</v>
      </c>
      <c r="AC39" s="763">
        <f xml:space="preserve">
IF(
SUM(SUMIF(防護具!$Y$13:$Y$29,AC$17&amp;$C37,防護具!$Q$13:$Q$29),AB39)-VLOOKUP($C37,$C$3:$D$15,2,FALSE)*AB$20&lt;0,0,
SUM(SUMIF(防護具!$Y$13:$Y$29,AC$17&amp;$C37,防護具!$Q$13:$Q$29),AB39)-VLOOKUP($C37,$C$3:$D$15,2,FALSE)*AB$20)</f>
        <v>0</v>
      </c>
      <c r="AD39" s="763">
        <f xml:space="preserve">
IF(
SUM(SUMIF(防護具!$Y$13:$Y$29,AD$17&amp;$C37,防護具!$Q$13:$Q$29),AC39)-VLOOKUP($C37,$C$3:$D$15,2,FALSE)*AC$20&lt;0,0,
SUM(SUMIF(防護具!$Y$13:$Y$29,AD$17&amp;$C37,防護具!$Q$13:$Q$29),AC39)-VLOOKUP($C37,$C$3:$D$15,2,FALSE)*AC$20)</f>
        <v>0</v>
      </c>
      <c r="AE39" s="763">
        <f xml:space="preserve">
IF(
SUM(SUMIF(防護具!$Y$13:$Y$29,AE$17&amp;$C37,防護具!$Q$13:$Q$29),AD39)-VLOOKUP($C37,$C$3:$D$15,2,FALSE)*AD$20&lt;0,0,
SUM(SUMIF(防護具!$Y$13:$Y$29,AE$17&amp;$C37,防護具!$Q$13:$Q$29),AD39)-VLOOKUP($C37,$C$3:$D$15,2,FALSE)*AD$20)</f>
        <v>0</v>
      </c>
      <c r="AF39" s="763">
        <f xml:space="preserve">
IF(
SUM(SUMIF(防護具!$Y$13:$Y$29,AF$17&amp;$C37,防護具!$Q$13:$Q$29),AE39)-VLOOKUP($C37,$C$3:$D$15,2,FALSE)*AE$20&lt;0,0,
SUM(SUMIF(防護具!$Y$13:$Y$29,AF$17&amp;$C37,防護具!$Q$13:$Q$29),AE39)-VLOOKUP($C37,$C$3:$D$15,2,FALSE)*AE$20)</f>
        <v>0</v>
      </c>
      <c r="AG39" s="763">
        <f xml:space="preserve">
IF(
SUM(SUMIF(防護具!$Y$13:$Y$29,AG$17&amp;$C37,防護具!$Q$13:$Q$29),AF39)-VLOOKUP($C37,$C$3:$D$15,2,FALSE)*AF$20&lt;0,0,
SUM(SUMIF(防護具!$Y$13:$Y$29,AG$17&amp;$C37,防護具!$Q$13:$Q$29),AF39)-VLOOKUP($C37,$C$3:$D$15,2,FALSE)*AF$20)</f>
        <v>0</v>
      </c>
      <c r="AH39" s="763">
        <f xml:space="preserve">
IF(
SUM(SUMIF(防護具!$Y$13:$Y$29,AH$17&amp;$C37,防護具!$Q$13:$Q$29),AG39)-VLOOKUP($C37,$C$3:$D$15,2,FALSE)*AG$20&lt;0,0,
SUM(SUMIF(防護具!$Y$13:$Y$29,AH$17&amp;$C37,防護具!$Q$13:$Q$29),AG39)-VLOOKUP($C37,$C$3:$D$15,2,FALSE)*AG$20)</f>
        <v>0</v>
      </c>
      <c r="AI39" s="763">
        <f xml:space="preserve">
IF(
SUM(SUMIF(防護具!$Y$13:$Y$29,AI$17&amp;$C37,防護具!$Q$13:$Q$29),AH39)-VLOOKUP($C37,$C$3:$D$15,2,FALSE)*AH$20&lt;0,0,
SUM(SUMIF(防護具!$Y$13:$Y$29,AI$17&amp;$C37,防護具!$Q$13:$Q$29),AH39)-VLOOKUP($C37,$C$3:$D$15,2,FALSE)*AH$20)</f>
        <v>0</v>
      </c>
      <c r="AJ39" s="763">
        <f xml:space="preserve">
IF(
SUM(SUMIF(防護具!$Y$13:$Y$29,AJ$17&amp;$C37,防護具!$Q$13:$Q$29),AI39)-VLOOKUP($C37,$C$3:$D$15,2,FALSE)*AI$20&lt;0,0,
SUM(SUMIF(防護具!$Y$13:$Y$29,AJ$17&amp;$C37,防護具!$Q$13:$Q$29),AI39)-VLOOKUP($C37,$C$3:$D$15,2,FALSE)*AI$20)</f>
        <v>0</v>
      </c>
      <c r="AK39" s="763">
        <f xml:space="preserve">
IF(
SUM(SUMIF(防護具!$Y$13:$Y$29,AK$17&amp;$C37,防護具!$Q$13:$Q$29),AJ39)-VLOOKUP($C37,$C$3:$D$15,2,FALSE)*AJ$20&lt;0,0,
SUM(SUMIF(防護具!$Y$13:$Y$29,AK$17&amp;$C37,防護具!$Q$13:$Q$29),AJ39)-VLOOKUP($C37,$C$3:$D$15,2,FALSE)*AJ$20)</f>
        <v>0</v>
      </c>
      <c r="AL39" s="763">
        <f xml:space="preserve">
IF(
SUM(SUMIF(防護具!$Y$13:$Y$29,AL$17&amp;$C37,防護具!$Q$13:$Q$29),AK39)-VLOOKUP($C37,$C$3:$D$15,2,FALSE)*AK$20&lt;0,0,
SUM(SUMIF(防護具!$Y$13:$Y$29,AL$17&amp;$C37,防護具!$Q$13:$Q$29),AK39)-VLOOKUP($C37,$C$3:$D$15,2,FALSE)*AK$20)</f>
        <v>0</v>
      </c>
      <c r="AM39" s="763">
        <f xml:space="preserve">
IF(
SUM(SUMIF(防護具!$Y$13:$Y$29,AM$17&amp;$C37,防護具!$Q$13:$Q$29),AL39)-VLOOKUP($C37,$C$3:$D$15,2,FALSE)*AL$20&lt;0,0,
SUM(SUMIF(防護具!$Y$13:$Y$29,AM$17&amp;$C37,防護具!$Q$13:$Q$29),AL39)-VLOOKUP($C37,$C$3:$D$15,2,FALSE)*AL$20)</f>
        <v>0</v>
      </c>
      <c r="AN39" s="763">
        <f xml:space="preserve">
IF(
SUM(SUMIF(防護具!$Y$13:$Y$29,AN$17&amp;$C37,防護具!$Q$13:$Q$29),AM39)-VLOOKUP($C37,$C$3:$D$15,2,FALSE)*AM$20&lt;0,0,
SUM(SUMIF(防護具!$Y$13:$Y$29,AN$17&amp;$C37,防護具!$Q$13:$Q$29),AM39)-VLOOKUP($C37,$C$3:$D$15,2,FALSE)*AM$20)</f>
        <v>0</v>
      </c>
      <c r="AO39" s="763">
        <f xml:space="preserve">
IF(
SUM(SUMIF(防護具!$Y$13:$Y$29,AO$17&amp;$C37,防護具!$Q$13:$Q$29),AN39)-VLOOKUP($C37,$C$3:$D$15,2,FALSE)*AN$20&lt;0,0,
SUM(SUMIF(防護具!$Y$13:$Y$29,AO$17&amp;$C37,防護具!$Q$13:$Q$29),AN39)-VLOOKUP($C37,$C$3:$D$15,2,FALSE)*AN$20)</f>
        <v>0</v>
      </c>
      <c r="AP39" s="763">
        <f xml:space="preserve">
IF(
SUM(SUMIF(防護具!$Y$13:$Y$29,AP$17&amp;$C37,防護具!$Q$13:$Q$29),AO39)-VLOOKUP($C37,$C$3:$D$15,2,FALSE)*AO$20&lt;0,0,
SUM(SUMIF(防護具!$Y$13:$Y$29,AP$17&amp;$C37,防護具!$Q$13:$Q$29),AO39)-VLOOKUP($C37,$C$3:$D$15,2,FALSE)*AO$20)</f>
        <v>0</v>
      </c>
      <c r="AQ39" s="763">
        <f xml:space="preserve">
IF(
SUM(SUMIF(防護具!$Y$13:$Y$29,AQ$17&amp;$C37,防護具!$Q$13:$Q$29),AP39)-VLOOKUP($C37,$C$3:$D$15,2,FALSE)*AP$20&lt;0,0,
SUM(SUMIF(防護具!$Y$13:$Y$29,AQ$17&amp;$C37,防護具!$Q$13:$Q$29),AP39)-VLOOKUP($C37,$C$3:$D$15,2,FALSE)*AP$20)</f>
        <v>0</v>
      </c>
      <c r="AR39" s="763">
        <f xml:space="preserve">
IF(
SUM(SUMIF(防護具!$Y$13:$Y$29,AR$17&amp;$C37,防護具!$Q$13:$Q$29),AQ39)-VLOOKUP($C37,$C$3:$D$15,2,FALSE)*AQ$20&lt;0,0,
SUM(SUMIF(防護具!$Y$13:$Y$29,AR$17&amp;$C37,防護具!$Q$13:$Q$29),AQ39)-VLOOKUP($C37,$C$3:$D$15,2,FALSE)*AQ$20)</f>
        <v>0</v>
      </c>
      <c r="AS39" s="763">
        <f xml:space="preserve">
IF(
SUM(SUMIF(防護具!$Y$13:$Y$29,AS$17&amp;$C37,防護具!$Q$13:$Q$29),AR39)-VLOOKUP($C37,$C$3:$D$15,2,FALSE)*AR$20&lt;0,0,
SUM(SUMIF(防護具!$Y$13:$Y$29,AS$17&amp;$C37,防護具!$Q$13:$Q$29),AR39)-VLOOKUP($C37,$C$3:$D$15,2,FALSE)*AR$20)</f>
        <v>0</v>
      </c>
      <c r="AT39" s="763">
        <f xml:space="preserve">
IF(
SUM(SUMIF(防護具!$Y$13:$Y$29,AT$17&amp;$C37,防護具!$Q$13:$Q$29),AS39)-VLOOKUP($C37,$C$3:$D$15,2,FALSE)*AS$20&lt;0,0,
SUM(SUMIF(防護具!$Y$13:$Y$29,AT$17&amp;$C37,防護具!$Q$13:$Q$29),AS39)-VLOOKUP($C37,$C$3:$D$15,2,FALSE)*AS$20)</f>
        <v>0</v>
      </c>
      <c r="AU39" s="763">
        <f xml:space="preserve">
IF(
SUM(SUMIF(防護具!$Y$13:$Y$29,AU$17&amp;$C37,防護具!$Q$13:$Q$29),AT39)-VLOOKUP($C37,$C$3:$D$15,2,FALSE)*AT$20&lt;0,0,
SUM(SUMIF(防護具!$Y$13:$Y$29,AU$17&amp;$C37,防護具!$Q$13:$Q$29),AT39)-VLOOKUP($C37,$C$3:$D$15,2,FALSE)*AT$20)</f>
        <v>0</v>
      </c>
      <c r="AV39" s="763">
        <f xml:space="preserve">
IF(
SUM(SUMIF(防護具!$Y$13:$Y$29,AV$17&amp;$C37,防護具!$Q$13:$Q$29),AU39)-VLOOKUP($C37,$C$3:$D$15,2,FALSE)*AU$20&lt;0,0,
SUM(SUMIF(防護具!$Y$13:$Y$29,AV$17&amp;$C37,防護具!$Q$13:$Q$29),AU39)-VLOOKUP($C37,$C$3:$D$15,2,FALSE)*AU$20)</f>
        <v>0</v>
      </c>
      <c r="AW39" s="763">
        <f xml:space="preserve">
IF(
SUM(SUMIF(防護具!$Y$13:$Y$29,AW$17&amp;$C37,防護具!$Q$13:$Q$29),AV39)-VLOOKUP($C37,$C$3:$D$15,2,FALSE)*AV$20&lt;0,0,
SUM(SUMIF(防護具!$Y$13:$Y$29,AW$17&amp;$C37,防護具!$Q$13:$Q$29),AV39)-VLOOKUP($C37,$C$3:$D$15,2,FALSE)*AV$20)</f>
        <v>0</v>
      </c>
      <c r="AX39" s="763">
        <f xml:space="preserve">
IF(
SUM(SUMIF(防護具!$Y$13:$Y$29,AX$17&amp;$C37,防護具!$Q$13:$Q$29),AW39)-VLOOKUP($C37,$C$3:$D$15,2,FALSE)*AW$20&lt;0,0,
SUM(SUMIF(防護具!$Y$13:$Y$29,AX$17&amp;$C37,防護具!$Q$13:$Q$29),AW39)-VLOOKUP($C37,$C$3:$D$15,2,FALSE)*AW$20)</f>
        <v>0</v>
      </c>
      <c r="AY39" s="763">
        <f xml:space="preserve">
IF(
SUM(SUMIF(防護具!$Y$13:$Y$29,AY$17&amp;$C37,防護具!$Q$13:$Q$29),AX39)-VLOOKUP($C37,$C$3:$D$15,2,FALSE)*AX$20&lt;0,0,
SUM(SUMIF(防護具!$Y$13:$Y$29,AY$17&amp;$C37,防護具!$Q$13:$Q$29),AX39)-VLOOKUP($C37,$C$3:$D$15,2,FALSE)*AX$20)</f>
        <v>0</v>
      </c>
      <c r="AZ39" s="763">
        <f xml:space="preserve">
IF(
SUM(SUMIF(防護具!$Y$13:$Y$29,AZ$17&amp;$C37,防護具!$Q$13:$Q$29),AY39)-VLOOKUP($C37,$C$3:$D$15,2,FALSE)*AY$20&lt;0,0,
SUM(SUMIF(防護具!$Y$13:$Y$29,AZ$17&amp;$C37,防護具!$Q$13:$Q$29),AY39)-VLOOKUP($C37,$C$3:$D$15,2,FALSE)*AY$20)</f>
        <v>0</v>
      </c>
      <c r="BA39" s="763">
        <f xml:space="preserve">
IF(
SUM(SUMIF(防護具!$Y$13:$Y$29,BA$17&amp;$C37,防護具!$Q$13:$Q$29),AZ39)-VLOOKUP($C37,$C$3:$D$15,2,FALSE)*AZ$20&lt;0,0,
SUM(SUMIF(防護具!$Y$13:$Y$29,BA$17&amp;$C37,防護具!$Q$13:$Q$29),AZ39)-VLOOKUP($C37,$C$3:$D$15,2,FALSE)*AZ$20)</f>
        <v>0</v>
      </c>
      <c r="BB39" s="763">
        <f xml:space="preserve">
IF(
SUM(SUMIF(防護具!$Y$13:$Y$29,BB$17&amp;$C37,防護具!$Q$13:$Q$29),BA39)-VLOOKUP($C37,$C$3:$D$15,2,FALSE)*BA$20&lt;0,0,
SUM(SUMIF(防護具!$Y$13:$Y$29,BB$17&amp;$C37,防護具!$Q$13:$Q$29),BA39)-VLOOKUP($C37,$C$3:$D$15,2,FALSE)*BA$20)</f>
        <v>0</v>
      </c>
      <c r="BC39" s="763">
        <f xml:space="preserve">
IF(
SUM(SUMIF(防護具!$Y$13:$Y$29,BC$17&amp;$C37,防護具!$Q$13:$Q$29),BB39)-VLOOKUP($C37,$C$3:$D$15,2,FALSE)*BB$20&lt;0,0,
SUM(SUMIF(防護具!$Y$13:$Y$29,BC$17&amp;$C37,防護具!$Q$13:$Q$29),BB39)-VLOOKUP($C37,$C$3:$D$15,2,FALSE)*BB$20)</f>
        <v>0</v>
      </c>
      <c r="BD39" s="763">
        <f xml:space="preserve">
IF(
SUM(SUMIF(防護具!$Y$13:$Y$29,BD$17&amp;$C37,防護具!$Q$13:$Q$29),BC39)-VLOOKUP($C37,$C$3:$D$15,2,FALSE)*BC$20&lt;0,0,
SUM(SUMIF(防護具!$Y$13:$Y$29,BD$17&amp;$C37,防護具!$Q$13:$Q$29),BC39)-VLOOKUP($C37,$C$3:$D$15,2,FALSE)*BC$20)</f>
        <v>0</v>
      </c>
      <c r="BE39" s="763">
        <f xml:space="preserve">
IF(
SUM(SUMIF(防護具!$Y$13:$Y$29,BE$17&amp;$C37,防護具!$Q$13:$Q$29),BD39)-VLOOKUP($C37,$C$3:$D$15,2,FALSE)*BD$20&lt;0,0,
SUM(SUMIF(防護具!$Y$13:$Y$29,BE$17&amp;$C37,防護具!$Q$13:$Q$29),BD39)-VLOOKUP($C37,$C$3:$D$15,2,FALSE)*BD$20)</f>
        <v>0</v>
      </c>
      <c r="BF39" s="763">
        <f xml:space="preserve">
IF(
SUM(SUMIF(防護具!$Y$13:$Y$29,BF$17&amp;$C37,防護具!$Q$13:$Q$29),BE39)-VLOOKUP($C37,$C$3:$D$15,2,FALSE)*BE$20&lt;0,0,
SUM(SUMIF(防護具!$Y$13:$Y$29,BF$17&amp;$C37,防護具!$Q$13:$Q$29),BE39)-VLOOKUP($C37,$C$3:$D$15,2,FALSE)*BE$20)</f>
        <v>0</v>
      </c>
      <c r="BG39" s="763">
        <f xml:space="preserve">
IF(
SUM(SUMIF(防護具!$Y$13:$Y$29,BG$17&amp;$C37,防護具!$Q$13:$Q$29),BF39)-VLOOKUP($C37,$C$3:$D$15,2,FALSE)*BF$20&lt;0,0,
SUM(SUMIF(防護具!$Y$13:$Y$29,BG$17&amp;$C37,防護具!$Q$13:$Q$29),BF39)-VLOOKUP($C37,$C$3:$D$15,2,FALSE)*BF$20)</f>
        <v>0</v>
      </c>
      <c r="BH39" s="763">
        <f xml:space="preserve">
IF(
SUM(SUMIF(防護具!$Y$13:$Y$29,BH$17&amp;$C37,防護具!$Q$13:$Q$29),BG39)-VLOOKUP($C37,$C$3:$D$15,2,FALSE)*BG$20&lt;0,0,
SUM(SUMIF(防護具!$Y$13:$Y$29,BH$17&amp;$C37,防護具!$Q$13:$Q$29),BG39)-VLOOKUP($C37,$C$3:$D$15,2,FALSE)*BG$20)</f>
        <v>0</v>
      </c>
      <c r="BI39" s="763">
        <f xml:space="preserve">
IF(
SUM(SUMIF(防護具!$Y$13:$Y$29,BI$17&amp;$C37,防護具!$Q$13:$Q$29),BH39)-VLOOKUP($C37,$C$3:$D$15,2,FALSE)*BH$20&lt;0,0,
SUM(SUMIF(防護具!$Y$13:$Y$29,BI$17&amp;$C37,防護具!$Q$13:$Q$29),BH39)-VLOOKUP($C37,$C$3:$D$15,2,FALSE)*BH$20)</f>
        <v>0</v>
      </c>
      <c r="BJ39" s="763">
        <f xml:space="preserve">
IF(
SUM(SUMIF(防護具!$Y$13:$Y$29,BJ$17&amp;$C37,防護具!$Q$13:$Q$29),BI39)-VLOOKUP($C37,$C$3:$D$15,2,FALSE)*BI$20&lt;0,0,
SUM(SUMIF(防護具!$Y$13:$Y$29,BJ$17&amp;$C37,防護具!$Q$13:$Q$29),BI39)-VLOOKUP($C37,$C$3:$D$15,2,FALSE)*BI$20)</f>
        <v>0</v>
      </c>
      <c r="BK39" s="763">
        <f xml:space="preserve">
IF(
SUM(SUMIF(防護具!$Y$13:$Y$29,BK$17&amp;$C37,防護具!$Q$13:$Q$29),BJ39)-VLOOKUP($C37,$C$3:$D$15,2,FALSE)*BJ$20&lt;0,0,
SUM(SUMIF(防護具!$Y$13:$Y$29,BK$17&amp;$C37,防護具!$Q$13:$Q$29),BJ39)-VLOOKUP($C37,$C$3:$D$15,2,FALSE)*BJ$20)</f>
        <v>0</v>
      </c>
      <c r="BL39" s="763">
        <f xml:space="preserve">
IF(
SUM(SUMIF(防護具!$Y$13:$Y$29,BL$17&amp;$C37,防護具!$Q$13:$Q$29),BK39)-VLOOKUP($C37,$C$3:$D$15,2,FALSE)*BK$20&lt;0,0,
SUM(SUMIF(防護具!$Y$13:$Y$29,BL$17&amp;$C37,防護具!$Q$13:$Q$29),BK39)-VLOOKUP($C37,$C$3:$D$15,2,FALSE)*BK$20)</f>
        <v>0</v>
      </c>
      <c r="BM39" s="763">
        <f xml:space="preserve">
IF(
SUM(SUMIF(防護具!$Y$13:$Y$29,BM$17&amp;$C37,防護具!$Q$13:$Q$29),BL39)-VLOOKUP($C37,$C$3:$D$15,2,FALSE)*BL$20&lt;0,0,
SUM(SUMIF(防護具!$Y$13:$Y$29,BM$17&amp;$C37,防護具!$Q$13:$Q$29),BL39)-VLOOKUP($C37,$C$3:$D$15,2,FALSE)*BL$20)</f>
        <v>0</v>
      </c>
      <c r="BN39" s="763">
        <f xml:space="preserve">
IF(
SUM(SUMIF(防護具!$Y$13:$Y$29,BN$17&amp;$C37,防護具!$Q$13:$Q$29),BM39)-VLOOKUP($C37,$C$3:$D$15,2,FALSE)*BM$20&lt;0,0,
SUM(SUMIF(防護具!$Y$13:$Y$29,BN$17&amp;$C37,防護具!$Q$13:$Q$29),BM39)-VLOOKUP($C37,$C$3:$D$15,2,FALSE)*BM$20)</f>
        <v>0</v>
      </c>
      <c r="BO39" s="763">
        <f xml:space="preserve">
IF(
SUM(SUMIF(防護具!$Y$13:$Y$29,BO$17&amp;$C37,防護具!$Q$13:$Q$29),BN39)-VLOOKUP($C37,$C$3:$D$15,2,FALSE)*BN$20&lt;0,0,
SUM(SUMIF(防護具!$Y$13:$Y$29,BO$17&amp;$C37,防護具!$Q$13:$Q$29),BN39)-VLOOKUP($C37,$C$3:$D$15,2,FALSE)*BN$20)</f>
        <v>0</v>
      </c>
      <c r="BP39" s="763">
        <f xml:space="preserve">
IF(
SUM(SUMIF(防護具!$Y$13:$Y$29,BP$17&amp;$C37,防護具!$Q$13:$Q$29),BO39)-VLOOKUP($C37,$C$3:$D$15,2,FALSE)*BO$20&lt;0,0,
SUM(SUMIF(防護具!$Y$13:$Y$29,BP$17&amp;$C37,防護具!$Q$13:$Q$29),BO39)-VLOOKUP($C37,$C$3:$D$15,2,FALSE)*BO$20)</f>
        <v>0</v>
      </c>
      <c r="BQ39" s="763">
        <f xml:space="preserve">
IF(
SUM(SUMIF(防護具!$Y$13:$Y$29,BQ$17&amp;$C37,防護具!$Q$13:$Q$29),BP39)-VLOOKUP($C37,$C$3:$D$15,2,FALSE)*BP$20&lt;0,0,
SUM(SUMIF(防護具!$Y$13:$Y$29,BQ$17&amp;$C37,防護具!$Q$13:$Q$29),BP39)-VLOOKUP($C37,$C$3:$D$15,2,FALSE)*BP$20)</f>
        <v>0</v>
      </c>
      <c r="BR39" s="763">
        <f xml:space="preserve">
IF(
SUM(SUMIF(防護具!$Y$13:$Y$29,BR$17&amp;$C37,防護具!$Q$13:$Q$29),BQ39)-VLOOKUP($C37,$C$3:$D$15,2,FALSE)*BQ$20&lt;0,0,
SUM(SUMIF(防護具!$Y$13:$Y$29,BR$17&amp;$C37,防護具!$Q$13:$Q$29),BQ39)-VLOOKUP($C37,$C$3:$D$15,2,FALSE)*BQ$20)</f>
        <v>0</v>
      </c>
      <c r="BS39" s="763">
        <f xml:space="preserve">
IF(
SUM(SUMIF(防護具!$Y$13:$Y$29,BS$17&amp;$C37,防護具!$Q$13:$Q$29),BR39)-VLOOKUP($C37,$C$3:$D$15,2,FALSE)*BR$20&lt;0,0,
SUM(SUMIF(防護具!$Y$13:$Y$29,BS$17&amp;$C37,防護具!$Q$13:$Q$29),BR39)-VLOOKUP($C37,$C$3:$D$15,2,FALSE)*BR$20)</f>
        <v>0</v>
      </c>
      <c r="BT39" s="763">
        <f xml:space="preserve">
IF(
SUM(SUMIF(防護具!$Y$13:$Y$29,BT$17&amp;$C37,防護具!$Q$13:$Q$29),BS39)-VLOOKUP($C37,$C$3:$D$15,2,FALSE)*BS$20&lt;0,0,
SUM(SUMIF(防護具!$Y$13:$Y$29,BT$17&amp;$C37,防護具!$Q$13:$Q$29),BS39)-VLOOKUP($C37,$C$3:$D$15,2,FALSE)*BS$20)</f>
        <v>0</v>
      </c>
      <c r="BU39" s="763">
        <f xml:space="preserve">
IF(
SUM(SUMIF(防護具!$Y$13:$Y$29,BU$17&amp;$C37,防護具!$Q$13:$Q$29),BT39)-VLOOKUP($C37,$C$3:$D$15,2,FALSE)*BT$20&lt;0,0,
SUM(SUMIF(防護具!$Y$13:$Y$29,BU$17&amp;$C37,防護具!$Q$13:$Q$29),BT39)-VLOOKUP($C37,$C$3:$D$15,2,FALSE)*BT$20)</f>
        <v>0</v>
      </c>
      <c r="BV39" s="763">
        <f xml:space="preserve">
IF(
SUM(SUMIF(防護具!$Y$13:$Y$29,BV$17&amp;$C37,防護具!$Q$13:$Q$29),BU39)-VLOOKUP($C37,$C$3:$D$15,2,FALSE)*BU$20&lt;0,0,
SUM(SUMIF(防護具!$Y$13:$Y$29,BV$17&amp;$C37,防護具!$Q$13:$Q$29),BU39)-VLOOKUP($C37,$C$3:$D$15,2,FALSE)*BU$20)</f>
        <v>0</v>
      </c>
      <c r="BW39" s="763">
        <f xml:space="preserve">
IF(
SUM(SUMIF(防護具!$Y$13:$Y$29,BW$17&amp;$C37,防護具!$Q$13:$Q$29),BV39)-VLOOKUP($C37,$C$3:$D$15,2,FALSE)*BV$20&lt;0,0,
SUM(SUMIF(防護具!$Y$13:$Y$29,BW$17&amp;$C37,防護具!$Q$13:$Q$29),BV39)-VLOOKUP($C37,$C$3:$D$15,2,FALSE)*BV$20)</f>
        <v>0</v>
      </c>
      <c r="BX39" s="763">
        <f xml:space="preserve">
IF(
SUM(SUMIF(防護具!$Y$13:$Y$29,BX$17&amp;$C37,防護具!$Q$13:$Q$29),BW39)-VLOOKUP($C37,$C$3:$D$15,2,FALSE)*BW$20&lt;0,0,
SUM(SUMIF(防護具!$Y$13:$Y$29,BX$17&amp;$C37,防護具!$Q$13:$Q$29),BW39)-VLOOKUP($C37,$C$3:$D$15,2,FALSE)*BW$20)</f>
        <v>0</v>
      </c>
      <c r="BY39" s="763">
        <f xml:space="preserve">
IF(
SUM(SUMIF(防護具!$Y$13:$Y$29,BY$17&amp;$C37,防護具!$Q$13:$Q$29),BX39)-VLOOKUP($C37,$C$3:$D$15,2,FALSE)*BX$20&lt;0,0,
SUM(SUMIF(防護具!$Y$13:$Y$29,BY$17&amp;$C37,防護具!$Q$13:$Q$29),BX39)-VLOOKUP($C37,$C$3:$D$15,2,FALSE)*BX$20)</f>
        <v>0</v>
      </c>
      <c r="BZ39" s="763">
        <f xml:space="preserve">
IF(
SUM(SUMIF(防護具!$Y$13:$Y$29,BZ$17&amp;$C37,防護具!$Q$13:$Q$29),BY39)-VLOOKUP($C37,$C$3:$D$15,2,FALSE)*BY$20&lt;0,0,
SUM(SUMIF(防護具!$Y$13:$Y$29,BZ$17&amp;$C37,防護具!$Q$13:$Q$29),BY39)-VLOOKUP($C37,$C$3:$D$15,2,FALSE)*BY$20)</f>
        <v>0</v>
      </c>
      <c r="CA39" s="763">
        <f xml:space="preserve">
IF(
SUM(SUMIF(防護具!$Y$13:$Y$29,CA$17&amp;$C37,防護具!$Q$13:$Q$29),BZ39)-VLOOKUP($C37,$C$3:$D$15,2,FALSE)*BZ$20&lt;0,0,
SUM(SUMIF(防護具!$Y$13:$Y$29,CA$17&amp;$C37,防護具!$Q$13:$Q$29),BZ39)-VLOOKUP($C37,$C$3:$D$15,2,FALSE)*BZ$20)</f>
        <v>0</v>
      </c>
      <c r="CB39" s="763">
        <f xml:space="preserve">
IF(
SUM(SUMIF(防護具!$Y$13:$Y$29,CB$17&amp;$C37,防護具!$Q$13:$Q$29),CA39)-VLOOKUP($C37,$C$3:$D$15,2,FALSE)*CA$20&lt;0,0,
SUM(SUMIF(防護具!$Y$13:$Y$29,CB$17&amp;$C37,防護具!$Q$13:$Q$29),CA39)-VLOOKUP($C37,$C$3:$D$15,2,FALSE)*CA$20)</f>
        <v>0</v>
      </c>
      <c r="CC39" s="763">
        <f xml:space="preserve">
IF(
SUM(SUMIF(防護具!$Y$13:$Y$29,CC$17&amp;$C37,防護具!$Q$13:$Q$29),CB39)-VLOOKUP($C37,$C$3:$D$15,2,FALSE)*CB$20&lt;0,0,
SUM(SUMIF(防護具!$Y$13:$Y$29,CC$17&amp;$C37,防護具!$Q$13:$Q$29),CB39)-VLOOKUP($C37,$C$3:$D$15,2,FALSE)*CB$20)</f>
        <v>0</v>
      </c>
      <c r="CD39" s="763">
        <f xml:space="preserve">
IF(
SUM(SUMIF(防護具!$Y$13:$Y$29,CD$17&amp;$C37,防護具!$Q$13:$Q$29),CC39)-VLOOKUP($C37,$C$3:$D$15,2,FALSE)*CC$20&lt;0,0,
SUM(SUMIF(防護具!$Y$13:$Y$29,CD$17&amp;$C37,防護具!$Q$13:$Q$29),CC39)-VLOOKUP($C37,$C$3:$D$15,2,FALSE)*CC$20)</f>
        <v>0</v>
      </c>
      <c r="CE39" s="763">
        <f xml:space="preserve">
IF(
SUM(SUMIF(防護具!$Y$13:$Y$29,CE$17&amp;$C37,防護具!$Q$13:$Q$29),CD39)-VLOOKUP($C37,$C$3:$D$15,2,FALSE)*CD$20&lt;0,0,
SUM(SUMIF(防護具!$Y$13:$Y$29,CE$17&amp;$C37,防護具!$Q$13:$Q$29),CD39)-VLOOKUP($C37,$C$3:$D$15,2,FALSE)*CD$20)</f>
        <v>0</v>
      </c>
      <c r="CF39" s="763">
        <f xml:space="preserve">
IF(
SUM(SUMIF(防護具!$Y$13:$Y$29,CF$17&amp;$C37,防護具!$Q$13:$Q$29),CE39)-VLOOKUP($C37,$C$3:$D$15,2,FALSE)*CE$20&lt;0,0,
SUM(SUMIF(防護具!$Y$13:$Y$29,CF$17&amp;$C37,防護具!$Q$13:$Q$29),CE39)-VLOOKUP($C37,$C$3:$D$15,2,FALSE)*CE$20)</f>
        <v>0</v>
      </c>
      <c r="CG39" s="763">
        <f xml:space="preserve">
IF(
SUM(SUMIF(防護具!$Y$13:$Y$29,CG$17&amp;$C37,防護具!$Q$13:$Q$29),CF39)-VLOOKUP($C37,$C$3:$D$15,2,FALSE)*CF$20&lt;0,0,
SUM(SUMIF(防護具!$Y$13:$Y$29,CG$17&amp;$C37,防護具!$Q$13:$Q$29),CF39)-VLOOKUP($C37,$C$3:$D$15,2,FALSE)*CF$20)</f>
        <v>0</v>
      </c>
      <c r="CH39" s="763">
        <f xml:space="preserve">
IF(
SUM(SUMIF(防護具!$Y$13:$Y$29,CH$17&amp;$C37,防護具!$Q$13:$Q$29),CG39)-VLOOKUP($C37,$C$3:$D$15,2,FALSE)*CG$20&lt;0,0,
SUM(SUMIF(防護具!$Y$13:$Y$29,CH$17&amp;$C37,防護具!$Q$13:$Q$29),CG39)-VLOOKUP($C37,$C$3:$D$15,2,FALSE)*CG$20)</f>
        <v>0</v>
      </c>
      <c r="CI39" s="763">
        <f xml:space="preserve">
IF(
SUM(SUMIF(防護具!$Y$13:$Y$29,CI$17&amp;$C37,防護具!$Q$13:$Q$29),CH39)-VLOOKUP($C37,$C$3:$D$15,2,FALSE)*CH$20&lt;0,0,
SUM(SUMIF(防護具!$Y$13:$Y$29,CI$17&amp;$C37,防護具!$Q$13:$Q$29),CH39)-VLOOKUP($C37,$C$3:$D$15,2,FALSE)*CH$20)</f>
        <v>0</v>
      </c>
      <c r="CJ39" s="763">
        <f xml:space="preserve">
IF(
SUM(SUMIF(防護具!$Y$13:$Y$29,CJ$17&amp;$C37,防護具!$Q$13:$Q$29),CI39)-VLOOKUP($C37,$C$3:$D$15,2,FALSE)*CI$20&lt;0,0,
SUM(SUMIF(防護具!$Y$13:$Y$29,CJ$17&amp;$C37,防護具!$Q$13:$Q$29),CI39)-VLOOKUP($C37,$C$3:$D$15,2,FALSE)*CI$20)</f>
        <v>0</v>
      </c>
      <c r="CK39" s="763">
        <f xml:space="preserve">
IF(
SUM(SUMIF(防護具!$Y$13:$Y$29,CK$17&amp;$C37,防護具!$Q$13:$Q$29),CJ39)-VLOOKUP($C37,$C$3:$D$15,2,FALSE)*CJ$20&lt;0,0,
SUM(SUMIF(防護具!$Y$13:$Y$29,CK$17&amp;$C37,防護具!$Q$13:$Q$29),CJ39)-VLOOKUP($C37,$C$3:$D$15,2,FALSE)*CJ$20)</f>
        <v>0</v>
      </c>
      <c r="CL39" s="763">
        <f xml:space="preserve">
IF(
SUM(SUMIF(防護具!$Y$13:$Y$29,CL$17&amp;$C37,防護具!$Q$13:$Q$29),CK39)-VLOOKUP($C37,$C$3:$D$15,2,FALSE)*CK$20&lt;0,0,
SUM(SUMIF(防護具!$Y$13:$Y$29,CL$17&amp;$C37,防護具!$Q$13:$Q$29),CK39)-VLOOKUP($C37,$C$3:$D$15,2,FALSE)*CK$20)</f>
        <v>0</v>
      </c>
      <c r="CM39" s="763">
        <f xml:space="preserve">
IF(
SUM(SUMIF(防護具!$Y$13:$Y$29,CM$17&amp;$C37,防護具!$Q$13:$Q$29),CL39)-VLOOKUP($C37,$C$3:$D$15,2,FALSE)*CL$20&lt;0,0,
SUM(SUMIF(防護具!$Y$13:$Y$29,CM$17&amp;$C37,防護具!$Q$13:$Q$29),CL39)-VLOOKUP($C37,$C$3:$D$15,2,FALSE)*CL$20)</f>
        <v>0</v>
      </c>
      <c r="CN39" s="763">
        <f xml:space="preserve">
IF(
SUM(SUMIF(防護具!$Y$13:$Y$29,CN$17&amp;$C37,防護具!$Q$13:$Q$29),CM39)-VLOOKUP($C37,$C$3:$D$15,2,FALSE)*CM$20&lt;0,0,
SUM(SUMIF(防護具!$Y$13:$Y$29,CN$17&amp;$C37,防護具!$Q$13:$Q$29),CM39)-VLOOKUP($C37,$C$3:$D$15,2,FALSE)*CM$20)</f>
        <v>0</v>
      </c>
      <c r="CO39" s="763">
        <f xml:space="preserve">
IF(
SUM(SUMIF(防護具!$Y$13:$Y$29,CO$17&amp;$C37,防護具!$Q$13:$Q$29),CN39)-VLOOKUP($C37,$C$3:$D$15,2,FALSE)*CN$20&lt;0,0,
SUM(SUMIF(防護具!$Y$13:$Y$29,CO$17&amp;$C37,防護具!$Q$13:$Q$29),CN39)-VLOOKUP($C37,$C$3:$D$15,2,FALSE)*CN$20)</f>
        <v>0</v>
      </c>
      <c r="CP39" s="763">
        <f xml:space="preserve">
IF(
SUM(SUMIF(防護具!$Y$13:$Y$29,CP$17&amp;$C37,防護具!$Q$13:$Q$29),CO39)-VLOOKUP($C37,$C$3:$D$15,2,FALSE)*CO$20&lt;0,0,
SUM(SUMIF(防護具!$Y$13:$Y$29,CP$17&amp;$C37,防護具!$Q$13:$Q$29),CO39)-VLOOKUP($C37,$C$3:$D$15,2,FALSE)*CO$20)</f>
        <v>0</v>
      </c>
      <c r="CQ39" s="763">
        <f xml:space="preserve">
IF(
SUM(SUMIF(防護具!$Y$13:$Y$29,CQ$17&amp;$C37,防護具!$Q$13:$Q$29),CP39)-VLOOKUP($C37,$C$3:$D$15,2,FALSE)*CP$20&lt;0,0,
SUM(SUMIF(防護具!$Y$13:$Y$29,CQ$17&amp;$C37,防護具!$Q$13:$Q$29),CP39)-VLOOKUP($C37,$C$3:$D$15,2,FALSE)*CP$20)</f>
        <v>0</v>
      </c>
      <c r="CR39" s="763">
        <f xml:space="preserve">
IF(
SUM(SUMIF(防護具!$Y$13:$Y$29,CR$17&amp;$C37,防護具!$Q$13:$Q$29),CQ39)-VLOOKUP($C37,$C$3:$D$15,2,FALSE)*CQ$20&lt;0,0,
SUM(SUMIF(防護具!$Y$13:$Y$29,CR$17&amp;$C37,防護具!$Q$13:$Q$29),CQ39)-VLOOKUP($C37,$C$3:$D$15,2,FALSE)*CQ$20)</f>
        <v>0</v>
      </c>
      <c r="CS39" s="763">
        <f xml:space="preserve">
IF(
SUM(SUMIF(防護具!$Y$13:$Y$29,CS$17&amp;$C37,防護具!$Q$13:$Q$29),CR39)-VLOOKUP($C37,$C$3:$D$15,2,FALSE)*CR$20&lt;0,0,
SUM(SUMIF(防護具!$Y$13:$Y$29,CS$17&amp;$C37,防護具!$Q$13:$Q$29),CR39)-VLOOKUP($C37,$C$3:$D$15,2,FALSE)*CR$20)</f>
        <v>0</v>
      </c>
      <c r="CT39" s="763">
        <f xml:space="preserve">
IF(
SUM(SUMIF(防護具!$Y$13:$Y$29,CT$17&amp;$C37,防護具!$Q$13:$Q$29),CS39)-VLOOKUP($C37,$C$3:$D$15,2,FALSE)*CS$20&lt;0,0,
SUM(SUMIF(防護具!$Y$13:$Y$29,CT$17&amp;$C37,防護具!$Q$13:$Q$29),CS39)-VLOOKUP($C37,$C$3:$D$15,2,FALSE)*CS$20)</f>
        <v>0</v>
      </c>
      <c r="CU39" s="763">
        <f xml:space="preserve">
IF(
SUM(SUMIF(防護具!$Y$13:$Y$29,CU$17&amp;$C37,防護具!$Q$13:$Q$29),CT39)-VLOOKUP($C37,$C$3:$D$15,2,FALSE)*CT$20&lt;0,0,
SUM(SUMIF(防護具!$Y$13:$Y$29,CU$17&amp;$C37,防護具!$Q$13:$Q$29),CT39)-VLOOKUP($C37,$C$3:$D$15,2,FALSE)*CT$20)</f>
        <v>0</v>
      </c>
      <c r="CV39" s="763">
        <f xml:space="preserve">
IF(
SUM(SUMIF(防護具!$Y$13:$Y$29,CV$17&amp;$C37,防護具!$Q$13:$Q$29),CU39)-VLOOKUP($C37,$C$3:$D$15,2,FALSE)*CU$20&lt;0,0,
SUM(SUMIF(防護具!$Y$13:$Y$29,CV$17&amp;$C37,防護具!$Q$13:$Q$29),CU39)-VLOOKUP($C37,$C$3:$D$15,2,FALSE)*CU$20)</f>
        <v>0</v>
      </c>
      <c r="CW39" s="763">
        <f xml:space="preserve">
IF(
SUM(SUMIF(防護具!$Y$13:$Y$29,CW$17&amp;$C37,防護具!$Q$13:$Q$29),CV39)-VLOOKUP($C37,$C$3:$D$15,2,FALSE)*CV$20&lt;0,0,
SUM(SUMIF(防護具!$Y$13:$Y$29,CW$17&amp;$C37,防護具!$Q$13:$Q$29),CV39)-VLOOKUP($C37,$C$3:$D$15,2,FALSE)*CV$20)</f>
        <v>0</v>
      </c>
      <c r="CX39" s="763">
        <f xml:space="preserve">
IF(
SUM(SUMIF(防護具!$Y$13:$Y$29,CX$17&amp;$C37,防護具!$Q$13:$Q$29),CW39)-VLOOKUP($C37,$C$3:$D$15,2,FALSE)*CW$20&lt;0,0,
SUM(SUMIF(防護具!$Y$13:$Y$29,CX$17&amp;$C37,防護具!$Q$13:$Q$29),CW39)-VLOOKUP($C37,$C$3:$D$15,2,FALSE)*CW$20)</f>
        <v>0</v>
      </c>
      <c r="CY39" s="763">
        <f xml:space="preserve">
IF(
SUM(SUMIF(防護具!$Y$13:$Y$29,CY$17&amp;$C37,防護具!$Q$13:$Q$29),CX39)-VLOOKUP($C37,$C$3:$D$15,2,FALSE)*CX$20&lt;0,0,
SUM(SUMIF(防護具!$Y$13:$Y$29,CY$17&amp;$C37,防護具!$Q$13:$Q$29),CX39)-VLOOKUP($C37,$C$3:$D$15,2,FALSE)*CX$20)</f>
        <v>0</v>
      </c>
      <c r="CZ39" s="763">
        <f xml:space="preserve">
IF(
SUM(SUMIF(防護具!$Y$13:$Y$29,CZ$17&amp;$C37,防護具!$Q$13:$Q$29),CY39)-VLOOKUP($C37,$C$3:$D$15,2,FALSE)*CY$20&lt;0,0,
SUM(SUMIF(防護具!$Y$13:$Y$29,CZ$17&amp;$C37,防護具!$Q$13:$Q$29),CY39)-VLOOKUP($C37,$C$3:$D$15,2,FALSE)*CY$20)</f>
        <v>0</v>
      </c>
      <c r="DA39" s="763">
        <f xml:space="preserve">
IF(
SUM(SUMIF(防護具!$Y$13:$Y$29,DA$17&amp;$C37,防護具!$Q$13:$Q$29),CZ39)-VLOOKUP($C37,$C$3:$D$15,2,FALSE)*CZ$20&lt;0,0,
SUM(SUMIF(防護具!$Y$13:$Y$29,DA$17&amp;$C37,防護具!$Q$13:$Q$29),CZ39)-VLOOKUP($C37,$C$3:$D$15,2,FALSE)*CZ$20)</f>
        <v>0</v>
      </c>
      <c r="DB39" s="763">
        <f xml:space="preserve">
IF(
SUM(SUMIF(防護具!$Y$13:$Y$29,DB$17&amp;$C37,防護具!$Q$13:$Q$29),DA39)-VLOOKUP($C37,$C$3:$D$15,2,FALSE)*DA$20&lt;0,0,
SUM(SUMIF(防護具!$Y$13:$Y$29,DB$17&amp;$C37,防護具!$Q$13:$Q$29),DA39)-VLOOKUP($C37,$C$3:$D$15,2,FALSE)*DA$20)</f>
        <v>0</v>
      </c>
      <c r="DC39" s="763">
        <f xml:space="preserve">
IF(
SUM(SUMIF(防護具!$Y$13:$Y$29,DC$17&amp;$C37,防護具!$Q$13:$Q$29),DB39)-VLOOKUP($C37,$C$3:$D$15,2,FALSE)*DB$20&lt;0,0,
SUM(SUMIF(防護具!$Y$13:$Y$29,DC$17&amp;$C37,防護具!$Q$13:$Q$29),DB39)-VLOOKUP($C37,$C$3:$D$15,2,FALSE)*DB$20)</f>
        <v>0</v>
      </c>
      <c r="DD39" s="763">
        <f xml:space="preserve">
IF(
SUM(SUMIF(防護具!$Y$13:$Y$29,DD$17&amp;$C37,防護具!$Q$13:$Q$29),DC39)-VLOOKUP($C37,$C$3:$D$15,2,FALSE)*DC$20&lt;0,0,
SUM(SUMIF(防護具!$Y$13:$Y$29,DD$17&amp;$C37,防護具!$Q$13:$Q$29),DC39)-VLOOKUP($C37,$C$3:$D$15,2,FALSE)*DC$20)</f>
        <v>0</v>
      </c>
      <c r="DE39" s="763">
        <f xml:space="preserve">
IF(
SUM(SUMIF(防護具!$Y$13:$Y$29,DE$17&amp;$C37,防護具!$Q$13:$Q$29),DD39)-VLOOKUP($C37,$C$3:$D$15,2,FALSE)*DD$20&lt;0,0,
SUM(SUMIF(防護具!$Y$13:$Y$29,DE$17&amp;$C37,防護具!$Q$13:$Q$29),DD39)-VLOOKUP($C37,$C$3:$D$15,2,FALSE)*DD$20)</f>
        <v>0</v>
      </c>
      <c r="DF39" s="763">
        <f xml:space="preserve">
IF(
SUM(SUMIF(防護具!$Y$13:$Y$29,DF$17&amp;$C37,防護具!$Q$13:$Q$29),DE39)-VLOOKUP($C37,$C$3:$D$15,2,FALSE)*DE$20&lt;0,0,
SUM(SUMIF(防護具!$Y$13:$Y$29,DF$17&amp;$C37,防護具!$Q$13:$Q$29),DE39)-VLOOKUP($C37,$C$3:$D$15,2,FALSE)*DE$20)</f>
        <v>0</v>
      </c>
      <c r="DG39" s="763">
        <f xml:space="preserve">
IF(
SUM(SUMIF(防護具!$Y$13:$Y$29,DG$17&amp;$C37,防護具!$Q$13:$Q$29),DF39)-VLOOKUP($C37,$C$3:$D$15,2,FALSE)*DF$20&lt;0,0,
SUM(SUMIF(防護具!$Y$13:$Y$29,DG$17&amp;$C37,防護具!$Q$13:$Q$29),DF39)-VLOOKUP($C37,$C$3:$D$15,2,FALSE)*DF$20)</f>
        <v>0</v>
      </c>
      <c r="DH39" s="763">
        <f xml:space="preserve">
IF(
SUM(SUMIF(防護具!$Y$13:$Y$29,DH$17&amp;$C37,防護具!$Q$13:$Q$29),DG39)-VLOOKUP($C37,$C$3:$D$15,2,FALSE)*DG$20&lt;0,0,
SUM(SUMIF(防護具!$Y$13:$Y$29,DH$17&amp;$C37,防護具!$Q$13:$Q$29),DG39)-VLOOKUP($C37,$C$3:$D$15,2,FALSE)*DG$20)</f>
        <v>0</v>
      </c>
      <c r="DI39" s="763">
        <f xml:space="preserve">
IF(
SUM(SUMIF(防護具!$Y$13:$Y$29,DI$17&amp;$C37,防護具!$Q$13:$Q$29),DH39)-VLOOKUP($C37,$C$3:$D$15,2,FALSE)*DH$20&lt;0,0,
SUM(SUMIF(防護具!$Y$13:$Y$29,DI$17&amp;$C37,防護具!$Q$13:$Q$29),DH39)-VLOOKUP($C37,$C$3:$D$15,2,FALSE)*DH$20)</f>
        <v>0</v>
      </c>
      <c r="DJ39" s="763">
        <f xml:space="preserve">
IF(
SUM(SUMIF(防護具!$Y$13:$Y$29,DJ$17&amp;$C37,防護具!$Q$13:$Q$29),DI39)-VLOOKUP($C37,$C$3:$D$15,2,FALSE)*DI$20&lt;0,0,
SUM(SUMIF(防護具!$Y$13:$Y$29,DJ$17&amp;$C37,防護具!$Q$13:$Q$29),DI39)-VLOOKUP($C37,$C$3:$D$15,2,FALSE)*DI$20)</f>
        <v>0</v>
      </c>
      <c r="DK39" s="763">
        <f xml:space="preserve">
IF(
SUM(SUMIF(防護具!$Y$13:$Y$29,DK$17&amp;$C37,防護具!$Q$13:$Q$29),DJ39)-VLOOKUP($C37,$C$3:$D$15,2,FALSE)*DJ$20&lt;0,0,
SUM(SUMIF(防護具!$Y$13:$Y$29,DK$17&amp;$C37,防護具!$Q$13:$Q$29),DJ39)-VLOOKUP($C37,$C$3:$D$15,2,FALSE)*DJ$20)</f>
        <v>0</v>
      </c>
      <c r="DL39" s="763">
        <f xml:space="preserve">
IF(
SUM(SUMIF(防護具!$Y$13:$Y$29,DL$17&amp;$C37,防護具!$Q$13:$Q$29),DK39)-VLOOKUP($C37,$C$3:$D$15,2,FALSE)*DK$20&lt;0,0,
SUM(SUMIF(防護具!$Y$13:$Y$29,DL$17&amp;$C37,防護具!$Q$13:$Q$29),DK39)-VLOOKUP($C37,$C$3:$D$15,2,FALSE)*DK$20)</f>
        <v>0</v>
      </c>
      <c r="DM39" s="763">
        <f xml:space="preserve">
IF(
SUM(SUMIF(防護具!$Y$13:$Y$29,DM$17&amp;$C37,防護具!$Q$13:$Q$29),DL39)-VLOOKUP($C37,$C$3:$D$15,2,FALSE)*DL$20&lt;0,0,
SUM(SUMIF(防護具!$Y$13:$Y$29,DM$17&amp;$C37,防護具!$Q$13:$Q$29),DL39)-VLOOKUP($C37,$C$3:$D$15,2,FALSE)*DL$20)</f>
        <v>0</v>
      </c>
      <c r="DN39" s="763">
        <f xml:space="preserve">
IF(
SUM(SUMIF(防護具!$Y$13:$Y$29,DN$17&amp;$C37,防護具!$Q$13:$Q$29),DM39)-VLOOKUP($C37,$C$3:$D$15,2,FALSE)*DM$20&lt;0,0,
SUM(SUMIF(防護具!$Y$13:$Y$29,DN$17&amp;$C37,防護具!$Q$13:$Q$29),DM39)-VLOOKUP($C37,$C$3:$D$15,2,FALSE)*DM$20)</f>
        <v>0</v>
      </c>
      <c r="DO39" s="763">
        <f xml:space="preserve">
IF(
SUM(SUMIF(防護具!$Y$13:$Y$29,DO$17&amp;$C37,防護具!$Q$13:$Q$29),DN39)-VLOOKUP($C37,$C$3:$D$15,2,FALSE)*DN$20&lt;0,0,
SUM(SUMIF(防護具!$Y$13:$Y$29,DO$17&amp;$C37,防護具!$Q$13:$Q$29),DN39)-VLOOKUP($C37,$C$3:$D$15,2,FALSE)*DN$20)</f>
        <v>0</v>
      </c>
      <c r="DP39" s="763">
        <f xml:space="preserve">
IF(
SUM(SUMIF(防護具!$Y$13:$Y$29,DP$17&amp;$C37,防護具!$Q$13:$Q$29),DO39)-VLOOKUP($C37,$C$3:$D$15,2,FALSE)*DO$20&lt;0,0,
SUM(SUMIF(防護具!$Y$13:$Y$29,DP$17&amp;$C37,防護具!$Q$13:$Q$29),DO39)-VLOOKUP($C37,$C$3:$D$15,2,FALSE)*DO$20)</f>
        <v>0</v>
      </c>
      <c r="DQ39" s="763">
        <f xml:space="preserve">
IF(
SUM(SUMIF(防護具!$Y$13:$Y$29,DQ$17&amp;$C37,防護具!$Q$13:$Q$29),DP39)-VLOOKUP($C37,$C$3:$D$15,2,FALSE)*DP$20&lt;0,0,
SUM(SUMIF(防護具!$Y$13:$Y$29,DQ$17&amp;$C37,防護具!$Q$13:$Q$29),DP39)-VLOOKUP($C37,$C$3:$D$15,2,FALSE)*DP$20)</f>
        <v>0</v>
      </c>
      <c r="DR39" s="763">
        <f xml:space="preserve">
IF(
SUM(SUMIF(防護具!$Y$13:$Y$29,DR$17&amp;$C37,防護具!$Q$13:$Q$29),DQ39)-VLOOKUP($C37,$C$3:$D$15,2,FALSE)*DQ$20&lt;0,0,
SUM(SUMIF(防護具!$Y$13:$Y$29,DR$17&amp;$C37,防護具!$Q$13:$Q$29),DQ39)-VLOOKUP($C37,$C$3:$D$15,2,FALSE)*DQ$20)</f>
        <v>0</v>
      </c>
      <c r="DS39" s="763">
        <f xml:space="preserve">
IF(
SUM(SUMIF(防護具!$Y$13:$Y$29,DS$17&amp;$C37,防護具!$Q$13:$Q$29),DR39)-VLOOKUP($C37,$C$3:$D$15,2,FALSE)*DR$20&lt;0,0,
SUM(SUMIF(防護具!$Y$13:$Y$29,DS$17&amp;$C37,防護具!$Q$13:$Q$29),DR39)-VLOOKUP($C37,$C$3:$D$15,2,FALSE)*DR$20)</f>
        <v>0</v>
      </c>
      <c r="DT39" s="763">
        <f xml:space="preserve">
IF(
SUM(SUMIF(防護具!$Y$13:$Y$29,DT$17&amp;$C37,防護具!$Q$13:$Q$29),DS39)-VLOOKUP($C37,$C$3:$D$15,2,FALSE)*DS$20&lt;0,0,
SUM(SUMIF(防護具!$Y$13:$Y$29,DT$17&amp;$C37,防護具!$Q$13:$Q$29),DS39)-VLOOKUP($C37,$C$3:$D$15,2,FALSE)*DS$20)</f>
        <v>0</v>
      </c>
      <c r="DU39" s="763">
        <f xml:space="preserve">
IF(
SUM(SUMIF(防護具!$Y$13:$Y$29,DU$17&amp;$C37,防護具!$Q$13:$Q$29),DT39)-VLOOKUP($C37,$C$3:$D$15,2,FALSE)*DT$20&lt;0,0,
SUM(SUMIF(防護具!$Y$13:$Y$29,DU$17&amp;$C37,防護具!$Q$13:$Q$29),DT39)-VLOOKUP($C37,$C$3:$D$15,2,FALSE)*DT$20)</f>
        <v>0</v>
      </c>
      <c r="DV39" s="763">
        <f xml:space="preserve">
IF(
SUM(SUMIF(防護具!$Y$13:$Y$29,DV$17&amp;$C37,防護具!$Q$13:$Q$29),DU39)-VLOOKUP($C37,$C$3:$D$15,2,FALSE)*DU$20&lt;0,0,
SUM(SUMIF(防護具!$Y$13:$Y$29,DV$17&amp;$C37,防護具!$Q$13:$Q$29),DU39)-VLOOKUP($C37,$C$3:$D$15,2,FALSE)*DU$20)</f>
        <v>0</v>
      </c>
      <c r="DW39" s="763">
        <f xml:space="preserve">
IF(
SUM(SUMIF(防護具!$Y$13:$Y$29,DW$17&amp;$C37,防護具!$Q$13:$Q$29),DV39)-VLOOKUP($C37,$C$3:$D$15,2,FALSE)*DV$20&lt;0,0,
SUM(SUMIF(防護具!$Y$13:$Y$29,DW$17&amp;$C37,防護具!$Q$13:$Q$29),DV39)-VLOOKUP($C37,$C$3:$D$15,2,FALSE)*DV$20)</f>
        <v>0</v>
      </c>
      <c r="DX39" s="763">
        <f xml:space="preserve">
IF(
SUM(SUMIF(防護具!$Y$13:$Y$29,DX$17&amp;$C37,防護具!$Q$13:$Q$29),DW39)-VLOOKUP($C37,$C$3:$D$15,2,FALSE)*DW$20&lt;0,0,
SUM(SUMIF(防護具!$Y$13:$Y$29,DX$17&amp;$C37,防護具!$Q$13:$Q$29),DW39)-VLOOKUP($C37,$C$3:$D$15,2,FALSE)*DW$20)</f>
        <v>0</v>
      </c>
      <c r="DY39" s="763">
        <f xml:space="preserve">
IF(
SUM(SUMIF(防護具!$Y$13:$Y$29,DY$17&amp;$C37,防護具!$Q$13:$Q$29),DX39)-VLOOKUP($C37,$C$3:$D$15,2,FALSE)*DX$20&lt;0,0,
SUM(SUMIF(防護具!$Y$13:$Y$29,DY$17&amp;$C37,防護具!$Q$13:$Q$29),DX39)-VLOOKUP($C37,$C$3:$D$15,2,FALSE)*DX$20)</f>
        <v>0</v>
      </c>
      <c r="DZ39" s="763">
        <f xml:space="preserve">
IF(
SUM(SUMIF(防護具!$Y$13:$Y$29,DZ$17&amp;$C37,防護具!$Q$13:$Q$29),DY39)-VLOOKUP($C37,$C$3:$D$15,2,FALSE)*DY$20&lt;0,0,
SUM(SUMIF(防護具!$Y$13:$Y$29,DZ$17&amp;$C37,防護具!$Q$13:$Q$29),DY39)-VLOOKUP($C37,$C$3:$D$15,2,FALSE)*DY$20)</f>
        <v>0</v>
      </c>
      <c r="EA39" s="763">
        <f xml:space="preserve">
IF(
SUM(SUMIF(防護具!$Y$13:$Y$29,EA$17&amp;$C37,防護具!$Q$13:$Q$29),DZ39)-VLOOKUP($C37,$C$3:$D$15,2,FALSE)*DZ$20&lt;0,0,
SUM(SUMIF(防護具!$Y$13:$Y$29,EA$17&amp;$C37,防護具!$Q$13:$Q$29),DZ39)-VLOOKUP($C37,$C$3:$D$15,2,FALSE)*DZ$20)</f>
        <v>0</v>
      </c>
      <c r="EB39" s="763">
        <f xml:space="preserve">
IF(
SUM(SUMIF(防護具!$Y$13:$Y$29,EB$17&amp;$C37,防護具!$Q$13:$Q$29),EA39)-VLOOKUP($C37,$C$3:$D$15,2,FALSE)*EA$20&lt;0,0,
SUM(SUMIF(防護具!$Y$13:$Y$29,EB$17&amp;$C37,防護具!$Q$13:$Q$29),EA39)-VLOOKUP($C37,$C$3:$D$15,2,FALSE)*EA$20)</f>
        <v>0</v>
      </c>
      <c r="EC39" s="763">
        <f xml:space="preserve">
IF(
SUM(SUMIF(防護具!$Y$13:$Y$29,EC$17&amp;$C37,防護具!$Q$13:$Q$29),EB39)-VLOOKUP($C37,$C$3:$D$15,2,FALSE)*EB$20&lt;0,0,
SUM(SUMIF(防護具!$Y$13:$Y$29,EC$17&amp;$C37,防護具!$Q$13:$Q$29),EB39)-VLOOKUP($C37,$C$3:$D$15,2,FALSE)*EB$20)</f>
        <v>0</v>
      </c>
      <c r="ED39" s="763">
        <f xml:space="preserve">
IF(
SUM(SUMIF(防護具!$Y$13:$Y$29,ED$17&amp;$C37,防護具!$Q$13:$Q$29),EC39)-VLOOKUP($C37,$C$3:$D$15,2,FALSE)*EC$20&lt;0,0,
SUM(SUMIF(防護具!$Y$13:$Y$29,ED$17&amp;$C37,防護具!$Q$13:$Q$29),EC39)-VLOOKUP($C37,$C$3:$D$15,2,FALSE)*EC$20)</f>
        <v>0</v>
      </c>
      <c r="EE39" s="763">
        <f xml:space="preserve">
IF(
SUM(SUMIF(防護具!$Y$13:$Y$29,EE$17&amp;$C37,防護具!$Q$13:$Q$29),ED39)-VLOOKUP($C37,$C$3:$D$15,2,FALSE)*ED$20&lt;0,0,
SUM(SUMIF(防護具!$Y$13:$Y$29,EE$17&amp;$C37,防護具!$Q$13:$Q$29),ED39)-VLOOKUP($C37,$C$3:$D$15,2,FALSE)*ED$20)</f>
        <v>0</v>
      </c>
      <c r="EF39" s="763">
        <f xml:space="preserve">
IF(
SUM(SUMIF(防護具!$Y$13:$Y$29,EF$17&amp;$C37,防護具!$Q$13:$Q$29),EE39)-VLOOKUP($C37,$C$3:$D$15,2,FALSE)*EE$20&lt;0,0,
SUM(SUMIF(防護具!$Y$13:$Y$29,EF$17&amp;$C37,防護具!$Q$13:$Q$29),EE39)-VLOOKUP($C37,$C$3:$D$15,2,FALSE)*EE$20)</f>
        <v>0</v>
      </c>
      <c r="EG39" s="763">
        <f xml:space="preserve">
IF(
SUM(SUMIF(防護具!$Y$13:$Y$29,EG$17&amp;$C37,防護具!$Q$13:$Q$29),EF39)-VLOOKUP($C37,$C$3:$D$15,2,FALSE)*EF$20&lt;0,0,
SUM(SUMIF(防護具!$Y$13:$Y$29,EG$17&amp;$C37,防護具!$Q$13:$Q$29),EF39)-VLOOKUP($C37,$C$3:$D$15,2,FALSE)*EF$20)</f>
        <v>0</v>
      </c>
      <c r="EH39" s="763">
        <f xml:space="preserve">
IF(
SUM(SUMIF(防護具!$Y$13:$Y$29,EH$17&amp;$C37,防護具!$Q$13:$Q$29),EG39)-VLOOKUP($C37,$C$3:$D$15,2,FALSE)*EG$20&lt;0,0,
SUM(SUMIF(防護具!$Y$13:$Y$29,EH$17&amp;$C37,防護具!$Q$13:$Q$29),EG39)-VLOOKUP($C37,$C$3:$D$15,2,FALSE)*EG$20)</f>
        <v>0</v>
      </c>
      <c r="EI39" s="763">
        <f xml:space="preserve">
IF(
SUM(SUMIF(防護具!$Y$13:$Y$29,EI$17&amp;$C37,防護具!$Q$13:$Q$29),EH39)-VLOOKUP($C37,$C$3:$D$15,2,FALSE)*EH$20&lt;0,0,
SUM(SUMIF(防護具!$Y$13:$Y$29,EI$17&amp;$C37,防護具!$Q$13:$Q$29),EH39)-VLOOKUP($C37,$C$3:$D$15,2,FALSE)*EH$20)</f>
        <v>0</v>
      </c>
      <c r="EJ39" s="763">
        <f xml:space="preserve">
IF(
SUM(SUMIF(防護具!$Y$13:$Y$29,EJ$17&amp;$C37,防護具!$Q$13:$Q$29),EI39)-VLOOKUP($C37,$C$3:$D$15,2,FALSE)*EI$20&lt;0,0,
SUM(SUMIF(防護具!$Y$13:$Y$29,EJ$17&amp;$C37,防護具!$Q$13:$Q$29),EI39)-VLOOKUP($C37,$C$3:$D$15,2,FALSE)*EI$20)</f>
        <v>0</v>
      </c>
      <c r="EK39" s="763">
        <f xml:space="preserve">
IF(
SUM(SUMIF(防護具!$Y$13:$Y$29,EK$17&amp;$C37,防護具!$Q$13:$Q$29),EJ39)-VLOOKUP($C37,$C$3:$D$15,2,FALSE)*EJ$20&lt;0,0,
SUM(SUMIF(防護具!$Y$13:$Y$29,EK$17&amp;$C37,防護具!$Q$13:$Q$29),EJ39)-VLOOKUP($C37,$C$3:$D$15,2,FALSE)*EJ$20)</f>
        <v>0</v>
      </c>
      <c r="EL39" s="763">
        <f xml:space="preserve">
IF(
SUM(SUMIF(防護具!$Y$13:$Y$29,EL$17&amp;$C37,防護具!$Q$13:$Q$29),EK39)-VLOOKUP($C37,$C$3:$D$15,2,FALSE)*EK$20&lt;0,0,
SUM(SUMIF(防護具!$Y$13:$Y$29,EL$17&amp;$C37,防護具!$Q$13:$Q$29),EK39)-VLOOKUP($C37,$C$3:$D$15,2,FALSE)*EK$20)</f>
        <v>0</v>
      </c>
      <c r="EM39" s="763">
        <f xml:space="preserve">
IF(
SUM(SUMIF(防護具!$Y$13:$Y$29,EM$17&amp;$C37,防護具!$Q$13:$Q$29),EL39)-VLOOKUP($C37,$C$3:$D$15,2,FALSE)*EL$20&lt;0,0,
SUM(SUMIF(防護具!$Y$13:$Y$29,EM$17&amp;$C37,防護具!$Q$13:$Q$29),EL39)-VLOOKUP($C37,$C$3:$D$15,2,FALSE)*EL$20)</f>
        <v>0</v>
      </c>
      <c r="EN39" s="763">
        <f xml:space="preserve">
IF(
SUM(SUMIF(防護具!$Y$13:$Y$29,EN$17&amp;$C37,防護具!$Q$13:$Q$29),EM39)-VLOOKUP($C37,$C$3:$D$15,2,FALSE)*EM$20&lt;0,0,
SUM(SUMIF(防護具!$Y$13:$Y$29,EN$17&amp;$C37,防護具!$Q$13:$Q$29),EM39)-VLOOKUP($C37,$C$3:$D$15,2,FALSE)*EM$20)</f>
        <v>0</v>
      </c>
      <c r="EO39" s="763">
        <f xml:space="preserve">
IF(
SUM(SUMIF(防護具!$Y$13:$Y$29,EO$17&amp;$C37,防護具!$Q$13:$Q$29),EN39)-VLOOKUP($C37,$C$3:$D$15,2,FALSE)*EN$20&lt;0,0,
SUM(SUMIF(防護具!$Y$13:$Y$29,EO$17&amp;$C37,防護具!$Q$13:$Q$29),EN39)-VLOOKUP($C37,$C$3:$D$15,2,FALSE)*EN$20)</f>
        <v>0</v>
      </c>
      <c r="EP39" s="763">
        <f xml:space="preserve">
IF(
SUM(SUMIF(防護具!$Y$13:$Y$29,EP$17&amp;$C37,防護具!$Q$13:$Q$29),EO39)-VLOOKUP($C37,$C$3:$D$15,2,FALSE)*EO$20&lt;0,0,
SUM(SUMIF(防護具!$Y$13:$Y$29,EP$17&amp;$C37,防護具!$Q$13:$Q$29),EO39)-VLOOKUP($C37,$C$3:$D$15,2,FALSE)*EO$20)</f>
        <v>0</v>
      </c>
      <c r="EQ39" s="763">
        <f xml:space="preserve">
IF(
SUM(SUMIF(防護具!$Y$13:$Y$29,EQ$17&amp;$C37,防護具!$Q$13:$Q$29),EP39)-VLOOKUP($C37,$C$3:$D$15,2,FALSE)*EP$20&lt;0,0,
SUM(SUMIF(防護具!$Y$13:$Y$29,EQ$17&amp;$C37,防護具!$Q$13:$Q$29),EP39)-VLOOKUP($C37,$C$3:$D$15,2,FALSE)*EP$20)</f>
        <v>0</v>
      </c>
      <c r="ER39" s="763">
        <f xml:space="preserve">
IF(
SUM(SUMIF(防護具!$Y$13:$Y$29,ER$17&amp;$C37,防護具!$Q$13:$Q$29),EQ39)-VLOOKUP($C37,$C$3:$D$15,2,FALSE)*EQ$20&lt;0,0,
SUM(SUMIF(防護具!$Y$13:$Y$29,ER$17&amp;$C37,防護具!$Q$13:$Q$29),EQ39)-VLOOKUP($C37,$C$3:$D$15,2,FALSE)*EQ$20)</f>
        <v>0</v>
      </c>
      <c r="ES39" s="763">
        <f xml:space="preserve">
IF(
SUM(SUMIF(防護具!$Y$13:$Y$29,ES$17&amp;$C37,防護具!$Q$13:$Q$29),ER39)-VLOOKUP($C37,$C$3:$D$15,2,FALSE)*ER$20&lt;0,0,
SUM(SUMIF(防護具!$Y$13:$Y$29,ES$17&amp;$C37,防護具!$Q$13:$Q$29),ER39)-VLOOKUP($C37,$C$3:$D$15,2,FALSE)*ER$20)</f>
        <v>0</v>
      </c>
      <c r="ET39" s="763">
        <f xml:space="preserve">
IF(
SUM(SUMIF(防護具!$Y$13:$Y$29,ET$17&amp;$C37,防護具!$Q$13:$Q$29),ES39)-VLOOKUP($C37,$C$3:$D$15,2,FALSE)*ES$20&lt;0,0,
SUM(SUMIF(防護具!$Y$13:$Y$29,ET$17&amp;$C37,防護具!$Q$13:$Q$29),ES39)-VLOOKUP($C37,$C$3:$D$15,2,FALSE)*ES$20)</f>
        <v>0</v>
      </c>
      <c r="EU39" s="763">
        <f xml:space="preserve">
IF(
SUM(SUMIF(防護具!$Y$13:$Y$29,EU$17&amp;$C37,防護具!$Q$13:$Q$29),ET39)-VLOOKUP($C37,$C$3:$D$15,2,FALSE)*ET$20&lt;0,0,
SUM(SUMIF(防護具!$Y$13:$Y$29,EU$17&amp;$C37,防護具!$Q$13:$Q$29),ET39)-VLOOKUP($C37,$C$3:$D$15,2,FALSE)*ET$20)</f>
        <v>0</v>
      </c>
      <c r="EV39" s="763">
        <f xml:space="preserve">
IF(
SUM(SUMIF(防護具!$Y$13:$Y$29,EV$17&amp;$C37,防護具!$Q$13:$Q$29),EU39)-VLOOKUP($C37,$C$3:$D$15,2,FALSE)*EU$20&lt;0,0,
SUM(SUMIF(防護具!$Y$13:$Y$29,EV$17&amp;$C37,防護具!$Q$13:$Q$29),EU39)-VLOOKUP($C37,$C$3:$D$15,2,FALSE)*EU$20)</f>
        <v>0</v>
      </c>
      <c r="EW39" s="763">
        <f xml:space="preserve">
IF(
SUM(SUMIF(防護具!$Y$13:$Y$29,EW$17&amp;$C37,防護具!$Q$13:$Q$29),EV39)-VLOOKUP($C37,$C$3:$D$15,2,FALSE)*EV$20&lt;0,0,
SUM(SUMIF(防護具!$Y$13:$Y$29,EW$17&amp;$C37,防護具!$Q$13:$Q$29),EV39)-VLOOKUP($C37,$C$3:$D$15,2,FALSE)*EV$20)</f>
        <v>0</v>
      </c>
      <c r="EX39" s="763">
        <f xml:space="preserve">
IF(
SUM(SUMIF(防護具!$Y$13:$Y$29,EX$17&amp;$C37,防護具!$Q$13:$Q$29),EW39)-VLOOKUP($C37,$C$3:$D$15,2,FALSE)*EW$20&lt;0,0,
SUM(SUMIF(防護具!$Y$13:$Y$29,EX$17&amp;$C37,防護具!$Q$13:$Q$29),EW39)-VLOOKUP($C37,$C$3:$D$15,2,FALSE)*EW$20)</f>
        <v>0</v>
      </c>
      <c r="EY39" s="763">
        <f xml:space="preserve">
IF(
SUM(SUMIF(防護具!$Y$13:$Y$29,EY$17&amp;$C37,防護具!$Q$13:$Q$29),EX39)-VLOOKUP($C37,$C$3:$D$15,2,FALSE)*EX$20&lt;0,0,
SUM(SUMIF(防護具!$Y$13:$Y$29,EY$17&amp;$C37,防護具!$Q$13:$Q$29),EX39)-VLOOKUP($C37,$C$3:$D$15,2,FALSE)*EX$20)</f>
        <v>0</v>
      </c>
      <c r="EZ39" s="763">
        <f xml:space="preserve">
IF(
SUM(SUMIF(防護具!$Y$13:$Y$29,EZ$17&amp;$C37,防護具!$Q$13:$Q$29),EY39)-VLOOKUP($C37,$C$3:$D$15,2,FALSE)*EY$20&lt;0,0,
SUM(SUMIF(防護具!$Y$13:$Y$29,EZ$17&amp;$C37,防護具!$Q$13:$Q$29),EY39)-VLOOKUP($C37,$C$3:$D$15,2,FALSE)*EY$20)</f>
        <v>0</v>
      </c>
      <c r="FA39" s="763">
        <f xml:space="preserve">
IF(
SUM(SUMIF(防護具!$Y$13:$Y$29,FA$17&amp;$C37,防護具!$Q$13:$Q$29),EZ39)-VLOOKUP($C37,$C$3:$D$15,2,FALSE)*EZ$20&lt;0,0,
SUM(SUMIF(防護具!$Y$13:$Y$29,FA$17&amp;$C37,防護具!$Q$13:$Q$29),EZ39)-VLOOKUP($C37,$C$3:$D$15,2,FALSE)*EZ$20)</f>
        <v>0</v>
      </c>
      <c r="FB39" s="763">
        <f xml:space="preserve">
IF(
SUM(SUMIF(防護具!$Y$13:$Y$29,FB$17&amp;$C37,防護具!$Q$13:$Q$29),FA39)-VLOOKUP($C37,$C$3:$D$15,2,FALSE)*FA$20&lt;0,0,
SUM(SUMIF(防護具!$Y$13:$Y$29,FB$17&amp;$C37,防護具!$Q$13:$Q$29),FA39)-VLOOKUP($C37,$C$3:$D$15,2,FALSE)*FA$20)</f>
        <v>0</v>
      </c>
      <c r="FC39" s="763">
        <f xml:space="preserve">
IF(
SUM(SUMIF(防護具!$Y$13:$Y$29,FC$17&amp;$C37,防護具!$Q$13:$Q$29),FB39)-VLOOKUP($C37,$C$3:$D$15,2,FALSE)*FB$20&lt;0,0,
SUM(SUMIF(防護具!$Y$13:$Y$29,FC$17&amp;$C37,防護具!$Q$13:$Q$29),FB39)-VLOOKUP($C37,$C$3:$D$15,2,FALSE)*FB$20)</f>
        <v>0</v>
      </c>
      <c r="FD39" s="763">
        <f xml:space="preserve">
IF(
SUM(SUMIF(防護具!$Y$13:$Y$29,FD$17&amp;$C37,防護具!$Q$13:$Q$29),FC39)-VLOOKUP($C37,$C$3:$D$15,2,FALSE)*FC$20&lt;0,0,
SUM(SUMIF(防護具!$Y$13:$Y$29,FD$17&amp;$C37,防護具!$Q$13:$Q$29),FC39)-VLOOKUP($C37,$C$3:$D$15,2,FALSE)*FC$20)</f>
        <v>0</v>
      </c>
      <c r="FE39" s="763">
        <f xml:space="preserve">
IF(
SUM(SUMIF(防護具!$Y$13:$Y$29,FE$17&amp;$C37,防護具!$Q$13:$Q$29),FD39)-VLOOKUP($C37,$C$3:$D$15,2,FALSE)*FD$20&lt;0,0,
SUM(SUMIF(防護具!$Y$13:$Y$29,FE$17&amp;$C37,防護具!$Q$13:$Q$29),FD39)-VLOOKUP($C37,$C$3:$D$15,2,FALSE)*FD$20)</f>
        <v>0</v>
      </c>
      <c r="FF39" s="763">
        <f xml:space="preserve">
IF(
SUM(SUMIF(防護具!$Y$13:$Y$29,FF$17&amp;$C37,防護具!$Q$13:$Q$29),FE39)-VLOOKUP($C37,$C$3:$D$15,2,FALSE)*FE$20&lt;0,0,
SUM(SUMIF(防護具!$Y$13:$Y$29,FF$17&amp;$C37,防護具!$Q$13:$Q$29),FE39)-VLOOKUP($C37,$C$3:$D$15,2,FALSE)*FE$20)</f>
        <v>0</v>
      </c>
      <c r="FG39" s="763">
        <f xml:space="preserve">
IF(
SUM(SUMIF(防護具!$Y$13:$Y$29,FG$17&amp;$C37,防護具!$Q$13:$Q$29),FF39)-VLOOKUP($C37,$C$3:$D$15,2,FALSE)*FF$20&lt;0,0,
SUM(SUMIF(防護具!$Y$13:$Y$29,FG$17&amp;$C37,防護具!$Q$13:$Q$29),FF39)-VLOOKUP($C37,$C$3:$D$15,2,FALSE)*FF$20)</f>
        <v>0</v>
      </c>
      <c r="FH39" s="763">
        <f xml:space="preserve">
IF(
SUM(SUMIF(防護具!$Y$13:$Y$29,FH$17&amp;$C37,防護具!$Q$13:$Q$29),FG39)-VLOOKUP($C37,$C$3:$D$15,2,FALSE)*FG$20&lt;0,0,
SUM(SUMIF(防護具!$Y$13:$Y$29,FH$17&amp;$C37,防護具!$Q$13:$Q$29),FG39)-VLOOKUP($C37,$C$3:$D$15,2,FALSE)*FG$20)</f>
        <v>0</v>
      </c>
      <c r="FI39" s="763">
        <f xml:space="preserve">
IF(
SUM(SUMIF(防護具!$Y$13:$Y$29,FI$17&amp;$C37,防護具!$Q$13:$Q$29),FH39)-VLOOKUP($C37,$C$3:$D$15,2,FALSE)*FH$20&lt;0,0,
SUM(SUMIF(防護具!$Y$13:$Y$29,FI$17&amp;$C37,防護具!$Q$13:$Q$29),FH39)-VLOOKUP($C37,$C$3:$D$15,2,FALSE)*FH$20)</f>
        <v>0</v>
      </c>
      <c r="FJ39" s="763">
        <f xml:space="preserve">
IF(
SUM(SUMIF(防護具!$Y$13:$Y$29,FJ$17&amp;$C37,防護具!$Q$13:$Q$29),FI39)-VLOOKUP($C37,$C$3:$D$15,2,FALSE)*FI$20&lt;0,0,
SUM(SUMIF(防護具!$Y$13:$Y$29,FJ$17&amp;$C37,防護具!$Q$13:$Q$29),FI39)-VLOOKUP($C37,$C$3:$D$15,2,FALSE)*FI$20)</f>
        <v>0</v>
      </c>
      <c r="FK39" s="763">
        <f xml:space="preserve">
IF(
SUM(SUMIF(防護具!$Y$13:$Y$29,FK$17&amp;$C37,防護具!$Q$13:$Q$29),FJ39)-VLOOKUP($C37,$C$3:$D$15,2,FALSE)*FJ$20&lt;0,0,
SUM(SUMIF(防護具!$Y$13:$Y$29,FK$17&amp;$C37,防護具!$Q$13:$Q$29),FJ39)-VLOOKUP($C37,$C$3:$D$15,2,FALSE)*FJ$20)</f>
        <v>0</v>
      </c>
      <c r="FL39" s="763">
        <f xml:space="preserve">
IF(
SUM(SUMIF(防護具!$Y$13:$Y$29,FL$17&amp;$C37,防護具!$Q$13:$Q$29),FK39)-VLOOKUP($C37,$C$3:$D$15,2,FALSE)*FK$20&lt;0,0,
SUM(SUMIF(防護具!$Y$13:$Y$29,FL$17&amp;$C37,防護具!$Q$13:$Q$29),FK39)-VLOOKUP($C37,$C$3:$D$15,2,FALSE)*FK$20)</f>
        <v>0</v>
      </c>
      <c r="FM39" s="763">
        <f xml:space="preserve">
IF(
SUM(SUMIF(防護具!$Y$13:$Y$29,FM$17&amp;$C37,防護具!$Q$13:$Q$29),FL39)-VLOOKUP($C37,$C$3:$D$15,2,FALSE)*FL$20&lt;0,0,
SUM(SUMIF(防護具!$Y$13:$Y$29,FM$17&amp;$C37,防護具!$Q$13:$Q$29),FL39)-VLOOKUP($C37,$C$3:$D$15,2,FALSE)*FL$20)</f>
        <v>0</v>
      </c>
      <c r="FN39" s="763">
        <f xml:space="preserve">
IF(
SUM(SUMIF(防護具!$Y$13:$Y$29,FN$17&amp;$C37,防護具!$Q$13:$Q$29),FM39)-VLOOKUP($C37,$C$3:$D$15,2,FALSE)*FM$20&lt;0,0,
SUM(SUMIF(防護具!$Y$13:$Y$29,FN$17&amp;$C37,防護具!$Q$13:$Q$29),FM39)-VLOOKUP($C37,$C$3:$D$15,2,FALSE)*FM$20)</f>
        <v>0</v>
      </c>
      <c r="FO39" s="763">
        <f xml:space="preserve">
IF(
SUM(SUMIF(防護具!$Y$13:$Y$29,FO$17&amp;$C37,防護具!$Q$13:$Q$29),FN39)-VLOOKUP($C37,$C$3:$D$15,2,FALSE)*FN$20&lt;0,0,
SUM(SUMIF(防護具!$Y$13:$Y$29,FO$17&amp;$C37,防護具!$Q$13:$Q$29),FN39)-VLOOKUP($C37,$C$3:$D$15,2,FALSE)*FN$20)</f>
        <v>0</v>
      </c>
      <c r="FP39" s="763">
        <f xml:space="preserve">
IF(
SUM(SUMIF(防護具!$Y$13:$Y$29,FP$17&amp;$C37,防護具!$Q$13:$Q$29),FO39)-VLOOKUP($C37,$C$3:$D$15,2,FALSE)*FO$20&lt;0,0,
SUM(SUMIF(防護具!$Y$13:$Y$29,FP$17&amp;$C37,防護具!$Q$13:$Q$29),FO39)-VLOOKUP($C37,$C$3:$D$15,2,FALSE)*FO$20)</f>
        <v>0</v>
      </c>
      <c r="FQ39" s="763">
        <f xml:space="preserve">
IF(
SUM(SUMIF(防護具!$Y$13:$Y$29,FQ$17&amp;$C37,防護具!$Q$13:$Q$29),FP39)-VLOOKUP($C37,$C$3:$D$15,2,FALSE)*FP$20&lt;0,0,
SUM(SUMIF(防護具!$Y$13:$Y$29,FQ$17&amp;$C37,防護具!$Q$13:$Q$29),FP39)-VLOOKUP($C37,$C$3:$D$15,2,FALSE)*FP$20)</f>
        <v>0</v>
      </c>
      <c r="FR39" s="763">
        <f xml:space="preserve">
IF(
SUM(SUMIF(防護具!$Y$13:$Y$29,FR$17&amp;$C37,防護具!$Q$13:$Q$29),FQ39)-VLOOKUP($C37,$C$3:$D$15,2,FALSE)*FQ$20&lt;0,0,
SUM(SUMIF(防護具!$Y$13:$Y$29,FR$17&amp;$C37,防護具!$Q$13:$Q$29),FQ39)-VLOOKUP($C37,$C$3:$D$15,2,FALSE)*FQ$20)</f>
        <v>0</v>
      </c>
      <c r="FS39" s="763">
        <f xml:space="preserve">
IF(
SUM(SUMIF(防護具!$Y$13:$Y$29,FS$17&amp;$C37,防護具!$Q$13:$Q$29),FR39)-VLOOKUP($C37,$C$3:$D$15,2,FALSE)*FR$20&lt;0,0,
SUM(SUMIF(防護具!$Y$13:$Y$29,FS$17&amp;$C37,防護具!$Q$13:$Q$29),FR39)-VLOOKUP($C37,$C$3:$D$15,2,FALSE)*FR$20)</f>
        <v>0</v>
      </c>
      <c r="FT39" s="763">
        <f xml:space="preserve">
IF(
SUM(SUMIF(防護具!$Y$13:$Y$29,FT$17&amp;$C37,防護具!$Q$13:$Q$29),FS39)-VLOOKUP($C37,$C$3:$D$15,2,FALSE)*FS$20&lt;0,0,
SUM(SUMIF(防護具!$Y$13:$Y$29,FT$17&amp;$C37,防護具!$Q$13:$Q$29),FS39)-VLOOKUP($C37,$C$3:$D$15,2,FALSE)*FS$20)</f>
        <v>0</v>
      </c>
      <c r="FU39" s="763">
        <f xml:space="preserve">
IF(
SUM(SUMIF(防護具!$Y$13:$Y$29,FU$17&amp;$C37,防護具!$Q$13:$Q$29),FT39)-VLOOKUP($C37,$C$3:$D$15,2,FALSE)*FT$20&lt;0,0,
SUM(SUMIF(防護具!$Y$13:$Y$29,FU$17&amp;$C37,防護具!$Q$13:$Q$29),FT39)-VLOOKUP($C37,$C$3:$D$15,2,FALSE)*FT$20)</f>
        <v>0</v>
      </c>
      <c r="FV39" s="763">
        <f xml:space="preserve">
IF(
SUM(SUMIF(防護具!$Y$13:$Y$29,FV$17&amp;$C37,防護具!$Q$13:$Q$29),FU39)-VLOOKUP($C37,$C$3:$D$15,2,FALSE)*FU$20&lt;0,0,
SUM(SUMIF(防護具!$Y$13:$Y$29,FV$17&amp;$C37,防護具!$Q$13:$Q$29),FU39)-VLOOKUP($C37,$C$3:$D$15,2,FALSE)*FU$20)</f>
        <v>0</v>
      </c>
      <c r="FW39" s="763">
        <f xml:space="preserve">
IF(
SUM(SUMIF(防護具!$Y$13:$Y$29,FW$17&amp;$C37,防護具!$Q$13:$Q$29),FV39)-VLOOKUP($C37,$C$3:$D$15,2,FALSE)*FV$20&lt;0,0,
SUM(SUMIF(防護具!$Y$13:$Y$29,FW$17&amp;$C37,防護具!$Q$13:$Q$29),FV39)-VLOOKUP($C37,$C$3:$D$15,2,FALSE)*FV$20)</f>
        <v>0</v>
      </c>
      <c r="FX39" s="763">
        <f xml:space="preserve">
IF(
SUM(SUMIF(防護具!$Y$13:$Y$29,FX$17&amp;$C37,防護具!$Q$13:$Q$29),FW39)-VLOOKUP($C37,$C$3:$D$15,2,FALSE)*FW$20&lt;0,0,
SUM(SUMIF(防護具!$Y$13:$Y$29,FX$17&amp;$C37,防護具!$Q$13:$Q$29),FW39)-VLOOKUP($C37,$C$3:$D$15,2,FALSE)*FW$20)</f>
        <v>0</v>
      </c>
      <c r="FY39" s="763">
        <f xml:space="preserve">
IF(
SUM(SUMIF(防護具!$Y$13:$Y$29,FY$17&amp;$C37,防護具!$Q$13:$Q$29),FX39)-VLOOKUP($C37,$C$3:$D$15,2,FALSE)*FX$20&lt;0,0,
SUM(SUMIF(防護具!$Y$13:$Y$29,FY$17&amp;$C37,防護具!$Q$13:$Q$29),FX39)-VLOOKUP($C37,$C$3:$D$15,2,FALSE)*FX$20)</f>
        <v>0</v>
      </c>
      <c r="FZ39" s="763">
        <f xml:space="preserve">
IF(
SUM(SUMIF(防護具!$Y$13:$Y$29,FZ$17&amp;$C37,防護具!$Q$13:$Q$29),FY39)-VLOOKUP($C37,$C$3:$D$15,2,FALSE)*FY$20&lt;0,0,
SUM(SUMIF(防護具!$Y$13:$Y$29,FZ$17&amp;$C37,防護具!$Q$13:$Q$29),FY39)-VLOOKUP($C37,$C$3:$D$15,2,FALSE)*FY$20)</f>
        <v>0</v>
      </c>
      <c r="GA39" s="763">
        <f xml:space="preserve">
IF(
SUM(SUMIF(防護具!$Y$13:$Y$29,GA$17&amp;$C37,防護具!$Q$13:$Q$29),FZ39)-VLOOKUP($C37,$C$3:$D$15,2,FALSE)*FZ$20&lt;0,0,
SUM(SUMIF(防護具!$Y$13:$Y$29,GA$17&amp;$C37,防護具!$Q$13:$Q$29),FZ39)-VLOOKUP($C37,$C$3:$D$15,2,FALSE)*FZ$20)</f>
        <v>0</v>
      </c>
      <c r="GB39" s="763">
        <f xml:space="preserve">
IF(
SUM(SUMIF(防護具!$Y$13:$Y$29,GB$17&amp;$C37,防護具!$Q$13:$Q$29),GA39)-VLOOKUP($C37,$C$3:$D$15,2,FALSE)*GA$20&lt;0,0,
SUM(SUMIF(防護具!$Y$13:$Y$29,GB$17&amp;$C37,防護具!$Q$13:$Q$29),GA39)-VLOOKUP($C37,$C$3:$D$15,2,FALSE)*GA$20)</f>
        <v>0</v>
      </c>
      <c r="GC39" s="763">
        <f xml:space="preserve">
IF(
SUM(SUMIF(防護具!$Y$13:$Y$29,GC$17&amp;$C37,防護具!$Q$13:$Q$29),GB39)-VLOOKUP($C37,$C$3:$D$15,2,FALSE)*GB$20&lt;0,0,
SUM(SUMIF(防護具!$Y$13:$Y$29,GC$17&amp;$C37,防護具!$Q$13:$Q$29),GB39)-VLOOKUP($C37,$C$3:$D$15,2,FALSE)*GB$20)</f>
        <v>0</v>
      </c>
      <c r="GD39" s="763">
        <f xml:space="preserve">
IF(
SUM(SUMIF(防護具!$Y$13:$Y$29,GD$17&amp;$C37,防護具!$Q$13:$Q$29),GC39)-VLOOKUP($C37,$C$3:$D$15,2,FALSE)*GC$20&lt;0,0,
SUM(SUMIF(防護具!$Y$13:$Y$29,GD$17&amp;$C37,防護具!$Q$13:$Q$29),GC39)-VLOOKUP($C37,$C$3:$D$15,2,FALSE)*GC$20)</f>
        <v>0</v>
      </c>
      <c r="GE39" s="763">
        <f xml:space="preserve">
IF(
SUM(SUMIF(防護具!$Y$13:$Y$29,GE$17&amp;$C37,防護具!$Q$13:$Q$29),GD39)-VLOOKUP($C37,$C$3:$D$15,2,FALSE)*GD$20&lt;0,0,
SUM(SUMIF(防護具!$Y$13:$Y$29,GE$17&amp;$C37,防護具!$Q$13:$Q$29),GD39)-VLOOKUP($C37,$C$3:$D$15,2,FALSE)*GD$20)</f>
        <v>0</v>
      </c>
      <c r="GF39" s="763">
        <f xml:space="preserve">
IF(
SUM(SUMIF(防護具!$Y$13:$Y$29,GF$17&amp;$C37,防護具!$Q$13:$Q$29),GE39)-VLOOKUP($C37,$C$3:$D$15,2,FALSE)*GE$20&lt;0,0,
SUM(SUMIF(防護具!$Y$13:$Y$29,GF$17&amp;$C37,防護具!$Q$13:$Q$29),GE39)-VLOOKUP($C37,$C$3:$D$15,2,FALSE)*GE$20)</f>
        <v>0</v>
      </c>
      <c r="GG39" s="763">
        <f xml:space="preserve">
IF(
SUM(SUMIF(防護具!$Y$13:$Y$29,GG$17&amp;$C37,防護具!$Q$13:$Q$29),GF39)-VLOOKUP($C37,$C$3:$D$15,2,FALSE)*GF$20&lt;0,0,
SUM(SUMIF(防護具!$Y$13:$Y$29,GG$17&amp;$C37,防護具!$Q$13:$Q$29),GF39)-VLOOKUP($C37,$C$3:$D$15,2,FALSE)*GF$20)</f>
        <v>0</v>
      </c>
      <c r="GH39" s="763">
        <f xml:space="preserve">
IF(
SUM(SUMIF(防護具!$Y$13:$Y$29,GH$17&amp;$C37,防護具!$Q$13:$Q$29),GG39)-VLOOKUP($C37,$C$3:$D$15,2,FALSE)*GG$20&lt;0,0,
SUM(SUMIF(防護具!$Y$13:$Y$29,GH$17&amp;$C37,防護具!$Q$13:$Q$29),GG39)-VLOOKUP($C37,$C$3:$D$15,2,FALSE)*GG$20)</f>
        <v>0</v>
      </c>
      <c r="GI39" s="763">
        <f xml:space="preserve">
IF(
SUM(SUMIF(防護具!$Y$13:$Y$29,GI$17&amp;$C37,防護具!$Q$13:$Q$29),GH39)-VLOOKUP($C37,$C$3:$D$15,2,FALSE)*GH$20&lt;0,0,
SUM(SUMIF(防護具!$Y$13:$Y$29,GI$17&amp;$C37,防護具!$Q$13:$Q$29),GH39)-VLOOKUP($C37,$C$3:$D$15,2,FALSE)*GH$20)</f>
        <v>0</v>
      </c>
      <c r="GJ39" s="763">
        <f xml:space="preserve">
IF(
SUM(SUMIF(防護具!$Y$13:$Y$29,GJ$17&amp;$C37,防護具!$Q$13:$Q$29),GI39)-VLOOKUP($C37,$C$3:$D$15,2,FALSE)*GI$20&lt;0,0,
SUM(SUMIF(防護具!$Y$13:$Y$29,GJ$17&amp;$C37,防護具!$Q$13:$Q$29),GI39)-VLOOKUP($C37,$C$3:$D$15,2,FALSE)*GI$20)</f>
        <v>0</v>
      </c>
    </row>
    <row r="40" spans="2:192" s="632" customFormat="1">
      <c r="B40" s="633"/>
      <c r="C40" s="625" t="s">
        <v>474</v>
      </c>
      <c r="D40" s="701" t="s">
        <v>1423</v>
      </c>
      <c r="E40" s="706"/>
      <c r="F40" s="653"/>
      <c r="G40" s="762">
        <f xml:space="preserve">
MIN(G41,
IF((VLOOKUP($C40,$C$3:$D$15,2,FALSE)*G$20-G42)&lt;0,0,VLOOKUP($C40,$C$3:$D$15,2,FALSE)*G$20-G42))</f>
        <v>0</v>
      </c>
      <c r="H40" s="762">
        <f xml:space="preserve">
IF(G42&gt;=VLOOKUP($C40,$C$3:$D$15,2,FALSE)*H$20,0,
IF(AND(G42&lt;VLOOKUP($C40,$C$3:$D$15,2,FALSE)*H$20,H41&lt;=VLOOKUP($C40,$C$3:$D$15,2,FALSE)*H$20),IF(H41-G42&lt;0,0,H41-G42),
IF(AND(G42&lt;VLOOKUP($C40,$C$3:$D$15,2,FALSE)*H$20,H41&gt;VLOOKUP($C40,$C$3:$D$15,2,FALSE)*H$20),VLOOKUP($C40,$C$3:$D$15,2,FALSE)*H$20-G42)))</f>
        <v>0</v>
      </c>
      <c r="I40" s="762">
        <f t="shared" ref="I40:P40" si="1182" xml:space="preserve">
IF(H42&gt;=VLOOKUP($C40,$C$3:$D$15,2,FALSE)*I$20,0,
IF(AND(H42&lt;VLOOKUP($C40,$C$3:$D$15,2,FALSE)*I$20,I41&lt;=VLOOKUP($C40,$C$3:$D$15,2,FALSE)*I$20),IF(I41-H42&lt;0,0,I41-H42),
IF(AND(H42&lt;VLOOKUP($C40,$C$3:$D$15,2,FALSE)*I$20,I41&gt;VLOOKUP($C40,$C$3:$D$15,2,FALSE)*I$20),VLOOKUP($C40,$C$3:$D$15,2,FALSE)*I$20-H42)))</f>
        <v>0</v>
      </c>
      <c r="J40" s="762">
        <f t="shared" si="1182"/>
        <v>0</v>
      </c>
      <c r="K40" s="762">
        <f t="shared" si="1182"/>
        <v>0</v>
      </c>
      <c r="L40" s="762">
        <f t="shared" si="1182"/>
        <v>0</v>
      </c>
      <c r="M40" s="762">
        <f t="shared" si="1182"/>
        <v>0</v>
      </c>
      <c r="N40" s="762">
        <f t="shared" si="1182"/>
        <v>0</v>
      </c>
      <c r="O40" s="762">
        <f t="shared" si="1182"/>
        <v>0</v>
      </c>
      <c r="P40" s="762">
        <f t="shared" si="1182"/>
        <v>0</v>
      </c>
      <c r="Q40" s="762">
        <f t="shared" ref="Q40" si="1183" xml:space="preserve">
IF(P42&gt;=VLOOKUP($C40,$C$3:$D$15,2,FALSE)*Q$20,0,
IF(AND(P42&lt;VLOOKUP($C40,$C$3:$D$15,2,FALSE)*Q$20,Q41&lt;=VLOOKUP($C40,$C$3:$D$15,2,FALSE)*Q$20),IF(Q41-P42&lt;0,0,Q41-P42),
IF(AND(P42&lt;VLOOKUP($C40,$C$3:$D$15,2,FALSE)*Q$20,Q41&gt;VLOOKUP($C40,$C$3:$D$15,2,FALSE)*Q$20),VLOOKUP($C40,$C$3:$D$15,2,FALSE)*Q$20-P42)))</f>
        <v>0</v>
      </c>
      <c r="R40" s="762">
        <f t="shared" ref="R40" si="1184" xml:space="preserve">
IF(Q42&gt;=VLOOKUP($C40,$C$3:$D$15,2,FALSE)*R$20,0,
IF(AND(Q42&lt;VLOOKUP($C40,$C$3:$D$15,2,FALSE)*R$20,R41&lt;=VLOOKUP($C40,$C$3:$D$15,2,FALSE)*R$20),IF(R41-Q42&lt;0,0,R41-Q42),
IF(AND(Q42&lt;VLOOKUP($C40,$C$3:$D$15,2,FALSE)*R$20,R41&gt;VLOOKUP($C40,$C$3:$D$15,2,FALSE)*R$20),VLOOKUP($C40,$C$3:$D$15,2,FALSE)*R$20-Q42)))</f>
        <v>0</v>
      </c>
      <c r="S40" s="762">
        <f t="shared" ref="S40" si="1185" xml:space="preserve">
IF(R42&gt;=VLOOKUP($C40,$C$3:$D$15,2,FALSE)*S$20,0,
IF(AND(R42&lt;VLOOKUP($C40,$C$3:$D$15,2,FALSE)*S$20,S41&lt;=VLOOKUP($C40,$C$3:$D$15,2,FALSE)*S$20),IF(S41-R42&lt;0,0,S41-R42),
IF(AND(R42&lt;VLOOKUP($C40,$C$3:$D$15,2,FALSE)*S$20,S41&gt;VLOOKUP($C40,$C$3:$D$15,2,FALSE)*S$20),VLOOKUP($C40,$C$3:$D$15,2,FALSE)*S$20-R42)))</f>
        <v>0</v>
      </c>
      <c r="T40" s="762">
        <f t="shared" ref="T40" si="1186" xml:space="preserve">
IF(S42&gt;=VLOOKUP($C40,$C$3:$D$15,2,FALSE)*T$20,0,
IF(AND(S42&lt;VLOOKUP($C40,$C$3:$D$15,2,FALSE)*T$20,T41&lt;=VLOOKUP($C40,$C$3:$D$15,2,FALSE)*T$20),IF(T41-S42&lt;0,0,T41-S42),
IF(AND(S42&lt;VLOOKUP($C40,$C$3:$D$15,2,FALSE)*T$20,T41&gt;VLOOKUP($C40,$C$3:$D$15,2,FALSE)*T$20),VLOOKUP($C40,$C$3:$D$15,2,FALSE)*T$20-S42)))</f>
        <v>0</v>
      </c>
      <c r="U40" s="762">
        <f t="shared" ref="U40" si="1187" xml:space="preserve">
IF(T42&gt;=VLOOKUP($C40,$C$3:$D$15,2,FALSE)*U$20,0,
IF(AND(T42&lt;VLOOKUP($C40,$C$3:$D$15,2,FALSE)*U$20,U41&lt;=VLOOKUP($C40,$C$3:$D$15,2,FALSE)*U$20),IF(U41-T42&lt;0,0,U41-T42),
IF(AND(T42&lt;VLOOKUP($C40,$C$3:$D$15,2,FALSE)*U$20,U41&gt;VLOOKUP($C40,$C$3:$D$15,2,FALSE)*U$20),VLOOKUP($C40,$C$3:$D$15,2,FALSE)*U$20-T42)))</f>
        <v>0</v>
      </c>
      <c r="V40" s="762">
        <f t="shared" ref="V40" si="1188" xml:space="preserve">
IF(U42&gt;=VLOOKUP($C40,$C$3:$D$15,2,FALSE)*V$20,0,
IF(AND(U42&lt;VLOOKUP($C40,$C$3:$D$15,2,FALSE)*V$20,V41&lt;=VLOOKUP($C40,$C$3:$D$15,2,FALSE)*V$20),IF(V41-U42&lt;0,0,V41-U42),
IF(AND(U42&lt;VLOOKUP($C40,$C$3:$D$15,2,FALSE)*V$20,V41&gt;VLOOKUP($C40,$C$3:$D$15,2,FALSE)*V$20),VLOOKUP($C40,$C$3:$D$15,2,FALSE)*V$20-U42)))</f>
        <v>0</v>
      </c>
      <c r="W40" s="762">
        <f t="shared" ref="W40" si="1189" xml:space="preserve">
IF(V42&gt;=VLOOKUP($C40,$C$3:$D$15,2,FALSE)*W$20,0,
IF(AND(V42&lt;VLOOKUP($C40,$C$3:$D$15,2,FALSE)*W$20,W41&lt;=VLOOKUP($C40,$C$3:$D$15,2,FALSE)*W$20),IF(W41-V42&lt;0,0,W41-V42),
IF(AND(V42&lt;VLOOKUP($C40,$C$3:$D$15,2,FALSE)*W$20,W41&gt;VLOOKUP($C40,$C$3:$D$15,2,FALSE)*W$20),VLOOKUP($C40,$C$3:$D$15,2,FALSE)*W$20-V42)))</f>
        <v>0</v>
      </c>
      <c r="X40" s="762">
        <f t="shared" ref="X40" si="1190" xml:space="preserve">
IF(W42&gt;=VLOOKUP($C40,$C$3:$D$15,2,FALSE)*X$20,0,
IF(AND(W42&lt;VLOOKUP($C40,$C$3:$D$15,2,FALSE)*X$20,X41&lt;=VLOOKUP($C40,$C$3:$D$15,2,FALSE)*X$20),IF(X41-W42&lt;0,0,X41-W42),
IF(AND(W42&lt;VLOOKUP($C40,$C$3:$D$15,2,FALSE)*X$20,X41&gt;VLOOKUP($C40,$C$3:$D$15,2,FALSE)*X$20),VLOOKUP($C40,$C$3:$D$15,2,FALSE)*X$20-W42)))</f>
        <v>0</v>
      </c>
      <c r="Y40" s="762">
        <f t="shared" ref="Y40" si="1191" xml:space="preserve">
IF(X42&gt;=VLOOKUP($C40,$C$3:$D$15,2,FALSE)*Y$20,0,
IF(AND(X42&lt;VLOOKUP($C40,$C$3:$D$15,2,FALSE)*Y$20,Y41&lt;=VLOOKUP($C40,$C$3:$D$15,2,FALSE)*Y$20),IF(Y41-X42&lt;0,0,Y41-X42),
IF(AND(X42&lt;VLOOKUP($C40,$C$3:$D$15,2,FALSE)*Y$20,Y41&gt;VLOOKUP($C40,$C$3:$D$15,2,FALSE)*Y$20),VLOOKUP($C40,$C$3:$D$15,2,FALSE)*Y$20-X42)))</f>
        <v>0</v>
      </c>
      <c r="Z40" s="762">
        <f t="shared" ref="Z40" si="1192" xml:space="preserve">
IF(Y42&gt;=VLOOKUP($C40,$C$3:$D$15,2,FALSE)*Z$20,0,
IF(AND(Y42&lt;VLOOKUP($C40,$C$3:$D$15,2,FALSE)*Z$20,Z41&lt;=VLOOKUP($C40,$C$3:$D$15,2,FALSE)*Z$20),IF(Z41-Y42&lt;0,0,Z41-Y42),
IF(AND(Y42&lt;VLOOKUP($C40,$C$3:$D$15,2,FALSE)*Z$20,Z41&gt;VLOOKUP($C40,$C$3:$D$15,2,FALSE)*Z$20),VLOOKUP($C40,$C$3:$D$15,2,FALSE)*Z$20-Y42)))</f>
        <v>0</v>
      </c>
      <c r="AA40" s="762">
        <f t="shared" ref="AA40" si="1193" xml:space="preserve">
IF(Z42&gt;=VLOOKUP($C40,$C$3:$D$15,2,FALSE)*AA$20,0,
IF(AND(Z42&lt;VLOOKUP($C40,$C$3:$D$15,2,FALSE)*AA$20,AA41&lt;=VLOOKUP($C40,$C$3:$D$15,2,FALSE)*AA$20),IF(AA41-Z42&lt;0,0,AA41-Z42),
IF(AND(Z42&lt;VLOOKUP($C40,$C$3:$D$15,2,FALSE)*AA$20,AA41&gt;VLOOKUP($C40,$C$3:$D$15,2,FALSE)*AA$20),VLOOKUP($C40,$C$3:$D$15,2,FALSE)*AA$20-Z42)))</f>
        <v>0</v>
      </c>
      <c r="AB40" s="762">
        <f t="shared" ref="AB40" si="1194" xml:space="preserve">
IF(AA42&gt;=VLOOKUP($C40,$C$3:$D$15,2,FALSE)*AB$20,0,
IF(AND(AA42&lt;VLOOKUP($C40,$C$3:$D$15,2,FALSE)*AB$20,AB41&lt;=VLOOKUP($C40,$C$3:$D$15,2,FALSE)*AB$20),IF(AB41-AA42&lt;0,0,AB41-AA42),
IF(AND(AA42&lt;VLOOKUP($C40,$C$3:$D$15,2,FALSE)*AB$20,AB41&gt;VLOOKUP($C40,$C$3:$D$15,2,FALSE)*AB$20),VLOOKUP($C40,$C$3:$D$15,2,FALSE)*AB$20-AA42)))</f>
        <v>0</v>
      </c>
      <c r="AC40" s="762">
        <f t="shared" ref="AC40" si="1195" xml:space="preserve">
IF(AB42&gt;=VLOOKUP($C40,$C$3:$D$15,2,FALSE)*AC$20,0,
IF(AND(AB42&lt;VLOOKUP($C40,$C$3:$D$15,2,FALSE)*AC$20,AC41&lt;=VLOOKUP($C40,$C$3:$D$15,2,FALSE)*AC$20),IF(AC41-AB42&lt;0,0,AC41-AB42),
IF(AND(AB42&lt;VLOOKUP($C40,$C$3:$D$15,2,FALSE)*AC$20,AC41&gt;VLOOKUP($C40,$C$3:$D$15,2,FALSE)*AC$20),VLOOKUP($C40,$C$3:$D$15,2,FALSE)*AC$20-AB42)))</f>
        <v>0</v>
      </c>
      <c r="AD40" s="762">
        <f t="shared" ref="AD40" si="1196" xml:space="preserve">
IF(AC42&gt;=VLOOKUP($C40,$C$3:$D$15,2,FALSE)*AD$20,0,
IF(AND(AC42&lt;VLOOKUP($C40,$C$3:$D$15,2,FALSE)*AD$20,AD41&lt;=VLOOKUP($C40,$C$3:$D$15,2,FALSE)*AD$20),IF(AD41-AC42&lt;0,0,AD41-AC42),
IF(AND(AC42&lt;VLOOKUP($C40,$C$3:$D$15,2,FALSE)*AD$20,AD41&gt;VLOOKUP($C40,$C$3:$D$15,2,FALSE)*AD$20),VLOOKUP($C40,$C$3:$D$15,2,FALSE)*AD$20-AC42)))</f>
        <v>0</v>
      </c>
      <c r="AE40" s="762">
        <f t="shared" ref="AE40" si="1197" xml:space="preserve">
IF(AD42&gt;=VLOOKUP($C40,$C$3:$D$15,2,FALSE)*AE$20,0,
IF(AND(AD42&lt;VLOOKUP($C40,$C$3:$D$15,2,FALSE)*AE$20,AE41&lt;=VLOOKUP($C40,$C$3:$D$15,2,FALSE)*AE$20),IF(AE41-AD42&lt;0,0,AE41-AD42),
IF(AND(AD42&lt;VLOOKUP($C40,$C$3:$D$15,2,FALSE)*AE$20,AE41&gt;VLOOKUP($C40,$C$3:$D$15,2,FALSE)*AE$20),VLOOKUP($C40,$C$3:$D$15,2,FALSE)*AE$20-AD42)))</f>
        <v>0</v>
      </c>
      <c r="AF40" s="762">
        <f t="shared" ref="AF40" si="1198" xml:space="preserve">
IF(AE42&gt;=VLOOKUP($C40,$C$3:$D$15,2,FALSE)*AF$20,0,
IF(AND(AE42&lt;VLOOKUP($C40,$C$3:$D$15,2,FALSE)*AF$20,AF41&lt;=VLOOKUP($C40,$C$3:$D$15,2,FALSE)*AF$20),IF(AF41-AE42&lt;0,0,AF41-AE42),
IF(AND(AE42&lt;VLOOKUP($C40,$C$3:$D$15,2,FALSE)*AF$20,AF41&gt;VLOOKUP($C40,$C$3:$D$15,2,FALSE)*AF$20),VLOOKUP($C40,$C$3:$D$15,2,FALSE)*AF$20-AE42)))</f>
        <v>0</v>
      </c>
      <c r="AG40" s="762">
        <f t="shared" ref="AG40" si="1199" xml:space="preserve">
IF(AF42&gt;=VLOOKUP($C40,$C$3:$D$15,2,FALSE)*AG$20,0,
IF(AND(AF42&lt;VLOOKUP($C40,$C$3:$D$15,2,FALSE)*AG$20,AG41&lt;=VLOOKUP($C40,$C$3:$D$15,2,FALSE)*AG$20),IF(AG41-AF42&lt;0,0,AG41-AF42),
IF(AND(AF42&lt;VLOOKUP($C40,$C$3:$D$15,2,FALSE)*AG$20,AG41&gt;VLOOKUP($C40,$C$3:$D$15,2,FALSE)*AG$20),VLOOKUP($C40,$C$3:$D$15,2,FALSE)*AG$20-AF42)))</f>
        <v>0</v>
      </c>
      <c r="AH40" s="762">
        <f t="shared" ref="AH40" si="1200" xml:space="preserve">
IF(AG42&gt;=VLOOKUP($C40,$C$3:$D$15,2,FALSE)*AH$20,0,
IF(AND(AG42&lt;VLOOKUP($C40,$C$3:$D$15,2,FALSE)*AH$20,AH41&lt;=VLOOKUP($C40,$C$3:$D$15,2,FALSE)*AH$20),IF(AH41-AG42&lt;0,0,AH41-AG42),
IF(AND(AG42&lt;VLOOKUP($C40,$C$3:$D$15,2,FALSE)*AH$20,AH41&gt;VLOOKUP($C40,$C$3:$D$15,2,FALSE)*AH$20),VLOOKUP($C40,$C$3:$D$15,2,FALSE)*AH$20-AG42)))</f>
        <v>0</v>
      </c>
      <c r="AI40" s="762">
        <f t="shared" ref="AI40" si="1201" xml:space="preserve">
IF(AH42&gt;=VLOOKUP($C40,$C$3:$D$15,2,FALSE)*AI$20,0,
IF(AND(AH42&lt;VLOOKUP($C40,$C$3:$D$15,2,FALSE)*AI$20,AI41&lt;=VLOOKUP($C40,$C$3:$D$15,2,FALSE)*AI$20),IF(AI41-AH42&lt;0,0,AI41-AH42),
IF(AND(AH42&lt;VLOOKUP($C40,$C$3:$D$15,2,FALSE)*AI$20,AI41&gt;VLOOKUP($C40,$C$3:$D$15,2,FALSE)*AI$20),VLOOKUP($C40,$C$3:$D$15,2,FALSE)*AI$20-AH42)))</f>
        <v>0</v>
      </c>
      <c r="AJ40" s="762">
        <f t="shared" ref="AJ40" si="1202" xml:space="preserve">
IF(AI42&gt;=VLOOKUP($C40,$C$3:$D$15,2,FALSE)*AJ$20,0,
IF(AND(AI42&lt;VLOOKUP($C40,$C$3:$D$15,2,FALSE)*AJ$20,AJ41&lt;=VLOOKUP($C40,$C$3:$D$15,2,FALSE)*AJ$20),IF(AJ41-AI42&lt;0,0,AJ41-AI42),
IF(AND(AI42&lt;VLOOKUP($C40,$C$3:$D$15,2,FALSE)*AJ$20,AJ41&gt;VLOOKUP($C40,$C$3:$D$15,2,FALSE)*AJ$20),VLOOKUP($C40,$C$3:$D$15,2,FALSE)*AJ$20-AI42)))</f>
        <v>0</v>
      </c>
      <c r="AK40" s="762">
        <f t="shared" ref="AK40" si="1203" xml:space="preserve">
IF(AJ42&gt;=VLOOKUP($C40,$C$3:$D$15,2,FALSE)*AK$20,0,
IF(AND(AJ42&lt;VLOOKUP($C40,$C$3:$D$15,2,FALSE)*AK$20,AK41&lt;=VLOOKUP($C40,$C$3:$D$15,2,FALSE)*AK$20),IF(AK41-AJ42&lt;0,0,AK41-AJ42),
IF(AND(AJ42&lt;VLOOKUP($C40,$C$3:$D$15,2,FALSE)*AK$20,AK41&gt;VLOOKUP($C40,$C$3:$D$15,2,FALSE)*AK$20),VLOOKUP($C40,$C$3:$D$15,2,FALSE)*AK$20-AJ42)))</f>
        <v>0</v>
      </c>
      <c r="AL40" s="762">
        <f t="shared" ref="AL40" si="1204" xml:space="preserve">
IF(AK42&gt;=VLOOKUP($C40,$C$3:$D$15,2,FALSE)*AL$20,0,
IF(AND(AK42&lt;VLOOKUP($C40,$C$3:$D$15,2,FALSE)*AL$20,AL41&lt;=VLOOKUP($C40,$C$3:$D$15,2,FALSE)*AL$20),IF(AL41-AK42&lt;0,0,AL41-AK42),
IF(AND(AK42&lt;VLOOKUP($C40,$C$3:$D$15,2,FALSE)*AL$20,AL41&gt;VLOOKUP($C40,$C$3:$D$15,2,FALSE)*AL$20),VLOOKUP($C40,$C$3:$D$15,2,FALSE)*AL$20-AK42)))</f>
        <v>0</v>
      </c>
      <c r="AM40" s="762">
        <f t="shared" ref="AM40" si="1205" xml:space="preserve">
IF(AL42&gt;=VLOOKUP($C40,$C$3:$D$15,2,FALSE)*AM$20,0,
IF(AND(AL42&lt;VLOOKUP($C40,$C$3:$D$15,2,FALSE)*AM$20,AM41&lt;=VLOOKUP($C40,$C$3:$D$15,2,FALSE)*AM$20),IF(AM41-AL42&lt;0,0,AM41-AL42),
IF(AND(AL42&lt;VLOOKUP($C40,$C$3:$D$15,2,FALSE)*AM$20,AM41&gt;VLOOKUP($C40,$C$3:$D$15,2,FALSE)*AM$20),VLOOKUP($C40,$C$3:$D$15,2,FALSE)*AM$20-AL42)))</f>
        <v>0</v>
      </c>
      <c r="AN40" s="762">
        <f t="shared" ref="AN40" si="1206" xml:space="preserve">
IF(AM42&gt;=VLOOKUP($C40,$C$3:$D$15,2,FALSE)*AN$20,0,
IF(AND(AM42&lt;VLOOKUP($C40,$C$3:$D$15,2,FALSE)*AN$20,AN41&lt;=VLOOKUP($C40,$C$3:$D$15,2,FALSE)*AN$20),IF(AN41-AM42&lt;0,0,AN41-AM42),
IF(AND(AM42&lt;VLOOKUP($C40,$C$3:$D$15,2,FALSE)*AN$20,AN41&gt;VLOOKUP($C40,$C$3:$D$15,2,FALSE)*AN$20),VLOOKUP($C40,$C$3:$D$15,2,FALSE)*AN$20-AM42)))</f>
        <v>0</v>
      </c>
      <c r="AO40" s="762">
        <f t="shared" ref="AO40" si="1207" xml:space="preserve">
IF(AN42&gt;=VLOOKUP($C40,$C$3:$D$15,2,FALSE)*AO$20,0,
IF(AND(AN42&lt;VLOOKUP($C40,$C$3:$D$15,2,FALSE)*AO$20,AO41&lt;=VLOOKUP($C40,$C$3:$D$15,2,FALSE)*AO$20),IF(AO41-AN42&lt;0,0,AO41-AN42),
IF(AND(AN42&lt;VLOOKUP($C40,$C$3:$D$15,2,FALSE)*AO$20,AO41&gt;VLOOKUP($C40,$C$3:$D$15,2,FALSE)*AO$20),VLOOKUP($C40,$C$3:$D$15,2,FALSE)*AO$20-AN42)))</f>
        <v>0</v>
      </c>
      <c r="AP40" s="762">
        <f t="shared" ref="AP40" si="1208" xml:space="preserve">
IF(AO42&gt;=VLOOKUP($C40,$C$3:$D$15,2,FALSE)*AP$20,0,
IF(AND(AO42&lt;VLOOKUP($C40,$C$3:$D$15,2,FALSE)*AP$20,AP41&lt;=VLOOKUP($C40,$C$3:$D$15,2,FALSE)*AP$20),IF(AP41-AO42&lt;0,0,AP41-AO42),
IF(AND(AO42&lt;VLOOKUP($C40,$C$3:$D$15,2,FALSE)*AP$20,AP41&gt;VLOOKUP($C40,$C$3:$D$15,2,FALSE)*AP$20),VLOOKUP($C40,$C$3:$D$15,2,FALSE)*AP$20-AO42)))</f>
        <v>0</v>
      </c>
      <c r="AQ40" s="762">
        <f t="shared" ref="AQ40" si="1209" xml:space="preserve">
IF(AP42&gt;=VLOOKUP($C40,$C$3:$D$15,2,FALSE)*AQ$20,0,
IF(AND(AP42&lt;VLOOKUP($C40,$C$3:$D$15,2,FALSE)*AQ$20,AQ41&lt;=VLOOKUP($C40,$C$3:$D$15,2,FALSE)*AQ$20),IF(AQ41-AP42&lt;0,0,AQ41-AP42),
IF(AND(AP42&lt;VLOOKUP($C40,$C$3:$D$15,2,FALSE)*AQ$20,AQ41&gt;VLOOKUP($C40,$C$3:$D$15,2,FALSE)*AQ$20),VLOOKUP($C40,$C$3:$D$15,2,FALSE)*AQ$20-AP42)))</f>
        <v>0</v>
      </c>
      <c r="AR40" s="762">
        <f t="shared" ref="AR40" si="1210" xml:space="preserve">
IF(AQ42&gt;=VLOOKUP($C40,$C$3:$D$15,2,FALSE)*AR$20,0,
IF(AND(AQ42&lt;VLOOKUP($C40,$C$3:$D$15,2,FALSE)*AR$20,AR41&lt;=VLOOKUP($C40,$C$3:$D$15,2,FALSE)*AR$20),IF(AR41-AQ42&lt;0,0,AR41-AQ42),
IF(AND(AQ42&lt;VLOOKUP($C40,$C$3:$D$15,2,FALSE)*AR$20,AR41&gt;VLOOKUP($C40,$C$3:$D$15,2,FALSE)*AR$20),VLOOKUP($C40,$C$3:$D$15,2,FALSE)*AR$20-AQ42)))</f>
        <v>0</v>
      </c>
      <c r="AS40" s="762">
        <f t="shared" ref="AS40" si="1211" xml:space="preserve">
IF(AR42&gt;=VLOOKUP($C40,$C$3:$D$15,2,FALSE)*AS$20,0,
IF(AND(AR42&lt;VLOOKUP($C40,$C$3:$D$15,2,FALSE)*AS$20,AS41&lt;=VLOOKUP($C40,$C$3:$D$15,2,FALSE)*AS$20),IF(AS41-AR42&lt;0,0,AS41-AR42),
IF(AND(AR42&lt;VLOOKUP($C40,$C$3:$D$15,2,FALSE)*AS$20,AS41&gt;VLOOKUP($C40,$C$3:$D$15,2,FALSE)*AS$20),VLOOKUP($C40,$C$3:$D$15,2,FALSE)*AS$20-AR42)))</f>
        <v>0</v>
      </c>
      <c r="AT40" s="762">
        <f t="shared" ref="AT40" si="1212" xml:space="preserve">
IF(AS42&gt;=VLOOKUP($C40,$C$3:$D$15,2,FALSE)*AT$20,0,
IF(AND(AS42&lt;VLOOKUP($C40,$C$3:$D$15,2,FALSE)*AT$20,AT41&lt;=VLOOKUP($C40,$C$3:$D$15,2,FALSE)*AT$20),IF(AT41-AS42&lt;0,0,AT41-AS42),
IF(AND(AS42&lt;VLOOKUP($C40,$C$3:$D$15,2,FALSE)*AT$20,AT41&gt;VLOOKUP($C40,$C$3:$D$15,2,FALSE)*AT$20),VLOOKUP($C40,$C$3:$D$15,2,FALSE)*AT$20-AS42)))</f>
        <v>0</v>
      </c>
      <c r="AU40" s="762">
        <f t="shared" ref="AU40" si="1213" xml:space="preserve">
IF(AT42&gt;=VLOOKUP($C40,$C$3:$D$15,2,FALSE)*AU$20,0,
IF(AND(AT42&lt;VLOOKUP($C40,$C$3:$D$15,2,FALSE)*AU$20,AU41&lt;=VLOOKUP($C40,$C$3:$D$15,2,FALSE)*AU$20),IF(AU41-AT42&lt;0,0,AU41-AT42),
IF(AND(AT42&lt;VLOOKUP($C40,$C$3:$D$15,2,FALSE)*AU$20,AU41&gt;VLOOKUP($C40,$C$3:$D$15,2,FALSE)*AU$20),VLOOKUP($C40,$C$3:$D$15,2,FALSE)*AU$20-AT42)))</f>
        <v>0</v>
      </c>
      <c r="AV40" s="762">
        <f t="shared" ref="AV40" si="1214" xml:space="preserve">
IF(AU42&gt;=VLOOKUP($C40,$C$3:$D$15,2,FALSE)*AV$20,0,
IF(AND(AU42&lt;VLOOKUP($C40,$C$3:$D$15,2,FALSE)*AV$20,AV41&lt;=VLOOKUP($C40,$C$3:$D$15,2,FALSE)*AV$20),IF(AV41-AU42&lt;0,0,AV41-AU42),
IF(AND(AU42&lt;VLOOKUP($C40,$C$3:$D$15,2,FALSE)*AV$20,AV41&gt;VLOOKUP($C40,$C$3:$D$15,2,FALSE)*AV$20),VLOOKUP($C40,$C$3:$D$15,2,FALSE)*AV$20-AU42)))</f>
        <v>0</v>
      </c>
      <c r="AW40" s="762">
        <f t="shared" ref="AW40" si="1215" xml:space="preserve">
IF(AV42&gt;=VLOOKUP($C40,$C$3:$D$15,2,FALSE)*AW$20,0,
IF(AND(AV42&lt;VLOOKUP($C40,$C$3:$D$15,2,FALSE)*AW$20,AW41&lt;=VLOOKUP($C40,$C$3:$D$15,2,FALSE)*AW$20),IF(AW41-AV42&lt;0,0,AW41-AV42),
IF(AND(AV42&lt;VLOOKUP($C40,$C$3:$D$15,2,FALSE)*AW$20,AW41&gt;VLOOKUP($C40,$C$3:$D$15,2,FALSE)*AW$20),VLOOKUP($C40,$C$3:$D$15,2,FALSE)*AW$20-AV42)))</f>
        <v>0</v>
      </c>
      <c r="AX40" s="762">
        <f t="shared" ref="AX40" si="1216" xml:space="preserve">
IF(AW42&gt;=VLOOKUP($C40,$C$3:$D$15,2,FALSE)*AX$20,0,
IF(AND(AW42&lt;VLOOKUP($C40,$C$3:$D$15,2,FALSE)*AX$20,AX41&lt;=VLOOKUP($C40,$C$3:$D$15,2,FALSE)*AX$20),IF(AX41-AW42&lt;0,0,AX41-AW42),
IF(AND(AW42&lt;VLOOKUP($C40,$C$3:$D$15,2,FALSE)*AX$20,AX41&gt;VLOOKUP($C40,$C$3:$D$15,2,FALSE)*AX$20),VLOOKUP($C40,$C$3:$D$15,2,FALSE)*AX$20-AW42)))</f>
        <v>0</v>
      </c>
      <c r="AY40" s="762">
        <f t="shared" ref="AY40" si="1217" xml:space="preserve">
IF(AX42&gt;=VLOOKUP($C40,$C$3:$D$15,2,FALSE)*AY$20,0,
IF(AND(AX42&lt;VLOOKUP($C40,$C$3:$D$15,2,FALSE)*AY$20,AY41&lt;=VLOOKUP($C40,$C$3:$D$15,2,FALSE)*AY$20),IF(AY41-AX42&lt;0,0,AY41-AX42),
IF(AND(AX42&lt;VLOOKUP($C40,$C$3:$D$15,2,FALSE)*AY$20,AY41&gt;VLOOKUP($C40,$C$3:$D$15,2,FALSE)*AY$20),VLOOKUP($C40,$C$3:$D$15,2,FALSE)*AY$20-AX42)))</f>
        <v>0</v>
      </c>
      <c r="AZ40" s="762">
        <f t="shared" ref="AZ40" si="1218" xml:space="preserve">
IF(AY42&gt;=VLOOKUP($C40,$C$3:$D$15,2,FALSE)*AZ$20,0,
IF(AND(AY42&lt;VLOOKUP($C40,$C$3:$D$15,2,FALSE)*AZ$20,AZ41&lt;=VLOOKUP($C40,$C$3:$D$15,2,FALSE)*AZ$20),IF(AZ41-AY42&lt;0,0,AZ41-AY42),
IF(AND(AY42&lt;VLOOKUP($C40,$C$3:$D$15,2,FALSE)*AZ$20,AZ41&gt;VLOOKUP($C40,$C$3:$D$15,2,FALSE)*AZ$20),VLOOKUP($C40,$C$3:$D$15,2,FALSE)*AZ$20-AY42)))</f>
        <v>0</v>
      </c>
      <c r="BA40" s="762">
        <f t="shared" ref="BA40" si="1219" xml:space="preserve">
IF(AZ42&gt;=VLOOKUP($C40,$C$3:$D$15,2,FALSE)*BA$20,0,
IF(AND(AZ42&lt;VLOOKUP($C40,$C$3:$D$15,2,FALSE)*BA$20,BA41&lt;=VLOOKUP($C40,$C$3:$D$15,2,FALSE)*BA$20),IF(BA41-AZ42&lt;0,0,BA41-AZ42),
IF(AND(AZ42&lt;VLOOKUP($C40,$C$3:$D$15,2,FALSE)*BA$20,BA41&gt;VLOOKUP($C40,$C$3:$D$15,2,FALSE)*BA$20),VLOOKUP($C40,$C$3:$D$15,2,FALSE)*BA$20-AZ42)))</f>
        <v>0</v>
      </c>
      <c r="BB40" s="762">
        <f t="shared" ref="BB40" si="1220" xml:space="preserve">
IF(BA42&gt;=VLOOKUP($C40,$C$3:$D$15,2,FALSE)*BB$20,0,
IF(AND(BA42&lt;VLOOKUP($C40,$C$3:$D$15,2,FALSE)*BB$20,BB41&lt;=VLOOKUP($C40,$C$3:$D$15,2,FALSE)*BB$20),IF(BB41-BA42&lt;0,0,BB41-BA42),
IF(AND(BA42&lt;VLOOKUP($C40,$C$3:$D$15,2,FALSE)*BB$20,BB41&gt;VLOOKUP($C40,$C$3:$D$15,2,FALSE)*BB$20),VLOOKUP($C40,$C$3:$D$15,2,FALSE)*BB$20-BA42)))</f>
        <v>0</v>
      </c>
      <c r="BC40" s="762">
        <f t="shared" ref="BC40" si="1221" xml:space="preserve">
IF(BB42&gt;=VLOOKUP($C40,$C$3:$D$15,2,FALSE)*BC$20,0,
IF(AND(BB42&lt;VLOOKUP($C40,$C$3:$D$15,2,FALSE)*BC$20,BC41&lt;=VLOOKUP($C40,$C$3:$D$15,2,FALSE)*BC$20),IF(BC41-BB42&lt;0,0,BC41-BB42),
IF(AND(BB42&lt;VLOOKUP($C40,$C$3:$D$15,2,FALSE)*BC$20,BC41&gt;VLOOKUP($C40,$C$3:$D$15,2,FALSE)*BC$20),VLOOKUP($C40,$C$3:$D$15,2,FALSE)*BC$20-BB42)))</f>
        <v>0</v>
      </c>
      <c r="BD40" s="762">
        <f t="shared" ref="BD40" si="1222" xml:space="preserve">
IF(BC42&gt;=VLOOKUP($C40,$C$3:$D$15,2,FALSE)*BD$20,0,
IF(AND(BC42&lt;VLOOKUP($C40,$C$3:$D$15,2,FALSE)*BD$20,BD41&lt;=VLOOKUP($C40,$C$3:$D$15,2,FALSE)*BD$20),IF(BD41-BC42&lt;0,0,BD41-BC42),
IF(AND(BC42&lt;VLOOKUP($C40,$C$3:$D$15,2,FALSE)*BD$20,BD41&gt;VLOOKUP($C40,$C$3:$D$15,2,FALSE)*BD$20),VLOOKUP($C40,$C$3:$D$15,2,FALSE)*BD$20-BC42)))</f>
        <v>0</v>
      </c>
      <c r="BE40" s="762">
        <f t="shared" ref="BE40" si="1223" xml:space="preserve">
IF(BD42&gt;=VLOOKUP($C40,$C$3:$D$15,2,FALSE)*BE$20,0,
IF(AND(BD42&lt;VLOOKUP($C40,$C$3:$D$15,2,FALSE)*BE$20,BE41&lt;=VLOOKUP($C40,$C$3:$D$15,2,FALSE)*BE$20),IF(BE41-BD42&lt;0,0,BE41-BD42),
IF(AND(BD42&lt;VLOOKUP($C40,$C$3:$D$15,2,FALSE)*BE$20,BE41&gt;VLOOKUP($C40,$C$3:$D$15,2,FALSE)*BE$20),VLOOKUP($C40,$C$3:$D$15,2,FALSE)*BE$20-BD42)))</f>
        <v>0</v>
      </c>
      <c r="BF40" s="762">
        <f t="shared" ref="BF40" si="1224" xml:space="preserve">
IF(BE42&gt;=VLOOKUP($C40,$C$3:$D$15,2,FALSE)*BF$20,0,
IF(AND(BE42&lt;VLOOKUP($C40,$C$3:$D$15,2,FALSE)*BF$20,BF41&lt;=VLOOKUP($C40,$C$3:$D$15,2,FALSE)*BF$20),IF(BF41-BE42&lt;0,0,BF41-BE42),
IF(AND(BE42&lt;VLOOKUP($C40,$C$3:$D$15,2,FALSE)*BF$20,BF41&gt;VLOOKUP($C40,$C$3:$D$15,2,FALSE)*BF$20),VLOOKUP($C40,$C$3:$D$15,2,FALSE)*BF$20-BE42)))</f>
        <v>0</v>
      </c>
      <c r="BG40" s="762">
        <f t="shared" ref="BG40" si="1225" xml:space="preserve">
IF(BF42&gt;=VLOOKUP($C40,$C$3:$D$15,2,FALSE)*BG$20,0,
IF(AND(BF42&lt;VLOOKUP($C40,$C$3:$D$15,2,FALSE)*BG$20,BG41&lt;=VLOOKUP($C40,$C$3:$D$15,2,FALSE)*BG$20),IF(BG41-BF42&lt;0,0,BG41-BF42),
IF(AND(BF42&lt;VLOOKUP($C40,$C$3:$D$15,2,FALSE)*BG$20,BG41&gt;VLOOKUP($C40,$C$3:$D$15,2,FALSE)*BG$20),VLOOKUP($C40,$C$3:$D$15,2,FALSE)*BG$20-BF42)))</f>
        <v>0</v>
      </c>
      <c r="BH40" s="762">
        <f t="shared" ref="BH40" si="1226" xml:space="preserve">
IF(BG42&gt;=VLOOKUP($C40,$C$3:$D$15,2,FALSE)*BH$20,0,
IF(AND(BG42&lt;VLOOKUP($C40,$C$3:$D$15,2,FALSE)*BH$20,BH41&lt;=VLOOKUP($C40,$C$3:$D$15,2,FALSE)*BH$20),IF(BH41-BG42&lt;0,0,BH41-BG42),
IF(AND(BG42&lt;VLOOKUP($C40,$C$3:$D$15,2,FALSE)*BH$20,BH41&gt;VLOOKUP($C40,$C$3:$D$15,2,FALSE)*BH$20),VLOOKUP($C40,$C$3:$D$15,2,FALSE)*BH$20-BG42)))</f>
        <v>0</v>
      </c>
      <c r="BI40" s="762">
        <f t="shared" ref="BI40" si="1227" xml:space="preserve">
IF(BH42&gt;=VLOOKUP($C40,$C$3:$D$15,2,FALSE)*BI$20,0,
IF(AND(BH42&lt;VLOOKUP($C40,$C$3:$D$15,2,FALSE)*BI$20,BI41&lt;=VLOOKUP($C40,$C$3:$D$15,2,FALSE)*BI$20),IF(BI41-BH42&lt;0,0,BI41-BH42),
IF(AND(BH42&lt;VLOOKUP($C40,$C$3:$D$15,2,FALSE)*BI$20,BI41&gt;VLOOKUP($C40,$C$3:$D$15,2,FALSE)*BI$20),VLOOKUP($C40,$C$3:$D$15,2,FALSE)*BI$20-BH42)))</f>
        <v>0</v>
      </c>
      <c r="BJ40" s="762">
        <f t="shared" ref="BJ40" si="1228" xml:space="preserve">
IF(BI42&gt;=VLOOKUP($C40,$C$3:$D$15,2,FALSE)*BJ$20,0,
IF(AND(BI42&lt;VLOOKUP($C40,$C$3:$D$15,2,FALSE)*BJ$20,BJ41&lt;=VLOOKUP($C40,$C$3:$D$15,2,FALSE)*BJ$20),IF(BJ41-BI42&lt;0,0,BJ41-BI42),
IF(AND(BI42&lt;VLOOKUP($C40,$C$3:$D$15,2,FALSE)*BJ$20,BJ41&gt;VLOOKUP($C40,$C$3:$D$15,2,FALSE)*BJ$20),VLOOKUP($C40,$C$3:$D$15,2,FALSE)*BJ$20-BI42)))</f>
        <v>0</v>
      </c>
      <c r="BK40" s="762">
        <f t="shared" ref="BK40" si="1229" xml:space="preserve">
IF(BJ42&gt;=VLOOKUP($C40,$C$3:$D$15,2,FALSE)*BK$20,0,
IF(AND(BJ42&lt;VLOOKUP($C40,$C$3:$D$15,2,FALSE)*BK$20,BK41&lt;=VLOOKUP($C40,$C$3:$D$15,2,FALSE)*BK$20),IF(BK41-BJ42&lt;0,0,BK41-BJ42),
IF(AND(BJ42&lt;VLOOKUP($C40,$C$3:$D$15,2,FALSE)*BK$20,BK41&gt;VLOOKUP($C40,$C$3:$D$15,2,FALSE)*BK$20),VLOOKUP($C40,$C$3:$D$15,2,FALSE)*BK$20-BJ42)))</f>
        <v>0</v>
      </c>
      <c r="BL40" s="762">
        <f t="shared" ref="BL40" si="1230" xml:space="preserve">
IF(BK42&gt;=VLOOKUP($C40,$C$3:$D$15,2,FALSE)*BL$20,0,
IF(AND(BK42&lt;VLOOKUP($C40,$C$3:$D$15,2,FALSE)*BL$20,BL41&lt;=VLOOKUP($C40,$C$3:$D$15,2,FALSE)*BL$20),IF(BL41-BK42&lt;0,0,BL41-BK42),
IF(AND(BK42&lt;VLOOKUP($C40,$C$3:$D$15,2,FALSE)*BL$20,BL41&gt;VLOOKUP($C40,$C$3:$D$15,2,FALSE)*BL$20),VLOOKUP($C40,$C$3:$D$15,2,FALSE)*BL$20-BK42)))</f>
        <v>0</v>
      </c>
      <c r="BM40" s="762">
        <f t="shared" ref="BM40" si="1231" xml:space="preserve">
IF(BL42&gt;=VLOOKUP($C40,$C$3:$D$15,2,FALSE)*BM$20,0,
IF(AND(BL42&lt;VLOOKUP($C40,$C$3:$D$15,2,FALSE)*BM$20,BM41&lt;=VLOOKUP($C40,$C$3:$D$15,2,FALSE)*BM$20),IF(BM41-BL42&lt;0,0,BM41-BL42),
IF(AND(BL42&lt;VLOOKUP($C40,$C$3:$D$15,2,FALSE)*BM$20,BM41&gt;VLOOKUP($C40,$C$3:$D$15,2,FALSE)*BM$20),VLOOKUP($C40,$C$3:$D$15,2,FALSE)*BM$20-BL42)))</f>
        <v>0</v>
      </c>
      <c r="BN40" s="762">
        <f t="shared" ref="BN40" si="1232" xml:space="preserve">
IF(BM42&gt;=VLOOKUP($C40,$C$3:$D$15,2,FALSE)*BN$20,0,
IF(AND(BM42&lt;VLOOKUP($C40,$C$3:$D$15,2,FALSE)*BN$20,BN41&lt;=VLOOKUP($C40,$C$3:$D$15,2,FALSE)*BN$20),IF(BN41-BM42&lt;0,0,BN41-BM42),
IF(AND(BM42&lt;VLOOKUP($C40,$C$3:$D$15,2,FALSE)*BN$20,BN41&gt;VLOOKUP($C40,$C$3:$D$15,2,FALSE)*BN$20),VLOOKUP($C40,$C$3:$D$15,2,FALSE)*BN$20-BM42)))</f>
        <v>0</v>
      </c>
      <c r="BO40" s="762">
        <f t="shared" ref="BO40" si="1233" xml:space="preserve">
IF(BN42&gt;=VLOOKUP($C40,$C$3:$D$15,2,FALSE)*BO$20,0,
IF(AND(BN42&lt;VLOOKUP($C40,$C$3:$D$15,2,FALSE)*BO$20,BO41&lt;=VLOOKUP($C40,$C$3:$D$15,2,FALSE)*BO$20),IF(BO41-BN42&lt;0,0,BO41-BN42),
IF(AND(BN42&lt;VLOOKUP($C40,$C$3:$D$15,2,FALSE)*BO$20,BO41&gt;VLOOKUP($C40,$C$3:$D$15,2,FALSE)*BO$20),VLOOKUP($C40,$C$3:$D$15,2,FALSE)*BO$20-BN42)))</f>
        <v>0</v>
      </c>
      <c r="BP40" s="762">
        <f t="shared" ref="BP40" si="1234" xml:space="preserve">
IF(BO42&gt;=VLOOKUP($C40,$C$3:$D$15,2,FALSE)*BP$20,0,
IF(AND(BO42&lt;VLOOKUP($C40,$C$3:$D$15,2,FALSE)*BP$20,BP41&lt;=VLOOKUP($C40,$C$3:$D$15,2,FALSE)*BP$20),IF(BP41-BO42&lt;0,0,BP41-BO42),
IF(AND(BO42&lt;VLOOKUP($C40,$C$3:$D$15,2,FALSE)*BP$20,BP41&gt;VLOOKUP($C40,$C$3:$D$15,2,FALSE)*BP$20),VLOOKUP($C40,$C$3:$D$15,2,FALSE)*BP$20-BO42)))</f>
        <v>0</v>
      </c>
      <c r="BQ40" s="762">
        <f t="shared" ref="BQ40" si="1235" xml:space="preserve">
IF(BP42&gt;=VLOOKUP($C40,$C$3:$D$15,2,FALSE)*BQ$20,0,
IF(AND(BP42&lt;VLOOKUP($C40,$C$3:$D$15,2,FALSE)*BQ$20,BQ41&lt;=VLOOKUP($C40,$C$3:$D$15,2,FALSE)*BQ$20),IF(BQ41-BP42&lt;0,0,BQ41-BP42),
IF(AND(BP42&lt;VLOOKUP($C40,$C$3:$D$15,2,FALSE)*BQ$20,BQ41&gt;VLOOKUP($C40,$C$3:$D$15,2,FALSE)*BQ$20),VLOOKUP($C40,$C$3:$D$15,2,FALSE)*BQ$20-BP42)))</f>
        <v>0</v>
      </c>
      <c r="BR40" s="762">
        <f t="shared" ref="BR40" si="1236" xml:space="preserve">
IF(BQ42&gt;=VLOOKUP($C40,$C$3:$D$15,2,FALSE)*BR$20,0,
IF(AND(BQ42&lt;VLOOKUP($C40,$C$3:$D$15,2,FALSE)*BR$20,BR41&lt;=VLOOKUP($C40,$C$3:$D$15,2,FALSE)*BR$20),IF(BR41-BQ42&lt;0,0,BR41-BQ42),
IF(AND(BQ42&lt;VLOOKUP($C40,$C$3:$D$15,2,FALSE)*BR$20,BR41&gt;VLOOKUP($C40,$C$3:$D$15,2,FALSE)*BR$20),VLOOKUP($C40,$C$3:$D$15,2,FALSE)*BR$20-BQ42)))</f>
        <v>0</v>
      </c>
      <c r="BS40" s="762">
        <f t="shared" ref="BS40" si="1237" xml:space="preserve">
IF(BR42&gt;=VLOOKUP($C40,$C$3:$D$15,2,FALSE)*BS$20,0,
IF(AND(BR42&lt;VLOOKUP($C40,$C$3:$D$15,2,FALSE)*BS$20,BS41&lt;=VLOOKUP($C40,$C$3:$D$15,2,FALSE)*BS$20),IF(BS41-BR42&lt;0,0,BS41-BR42),
IF(AND(BR42&lt;VLOOKUP($C40,$C$3:$D$15,2,FALSE)*BS$20,BS41&gt;VLOOKUP($C40,$C$3:$D$15,2,FALSE)*BS$20),VLOOKUP($C40,$C$3:$D$15,2,FALSE)*BS$20-BR42)))</f>
        <v>0</v>
      </c>
      <c r="BT40" s="762">
        <f t="shared" ref="BT40" si="1238" xml:space="preserve">
IF(BS42&gt;=VLOOKUP($C40,$C$3:$D$15,2,FALSE)*BT$20,0,
IF(AND(BS42&lt;VLOOKUP($C40,$C$3:$D$15,2,FALSE)*BT$20,BT41&lt;=VLOOKUP($C40,$C$3:$D$15,2,FALSE)*BT$20),IF(BT41-BS42&lt;0,0,BT41-BS42),
IF(AND(BS42&lt;VLOOKUP($C40,$C$3:$D$15,2,FALSE)*BT$20,BT41&gt;VLOOKUP($C40,$C$3:$D$15,2,FALSE)*BT$20),VLOOKUP($C40,$C$3:$D$15,2,FALSE)*BT$20-BS42)))</f>
        <v>0</v>
      </c>
      <c r="BU40" s="762">
        <f t="shared" ref="BU40" si="1239" xml:space="preserve">
IF(BT42&gt;=VLOOKUP($C40,$C$3:$D$15,2,FALSE)*BU$20,0,
IF(AND(BT42&lt;VLOOKUP($C40,$C$3:$D$15,2,FALSE)*BU$20,BU41&lt;=VLOOKUP($C40,$C$3:$D$15,2,FALSE)*BU$20),IF(BU41-BT42&lt;0,0,BU41-BT42),
IF(AND(BT42&lt;VLOOKUP($C40,$C$3:$D$15,2,FALSE)*BU$20,BU41&gt;VLOOKUP($C40,$C$3:$D$15,2,FALSE)*BU$20),VLOOKUP($C40,$C$3:$D$15,2,FALSE)*BU$20-BT42)))</f>
        <v>0</v>
      </c>
      <c r="BV40" s="762">
        <f t="shared" ref="BV40" si="1240" xml:space="preserve">
IF(BU42&gt;=VLOOKUP($C40,$C$3:$D$15,2,FALSE)*BV$20,0,
IF(AND(BU42&lt;VLOOKUP($C40,$C$3:$D$15,2,FALSE)*BV$20,BV41&lt;=VLOOKUP($C40,$C$3:$D$15,2,FALSE)*BV$20),IF(BV41-BU42&lt;0,0,BV41-BU42),
IF(AND(BU42&lt;VLOOKUP($C40,$C$3:$D$15,2,FALSE)*BV$20,BV41&gt;VLOOKUP($C40,$C$3:$D$15,2,FALSE)*BV$20),VLOOKUP($C40,$C$3:$D$15,2,FALSE)*BV$20-BU42)))</f>
        <v>0</v>
      </c>
      <c r="BW40" s="762">
        <f t="shared" ref="BW40" si="1241" xml:space="preserve">
IF(BV42&gt;=VLOOKUP($C40,$C$3:$D$15,2,FALSE)*BW$20,0,
IF(AND(BV42&lt;VLOOKUP($C40,$C$3:$D$15,2,FALSE)*BW$20,BW41&lt;=VLOOKUP($C40,$C$3:$D$15,2,FALSE)*BW$20),IF(BW41-BV42&lt;0,0,BW41-BV42),
IF(AND(BV42&lt;VLOOKUP($C40,$C$3:$D$15,2,FALSE)*BW$20,BW41&gt;VLOOKUP($C40,$C$3:$D$15,2,FALSE)*BW$20),VLOOKUP($C40,$C$3:$D$15,2,FALSE)*BW$20-BV42)))</f>
        <v>0</v>
      </c>
      <c r="BX40" s="762">
        <f t="shared" ref="BX40" si="1242" xml:space="preserve">
IF(BW42&gt;=VLOOKUP($C40,$C$3:$D$15,2,FALSE)*BX$20,0,
IF(AND(BW42&lt;VLOOKUP($C40,$C$3:$D$15,2,FALSE)*BX$20,BX41&lt;=VLOOKUP($C40,$C$3:$D$15,2,FALSE)*BX$20),IF(BX41-BW42&lt;0,0,BX41-BW42),
IF(AND(BW42&lt;VLOOKUP($C40,$C$3:$D$15,2,FALSE)*BX$20,BX41&gt;VLOOKUP($C40,$C$3:$D$15,2,FALSE)*BX$20),VLOOKUP($C40,$C$3:$D$15,2,FALSE)*BX$20-BW42)))</f>
        <v>0</v>
      </c>
      <c r="BY40" s="762">
        <f t="shared" ref="BY40" si="1243" xml:space="preserve">
IF(BX42&gt;=VLOOKUP($C40,$C$3:$D$15,2,FALSE)*BY$20,0,
IF(AND(BX42&lt;VLOOKUP($C40,$C$3:$D$15,2,FALSE)*BY$20,BY41&lt;=VLOOKUP($C40,$C$3:$D$15,2,FALSE)*BY$20),IF(BY41-BX42&lt;0,0,BY41-BX42),
IF(AND(BX42&lt;VLOOKUP($C40,$C$3:$D$15,2,FALSE)*BY$20,BY41&gt;VLOOKUP($C40,$C$3:$D$15,2,FALSE)*BY$20),VLOOKUP($C40,$C$3:$D$15,2,FALSE)*BY$20-BX42)))</f>
        <v>0</v>
      </c>
      <c r="BZ40" s="762">
        <f t="shared" ref="BZ40" si="1244" xml:space="preserve">
IF(BY42&gt;=VLOOKUP($C40,$C$3:$D$15,2,FALSE)*BZ$20,0,
IF(AND(BY42&lt;VLOOKUP($C40,$C$3:$D$15,2,FALSE)*BZ$20,BZ41&lt;=VLOOKUP($C40,$C$3:$D$15,2,FALSE)*BZ$20),IF(BZ41-BY42&lt;0,0,BZ41-BY42),
IF(AND(BY42&lt;VLOOKUP($C40,$C$3:$D$15,2,FALSE)*BZ$20,BZ41&gt;VLOOKUP($C40,$C$3:$D$15,2,FALSE)*BZ$20),VLOOKUP($C40,$C$3:$D$15,2,FALSE)*BZ$20-BY42)))</f>
        <v>0</v>
      </c>
      <c r="CA40" s="762">
        <f t="shared" ref="CA40" si="1245" xml:space="preserve">
IF(BZ42&gt;=VLOOKUP($C40,$C$3:$D$15,2,FALSE)*CA$20,0,
IF(AND(BZ42&lt;VLOOKUP($C40,$C$3:$D$15,2,FALSE)*CA$20,CA41&lt;=VLOOKUP($C40,$C$3:$D$15,2,FALSE)*CA$20),IF(CA41-BZ42&lt;0,0,CA41-BZ42),
IF(AND(BZ42&lt;VLOOKUP($C40,$C$3:$D$15,2,FALSE)*CA$20,CA41&gt;VLOOKUP($C40,$C$3:$D$15,2,FALSE)*CA$20),VLOOKUP($C40,$C$3:$D$15,2,FALSE)*CA$20-BZ42)))</f>
        <v>0</v>
      </c>
      <c r="CB40" s="762">
        <f t="shared" ref="CB40" si="1246" xml:space="preserve">
IF(CA42&gt;=VLOOKUP($C40,$C$3:$D$15,2,FALSE)*CB$20,0,
IF(AND(CA42&lt;VLOOKUP($C40,$C$3:$D$15,2,FALSE)*CB$20,CB41&lt;=VLOOKUP($C40,$C$3:$D$15,2,FALSE)*CB$20),IF(CB41-CA42&lt;0,0,CB41-CA42),
IF(AND(CA42&lt;VLOOKUP($C40,$C$3:$D$15,2,FALSE)*CB$20,CB41&gt;VLOOKUP($C40,$C$3:$D$15,2,FALSE)*CB$20),VLOOKUP($C40,$C$3:$D$15,2,FALSE)*CB$20-CA42)))</f>
        <v>0</v>
      </c>
      <c r="CC40" s="762">
        <f t="shared" ref="CC40" si="1247" xml:space="preserve">
IF(CB42&gt;=VLOOKUP($C40,$C$3:$D$15,2,FALSE)*CC$20,0,
IF(AND(CB42&lt;VLOOKUP($C40,$C$3:$D$15,2,FALSE)*CC$20,CC41&lt;=VLOOKUP($C40,$C$3:$D$15,2,FALSE)*CC$20),IF(CC41-CB42&lt;0,0,CC41-CB42),
IF(AND(CB42&lt;VLOOKUP($C40,$C$3:$D$15,2,FALSE)*CC$20,CC41&gt;VLOOKUP($C40,$C$3:$D$15,2,FALSE)*CC$20),VLOOKUP($C40,$C$3:$D$15,2,FALSE)*CC$20-CB42)))</f>
        <v>0</v>
      </c>
      <c r="CD40" s="762">
        <f t="shared" ref="CD40" si="1248" xml:space="preserve">
IF(CC42&gt;=VLOOKUP($C40,$C$3:$D$15,2,FALSE)*CD$20,0,
IF(AND(CC42&lt;VLOOKUP($C40,$C$3:$D$15,2,FALSE)*CD$20,CD41&lt;=VLOOKUP($C40,$C$3:$D$15,2,FALSE)*CD$20),IF(CD41-CC42&lt;0,0,CD41-CC42),
IF(AND(CC42&lt;VLOOKUP($C40,$C$3:$D$15,2,FALSE)*CD$20,CD41&gt;VLOOKUP($C40,$C$3:$D$15,2,FALSE)*CD$20),VLOOKUP($C40,$C$3:$D$15,2,FALSE)*CD$20-CC42)))</f>
        <v>0</v>
      </c>
      <c r="CE40" s="762">
        <f t="shared" ref="CE40" si="1249" xml:space="preserve">
IF(CD42&gt;=VLOOKUP($C40,$C$3:$D$15,2,FALSE)*CE$20,0,
IF(AND(CD42&lt;VLOOKUP($C40,$C$3:$D$15,2,FALSE)*CE$20,CE41&lt;=VLOOKUP($C40,$C$3:$D$15,2,FALSE)*CE$20),IF(CE41-CD42&lt;0,0,CE41-CD42),
IF(AND(CD42&lt;VLOOKUP($C40,$C$3:$D$15,2,FALSE)*CE$20,CE41&gt;VLOOKUP($C40,$C$3:$D$15,2,FALSE)*CE$20),VLOOKUP($C40,$C$3:$D$15,2,FALSE)*CE$20-CD42)))</f>
        <v>0</v>
      </c>
      <c r="CF40" s="762">
        <f t="shared" ref="CF40" si="1250" xml:space="preserve">
IF(CE42&gt;=VLOOKUP($C40,$C$3:$D$15,2,FALSE)*CF$20,0,
IF(AND(CE42&lt;VLOOKUP($C40,$C$3:$D$15,2,FALSE)*CF$20,CF41&lt;=VLOOKUP($C40,$C$3:$D$15,2,FALSE)*CF$20),IF(CF41-CE42&lt;0,0,CF41-CE42),
IF(AND(CE42&lt;VLOOKUP($C40,$C$3:$D$15,2,FALSE)*CF$20,CF41&gt;VLOOKUP($C40,$C$3:$D$15,2,FALSE)*CF$20),VLOOKUP($C40,$C$3:$D$15,2,FALSE)*CF$20-CE42)))</f>
        <v>0</v>
      </c>
      <c r="CG40" s="762">
        <f t="shared" ref="CG40" si="1251" xml:space="preserve">
IF(CF42&gt;=VLOOKUP($C40,$C$3:$D$15,2,FALSE)*CG$20,0,
IF(AND(CF42&lt;VLOOKUP($C40,$C$3:$D$15,2,FALSE)*CG$20,CG41&lt;=VLOOKUP($C40,$C$3:$D$15,2,FALSE)*CG$20),IF(CG41-CF42&lt;0,0,CG41-CF42),
IF(AND(CF42&lt;VLOOKUP($C40,$C$3:$D$15,2,FALSE)*CG$20,CG41&gt;VLOOKUP($C40,$C$3:$D$15,2,FALSE)*CG$20),VLOOKUP($C40,$C$3:$D$15,2,FALSE)*CG$20-CF42)))</f>
        <v>0</v>
      </c>
      <c r="CH40" s="762">
        <f t="shared" ref="CH40" si="1252" xml:space="preserve">
IF(CG42&gt;=VLOOKUP($C40,$C$3:$D$15,2,FALSE)*CH$20,0,
IF(AND(CG42&lt;VLOOKUP($C40,$C$3:$D$15,2,FALSE)*CH$20,CH41&lt;=VLOOKUP($C40,$C$3:$D$15,2,FALSE)*CH$20),IF(CH41-CG42&lt;0,0,CH41-CG42),
IF(AND(CG42&lt;VLOOKUP($C40,$C$3:$D$15,2,FALSE)*CH$20,CH41&gt;VLOOKUP($C40,$C$3:$D$15,2,FALSE)*CH$20),VLOOKUP($C40,$C$3:$D$15,2,FALSE)*CH$20-CG42)))</f>
        <v>0</v>
      </c>
      <c r="CI40" s="762">
        <f t="shared" ref="CI40" si="1253" xml:space="preserve">
IF(CH42&gt;=VLOOKUP($C40,$C$3:$D$15,2,FALSE)*CI$20,0,
IF(AND(CH42&lt;VLOOKUP($C40,$C$3:$D$15,2,FALSE)*CI$20,CI41&lt;=VLOOKUP($C40,$C$3:$D$15,2,FALSE)*CI$20),IF(CI41-CH42&lt;0,0,CI41-CH42),
IF(AND(CH42&lt;VLOOKUP($C40,$C$3:$D$15,2,FALSE)*CI$20,CI41&gt;VLOOKUP($C40,$C$3:$D$15,2,FALSE)*CI$20),VLOOKUP($C40,$C$3:$D$15,2,FALSE)*CI$20-CH42)))</f>
        <v>0</v>
      </c>
      <c r="CJ40" s="762">
        <f t="shared" ref="CJ40" si="1254" xml:space="preserve">
IF(CI42&gt;=VLOOKUP($C40,$C$3:$D$15,2,FALSE)*CJ$20,0,
IF(AND(CI42&lt;VLOOKUP($C40,$C$3:$D$15,2,FALSE)*CJ$20,CJ41&lt;=VLOOKUP($C40,$C$3:$D$15,2,FALSE)*CJ$20),IF(CJ41-CI42&lt;0,0,CJ41-CI42),
IF(AND(CI42&lt;VLOOKUP($C40,$C$3:$D$15,2,FALSE)*CJ$20,CJ41&gt;VLOOKUP($C40,$C$3:$D$15,2,FALSE)*CJ$20),VLOOKUP($C40,$C$3:$D$15,2,FALSE)*CJ$20-CI42)))</f>
        <v>0</v>
      </c>
      <c r="CK40" s="762">
        <f t="shared" ref="CK40" si="1255" xml:space="preserve">
IF(CJ42&gt;=VLOOKUP($C40,$C$3:$D$15,2,FALSE)*CK$20,0,
IF(AND(CJ42&lt;VLOOKUP($C40,$C$3:$D$15,2,FALSE)*CK$20,CK41&lt;=VLOOKUP($C40,$C$3:$D$15,2,FALSE)*CK$20),IF(CK41-CJ42&lt;0,0,CK41-CJ42),
IF(AND(CJ42&lt;VLOOKUP($C40,$C$3:$D$15,2,FALSE)*CK$20,CK41&gt;VLOOKUP($C40,$C$3:$D$15,2,FALSE)*CK$20),VLOOKUP($C40,$C$3:$D$15,2,FALSE)*CK$20-CJ42)))</f>
        <v>0</v>
      </c>
      <c r="CL40" s="762">
        <f t="shared" ref="CL40" si="1256" xml:space="preserve">
IF(CK42&gt;=VLOOKUP($C40,$C$3:$D$15,2,FALSE)*CL$20,0,
IF(AND(CK42&lt;VLOOKUP($C40,$C$3:$D$15,2,FALSE)*CL$20,CL41&lt;=VLOOKUP($C40,$C$3:$D$15,2,FALSE)*CL$20),IF(CL41-CK42&lt;0,0,CL41-CK42),
IF(AND(CK42&lt;VLOOKUP($C40,$C$3:$D$15,2,FALSE)*CL$20,CL41&gt;VLOOKUP($C40,$C$3:$D$15,2,FALSE)*CL$20),VLOOKUP($C40,$C$3:$D$15,2,FALSE)*CL$20-CK42)))</f>
        <v>0</v>
      </c>
      <c r="CM40" s="762">
        <f t="shared" ref="CM40" si="1257" xml:space="preserve">
IF(CL42&gt;=VLOOKUP($C40,$C$3:$D$15,2,FALSE)*CM$20,0,
IF(AND(CL42&lt;VLOOKUP($C40,$C$3:$D$15,2,FALSE)*CM$20,CM41&lt;=VLOOKUP($C40,$C$3:$D$15,2,FALSE)*CM$20),IF(CM41-CL42&lt;0,0,CM41-CL42),
IF(AND(CL42&lt;VLOOKUP($C40,$C$3:$D$15,2,FALSE)*CM$20,CM41&gt;VLOOKUP($C40,$C$3:$D$15,2,FALSE)*CM$20),VLOOKUP($C40,$C$3:$D$15,2,FALSE)*CM$20-CL42)))</f>
        <v>0</v>
      </c>
      <c r="CN40" s="762">
        <f t="shared" ref="CN40" si="1258" xml:space="preserve">
IF(CM42&gt;=VLOOKUP($C40,$C$3:$D$15,2,FALSE)*CN$20,0,
IF(AND(CM42&lt;VLOOKUP($C40,$C$3:$D$15,2,FALSE)*CN$20,CN41&lt;=VLOOKUP($C40,$C$3:$D$15,2,FALSE)*CN$20),IF(CN41-CM42&lt;0,0,CN41-CM42),
IF(AND(CM42&lt;VLOOKUP($C40,$C$3:$D$15,2,FALSE)*CN$20,CN41&gt;VLOOKUP($C40,$C$3:$D$15,2,FALSE)*CN$20),VLOOKUP($C40,$C$3:$D$15,2,FALSE)*CN$20-CM42)))</f>
        <v>0</v>
      </c>
      <c r="CO40" s="762">
        <f t="shared" ref="CO40" si="1259" xml:space="preserve">
IF(CN42&gt;=VLOOKUP($C40,$C$3:$D$15,2,FALSE)*CO$20,0,
IF(AND(CN42&lt;VLOOKUP($C40,$C$3:$D$15,2,FALSE)*CO$20,CO41&lt;=VLOOKUP($C40,$C$3:$D$15,2,FALSE)*CO$20),IF(CO41-CN42&lt;0,0,CO41-CN42),
IF(AND(CN42&lt;VLOOKUP($C40,$C$3:$D$15,2,FALSE)*CO$20,CO41&gt;VLOOKUP($C40,$C$3:$D$15,2,FALSE)*CO$20),VLOOKUP($C40,$C$3:$D$15,2,FALSE)*CO$20-CN42)))</f>
        <v>0</v>
      </c>
      <c r="CP40" s="762">
        <f t="shared" ref="CP40" si="1260" xml:space="preserve">
IF(CO42&gt;=VLOOKUP($C40,$C$3:$D$15,2,FALSE)*CP$20,0,
IF(AND(CO42&lt;VLOOKUP($C40,$C$3:$D$15,2,FALSE)*CP$20,CP41&lt;=VLOOKUP($C40,$C$3:$D$15,2,FALSE)*CP$20),IF(CP41-CO42&lt;0,0,CP41-CO42),
IF(AND(CO42&lt;VLOOKUP($C40,$C$3:$D$15,2,FALSE)*CP$20,CP41&gt;VLOOKUP($C40,$C$3:$D$15,2,FALSE)*CP$20),VLOOKUP($C40,$C$3:$D$15,2,FALSE)*CP$20-CO42)))</f>
        <v>0</v>
      </c>
      <c r="CQ40" s="762">
        <f t="shared" ref="CQ40" si="1261" xml:space="preserve">
IF(CP42&gt;=VLOOKUP($C40,$C$3:$D$15,2,FALSE)*CQ$20,0,
IF(AND(CP42&lt;VLOOKUP($C40,$C$3:$D$15,2,FALSE)*CQ$20,CQ41&lt;=VLOOKUP($C40,$C$3:$D$15,2,FALSE)*CQ$20),IF(CQ41-CP42&lt;0,0,CQ41-CP42),
IF(AND(CP42&lt;VLOOKUP($C40,$C$3:$D$15,2,FALSE)*CQ$20,CQ41&gt;VLOOKUP($C40,$C$3:$D$15,2,FALSE)*CQ$20),VLOOKUP($C40,$C$3:$D$15,2,FALSE)*CQ$20-CP42)))</f>
        <v>0</v>
      </c>
      <c r="CR40" s="762">
        <f t="shared" ref="CR40" si="1262" xml:space="preserve">
IF(CQ42&gt;=VLOOKUP($C40,$C$3:$D$15,2,FALSE)*CR$20,0,
IF(AND(CQ42&lt;VLOOKUP($C40,$C$3:$D$15,2,FALSE)*CR$20,CR41&lt;=VLOOKUP($C40,$C$3:$D$15,2,FALSE)*CR$20),IF(CR41-CQ42&lt;0,0,CR41-CQ42),
IF(AND(CQ42&lt;VLOOKUP($C40,$C$3:$D$15,2,FALSE)*CR$20,CR41&gt;VLOOKUP($C40,$C$3:$D$15,2,FALSE)*CR$20),VLOOKUP($C40,$C$3:$D$15,2,FALSE)*CR$20-CQ42)))</f>
        <v>0</v>
      </c>
      <c r="CS40" s="762">
        <f t="shared" ref="CS40" si="1263" xml:space="preserve">
IF(CR42&gt;=VLOOKUP($C40,$C$3:$D$15,2,FALSE)*CS$20,0,
IF(AND(CR42&lt;VLOOKUP($C40,$C$3:$D$15,2,FALSE)*CS$20,CS41&lt;=VLOOKUP($C40,$C$3:$D$15,2,FALSE)*CS$20),IF(CS41-CR42&lt;0,0,CS41-CR42),
IF(AND(CR42&lt;VLOOKUP($C40,$C$3:$D$15,2,FALSE)*CS$20,CS41&gt;VLOOKUP($C40,$C$3:$D$15,2,FALSE)*CS$20),VLOOKUP($C40,$C$3:$D$15,2,FALSE)*CS$20-CR42)))</f>
        <v>0</v>
      </c>
      <c r="CT40" s="762">
        <f t="shared" ref="CT40" si="1264" xml:space="preserve">
IF(CS42&gt;=VLOOKUP($C40,$C$3:$D$15,2,FALSE)*CT$20,0,
IF(AND(CS42&lt;VLOOKUP($C40,$C$3:$D$15,2,FALSE)*CT$20,CT41&lt;=VLOOKUP($C40,$C$3:$D$15,2,FALSE)*CT$20),IF(CT41-CS42&lt;0,0,CT41-CS42),
IF(AND(CS42&lt;VLOOKUP($C40,$C$3:$D$15,2,FALSE)*CT$20,CT41&gt;VLOOKUP($C40,$C$3:$D$15,2,FALSE)*CT$20),VLOOKUP($C40,$C$3:$D$15,2,FALSE)*CT$20-CS42)))</f>
        <v>0</v>
      </c>
      <c r="CU40" s="762">
        <f t="shared" ref="CU40" si="1265" xml:space="preserve">
IF(CT42&gt;=VLOOKUP($C40,$C$3:$D$15,2,FALSE)*CU$20,0,
IF(AND(CT42&lt;VLOOKUP($C40,$C$3:$D$15,2,FALSE)*CU$20,CU41&lt;=VLOOKUP($C40,$C$3:$D$15,2,FALSE)*CU$20),IF(CU41-CT42&lt;0,0,CU41-CT42),
IF(AND(CT42&lt;VLOOKUP($C40,$C$3:$D$15,2,FALSE)*CU$20,CU41&gt;VLOOKUP($C40,$C$3:$D$15,2,FALSE)*CU$20),VLOOKUP($C40,$C$3:$D$15,2,FALSE)*CU$20-CT42)))</f>
        <v>0</v>
      </c>
      <c r="CV40" s="762">
        <f t="shared" ref="CV40" si="1266" xml:space="preserve">
IF(CU42&gt;=VLOOKUP($C40,$C$3:$D$15,2,FALSE)*CV$20,0,
IF(AND(CU42&lt;VLOOKUP($C40,$C$3:$D$15,2,FALSE)*CV$20,CV41&lt;=VLOOKUP($C40,$C$3:$D$15,2,FALSE)*CV$20),IF(CV41-CU42&lt;0,0,CV41-CU42),
IF(AND(CU42&lt;VLOOKUP($C40,$C$3:$D$15,2,FALSE)*CV$20,CV41&gt;VLOOKUP($C40,$C$3:$D$15,2,FALSE)*CV$20),VLOOKUP($C40,$C$3:$D$15,2,FALSE)*CV$20-CU42)))</f>
        <v>0</v>
      </c>
      <c r="CW40" s="762">
        <f t="shared" ref="CW40" si="1267" xml:space="preserve">
IF(CV42&gt;=VLOOKUP($C40,$C$3:$D$15,2,FALSE)*CW$20,0,
IF(AND(CV42&lt;VLOOKUP($C40,$C$3:$D$15,2,FALSE)*CW$20,CW41&lt;=VLOOKUP($C40,$C$3:$D$15,2,FALSE)*CW$20),IF(CW41-CV42&lt;0,0,CW41-CV42),
IF(AND(CV42&lt;VLOOKUP($C40,$C$3:$D$15,2,FALSE)*CW$20,CW41&gt;VLOOKUP($C40,$C$3:$D$15,2,FALSE)*CW$20),VLOOKUP($C40,$C$3:$D$15,2,FALSE)*CW$20-CV42)))</f>
        <v>0</v>
      </c>
      <c r="CX40" s="762">
        <f t="shared" ref="CX40" si="1268" xml:space="preserve">
IF(CW42&gt;=VLOOKUP($C40,$C$3:$D$15,2,FALSE)*CX$20,0,
IF(AND(CW42&lt;VLOOKUP($C40,$C$3:$D$15,2,FALSE)*CX$20,CX41&lt;=VLOOKUP($C40,$C$3:$D$15,2,FALSE)*CX$20),IF(CX41-CW42&lt;0,0,CX41-CW42),
IF(AND(CW42&lt;VLOOKUP($C40,$C$3:$D$15,2,FALSE)*CX$20,CX41&gt;VLOOKUP($C40,$C$3:$D$15,2,FALSE)*CX$20),VLOOKUP($C40,$C$3:$D$15,2,FALSE)*CX$20-CW42)))</f>
        <v>0</v>
      </c>
      <c r="CY40" s="762">
        <f t="shared" ref="CY40" si="1269" xml:space="preserve">
IF(CX42&gt;=VLOOKUP($C40,$C$3:$D$15,2,FALSE)*CY$20,0,
IF(AND(CX42&lt;VLOOKUP($C40,$C$3:$D$15,2,FALSE)*CY$20,CY41&lt;=VLOOKUP($C40,$C$3:$D$15,2,FALSE)*CY$20),IF(CY41-CX42&lt;0,0,CY41-CX42),
IF(AND(CX42&lt;VLOOKUP($C40,$C$3:$D$15,2,FALSE)*CY$20,CY41&gt;VLOOKUP($C40,$C$3:$D$15,2,FALSE)*CY$20),VLOOKUP($C40,$C$3:$D$15,2,FALSE)*CY$20-CX42)))</f>
        <v>0</v>
      </c>
      <c r="CZ40" s="762">
        <f t="shared" ref="CZ40" si="1270" xml:space="preserve">
IF(CY42&gt;=VLOOKUP($C40,$C$3:$D$15,2,FALSE)*CZ$20,0,
IF(AND(CY42&lt;VLOOKUP($C40,$C$3:$D$15,2,FALSE)*CZ$20,CZ41&lt;=VLOOKUP($C40,$C$3:$D$15,2,FALSE)*CZ$20),IF(CZ41-CY42&lt;0,0,CZ41-CY42),
IF(AND(CY42&lt;VLOOKUP($C40,$C$3:$D$15,2,FALSE)*CZ$20,CZ41&gt;VLOOKUP($C40,$C$3:$D$15,2,FALSE)*CZ$20),VLOOKUP($C40,$C$3:$D$15,2,FALSE)*CZ$20-CY42)))</f>
        <v>0</v>
      </c>
      <c r="DA40" s="762">
        <f t="shared" ref="DA40" si="1271" xml:space="preserve">
IF(CZ42&gt;=VLOOKUP($C40,$C$3:$D$15,2,FALSE)*DA$20,0,
IF(AND(CZ42&lt;VLOOKUP($C40,$C$3:$D$15,2,FALSE)*DA$20,DA41&lt;=VLOOKUP($C40,$C$3:$D$15,2,FALSE)*DA$20),IF(DA41-CZ42&lt;0,0,DA41-CZ42),
IF(AND(CZ42&lt;VLOOKUP($C40,$C$3:$D$15,2,FALSE)*DA$20,DA41&gt;VLOOKUP($C40,$C$3:$D$15,2,FALSE)*DA$20),VLOOKUP($C40,$C$3:$D$15,2,FALSE)*DA$20-CZ42)))</f>
        <v>0</v>
      </c>
      <c r="DB40" s="762">
        <f t="shared" ref="DB40" si="1272" xml:space="preserve">
IF(DA42&gt;=VLOOKUP($C40,$C$3:$D$15,2,FALSE)*DB$20,0,
IF(AND(DA42&lt;VLOOKUP($C40,$C$3:$D$15,2,FALSE)*DB$20,DB41&lt;=VLOOKUP($C40,$C$3:$D$15,2,FALSE)*DB$20),IF(DB41-DA42&lt;0,0,DB41-DA42),
IF(AND(DA42&lt;VLOOKUP($C40,$C$3:$D$15,2,FALSE)*DB$20,DB41&gt;VLOOKUP($C40,$C$3:$D$15,2,FALSE)*DB$20),VLOOKUP($C40,$C$3:$D$15,2,FALSE)*DB$20-DA42)))</f>
        <v>0</v>
      </c>
      <c r="DC40" s="762">
        <f t="shared" ref="DC40" si="1273" xml:space="preserve">
IF(DB42&gt;=VLOOKUP($C40,$C$3:$D$15,2,FALSE)*DC$20,0,
IF(AND(DB42&lt;VLOOKUP($C40,$C$3:$D$15,2,FALSE)*DC$20,DC41&lt;=VLOOKUP($C40,$C$3:$D$15,2,FALSE)*DC$20),IF(DC41-DB42&lt;0,0,DC41-DB42),
IF(AND(DB42&lt;VLOOKUP($C40,$C$3:$D$15,2,FALSE)*DC$20,DC41&gt;VLOOKUP($C40,$C$3:$D$15,2,FALSE)*DC$20),VLOOKUP($C40,$C$3:$D$15,2,FALSE)*DC$20-DB42)))</f>
        <v>0</v>
      </c>
      <c r="DD40" s="762">
        <f t="shared" ref="DD40" si="1274" xml:space="preserve">
IF(DC42&gt;=VLOOKUP($C40,$C$3:$D$15,2,FALSE)*DD$20,0,
IF(AND(DC42&lt;VLOOKUP($C40,$C$3:$D$15,2,FALSE)*DD$20,DD41&lt;=VLOOKUP($C40,$C$3:$D$15,2,FALSE)*DD$20),IF(DD41-DC42&lt;0,0,DD41-DC42),
IF(AND(DC42&lt;VLOOKUP($C40,$C$3:$D$15,2,FALSE)*DD$20,DD41&gt;VLOOKUP($C40,$C$3:$D$15,2,FALSE)*DD$20),VLOOKUP($C40,$C$3:$D$15,2,FALSE)*DD$20-DC42)))</f>
        <v>0</v>
      </c>
      <c r="DE40" s="762">
        <f t="shared" ref="DE40" si="1275" xml:space="preserve">
IF(DD42&gt;=VLOOKUP($C40,$C$3:$D$15,2,FALSE)*DE$20,0,
IF(AND(DD42&lt;VLOOKUP($C40,$C$3:$D$15,2,FALSE)*DE$20,DE41&lt;=VLOOKUP($C40,$C$3:$D$15,2,FALSE)*DE$20),IF(DE41-DD42&lt;0,0,DE41-DD42),
IF(AND(DD42&lt;VLOOKUP($C40,$C$3:$D$15,2,FALSE)*DE$20,DE41&gt;VLOOKUP($C40,$C$3:$D$15,2,FALSE)*DE$20),VLOOKUP($C40,$C$3:$D$15,2,FALSE)*DE$20-DD42)))</f>
        <v>0</v>
      </c>
      <c r="DF40" s="762">
        <f t="shared" ref="DF40" si="1276" xml:space="preserve">
IF(DE42&gt;=VLOOKUP($C40,$C$3:$D$15,2,FALSE)*DF$20,0,
IF(AND(DE42&lt;VLOOKUP($C40,$C$3:$D$15,2,FALSE)*DF$20,DF41&lt;=VLOOKUP($C40,$C$3:$D$15,2,FALSE)*DF$20),IF(DF41-DE42&lt;0,0,DF41-DE42),
IF(AND(DE42&lt;VLOOKUP($C40,$C$3:$D$15,2,FALSE)*DF$20,DF41&gt;VLOOKUP($C40,$C$3:$D$15,2,FALSE)*DF$20),VLOOKUP($C40,$C$3:$D$15,2,FALSE)*DF$20-DE42)))</f>
        <v>0</v>
      </c>
      <c r="DG40" s="762">
        <f t="shared" ref="DG40" si="1277" xml:space="preserve">
IF(DF42&gt;=VLOOKUP($C40,$C$3:$D$15,2,FALSE)*DG$20,0,
IF(AND(DF42&lt;VLOOKUP($C40,$C$3:$D$15,2,FALSE)*DG$20,DG41&lt;=VLOOKUP($C40,$C$3:$D$15,2,FALSE)*DG$20),IF(DG41-DF42&lt;0,0,DG41-DF42),
IF(AND(DF42&lt;VLOOKUP($C40,$C$3:$D$15,2,FALSE)*DG$20,DG41&gt;VLOOKUP($C40,$C$3:$D$15,2,FALSE)*DG$20),VLOOKUP($C40,$C$3:$D$15,2,FALSE)*DG$20-DF42)))</f>
        <v>0</v>
      </c>
      <c r="DH40" s="762">
        <f t="shared" ref="DH40" si="1278" xml:space="preserve">
IF(DG42&gt;=VLOOKUP($C40,$C$3:$D$15,2,FALSE)*DH$20,0,
IF(AND(DG42&lt;VLOOKUP($C40,$C$3:$D$15,2,FALSE)*DH$20,DH41&lt;=VLOOKUP($C40,$C$3:$D$15,2,FALSE)*DH$20),IF(DH41-DG42&lt;0,0,DH41-DG42),
IF(AND(DG42&lt;VLOOKUP($C40,$C$3:$D$15,2,FALSE)*DH$20,DH41&gt;VLOOKUP($C40,$C$3:$D$15,2,FALSE)*DH$20),VLOOKUP($C40,$C$3:$D$15,2,FALSE)*DH$20-DG42)))</f>
        <v>0</v>
      </c>
      <c r="DI40" s="762">
        <f t="shared" ref="DI40" si="1279" xml:space="preserve">
IF(DH42&gt;=VLOOKUP($C40,$C$3:$D$15,2,FALSE)*DI$20,0,
IF(AND(DH42&lt;VLOOKUP($C40,$C$3:$D$15,2,FALSE)*DI$20,DI41&lt;=VLOOKUP($C40,$C$3:$D$15,2,FALSE)*DI$20),IF(DI41-DH42&lt;0,0,DI41-DH42),
IF(AND(DH42&lt;VLOOKUP($C40,$C$3:$D$15,2,FALSE)*DI$20,DI41&gt;VLOOKUP($C40,$C$3:$D$15,2,FALSE)*DI$20),VLOOKUP($C40,$C$3:$D$15,2,FALSE)*DI$20-DH42)))</f>
        <v>0</v>
      </c>
      <c r="DJ40" s="762">
        <f t="shared" ref="DJ40" si="1280" xml:space="preserve">
IF(DI42&gt;=VLOOKUP($C40,$C$3:$D$15,2,FALSE)*DJ$20,0,
IF(AND(DI42&lt;VLOOKUP($C40,$C$3:$D$15,2,FALSE)*DJ$20,DJ41&lt;=VLOOKUP($C40,$C$3:$D$15,2,FALSE)*DJ$20),IF(DJ41-DI42&lt;0,0,DJ41-DI42),
IF(AND(DI42&lt;VLOOKUP($C40,$C$3:$D$15,2,FALSE)*DJ$20,DJ41&gt;VLOOKUP($C40,$C$3:$D$15,2,FALSE)*DJ$20),VLOOKUP($C40,$C$3:$D$15,2,FALSE)*DJ$20-DI42)))</f>
        <v>0</v>
      </c>
      <c r="DK40" s="762">
        <f t="shared" ref="DK40" si="1281" xml:space="preserve">
IF(DJ42&gt;=VLOOKUP($C40,$C$3:$D$15,2,FALSE)*DK$20,0,
IF(AND(DJ42&lt;VLOOKUP($C40,$C$3:$D$15,2,FALSE)*DK$20,DK41&lt;=VLOOKUP($C40,$C$3:$D$15,2,FALSE)*DK$20),IF(DK41-DJ42&lt;0,0,DK41-DJ42),
IF(AND(DJ42&lt;VLOOKUP($C40,$C$3:$D$15,2,FALSE)*DK$20,DK41&gt;VLOOKUP($C40,$C$3:$D$15,2,FALSE)*DK$20),VLOOKUP($C40,$C$3:$D$15,2,FALSE)*DK$20-DJ42)))</f>
        <v>0</v>
      </c>
      <c r="DL40" s="762">
        <f t="shared" ref="DL40" si="1282" xml:space="preserve">
IF(DK42&gt;=VLOOKUP($C40,$C$3:$D$15,2,FALSE)*DL$20,0,
IF(AND(DK42&lt;VLOOKUP($C40,$C$3:$D$15,2,FALSE)*DL$20,DL41&lt;=VLOOKUP($C40,$C$3:$D$15,2,FALSE)*DL$20),IF(DL41-DK42&lt;0,0,DL41-DK42),
IF(AND(DK42&lt;VLOOKUP($C40,$C$3:$D$15,2,FALSE)*DL$20,DL41&gt;VLOOKUP($C40,$C$3:$D$15,2,FALSE)*DL$20),VLOOKUP($C40,$C$3:$D$15,2,FALSE)*DL$20-DK42)))</f>
        <v>0</v>
      </c>
      <c r="DM40" s="762">
        <f t="shared" ref="DM40" si="1283" xml:space="preserve">
IF(DL42&gt;=VLOOKUP($C40,$C$3:$D$15,2,FALSE)*DM$20,0,
IF(AND(DL42&lt;VLOOKUP($C40,$C$3:$D$15,2,FALSE)*DM$20,DM41&lt;=VLOOKUP($C40,$C$3:$D$15,2,FALSE)*DM$20),IF(DM41-DL42&lt;0,0,DM41-DL42),
IF(AND(DL42&lt;VLOOKUP($C40,$C$3:$D$15,2,FALSE)*DM$20,DM41&gt;VLOOKUP($C40,$C$3:$D$15,2,FALSE)*DM$20),VLOOKUP($C40,$C$3:$D$15,2,FALSE)*DM$20-DL42)))</f>
        <v>0</v>
      </c>
      <c r="DN40" s="762">
        <f t="shared" ref="DN40" si="1284" xml:space="preserve">
IF(DM42&gt;=VLOOKUP($C40,$C$3:$D$15,2,FALSE)*DN$20,0,
IF(AND(DM42&lt;VLOOKUP($C40,$C$3:$D$15,2,FALSE)*DN$20,DN41&lt;=VLOOKUP($C40,$C$3:$D$15,2,FALSE)*DN$20),IF(DN41-DM42&lt;0,0,DN41-DM42),
IF(AND(DM42&lt;VLOOKUP($C40,$C$3:$D$15,2,FALSE)*DN$20,DN41&gt;VLOOKUP($C40,$C$3:$D$15,2,FALSE)*DN$20),VLOOKUP($C40,$C$3:$D$15,2,FALSE)*DN$20-DM42)))</f>
        <v>0</v>
      </c>
      <c r="DO40" s="762">
        <f t="shared" ref="DO40" si="1285" xml:space="preserve">
IF(DN42&gt;=VLOOKUP($C40,$C$3:$D$15,2,FALSE)*DO$20,0,
IF(AND(DN42&lt;VLOOKUP($C40,$C$3:$D$15,2,FALSE)*DO$20,DO41&lt;=VLOOKUP($C40,$C$3:$D$15,2,FALSE)*DO$20),IF(DO41-DN42&lt;0,0,DO41-DN42),
IF(AND(DN42&lt;VLOOKUP($C40,$C$3:$D$15,2,FALSE)*DO$20,DO41&gt;VLOOKUP($C40,$C$3:$D$15,2,FALSE)*DO$20),VLOOKUP($C40,$C$3:$D$15,2,FALSE)*DO$20-DN42)))</f>
        <v>0</v>
      </c>
      <c r="DP40" s="762">
        <f t="shared" ref="DP40" si="1286" xml:space="preserve">
IF(DO42&gt;=VLOOKUP($C40,$C$3:$D$15,2,FALSE)*DP$20,0,
IF(AND(DO42&lt;VLOOKUP($C40,$C$3:$D$15,2,FALSE)*DP$20,DP41&lt;=VLOOKUP($C40,$C$3:$D$15,2,FALSE)*DP$20),IF(DP41-DO42&lt;0,0,DP41-DO42),
IF(AND(DO42&lt;VLOOKUP($C40,$C$3:$D$15,2,FALSE)*DP$20,DP41&gt;VLOOKUP($C40,$C$3:$D$15,2,FALSE)*DP$20),VLOOKUP($C40,$C$3:$D$15,2,FALSE)*DP$20-DO42)))</f>
        <v>0</v>
      </c>
      <c r="DQ40" s="762">
        <f t="shared" ref="DQ40" si="1287" xml:space="preserve">
IF(DP42&gt;=VLOOKUP($C40,$C$3:$D$15,2,FALSE)*DQ$20,0,
IF(AND(DP42&lt;VLOOKUP($C40,$C$3:$D$15,2,FALSE)*DQ$20,DQ41&lt;=VLOOKUP($C40,$C$3:$D$15,2,FALSE)*DQ$20),IF(DQ41-DP42&lt;0,0,DQ41-DP42),
IF(AND(DP42&lt;VLOOKUP($C40,$C$3:$D$15,2,FALSE)*DQ$20,DQ41&gt;VLOOKUP($C40,$C$3:$D$15,2,FALSE)*DQ$20),VLOOKUP($C40,$C$3:$D$15,2,FALSE)*DQ$20-DP42)))</f>
        <v>0</v>
      </c>
      <c r="DR40" s="762">
        <f t="shared" ref="DR40" si="1288" xml:space="preserve">
IF(DQ42&gt;=VLOOKUP($C40,$C$3:$D$15,2,FALSE)*DR$20,0,
IF(AND(DQ42&lt;VLOOKUP($C40,$C$3:$D$15,2,FALSE)*DR$20,DR41&lt;=VLOOKUP($C40,$C$3:$D$15,2,FALSE)*DR$20),IF(DR41-DQ42&lt;0,0,DR41-DQ42),
IF(AND(DQ42&lt;VLOOKUP($C40,$C$3:$D$15,2,FALSE)*DR$20,DR41&gt;VLOOKUP($C40,$C$3:$D$15,2,FALSE)*DR$20),VLOOKUP($C40,$C$3:$D$15,2,FALSE)*DR$20-DQ42)))</f>
        <v>0</v>
      </c>
      <c r="DS40" s="762">
        <f t="shared" ref="DS40" si="1289" xml:space="preserve">
IF(DR42&gt;=VLOOKUP($C40,$C$3:$D$15,2,FALSE)*DS$20,0,
IF(AND(DR42&lt;VLOOKUP($C40,$C$3:$D$15,2,FALSE)*DS$20,DS41&lt;=VLOOKUP($C40,$C$3:$D$15,2,FALSE)*DS$20),IF(DS41-DR42&lt;0,0,DS41-DR42),
IF(AND(DR42&lt;VLOOKUP($C40,$C$3:$D$15,2,FALSE)*DS$20,DS41&gt;VLOOKUP($C40,$C$3:$D$15,2,FALSE)*DS$20),VLOOKUP($C40,$C$3:$D$15,2,FALSE)*DS$20-DR42)))</f>
        <v>0</v>
      </c>
      <c r="DT40" s="762">
        <f t="shared" ref="DT40" si="1290" xml:space="preserve">
IF(DS42&gt;=VLOOKUP($C40,$C$3:$D$15,2,FALSE)*DT$20,0,
IF(AND(DS42&lt;VLOOKUP($C40,$C$3:$D$15,2,FALSE)*DT$20,DT41&lt;=VLOOKUP($C40,$C$3:$D$15,2,FALSE)*DT$20),IF(DT41-DS42&lt;0,0,DT41-DS42),
IF(AND(DS42&lt;VLOOKUP($C40,$C$3:$D$15,2,FALSE)*DT$20,DT41&gt;VLOOKUP($C40,$C$3:$D$15,2,FALSE)*DT$20),VLOOKUP($C40,$C$3:$D$15,2,FALSE)*DT$20-DS42)))</f>
        <v>0</v>
      </c>
      <c r="DU40" s="762">
        <f t="shared" ref="DU40" si="1291" xml:space="preserve">
IF(DT42&gt;=VLOOKUP($C40,$C$3:$D$15,2,FALSE)*DU$20,0,
IF(AND(DT42&lt;VLOOKUP($C40,$C$3:$D$15,2,FALSE)*DU$20,DU41&lt;=VLOOKUP($C40,$C$3:$D$15,2,FALSE)*DU$20),IF(DU41-DT42&lt;0,0,DU41-DT42),
IF(AND(DT42&lt;VLOOKUP($C40,$C$3:$D$15,2,FALSE)*DU$20,DU41&gt;VLOOKUP($C40,$C$3:$D$15,2,FALSE)*DU$20),VLOOKUP($C40,$C$3:$D$15,2,FALSE)*DU$20-DT42)))</f>
        <v>0</v>
      </c>
      <c r="DV40" s="762">
        <f t="shared" ref="DV40" si="1292" xml:space="preserve">
IF(DU42&gt;=VLOOKUP($C40,$C$3:$D$15,2,FALSE)*DV$20,0,
IF(AND(DU42&lt;VLOOKUP($C40,$C$3:$D$15,2,FALSE)*DV$20,DV41&lt;=VLOOKUP($C40,$C$3:$D$15,2,FALSE)*DV$20),IF(DV41-DU42&lt;0,0,DV41-DU42),
IF(AND(DU42&lt;VLOOKUP($C40,$C$3:$D$15,2,FALSE)*DV$20,DV41&gt;VLOOKUP($C40,$C$3:$D$15,2,FALSE)*DV$20),VLOOKUP($C40,$C$3:$D$15,2,FALSE)*DV$20-DU42)))</f>
        <v>0</v>
      </c>
      <c r="DW40" s="762">
        <f t="shared" ref="DW40" si="1293" xml:space="preserve">
IF(DV42&gt;=VLOOKUP($C40,$C$3:$D$15,2,FALSE)*DW$20,0,
IF(AND(DV42&lt;VLOOKUP($C40,$C$3:$D$15,2,FALSE)*DW$20,DW41&lt;=VLOOKUP($C40,$C$3:$D$15,2,FALSE)*DW$20),IF(DW41-DV42&lt;0,0,DW41-DV42),
IF(AND(DV42&lt;VLOOKUP($C40,$C$3:$D$15,2,FALSE)*DW$20,DW41&gt;VLOOKUP($C40,$C$3:$D$15,2,FALSE)*DW$20),VLOOKUP($C40,$C$3:$D$15,2,FALSE)*DW$20-DV42)))</f>
        <v>0</v>
      </c>
      <c r="DX40" s="762">
        <f t="shared" ref="DX40" si="1294" xml:space="preserve">
IF(DW42&gt;=VLOOKUP($C40,$C$3:$D$15,2,FALSE)*DX$20,0,
IF(AND(DW42&lt;VLOOKUP($C40,$C$3:$D$15,2,FALSE)*DX$20,DX41&lt;=VLOOKUP($C40,$C$3:$D$15,2,FALSE)*DX$20),IF(DX41-DW42&lt;0,0,DX41-DW42),
IF(AND(DW42&lt;VLOOKUP($C40,$C$3:$D$15,2,FALSE)*DX$20,DX41&gt;VLOOKUP($C40,$C$3:$D$15,2,FALSE)*DX$20),VLOOKUP($C40,$C$3:$D$15,2,FALSE)*DX$20-DW42)))</f>
        <v>0</v>
      </c>
      <c r="DY40" s="762">
        <f t="shared" ref="DY40" si="1295" xml:space="preserve">
IF(DX42&gt;=VLOOKUP($C40,$C$3:$D$15,2,FALSE)*DY$20,0,
IF(AND(DX42&lt;VLOOKUP($C40,$C$3:$D$15,2,FALSE)*DY$20,DY41&lt;=VLOOKUP($C40,$C$3:$D$15,2,FALSE)*DY$20),IF(DY41-DX42&lt;0,0,DY41-DX42),
IF(AND(DX42&lt;VLOOKUP($C40,$C$3:$D$15,2,FALSE)*DY$20,DY41&gt;VLOOKUP($C40,$C$3:$D$15,2,FALSE)*DY$20),VLOOKUP($C40,$C$3:$D$15,2,FALSE)*DY$20-DX42)))</f>
        <v>0</v>
      </c>
      <c r="DZ40" s="762">
        <f t="shared" ref="DZ40" si="1296" xml:space="preserve">
IF(DY42&gt;=VLOOKUP($C40,$C$3:$D$15,2,FALSE)*DZ$20,0,
IF(AND(DY42&lt;VLOOKUP($C40,$C$3:$D$15,2,FALSE)*DZ$20,DZ41&lt;=VLOOKUP($C40,$C$3:$D$15,2,FALSE)*DZ$20),IF(DZ41-DY42&lt;0,0,DZ41-DY42),
IF(AND(DY42&lt;VLOOKUP($C40,$C$3:$D$15,2,FALSE)*DZ$20,DZ41&gt;VLOOKUP($C40,$C$3:$D$15,2,FALSE)*DZ$20),VLOOKUP($C40,$C$3:$D$15,2,FALSE)*DZ$20-DY42)))</f>
        <v>0</v>
      </c>
      <c r="EA40" s="762">
        <f t="shared" ref="EA40" si="1297" xml:space="preserve">
IF(DZ42&gt;=VLOOKUP($C40,$C$3:$D$15,2,FALSE)*EA$20,0,
IF(AND(DZ42&lt;VLOOKUP($C40,$C$3:$D$15,2,FALSE)*EA$20,EA41&lt;=VLOOKUP($C40,$C$3:$D$15,2,FALSE)*EA$20),IF(EA41-DZ42&lt;0,0,EA41-DZ42),
IF(AND(DZ42&lt;VLOOKUP($C40,$C$3:$D$15,2,FALSE)*EA$20,EA41&gt;VLOOKUP($C40,$C$3:$D$15,2,FALSE)*EA$20),VLOOKUP($C40,$C$3:$D$15,2,FALSE)*EA$20-DZ42)))</f>
        <v>0</v>
      </c>
      <c r="EB40" s="762">
        <f t="shared" ref="EB40" si="1298" xml:space="preserve">
IF(EA42&gt;=VLOOKUP($C40,$C$3:$D$15,2,FALSE)*EB$20,0,
IF(AND(EA42&lt;VLOOKUP($C40,$C$3:$D$15,2,FALSE)*EB$20,EB41&lt;=VLOOKUP($C40,$C$3:$D$15,2,FALSE)*EB$20),IF(EB41-EA42&lt;0,0,EB41-EA42),
IF(AND(EA42&lt;VLOOKUP($C40,$C$3:$D$15,2,FALSE)*EB$20,EB41&gt;VLOOKUP($C40,$C$3:$D$15,2,FALSE)*EB$20),VLOOKUP($C40,$C$3:$D$15,2,FALSE)*EB$20-EA42)))</f>
        <v>0</v>
      </c>
      <c r="EC40" s="762">
        <f t="shared" ref="EC40" si="1299" xml:space="preserve">
IF(EB42&gt;=VLOOKUP($C40,$C$3:$D$15,2,FALSE)*EC$20,0,
IF(AND(EB42&lt;VLOOKUP($C40,$C$3:$D$15,2,FALSE)*EC$20,EC41&lt;=VLOOKUP($C40,$C$3:$D$15,2,FALSE)*EC$20),IF(EC41-EB42&lt;0,0,EC41-EB42),
IF(AND(EB42&lt;VLOOKUP($C40,$C$3:$D$15,2,FALSE)*EC$20,EC41&gt;VLOOKUP($C40,$C$3:$D$15,2,FALSE)*EC$20),VLOOKUP($C40,$C$3:$D$15,2,FALSE)*EC$20-EB42)))</f>
        <v>0</v>
      </c>
      <c r="ED40" s="762">
        <f t="shared" ref="ED40" si="1300" xml:space="preserve">
IF(EC42&gt;=VLOOKUP($C40,$C$3:$D$15,2,FALSE)*ED$20,0,
IF(AND(EC42&lt;VLOOKUP($C40,$C$3:$D$15,2,FALSE)*ED$20,ED41&lt;=VLOOKUP($C40,$C$3:$D$15,2,FALSE)*ED$20),IF(ED41-EC42&lt;0,0,ED41-EC42),
IF(AND(EC42&lt;VLOOKUP($C40,$C$3:$D$15,2,FALSE)*ED$20,ED41&gt;VLOOKUP($C40,$C$3:$D$15,2,FALSE)*ED$20),VLOOKUP($C40,$C$3:$D$15,2,FALSE)*ED$20-EC42)))</f>
        <v>0</v>
      </c>
      <c r="EE40" s="762">
        <f t="shared" ref="EE40" si="1301" xml:space="preserve">
IF(ED42&gt;=VLOOKUP($C40,$C$3:$D$15,2,FALSE)*EE$20,0,
IF(AND(ED42&lt;VLOOKUP($C40,$C$3:$D$15,2,FALSE)*EE$20,EE41&lt;=VLOOKUP($C40,$C$3:$D$15,2,FALSE)*EE$20),IF(EE41-ED42&lt;0,0,EE41-ED42),
IF(AND(ED42&lt;VLOOKUP($C40,$C$3:$D$15,2,FALSE)*EE$20,EE41&gt;VLOOKUP($C40,$C$3:$D$15,2,FALSE)*EE$20),VLOOKUP($C40,$C$3:$D$15,2,FALSE)*EE$20-ED42)))</f>
        <v>0</v>
      </c>
      <c r="EF40" s="762">
        <f t="shared" ref="EF40" si="1302" xml:space="preserve">
IF(EE42&gt;=VLOOKUP($C40,$C$3:$D$15,2,FALSE)*EF$20,0,
IF(AND(EE42&lt;VLOOKUP($C40,$C$3:$D$15,2,FALSE)*EF$20,EF41&lt;=VLOOKUP($C40,$C$3:$D$15,2,FALSE)*EF$20),IF(EF41-EE42&lt;0,0,EF41-EE42),
IF(AND(EE42&lt;VLOOKUP($C40,$C$3:$D$15,2,FALSE)*EF$20,EF41&gt;VLOOKUP($C40,$C$3:$D$15,2,FALSE)*EF$20),VLOOKUP($C40,$C$3:$D$15,2,FALSE)*EF$20-EE42)))</f>
        <v>0</v>
      </c>
      <c r="EG40" s="762">
        <f t="shared" ref="EG40" si="1303" xml:space="preserve">
IF(EF42&gt;=VLOOKUP($C40,$C$3:$D$15,2,FALSE)*EG$20,0,
IF(AND(EF42&lt;VLOOKUP($C40,$C$3:$D$15,2,FALSE)*EG$20,EG41&lt;=VLOOKUP($C40,$C$3:$D$15,2,FALSE)*EG$20),IF(EG41-EF42&lt;0,0,EG41-EF42),
IF(AND(EF42&lt;VLOOKUP($C40,$C$3:$D$15,2,FALSE)*EG$20,EG41&gt;VLOOKUP($C40,$C$3:$D$15,2,FALSE)*EG$20),VLOOKUP($C40,$C$3:$D$15,2,FALSE)*EG$20-EF42)))</f>
        <v>0</v>
      </c>
      <c r="EH40" s="762">
        <f t="shared" ref="EH40" si="1304" xml:space="preserve">
IF(EG42&gt;=VLOOKUP($C40,$C$3:$D$15,2,FALSE)*EH$20,0,
IF(AND(EG42&lt;VLOOKUP($C40,$C$3:$D$15,2,FALSE)*EH$20,EH41&lt;=VLOOKUP($C40,$C$3:$D$15,2,FALSE)*EH$20),IF(EH41-EG42&lt;0,0,EH41-EG42),
IF(AND(EG42&lt;VLOOKUP($C40,$C$3:$D$15,2,FALSE)*EH$20,EH41&gt;VLOOKUP($C40,$C$3:$D$15,2,FALSE)*EH$20),VLOOKUP($C40,$C$3:$D$15,2,FALSE)*EH$20-EG42)))</f>
        <v>0</v>
      </c>
      <c r="EI40" s="762">
        <f t="shared" ref="EI40" si="1305" xml:space="preserve">
IF(EH42&gt;=VLOOKUP($C40,$C$3:$D$15,2,FALSE)*EI$20,0,
IF(AND(EH42&lt;VLOOKUP($C40,$C$3:$D$15,2,FALSE)*EI$20,EI41&lt;=VLOOKUP($C40,$C$3:$D$15,2,FALSE)*EI$20),IF(EI41-EH42&lt;0,0,EI41-EH42),
IF(AND(EH42&lt;VLOOKUP($C40,$C$3:$D$15,2,FALSE)*EI$20,EI41&gt;VLOOKUP($C40,$C$3:$D$15,2,FALSE)*EI$20),VLOOKUP($C40,$C$3:$D$15,2,FALSE)*EI$20-EH42)))</f>
        <v>0</v>
      </c>
      <c r="EJ40" s="762">
        <f t="shared" ref="EJ40" si="1306" xml:space="preserve">
IF(EI42&gt;=VLOOKUP($C40,$C$3:$D$15,2,FALSE)*EJ$20,0,
IF(AND(EI42&lt;VLOOKUP($C40,$C$3:$D$15,2,FALSE)*EJ$20,EJ41&lt;=VLOOKUP($C40,$C$3:$D$15,2,FALSE)*EJ$20),IF(EJ41-EI42&lt;0,0,EJ41-EI42),
IF(AND(EI42&lt;VLOOKUP($C40,$C$3:$D$15,2,FALSE)*EJ$20,EJ41&gt;VLOOKUP($C40,$C$3:$D$15,2,FALSE)*EJ$20),VLOOKUP($C40,$C$3:$D$15,2,FALSE)*EJ$20-EI42)))</f>
        <v>0</v>
      </c>
      <c r="EK40" s="762">
        <f t="shared" ref="EK40" si="1307" xml:space="preserve">
IF(EJ42&gt;=VLOOKUP($C40,$C$3:$D$15,2,FALSE)*EK$20,0,
IF(AND(EJ42&lt;VLOOKUP($C40,$C$3:$D$15,2,FALSE)*EK$20,EK41&lt;=VLOOKUP($C40,$C$3:$D$15,2,FALSE)*EK$20),IF(EK41-EJ42&lt;0,0,EK41-EJ42),
IF(AND(EJ42&lt;VLOOKUP($C40,$C$3:$D$15,2,FALSE)*EK$20,EK41&gt;VLOOKUP($C40,$C$3:$D$15,2,FALSE)*EK$20),VLOOKUP($C40,$C$3:$D$15,2,FALSE)*EK$20-EJ42)))</f>
        <v>0</v>
      </c>
      <c r="EL40" s="762">
        <f t="shared" ref="EL40" si="1308" xml:space="preserve">
IF(EK42&gt;=VLOOKUP($C40,$C$3:$D$15,2,FALSE)*EL$20,0,
IF(AND(EK42&lt;VLOOKUP($C40,$C$3:$D$15,2,FALSE)*EL$20,EL41&lt;=VLOOKUP($C40,$C$3:$D$15,2,FALSE)*EL$20),IF(EL41-EK42&lt;0,0,EL41-EK42),
IF(AND(EK42&lt;VLOOKUP($C40,$C$3:$D$15,2,FALSE)*EL$20,EL41&gt;VLOOKUP($C40,$C$3:$D$15,2,FALSE)*EL$20),VLOOKUP($C40,$C$3:$D$15,2,FALSE)*EL$20-EK42)))</f>
        <v>0</v>
      </c>
      <c r="EM40" s="762">
        <f t="shared" ref="EM40" si="1309" xml:space="preserve">
IF(EL42&gt;=VLOOKUP($C40,$C$3:$D$15,2,FALSE)*EM$20,0,
IF(AND(EL42&lt;VLOOKUP($C40,$C$3:$D$15,2,FALSE)*EM$20,EM41&lt;=VLOOKUP($C40,$C$3:$D$15,2,FALSE)*EM$20),IF(EM41-EL42&lt;0,0,EM41-EL42),
IF(AND(EL42&lt;VLOOKUP($C40,$C$3:$D$15,2,FALSE)*EM$20,EM41&gt;VLOOKUP($C40,$C$3:$D$15,2,FALSE)*EM$20),VLOOKUP($C40,$C$3:$D$15,2,FALSE)*EM$20-EL42)))</f>
        <v>0</v>
      </c>
      <c r="EN40" s="762">
        <f t="shared" ref="EN40" si="1310" xml:space="preserve">
IF(EM42&gt;=VLOOKUP($C40,$C$3:$D$15,2,FALSE)*EN$20,0,
IF(AND(EM42&lt;VLOOKUP($C40,$C$3:$D$15,2,FALSE)*EN$20,EN41&lt;=VLOOKUP($C40,$C$3:$D$15,2,FALSE)*EN$20),IF(EN41-EM42&lt;0,0,EN41-EM42),
IF(AND(EM42&lt;VLOOKUP($C40,$C$3:$D$15,2,FALSE)*EN$20,EN41&gt;VLOOKUP($C40,$C$3:$D$15,2,FALSE)*EN$20),VLOOKUP($C40,$C$3:$D$15,2,FALSE)*EN$20-EM42)))</f>
        <v>0</v>
      </c>
      <c r="EO40" s="762">
        <f t="shared" ref="EO40" si="1311" xml:space="preserve">
IF(EN42&gt;=VLOOKUP($C40,$C$3:$D$15,2,FALSE)*EO$20,0,
IF(AND(EN42&lt;VLOOKUP($C40,$C$3:$D$15,2,FALSE)*EO$20,EO41&lt;=VLOOKUP($C40,$C$3:$D$15,2,FALSE)*EO$20),IF(EO41-EN42&lt;0,0,EO41-EN42),
IF(AND(EN42&lt;VLOOKUP($C40,$C$3:$D$15,2,FALSE)*EO$20,EO41&gt;VLOOKUP($C40,$C$3:$D$15,2,FALSE)*EO$20),VLOOKUP($C40,$C$3:$D$15,2,FALSE)*EO$20-EN42)))</f>
        <v>0</v>
      </c>
      <c r="EP40" s="762">
        <f t="shared" ref="EP40" si="1312" xml:space="preserve">
IF(EO42&gt;=VLOOKUP($C40,$C$3:$D$15,2,FALSE)*EP$20,0,
IF(AND(EO42&lt;VLOOKUP($C40,$C$3:$D$15,2,FALSE)*EP$20,EP41&lt;=VLOOKUP($C40,$C$3:$D$15,2,FALSE)*EP$20),IF(EP41-EO42&lt;0,0,EP41-EO42),
IF(AND(EO42&lt;VLOOKUP($C40,$C$3:$D$15,2,FALSE)*EP$20,EP41&gt;VLOOKUP($C40,$C$3:$D$15,2,FALSE)*EP$20),VLOOKUP($C40,$C$3:$D$15,2,FALSE)*EP$20-EO42)))</f>
        <v>0</v>
      </c>
      <c r="EQ40" s="762">
        <f t="shared" ref="EQ40" si="1313" xml:space="preserve">
IF(EP42&gt;=VLOOKUP($C40,$C$3:$D$15,2,FALSE)*EQ$20,0,
IF(AND(EP42&lt;VLOOKUP($C40,$C$3:$D$15,2,FALSE)*EQ$20,EQ41&lt;=VLOOKUP($C40,$C$3:$D$15,2,FALSE)*EQ$20),IF(EQ41-EP42&lt;0,0,EQ41-EP42),
IF(AND(EP42&lt;VLOOKUP($C40,$C$3:$D$15,2,FALSE)*EQ$20,EQ41&gt;VLOOKUP($C40,$C$3:$D$15,2,FALSE)*EQ$20),VLOOKUP($C40,$C$3:$D$15,2,FALSE)*EQ$20-EP42)))</f>
        <v>0</v>
      </c>
      <c r="ER40" s="762">
        <f t="shared" ref="ER40" si="1314" xml:space="preserve">
IF(EQ42&gt;=VLOOKUP($C40,$C$3:$D$15,2,FALSE)*ER$20,0,
IF(AND(EQ42&lt;VLOOKUP($C40,$C$3:$D$15,2,FALSE)*ER$20,ER41&lt;=VLOOKUP($C40,$C$3:$D$15,2,FALSE)*ER$20),IF(ER41-EQ42&lt;0,0,ER41-EQ42),
IF(AND(EQ42&lt;VLOOKUP($C40,$C$3:$D$15,2,FALSE)*ER$20,ER41&gt;VLOOKUP($C40,$C$3:$D$15,2,FALSE)*ER$20),VLOOKUP($C40,$C$3:$D$15,2,FALSE)*ER$20-EQ42)))</f>
        <v>0</v>
      </c>
      <c r="ES40" s="762">
        <f t="shared" ref="ES40" si="1315" xml:space="preserve">
IF(ER42&gt;=VLOOKUP($C40,$C$3:$D$15,2,FALSE)*ES$20,0,
IF(AND(ER42&lt;VLOOKUP($C40,$C$3:$D$15,2,FALSE)*ES$20,ES41&lt;=VLOOKUP($C40,$C$3:$D$15,2,FALSE)*ES$20),IF(ES41-ER42&lt;0,0,ES41-ER42),
IF(AND(ER42&lt;VLOOKUP($C40,$C$3:$D$15,2,FALSE)*ES$20,ES41&gt;VLOOKUP($C40,$C$3:$D$15,2,FALSE)*ES$20),VLOOKUP($C40,$C$3:$D$15,2,FALSE)*ES$20-ER42)))</f>
        <v>0</v>
      </c>
      <c r="ET40" s="762">
        <f t="shared" ref="ET40" si="1316" xml:space="preserve">
IF(ES42&gt;=VLOOKUP($C40,$C$3:$D$15,2,FALSE)*ET$20,0,
IF(AND(ES42&lt;VLOOKUP($C40,$C$3:$D$15,2,FALSE)*ET$20,ET41&lt;=VLOOKUP($C40,$C$3:$D$15,2,FALSE)*ET$20),IF(ET41-ES42&lt;0,0,ET41-ES42),
IF(AND(ES42&lt;VLOOKUP($C40,$C$3:$D$15,2,FALSE)*ET$20,ET41&gt;VLOOKUP($C40,$C$3:$D$15,2,FALSE)*ET$20),VLOOKUP($C40,$C$3:$D$15,2,FALSE)*ET$20-ES42)))</f>
        <v>0</v>
      </c>
      <c r="EU40" s="762">
        <f t="shared" ref="EU40" si="1317" xml:space="preserve">
IF(ET42&gt;=VLOOKUP($C40,$C$3:$D$15,2,FALSE)*EU$20,0,
IF(AND(ET42&lt;VLOOKUP($C40,$C$3:$D$15,2,FALSE)*EU$20,EU41&lt;=VLOOKUP($C40,$C$3:$D$15,2,FALSE)*EU$20),IF(EU41-ET42&lt;0,0,EU41-ET42),
IF(AND(ET42&lt;VLOOKUP($C40,$C$3:$D$15,2,FALSE)*EU$20,EU41&gt;VLOOKUP($C40,$C$3:$D$15,2,FALSE)*EU$20),VLOOKUP($C40,$C$3:$D$15,2,FALSE)*EU$20-ET42)))</f>
        <v>0</v>
      </c>
      <c r="EV40" s="762">
        <f t="shared" ref="EV40" si="1318" xml:space="preserve">
IF(EU42&gt;=VLOOKUP($C40,$C$3:$D$15,2,FALSE)*EV$20,0,
IF(AND(EU42&lt;VLOOKUP($C40,$C$3:$D$15,2,FALSE)*EV$20,EV41&lt;=VLOOKUP($C40,$C$3:$D$15,2,FALSE)*EV$20),IF(EV41-EU42&lt;0,0,EV41-EU42),
IF(AND(EU42&lt;VLOOKUP($C40,$C$3:$D$15,2,FALSE)*EV$20,EV41&gt;VLOOKUP($C40,$C$3:$D$15,2,FALSE)*EV$20),VLOOKUP($C40,$C$3:$D$15,2,FALSE)*EV$20-EU42)))</f>
        <v>0</v>
      </c>
      <c r="EW40" s="762">
        <f t="shared" ref="EW40" si="1319" xml:space="preserve">
IF(EV42&gt;=VLOOKUP($C40,$C$3:$D$15,2,FALSE)*EW$20,0,
IF(AND(EV42&lt;VLOOKUP($C40,$C$3:$D$15,2,FALSE)*EW$20,EW41&lt;=VLOOKUP($C40,$C$3:$D$15,2,FALSE)*EW$20),IF(EW41-EV42&lt;0,0,EW41-EV42),
IF(AND(EV42&lt;VLOOKUP($C40,$C$3:$D$15,2,FALSE)*EW$20,EW41&gt;VLOOKUP($C40,$C$3:$D$15,2,FALSE)*EW$20),VLOOKUP($C40,$C$3:$D$15,2,FALSE)*EW$20-EV42)))</f>
        <v>0</v>
      </c>
      <c r="EX40" s="762">
        <f t="shared" ref="EX40" si="1320" xml:space="preserve">
IF(EW42&gt;=VLOOKUP($C40,$C$3:$D$15,2,FALSE)*EX$20,0,
IF(AND(EW42&lt;VLOOKUP($C40,$C$3:$D$15,2,FALSE)*EX$20,EX41&lt;=VLOOKUP($C40,$C$3:$D$15,2,FALSE)*EX$20),IF(EX41-EW42&lt;0,0,EX41-EW42),
IF(AND(EW42&lt;VLOOKUP($C40,$C$3:$D$15,2,FALSE)*EX$20,EX41&gt;VLOOKUP($C40,$C$3:$D$15,2,FALSE)*EX$20),VLOOKUP($C40,$C$3:$D$15,2,FALSE)*EX$20-EW42)))</f>
        <v>0</v>
      </c>
      <c r="EY40" s="762">
        <f t="shared" ref="EY40" si="1321" xml:space="preserve">
IF(EX42&gt;=VLOOKUP($C40,$C$3:$D$15,2,FALSE)*EY$20,0,
IF(AND(EX42&lt;VLOOKUP($C40,$C$3:$D$15,2,FALSE)*EY$20,EY41&lt;=VLOOKUP($C40,$C$3:$D$15,2,FALSE)*EY$20),IF(EY41-EX42&lt;0,0,EY41-EX42),
IF(AND(EX42&lt;VLOOKUP($C40,$C$3:$D$15,2,FALSE)*EY$20,EY41&gt;VLOOKUP($C40,$C$3:$D$15,2,FALSE)*EY$20),VLOOKUP($C40,$C$3:$D$15,2,FALSE)*EY$20-EX42)))</f>
        <v>0</v>
      </c>
      <c r="EZ40" s="762">
        <f t="shared" ref="EZ40" si="1322" xml:space="preserve">
IF(EY42&gt;=VLOOKUP($C40,$C$3:$D$15,2,FALSE)*EZ$20,0,
IF(AND(EY42&lt;VLOOKUP($C40,$C$3:$D$15,2,FALSE)*EZ$20,EZ41&lt;=VLOOKUP($C40,$C$3:$D$15,2,FALSE)*EZ$20),IF(EZ41-EY42&lt;0,0,EZ41-EY42),
IF(AND(EY42&lt;VLOOKUP($C40,$C$3:$D$15,2,FALSE)*EZ$20,EZ41&gt;VLOOKUP($C40,$C$3:$D$15,2,FALSE)*EZ$20),VLOOKUP($C40,$C$3:$D$15,2,FALSE)*EZ$20-EY42)))</f>
        <v>0</v>
      </c>
      <c r="FA40" s="762">
        <f t="shared" ref="FA40" si="1323" xml:space="preserve">
IF(EZ42&gt;=VLOOKUP($C40,$C$3:$D$15,2,FALSE)*FA$20,0,
IF(AND(EZ42&lt;VLOOKUP($C40,$C$3:$D$15,2,FALSE)*FA$20,FA41&lt;=VLOOKUP($C40,$C$3:$D$15,2,FALSE)*FA$20),IF(FA41-EZ42&lt;0,0,FA41-EZ42),
IF(AND(EZ42&lt;VLOOKUP($C40,$C$3:$D$15,2,FALSE)*FA$20,FA41&gt;VLOOKUP($C40,$C$3:$D$15,2,FALSE)*FA$20),VLOOKUP($C40,$C$3:$D$15,2,FALSE)*FA$20-EZ42)))</f>
        <v>0</v>
      </c>
      <c r="FB40" s="762">
        <f t="shared" ref="FB40" si="1324" xml:space="preserve">
IF(FA42&gt;=VLOOKUP($C40,$C$3:$D$15,2,FALSE)*FB$20,0,
IF(AND(FA42&lt;VLOOKUP($C40,$C$3:$D$15,2,FALSE)*FB$20,FB41&lt;=VLOOKUP($C40,$C$3:$D$15,2,FALSE)*FB$20),IF(FB41-FA42&lt;0,0,FB41-FA42),
IF(AND(FA42&lt;VLOOKUP($C40,$C$3:$D$15,2,FALSE)*FB$20,FB41&gt;VLOOKUP($C40,$C$3:$D$15,2,FALSE)*FB$20),VLOOKUP($C40,$C$3:$D$15,2,FALSE)*FB$20-FA42)))</f>
        <v>0</v>
      </c>
      <c r="FC40" s="762">
        <f t="shared" ref="FC40" si="1325" xml:space="preserve">
IF(FB42&gt;=VLOOKUP($C40,$C$3:$D$15,2,FALSE)*FC$20,0,
IF(AND(FB42&lt;VLOOKUP($C40,$C$3:$D$15,2,FALSE)*FC$20,FC41&lt;=VLOOKUP($C40,$C$3:$D$15,2,FALSE)*FC$20),IF(FC41-FB42&lt;0,0,FC41-FB42),
IF(AND(FB42&lt;VLOOKUP($C40,$C$3:$D$15,2,FALSE)*FC$20,FC41&gt;VLOOKUP($C40,$C$3:$D$15,2,FALSE)*FC$20),VLOOKUP($C40,$C$3:$D$15,2,FALSE)*FC$20-FB42)))</f>
        <v>0</v>
      </c>
      <c r="FD40" s="762">
        <f t="shared" ref="FD40" si="1326" xml:space="preserve">
IF(FC42&gt;=VLOOKUP($C40,$C$3:$D$15,2,FALSE)*FD$20,0,
IF(AND(FC42&lt;VLOOKUP($C40,$C$3:$D$15,2,FALSE)*FD$20,FD41&lt;=VLOOKUP($C40,$C$3:$D$15,2,FALSE)*FD$20),IF(FD41-FC42&lt;0,0,FD41-FC42),
IF(AND(FC42&lt;VLOOKUP($C40,$C$3:$D$15,2,FALSE)*FD$20,FD41&gt;VLOOKUP($C40,$C$3:$D$15,2,FALSE)*FD$20),VLOOKUP($C40,$C$3:$D$15,2,FALSE)*FD$20-FC42)))</f>
        <v>0</v>
      </c>
      <c r="FE40" s="762">
        <f t="shared" ref="FE40" si="1327" xml:space="preserve">
IF(FD42&gt;=VLOOKUP($C40,$C$3:$D$15,2,FALSE)*FE$20,0,
IF(AND(FD42&lt;VLOOKUP($C40,$C$3:$D$15,2,FALSE)*FE$20,FE41&lt;=VLOOKUP($C40,$C$3:$D$15,2,FALSE)*FE$20),IF(FE41-FD42&lt;0,0,FE41-FD42),
IF(AND(FD42&lt;VLOOKUP($C40,$C$3:$D$15,2,FALSE)*FE$20,FE41&gt;VLOOKUP($C40,$C$3:$D$15,2,FALSE)*FE$20),VLOOKUP($C40,$C$3:$D$15,2,FALSE)*FE$20-FD42)))</f>
        <v>0</v>
      </c>
      <c r="FF40" s="762">
        <f t="shared" ref="FF40" si="1328" xml:space="preserve">
IF(FE42&gt;=VLOOKUP($C40,$C$3:$D$15,2,FALSE)*FF$20,0,
IF(AND(FE42&lt;VLOOKUP($C40,$C$3:$D$15,2,FALSE)*FF$20,FF41&lt;=VLOOKUP($C40,$C$3:$D$15,2,FALSE)*FF$20),IF(FF41-FE42&lt;0,0,FF41-FE42),
IF(AND(FE42&lt;VLOOKUP($C40,$C$3:$D$15,2,FALSE)*FF$20,FF41&gt;VLOOKUP($C40,$C$3:$D$15,2,FALSE)*FF$20),VLOOKUP($C40,$C$3:$D$15,2,FALSE)*FF$20-FE42)))</f>
        <v>0</v>
      </c>
      <c r="FG40" s="762">
        <f t="shared" ref="FG40" si="1329" xml:space="preserve">
IF(FF42&gt;=VLOOKUP($C40,$C$3:$D$15,2,FALSE)*FG$20,0,
IF(AND(FF42&lt;VLOOKUP($C40,$C$3:$D$15,2,FALSE)*FG$20,FG41&lt;=VLOOKUP($C40,$C$3:$D$15,2,FALSE)*FG$20),IF(FG41-FF42&lt;0,0,FG41-FF42),
IF(AND(FF42&lt;VLOOKUP($C40,$C$3:$D$15,2,FALSE)*FG$20,FG41&gt;VLOOKUP($C40,$C$3:$D$15,2,FALSE)*FG$20),VLOOKUP($C40,$C$3:$D$15,2,FALSE)*FG$20-FF42)))</f>
        <v>0</v>
      </c>
      <c r="FH40" s="762">
        <f t="shared" ref="FH40" si="1330" xml:space="preserve">
IF(FG42&gt;=VLOOKUP($C40,$C$3:$D$15,2,FALSE)*FH$20,0,
IF(AND(FG42&lt;VLOOKUP($C40,$C$3:$D$15,2,FALSE)*FH$20,FH41&lt;=VLOOKUP($C40,$C$3:$D$15,2,FALSE)*FH$20),IF(FH41-FG42&lt;0,0,FH41-FG42),
IF(AND(FG42&lt;VLOOKUP($C40,$C$3:$D$15,2,FALSE)*FH$20,FH41&gt;VLOOKUP($C40,$C$3:$D$15,2,FALSE)*FH$20),VLOOKUP($C40,$C$3:$D$15,2,FALSE)*FH$20-FG42)))</f>
        <v>0</v>
      </c>
      <c r="FI40" s="762">
        <f t="shared" ref="FI40" si="1331" xml:space="preserve">
IF(FH42&gt;=VLOOKUP($C40,$C$3:$D$15,2,FALSE)*FI$20,0,
IF(AND(FH42&lt;VLOOKUP($C40,$C$3:$D$15,2,FALSE)*FI$20,FI41&lt;=VLOOKUP($C40,$C$3:$D$15,2,FALSE)*FI$20),IF(FI41-FH42&lt;0,0,FI41-FH42),
IF(AND(FH42&lt;VLOOKUP($C40,$C$3:$D$15,2,FALSE)*FI$20,FI41&gt;VLOOKUP($C40,$C$3:$D$15,2,FALSE)*FI$20),VLOOKUP($C40,$C$3:$D$15,2,FALSE)*FI$20-FH42)))</f>
        <v>0</v>
      </c>
      <c r="FJ40" s="762">
        <f t="shared" ref="FJ40" si="1332" xml:space="preserve">
IF(FI42&gt;=VLOOKUP($C40,$C$3:$D$15,2,FALSE)*FJ$20,0,
IF(AND(FI42&lt;VLOOKUP($C40,$C$3:$D$15,2,FALSE)*FJ$20,FJ41&lt;=VLOOKUP($C40,$C$3:$D$15,2,FALSE)*FJ$20),IF(FJ41-FI42&lt;0,0,FJ41-FI42),
IF(AND(FI42&lt;VLOOKUP($C40,$C$3:$D$15,2,FALSE)*FJ$20,FJ41&gt;VLOOKUP($C40,$C$3:$D$15,2,FALSE)*FJ$20),VLOOKUP($C40,$C$3:$D$15,2,FALSE)*FJ$20-FI42)))</f>
        <v>0</v>
      </c>
      <c r="FK40" s="762">
        <f t="shared" ref="FK40" si="1333" xml:space="preserve">
IF(FJ42&gt;=VLOOKUP($C40,$C$3:$D$15,2,FALSE)*FK$20,0,
IF(AND(FJ42&lt;VLOOKUP($C40,$C$3:$D$15,2,FALSE)*FK$20,FK41&lt;=VLOOKUP($C40,$C$3:$D$15,2,FALSE)*FK$20),IF(FK41-FJ42&lt;0,0,FK41-FJ42),
IF(AND(FJ42&lt;VLOOKUP($C40,$C$3:$D$15,2,FALSE)*FK$20,FK41&gt;VLOOKUP($C40,$C$3:$D$15,2,FALSE)*FK$20),VLOOKUP($C40,$C$3:$D$15,2,FALSE)*FK$20-FJ42)))</f>
        <v>0</v>
      </c>
      <c r="FL40" s="762">
        <f t="shared" ref="FL40" si="1334" xml:space="preserve">
IF(FK42&gt;=VLOOKUP($C40,$C$3:$D$15,2,FALSE)*FL$20,0,
IF(AND(FK42&lt;VLOOKUP($C40,$C$3:$D$15,2,FALSE)*FL$20,FL41&lt;=VLOOKUP($C40,$C$3:$D$15,2,FALSE)*FL$20),IF(FL41-FK42&lt;0,0,FL41-FK42),
IF(AND(FK42&lt;VLOOKUP($C40,$C$3:$D$15,2,FALSE)*FL$20,FL41&gt;VLOOKUP($C40,$C$3:$D$15,2,FALSE)*FL$20),VLOOKUP($C40,$C$3:$D$15,2,FALSE)*FL$20-FK42)))</f>
        <v>0</v>
      </c>
      <c r="FM40" s="762">
        <f t="shared" ref="FM40" si="1335" xml:space="preserve">
IF(FL42&gt;=VLOOKUP($C40,$C$3:$D$15,2,FALSE)*FM$20,0,
IF(AND(FL42&lt;VLOOKUP($C40,$C$3:$D$15,2,FALSE)*FM$20,FM41&lt;=VLOOKUP($C40,$C$3:$D$15,2,FALSE)*FM$20),IF(FM41-FL42&lt;0,0,FM41-FL42),
IF(AND(FL42&lt;VLOOKUP($C40,$C$3:$D$15,2,FALSE)*FM$20,FM41&gt;VLOOKUP($C40,$C$3:$D$15,2,FALSE)*FM$20),VLOOKUP($C40,$C$3:$D$15,2,FALSE)*FM$20-FL42)))</f>
        <v>0</v>
      </c>
      <c r="FN40" s="762">
        <f t="shared" ref="FN40" si="1336" xml:space="preserve">
IF(FM42&gt;=VLOOKUP($C40,$C$3:$D$15,2,FALSE)*FN$20,0,
IF(AND(FM42&lt;VLOOKUP($C40,$C$3:$D$15,2,FALSE)*FN$20,FN41&lt;=VLOOKUP($C40,$C$3:$D$15,2,FALSE)*FN$20),IF(FN41-FM42&lt;0,0,FN41-FM42),
IF(AND(FM42&lt;VLOOKUP($C40,$C$3:$D$15,2,FALSE)*FN$20,FN41&gt;VLOOKUP($C40,$C$3:$D$15,2,FALSE)*FN$20),VLOOKUP($C40,$C$3:$D$15,2,FALSE)*FN$20-FM42)))</f>
        <v>0</v>
      </c>
      <c r="FO40" s="762">
        <f t="shared" ref="FO40" si="1337" xml:space="preserve">
IF(FN42&gt;=VLOOKUP($C40,$C$3:$D$15,2,FALSE)*FO$20,0,
IF(AND(FN42&lt;VLOOKUP($C40,$C$3:$D$15,2,FALSE)*FO$20,FO41&lt;=VLOOKUP($C40,$C$3:$D$15,2,FALSE)*FO$20),IF(FO41-FN42&lt;0,0,FO41-FN42),
IF(AND(FN42&lt;VLOOKUP($C40,$C$3:$D$15,2,FALSE)*FO$20,FO41&gt;VLOOKUP($C40,$C$3:$D$15,2,FALSE)*FO$20),VLOOKUP($C40,$C$3:$D$15,2,FALSE)*FO$20-FN42)))</f>
        <v>0</v>
      </c>
      <c r="FP40" s="762">
        <f t="shared" ref="FP40" si="1338" xml:space="preserve">
IF(FO42&gt;=VLOOKUP($C40,$C$3:$D$15,2,FALSE)*FP$20,0,
IF(AND(FO42&lt;VLOOKUP($C40,$C$3:$D$15,2,FALSE)*FP$20,FP41&lt;=VLOOKUP($C40,$C$3:$D$15,2,FALSE)*FP$20),IF(FP41-FO42&lt;0,0,FP41-FO42),
IF(AND(FO42&lt;VLOOKUP($C40,$C$3:$D$15,2,FALSE)*FP$20,FP41&gt;VLOOKUP($C40,$C$3:$D$15,2,FALSE)*FP$20),VLOOKUP($C40,$C$3:$D$15,2,FALSE)*FP$20-FO42)))</f>
        <v>0</v>
      </c>
      <c r="FQ40" s="762">
        <f t="shared" ref="FQ40" si="1339" xml:space="preserve">
IF(FP42&gt;=VLOOKUP($C40,$C$3:$D$15,2,FALSE)*FQ$20,0,
IF(AND(FP42&lt;VLOOKUP($C40,$C$3:$D$15,2,FALSE)*FQ$20,FQ41&lt;=VLOOKUP($C40,$C$3:$D$15,2,FALSE)*FQ$20),IF(FQ41-FP42&lt;0,0,FQ41-FP42),
IF(AND(FP42&lt;VLOOKUP($C40,$C$3:$D$15,2,FALSE)*FQ$20,FQ41&gt;VLOOKUP($C40,$C$3:$D$15,2,FALSE)*FQ$20),VLOOKUP($C40,$C$3:$D$15,2,FALSE)*FQ$20-FP42)))</f>
        <v>0</v>
      </c>
      <c r="FR40" s="762">
        <f t="shared" ref="FR40" si="1340" xml:space="preserve">
IF(FQ42&gt;=VLOOKUP($C40,$C$3:$D$15,2,FALSE)*FR$20,0,
IF(AND(FQ42&lt;VLOOKUP($C40,$C$3:$D$15,2,FALSE)*FR$20,FR41&lt;=VLOOKUP($C40,$C$3:$D$15,2,FALSE)*FR$20),IF(FR41-FQ42&lt;0,0,FR41-FQ42),
IF(AND(FQ42&lt;VLOOKUP($C40,$C$3:$D$15,2,FALSE)*FR$20,FR41&gt;VLOOKUP($C40,$C$3:$D$15,2,FALSE)*FR$20),VLOOKUP($C40,$C$3:$D$15,2,FALSE)*FR$20-FQ42)))</f>
        <v>0</v>
      </c>
      <c r="FS40" s="762">
        <f t="shared" ref="FS40" si="1341" xml:space="preserve">
IF(FR42&gt;=VLOOKUP($C40,$C$3:$D$15,2,FALSE)*FS$20,0,
IF(AND(FR42&lt;VLOOKUP($C40,$C$3:$D$15,2,FALSE)*FS$20,FS41&lt;=VLOOKUP($C40,$C$3:$D$15,2,FALSE)*FS$20),IF(FS41-FR42&lt;0,0,FS41-FR42),
IF(AND(FR42&lt;VLOOKUP($C40,$C$3:$D$15,2,FALSE)*FS$20,FS41&gt;VLOOKUP($C40,$C$3:$D$15,2,FALSE)*FS$20),VLOOKUP($C40,$C$3:$D$15,2,FALSE)*FS$20-FR42)))</f>
        <v>0</v>
      </c>
      <c r="FT40" s="762">
        <f t="shared" ref="FT40" si="1342" xml:space="preserve">
IF(FS42&gt;=VLOOKUP($C40,$C$3:$D$15,2,FALSE)*FT$20,0,
IF(AND(FS42&lt;VLOOKUP($C40,$C$3:$D$15,2,FALSE)*FT$20,FT41&lt;=VLOOKUP($C40,$C$3:$D$15,2,FALSE)*FT$20),IF(FT41-FS42&lt;0,0,FT41-FS42),
IF(AND(FS42&lt;VLOOKUP($C40,$C$3:$D$15,2,FALSE)*FT$20,FT41&gt;VLOOKUP($C40,$C$3:$D$15,2,FALSE)*FT$20),VLOOKUP($C40,$C$3:$D$15,2,FALSE)*FT$20-FS42)))</f>
        <v>0</v>
      </c>
      <c r="FU40" s="762">
        <f t="shared" ref="FU40" si="1343" xml:space="preserve">
IF(FT42&gt;=VLOOKUP($C40,$C$3:$D$15,2,FALSE)*FU$20,0,
IF(AND(FT42&lt;VLOOKUP($C40,$C$3:$D$15,2,FALSE)*FU$20,FU41&lt;=VLOOKUP($C40,$C$3:$D$15,2,FALSE)*FU$20),IF(FU41-FT42&lt;0,0,FU41-FT42),
IF(AND(FT42&lt;VLOOKUP($C40,$C$3:$D$15,2,FALSE)*FU$20,FU41&gt;VLOOKUP($C40,$C$3:$D$15,2,FALSE)*FU$20),VLOOKUP($C40,$C$3:$D$15,2,FALSE)*FU$20-FT42)))</f>
        <v>0</v>
      </c>
      <c r="FV40" s="762">
        <f t="shared" ref="FV40" si="1344" xml:space="preserve">
IF(FU42&gt;=VLOOKUP($C40,$C$3:$D$15,2,FALSE)*FV$20,0,
IF(AND(FU42&lt;VLOOKUP($C40,$C$3:$D$15,2,FALSE)*FV$20,FV41&lt;=VLOOKUP($C40,$C$3:$D$15,2,FALSE)*FV$20),IF(FV41-FU42&lt;0,0,FV41-FU42),
IF(AND(FU42&lt;VLOOKUP($C40,$C$3:$D$15,2,FALSE)*FV$20,FV41&gt;VLOOKUP($C40,$C$3:$D$15,2,FALSE)*FV$20),VLOOKUP($C40,$C$3:$D$15,2,FALSE)*FV$20-FU42)))</f>
        <v>0</v>
      </c>
      <c r="FW40" s="762">
        <f t="shared" ref="FW40" si="1345" xml:space="preserve">
IF(FV42&gt;=VLOOKUP($C40,$C$3:$D$15,2,FALSE)*FW$20,0,
IF(AND(FV42&lt;VLOOKUP($C40,$C$3:$D$15,2,FALSE)*FW$20,FW41&lt;=VLOOKUP($C40,$C$3:$D$15,2,FALSE)*FW$20),IF(FW41-FV42&lt;0,0,FW41-FV42),
IF(AND(FV42&lt;VLOOKUP($C40,$C$3:$D$15,2,FALSE)*FW$20,FW41&gt;VLOOKUP($C40,$C$3:$D$15,2,FALSE)*FW$20),VLOOKUP($C40,$C$3:$D$15,2,FALSE)*FW$20-FV42)))</f>
        <v>0</v>
      </c>
      <c r="FX40" s="762">
        <f t="shared" ref="FX40" si="1346" xml:space="preserve">
IF(FW42&gt;=VLOOKUP($C40,$C$3:$D$15,2,FALSE)*FX$20,0,
IF(AND(FW42&lt;VLOOKUP($C40,$C$3:$D$15,2,FALSE)*FX$20,FX41&lt;=VLOOKUP($C40,$C$3:$D$15,2,FALSE)*FX$20),IF(FX41-FW42&lt;0,0,FX41-FW42),
IF(AND(FW42&lt;VLOOKUP($C40,$C$3:$D$15,2,FALSE)*FX$20,FX41&gt;VLOOKUP($C40,$C$3:$D$15,2,FALSE)*FX$20),VLOOKUP($C40,$C$3:$D$15,2,FALSE)*FX$20-FW42)))</f>
        <v>0</v>
      </c>
      <c r="FY40" s="762">
        <f t="shared" ref="FY40" si="1347" xml:space="preserve">
IF(FX42&gt;=VLOOKUP($C40,$C$3:$D$15,2,FALSE)*FY$20,0,
IF(AND(FX42&lt;VLOOKUP($C40,$C$3:$D$15,2,FALSE)*FY$20,FY41&lt;=VLOOKUP($C40,$C$3:$D$15,2,FALSE)*FY$20),IF(FY41-FX42&lt;0,0,FY41-FX42),
IF(AND(FX42&lt;VLOOKUP($C40,$C$3:$D$15,2,FALSE)*FY$20,FY41&gt;VLOOKUP($C40,$C$3:$D$15,2,FALSE)*FY$20),VLOOKUP($C40,$C$3:$D$15,2,FALSE)*FY$20-FX42)))</f>
        <v>0</v>
      </c>
      <c r="FZ40" s="762">
        <f t="shared" ref="FZ40" si="1348" xml:space="preserve">
IF(FY42&gt;=VLOOKUP($C40,$C$3:$D$15,2,FALSE)*FZ$20,0,
IF(AND(FY42&lt;VLOOKUP($C40,$C$3:$D$15,2,FALSE)*FZ$20,FZ41&lt;=VLOOKUP($C40,$C$3:$D$15,2,FALSE)*FZ$20),IF(FZ41-FY42&lt;0,0,FZ41-FY42),
IF(AND(FY42&lt;VLOOKUP($C40,$C$3:$D$15,2,FALSE)*FZ$20,FZ41&gt;VLOOKUP($C40,$C$3:$D$15,2,FALSE)*FZ$20),VLOOKUP($C40,$C$3:$D$15,2,FALSE)*FZ$20-FY42)))</f>
        <v>0</v>
      </c>
      <c r="GA40" s="762">
        <f t="shared" ref="GA40" si="1349" xml:space="preserve">
IF(FZ42&gt;=VLOOKUP($C40,$C$3:$D$15,2,FALSE)*GA$20,0,
IF(AND(FZ42&lt;VLOOKUP($C40,$C$3:$D$15,2,FALSE)*GA$20,GA41&lt;=VLOOKUP($C40,$C$3:$D$15,2,FALSE)*GA$20),IF(GA41-FZ42&lt;0,0,GA41-FZ42),
IF(AND(FZ42&lt;VLOOKUP($C40,$C$3:$D$15,2,FALSE)*GA$20,GA41&gt;VLOOKUP($C40,$C$3:$D$15,2,FALSE)*GA$20),VLOOKUP($C40,$C$3:$D$15,2,FALSE)*GA$20-FZ42)))</f>
        <v>0</v>
      </c>
      <c r="GB40" s="762">
        <f t="shared" ref="GB40" si="1350" xml:space="preserve">
IF(GA42&gt;=VLOOKUP($C40,$C$3:$D$15,2,FALSE)*GB$20,0,
IF(AND(GA42&lt;VLOOKUP($C40,$C$3:$D$15,2,FALSE)*GB$20,GB41&lt;=VLOOKUP($C40,$C$3:$D$15,2,FALSE)*GB$20),IF(GB41-GA42&lt;0,0,GB41-GA42),
IF(AND(GA42&lt;VLOOKUP($C40,$C$3:$D$15,2,FALSE)*GB$20,GB41&gt;VLOOKUP($C40,$C$3:$D$15,2,FALSE)*GB$20),VLOOKUP($C40,$C$3:$D$15,2,FALSE)*GB$20-GA42)))</f>
        <v>0</v>
      </c>
      <c r="GC40" s="762">
        <f t="shared" ref="GC40" si="1351" xml:space="preserve">
IF(GB42&gt;=VLOOKUP($C40,$C$3:$D$15,2,FALSE)*GC$20,0,
IF(AND(GB42&lt;VLOOKUP($C40,$C$3:$D$15,2,FALSE)*GC$20,GC41&lt;=VLOOKUP($C40,$C$3:$D$15,2,FALSE)*GC$20),IF(GC41-GB42&lt;0,0,GC41-GB42),
IF(AND(GB42&lt;VLOOKUP($C40,$C$3:$D$15,2,FALSE)*GC$20,GC41&gt;VLOOKUP($C40,$C$3:$D$15,2,FALSE)*GC$20),VLOOKUP($C40,$C$3:$D$15,2,FALSE)*GC$20-GB42)))</f>
        <v>0</v>
      </c>
      <c r="GD40" s="762">
        <f t="shared" ref="GD40" si="1352" xml:space="preserve">
IF(GC42&gt;=VLOOKUP($C40,$C$3:$D$15,2,FALSE)*GD$20,0,
IF(AND(GC42&lt;VLOOKUP($C40,$C$3:$D$15,2,FALSE)*GD$20,GD41&lt;=VLOOKUP($C40,$C$3:$D$15,2,FALSE)*GD$20),IF(GD41-GC42&lt;0,0,GD41-GC42),
IF(AND(GC42&lt;VLOOKUP($C40,$C$3:$D$15,2,FALSE)*GD$20,GD41&gt;VLOOKUP($C40,$C$3:$D$15,2,FALSE)*GD$20),VLOOKUP($C40,$C$3:$D$15,2,FALSE)*GD$20-GC42)))</f>
        <v>0</v>
      </c>
      <c r="GE40" s="762">
        <f t="shared" ref="GE40" si="1353" xml:space="preserve">
IF(GD42&gt;=VLOOKUP($C40,$C$3:$D$15,2,FALSE)*GE$20,0,
IF(AND(GD42&lt;VLOOKUP($C40,$C$3:$D$15,2,FALSE)*GE$20,GE41&lt;=VLOOKUP($C40,$C$3:$D$15,2,FALSE)*GE$20),IF(GE41-GD42&lt;0,0,GE41-GD42),
IF(AND(GD42&lt;VLOOKUP($C40,$C$3:$D$15,2,FALSE)*GE$20,GE41&gt;VLOOKUP($C40,$C$3:$D$15,2,FALSE)*GE$20),VLOOKUP($C40,$C$3:$D$15,2,FALSE)*GE$20-GD42)))</f>
        <v>0</v>
      </c>
      <c r="GF40" s="762">
        <f t="shared" ref="GF40" si="1354" xml:space="preserve">
IF(GE42&gt;=VLOOKUP($C40,$C$3:$D$15,2,FALSE)*GF$20,0,
IF(AND(GE42&lt;VLOOKUP($C40,$C$3:$D$15,2,FALSE)*GF$20,GF41&lt;=VLOOKUP($C40,$C$3:$D$15,2,FALSE)*GF$20),IF(GF41-GE42&lt;0,0,GF41-GE42),
IF(AND(GE42&lt;VLOOKUP($C40,$C$3:$D$15,2,FALSE)*GF$20,GF41&gt;VLOOKUP($C40,$C$3:$D$15,2,FALSE)*GF$20),VLOOKUP($C40,$C$3:$D$15,2,FALSE)*GF$20-GE42)))</f>
        <v>0</v>
      </c>
      <c r="GG40" s="762">
        <f t="shared" ref="GG40" si="1355" xml:space="preserve">
IF(GF42&gt;=VLOOKUP($C40,$C$3:$D$15,2,FALSE)*GG$20,0,
IF(AND(GF42&lt;VLOOKUP($C40,$C$3:$D$15,2,FALSE)*GG$20,GG41&lt;=VLOOKUP($C40,$C$3:$D$15,2,FALSE)*GG$20),IF(GG41-GF42&lt;0,0,GG41-GF42),
IF(AND(GF42&lt;VLOOKUP($C40,$C$3:$D$15,2,FALSE)*GG$20,GG41&gt;VLOOKUP($C40,$C$3:$D$15,2,FALSE)*GG$20),VLOOKUP($C40,$C$3:$D$15,2,FALSE)*GG$20-GF42)))</f>
        <v>0</v>
      </c>
      <c r="GH40" s="762">
        <f t="shared" ref="GH40" si="1356" xml:space="preserve">
IF(GG42&gt;=VLOOKUP($C40,$C$3:$D$15,2,FALSE)*GH$20,0,
IF(AND(GG42&lt;VLOOKUP($C40,$C$3:$D$15,2,FALSE)*GH$20,GH41&lt;=VLOOKUP($C40,$C$3:$D$15,2,FALSE)*GH$20),IF(GH41-GG42&lt;0,0,GH41-GG42),
IF(AND(GG42&lt;VLOOKUP($C40,$C$3:$D$15,2,FALSE)*GH$20,GH41&gt;VLOOKUP($C40,$C$3:$D$15,2,FALSE)*GH$20),VLOOKUP($C40,$C$3:$D$15,2,FALSE)*GH$20-GG42)))</f>
        <v>0</v>
      </c>
      <c r="GI40" s="762">
        <f t="shared" ref="GI40" si="1357" xml:space="preserve">
IF(GH42&gt;=VLOOKUP($C40,$C$3:$D$15,2,FALSE)*GI$20,0,
IF(AND(GH42&lt;VLOOKUP($C40,$C$3:$D$15,2,FALSE)*GI$20,GI41&lt;=VLOOKUP($C40,$C$3:$D$15,2,FALSE)*GI$20),IF(GI41-GH42&lt;0,0,GI41-GH42),
IF(AND(GH42&lt;VLOOKUP($C40,$C$3:$D$15,2,FALSE)*GI$20,GI41&gt;VLOOKUP($C40,$C$3:$D$15,2,FALSE)*GI$20),VLOOKUP($C40,$C$3:$D$15,2,FALSE)*GI$20-GH42)))</f>
        <v>0</v>
      </c>
      <c r="GJ40" s="762">
        <f t="shared" ref="GJ40" si="1358" xml:space="preserve">
IF(GI42&gt;=VLOOKUP($C40,$C$3:$D$15,2,FALSE)*GJ$20,0,
IF(AND(GI42&lt;VLOOKUP($C40,$C$3:$D$15,2,FALSE)*GJ$20,GJ41&lt;=VLOOKUP($C40,$C$3:$D$15,2,FALSE)*GJ$20),IF(GJ41-GI42&lt;0,0,GJ41-GI42),
IF(AND(GI42&lt;VLOOKUP($C40,$C$3:$D$15,2,FALSE)*GJ$20,GJ41&gt;VLOOKUP($C40,$C$3:$D$15,2,FALSE)*GJ$20),VLOOKUP($C40,$C$3:$D$15,2,FALSE)*GJ$20-GI42)))</f>
        <v>0</v>
      </c>
    </row>
    <row r="41" spans="2:192" s="632" customFormat="1">
      <c r="B41" s="633"/>
      <c r="C41" s="625"/>
      <c r="D41" s="701" t="s">
        <v>1424</v>
      </c>
      <c r="E41" s="706"/>
      <c r="F41" s="653"/>
      <c r="G41" s="762">
        <f>SUMIF(防護具!$Y$30:$Y$212,G$17&amp;$C40,防護具!$Q$30:$Q$212)</f>
        <v>0</v>
      </c>
      <c r="H41" s="762">
        <f>IFERROR(
SUM(G41,SUMIF(防護具!$Y$30:$Y$212,H$17&amp;$C40,防護具!$Q$30:$Q$212))-G40,0)</f>
        <v>0</v>
      </c>
      <c r="I41" s="762">
        <f>IFERROR(
SUM(H41,SUMIF(防護具!$Y$30:$Y$212,I$17&amp;$C40,防護具!$Q$30:$Q$212))-H40,0)</f>
        <v>0</v>
      </c>
      <c r="J41" s="762">
        <f>IFERROR(
SUM(I41,SUMIF(防護具!$Y$30:$Y$212,J$17&amp;$C40,防護具!$Q$30:$Q$212))-I40,0)</f>
        <v>0</v>
      </c>
      <c r="K41" s="762">
        <f>IFERROR(
SUM(J41,SUMIF(防護具!$Y$30:$Y$212,K$17&amp;$C40,防護具!$Q$30:$Q$212))-J40,0)</f>
        <v>0</v>
      </c>
      <c r="L41" s="762">
        <f>IFERROR(
SUM(K41,SUMIF(防護具!$Y$30:$Y$212,L$17&amp;$C40,防護具!$Q$30:$Q$212))-K40,0)</f>
        <v>0</v>
      </c>
      <c r="M41" s="762">
        <f>IFERROR(
SUM(L41,SUMIF(防護具!$Y$30:$Y$212,M$17&amp;$C40,防護具!$Q$30:$Q$212))-L40,0)</f>
        <v>0</v>
      </c>
      <c r="N41" s="762">
        <f>IFERROR(
SUM(M41,SUMIF(防護具!$Y$30:$Y$212,N$17&amp;$C40,防護具!$Q$30:$Q$212))-M40,0)</f>
        <v>0</v>
      </c>
      <c r="O41" s="762">
        <f>IFERROR(
SUM(N41,SUMIF(防護具!$Y$30:$Y$212,O$17&amp;$C40,防護具!$Q$30:$Q$212))-N40,0)</f>
        <v>0</v>
      </c>
      <c r="P41" s="762">
        <f>IFERROR(
SUM(O41,SUMIF(防護具!$Y$30:$Y$212,P$17&amp;$C40,防護具!$Q$30:$Q$212))-O40,0)</f>
        <v>0</v>
      </c>
      <c r="Q41" s="762">
        <f>IFERROR(
SUM(P41,SUMIF(防護具!$Y$30:$Y$212,Q$17&amp;$C40,防護具!$Q$30:$Q$212))-P40,0)</f>
        <v>0</v>
      </c>
      <c r="R41" s="762">
        <f>IFERROR(
SUM(Q41,SUMIF(防護具!$Y$30:$Y$212,R$17&amp;$C40,防護具!$Q$30:$Q$212))-Q40,0)</f>
        <v>0</v>
      </c>
      <c r="S41" s="762">
        <f>IFERROR(
SUM(R41,SUMIF(防護具!$Y$30:$Y$212,S$17&amp;$C40,防護具!$Q$30:$Q$212))-R40,0)</f>
        <v>0</v>
      </c>
      <c r="T41" s="762">
        <f>IFERROR(
SUM(S41,SUMIF(防護具!$Y$30:$Y$212,T$17&amp;$C40,防護具!$Q$30:$Q$212))-S40,0)</f>
        <v>0</v>
      </c>
      <c r="U41" s="762">
        <f>IFERROR(
SUM(T41,SUMIF(防護具!$Y$30:$Y$212,U$17&amp;$C40,防護具!$Q$30:$Q$212))-T40,0)</f>
        <v>0</v>
      </c>
      <c r="V41" s="762">
        <f>IFERROR(
SUM(U41,SUMIF(防護具!$Y$30:$Y$212,V$17&amp;$C40,防護具!$Q$30:$Q$212))-U40,0)</f>
        <v>0</v>
      </c>
      <c r="W41" s="762">
        <f>IFERROR(
SUM(V41,SUMIF(防護具!$Y$30:$Y$212,W$17&amp;$C40,防護具!$Q$30:$Q$212))-V40,0)</f>
        <v>0</v>
      </c>
      <c r="X41" s="762">
        <f>IFERROR(
SUM(W41,SUMIF(防護具!$Y$30:$Y$212,X$17&amp;$C40,防護具!$Q$30:$Q$212))-W40,0)</f>
        <v>0</v>
      </c>
      <c r="Y41" s="762">
        <f>IFERROR(
SUM(X41,SUMIF(防護具!$Y$30:$Y$212,Y$17&amp;$C40,防護具!$Q$30:$Q$212))-X40,0)</f>
        <v>0</v>
      </c>
      <c r="Z41" s="762">
        <f>IFERROR(
SUM(Y41,SUMIF(防護具!$Y$30:$Y$212,Z$17&amp;$C40,防護具!$Q$30:$Q$212))-Y40,0)</f>
        <v>0</v>
      </c>
      <c r="AA41" s="762">
        <f>IFERROR(
SUM(Z41,SUMIF(防護具!$Y$30:$Y$212,AA$17&amp;$C40,防護具!$Q$30:$Q$212))-Z40,0)</f>
        <v>0</v>
      </c>
      <c r="AB41" s="762">
        <f>IFERROR(
SUM(AA41,SUMIF(防護具!$Y$30:$Y$212,AB$17&amp;$C40,防護具!$Q$30:$Q$212))-AA40,0)</f>
        <v>0</v>
      </c>
      <c r="AC41" s="762">
        <f>IFERROR(
SUM(AB41,SUMIF(防護具!$Y$30:$Y$212,AC$17&amp;$C40,防護具!$Q$30:$Q$212))-AB40,0)</f>
        <v>0</v>
      </c>
      <c r="AD41" s="762">
        <f>IFERROR(
SUM(AC41,SUMIF(防護具!$Y$30:$Y$212,AD$17&amp;$C40,防護具!$Q$30:$Q$212))-AC40,0)</f>
        <v>0</v>
      </c>
      <c r="AE41" s="762">
        <f>IFERROR(
SUM(AD41,SUMIF(防護具!$Y$30:$Y$212,AE$17&amp;$C40,防護具!$Q$30:$Q$212))-AD40,0)</f>
        <v>0</v>
      </c>
      <c r="AF41" s="762">
        <f>IFERROR(
SUM(AE41,SUMIF(防護具!$Y$30:$Y$212,AF$17&amp;$C40,防護具!$Q$30:$Q$212))-AE40,0)</f>
        <v>0</v>
      </c>
      <c r="AG41" s="762">
        <f>IFERROR(
SUM(AF41,SUMIF(防護具!$Y$30:$Y$212,AG$17&amp;$C40,防護具!$Q$30:$Q$212))-AF40,0)</f>
        <v>0</v>
      </c>
      <c r="AH41" s="762">
        <f>IFERROR(
SUM(AG41,SUMIF(防護具!$Y$30:$Y$212,AH$17&amp;$C40,防護具!$Q$30:$Q$212))-AG40,0)</f>
        <v>0</v>
      </c>
      <c r="AI41" s="762">
        <f>IFERROR(
SUM(AH41,SUMIF(防護具!$Y$30:$Y$212,AI$17&amp;$C40,防護具!$Q$30:$Q$212))-AH40,0)</f>
        <v>0</v>
      </c>
      <c r="AJ41" s="762">
        <f>IFERROR(
SUM(AI41,SUMIF(防護具!$Y$30:$Y$212,AJ$17&amp;$C40,防護具!$Q$30:$Q$212))-AI40,0)</f>
        <v>0</v>
      </c>
      <c r="AK41" s="762">
        <f>IFERROR(
SUM(AJ41,SUMIF(防護具!$Y$30:$Y$212,AK$17&amp;$C40,防護具!$Q$30:$Q$212))-AJ40,0)</f>
        <v>0</v>
      </c>
      <c r="AL41" s="762">
        <f>IFERROR(
SUM(AK41,SUMIF(防護具!$Y$30:$Y$212,AL$17&amp;$C40,防護具!$Q$30:$Q$212))-AK40,0)</f>
        <v>0</v>
      </c>
      <c r="AM41" s="762">
        <f>IFERROR(
SUM(AL41,SUMIF(防護具!$Y$30:$Y$212,AM$17&amp;$C40,防護具!$Q$30:$Q$212))-AL40,0)</f>
        <v>0</v>
      </c>
      <c r="AN41" s="762">
        <f>IFERROR(
SUM(AM41,SUMIF(防護具!$Y$30:$Y$212,AN$17&amp;$C40,防護具!$Q$30:$Q$212))-AM40,0)</f>
        <v>0</v>
      </c>
      <c r="AO41" s="762">
        <f>IFERROR(
SUM(AN41,SUMIF(防護具!$Y$30:$Y$212,AO$17&amp;$C40,防護具!$Q$30:$Q$212))-AN40,0)</f>
        <v>0</v>
      </c>
      <c r="AP41" s="762">
        <f>IFERROR(
SUM(AO41,SUMIF(防護具!$Y$30:$Y$212,AP$17&amp;$C40,防護具!$Q$30:$Q$212))-AO40,0)</f>
        <v>0</v>
      </c>
      <c r="AQ41" s="762">
        <f>IFERROR(
SUM(AP41,SUMIF(防護具!$Y$30:$Y$212,AQ$17&amp;$C40,防護具!$Q$30:$Q$212))-AP40,0)</f>
        <v>0</v>
      </c>
      <c r="AR41" s="762">
        <f>IFERROR(
SUM(AQ41,SUMIF(防護具!$Y$30:$Y$212,AR$17&amp;$C40,防護具!$Q$30:$Q$212))-AQ40,0)</f>
        <v>0</v>
      </c>
      <c r="AS41" s="762">
        <f>IFERROR(
SUM(AR41,SUMIF(防護具!$Y$30:$Y$212,AS$17&amp;$C40,防護具!$Q$30:$Q$212))-AR40,0)</f>
        <v>0</v>
      </c>
      <c r="AT41" s="762">
        <f>IFERROR(
SUM(AS41,SUMIF(防護具!$Y$30:$Y$212,AT$17&amp;$C40,防護具!$Q$30:$Q$212))-AS40,0)</f>
        <v>0</v>
      </c>
      <c r="AU41" s="762">
        <f>IFERROR(
SUM(AT41,SUMIF(防護具!$Y$30:$Y$212,AU$17&amp;$C40,防護具!$Q$30:$Q$212))-AT40,0)</f>
        <v>0</v>
      </c>
      <c r="AV41" s="762">
        <f>IFERROR(
SUM(AU41,SUMIF(防護具!$Y$30:$Y$212,AV$17&amp;$C40,防護具!$Q$30:$Q$212))-AU40,0)</f>
        <v>0</v>
      </c>
      <c r="AW41" s="762">
        <f>IFERROR(
SUM(AV41,SUMIF(防護具!$Y$30:$Y$212,AW$17&amp;$C40,防護具!$Q$30:$Q$212))-AV40,0)</f>
        <v>0</v>
      </c>
      <c r="AX41" s="762">
        <f>IFERROR(
SUM(AW41,SUMIF(防護具!$Y$30:$Y$212,AX$17&amp;$C40,防護具!$Q$30:$Q$212))-AW40,0)</f>
        <v>0</v>
      </c>
      <c r="AY41" s="762">
        <f>IFERROR(
SUM(AX41,SUMIF(防護具!$Y$30:$Y$212,AY$17&amp;$C40,防護具!$Q$30:$Q$212))-AX40,0)</f>
        <v>0</v>
      </c>
      <c r="AZ41" s="762">
        <f>IFERROR(
SUM(AY41,SUMIF(防護具!$Y$30:$Y$212,AZ$17&amp;$C40,防護具!$Q$30:$Q$212))-AY40,0)</f>
        <v>0</v>
      </c>
      <c r="BA41" s="762">
        <f>IFERROR(
SUM(AZ41,SUMIF(防護具!$Y$30:$Y$212,BA$17&amp;$C40,防護具!$Q$30:$Q$212))-AZ40,0)</f>
        <v>0</v>
      </c>
      <c r="BB41" s="762">
        <f>IFERROR(
SUM(BA41,SUMIF(防護具!$Y$30:$Y$212,BB$17&amp;$C40,防護具!$Q$30:$Q$212))-BA40,0)</f>
        <v>0</v>
      </c>
      <c r="BC41" s="762">
        <f>IFERROR(
SUM(BB41,SUMIF(防護具!$Y$30:$Y$212,BC$17&amp;$C40,防護具!$Q$30:$Q$212))-BB40,0)</f>
        <v>0</v>
      </c>
      <c r="BD41" s="762">
        <f>IFERROR(
SUM(BC41,SUMIF(防護具!$Y$30:$Y$212,BD$17&amp;$C40,防護具!$Q$30:$Q$212))-BC40,0)</f>
        <v>0</v>
      </c>
      <c r="BE41" s="762">
        <f>IFERROR(
SUM(BD41,SUMIF(防護具!$Y$30:$Y$212,BE$17&amp;$C40,防護具!$Q$30:$Q$212))-BD40,0)</f>
        <v>0</v>
      </c>
      <c r="BF41" s="762">
        <f>IFERROR(
SUM(BE41,SUMIF(防護具!$Y$30:$Y$212,BF$17&amp;$C40,防護具!$Q$30:$Q$212))-BE40,0)</f>
        <v>0</v>
      </c>
      <c r="BG41" s="762">
        <f>IFERROR(
SUM(BF41,SUMIF(防護具!$Y$30:$Y$212,BG$17&amp;$C40,防護具!$Q$30:$Q$212))-BF40,0)</f>
        <v>0</v>
      </c>
      <c r="BH41" s="762">
        <f>IFERROR(
SUM(BG41,SUMIF(防護具!$Y$30:$Y$212,BH$17&amp;$C40,防護具!$Q$30:$Q$212))-BG40,0)</f>
        <v>0</v>
      </c>
      <c r="BI41" s="762">
        <f>IFERROR(
SUM(BH41,SUMIF(防護具!$Y$30:$Y$212,BI$17&amp;$C40,防護具!$Q$30:$Q$212))-BH40,0)</f>
        <v>0</v>
      </c>
      <c r="BJ41" s="762">
        <f>IFERROR(
SUM(BI41,SUMIF(防護具!$Y$30:$Y$212,BJ$17&amp;$C40,防護具!$Q$30:$Q$212))-BI40,0)</f>
        <v>0</v>
      </c>
      <c r="BK41" s="762">
        <f>IFERROR(
SUM(BJ41,SUMIF(防護具!$Y$30:$Y$212,BK$17&amp;$C40,防護具!$Q$30:$Q$212))-BJ40,0)</f>
        <v>0</v>
      </c>
      <c r="BL41" s="762">
        <f>IFERROR(
SUM(BK41,SUMIF(防護具!$Y$30:$Y$212,BL$17&amp;$C40,防護具!$Q$30:$Q$212))-BK40,0)</f>
        <v>0</v>
      </c>
      <c r="BM41" s="762">
        <f>IFERROR(
SUM(BL41,SUMIF(防護具!$Y$30:$Y$212,BM$17&amp;$C40,防護具!$Q$30:$Q$212))-BL40,0)</f>
        <v>0</v>
      </c>
      <c r="BN41" s="762">
        <f>IFERROR(
SUM(BM41,SUMIF(防護具!$Y$30:$Y$212,BN$17&amp;$C40,防護具!$Q$30:$Q$212))-BM40,0)</f>
        <v>0</v>
      </c>
      <c r="BO41" s="762">
        <f>IFERROR(
SUM(BN41,SUMIF(防護具!$Y$30:$Y$212,BO$17&amp;$C40,防護具!$Q$30:$Q$212))-BN40,0)</f>
        <v>0</v>
      </c>
      <c r="BP41" s="762">
        <f>IFERROR(
SUM(BO41,SUMIF(防護具!$Y$30:$Y$212,BP$17&amp;$C40,防護具!$Q$30:$Q$212))-BO40,0)</f>
        <v>0</v>
      </c>
      <c r="BQ41" s="762">
        <f>IFERROR(
SUM(BP41,SUMIF(防護具!$Y$30:$Y$212,BQ$17&amp;$C40,防護具!$Q$30:$Q$212))-BP40,0)</f>
        <v>0</v>
      </c>
      <c r="BR41" s="762">
        <f>IFERROR(
SUM(BQ41,SUMIF(防護具!$Y$30:$Y$212,BR$17&amp;$C40,防護具!$Q$30:$Q$212))-BQ40,0)</f>
        <v>0</v>
      </c>
      <c r="BS41" s="762">
        <f>IFERROR(
SUM(BR41,SUMIF(防護具!$Y$30:$Y$212,BS$17&amp;$C40,防護具!$Q$30:$Q$212))-BR40,0)</f>
        <v>0</v>
      </c>
      <c r="BT41" s="762">
        <f>IFERROR(
SUM(BS41,SUMIF(防護具!$Y$30:$Y$212,BT$17&amp;$C40,防護具!$Q$30:$Q$212))-BS40,0)</f>
        <v>0</v>
      </c>
      <c r="BU41" s="762">
        <f>IFERROR(
SUM(BT41,SUMIF(防護具!$Y$30:$Y$212,BU$17&amp;$C40,防護具!$Q$30:$Q$212))-BT40,0)</f>
        <v>0</v>
      </c>
      <c r="BV41" s="762">
        <f>IFERROR(
SUM(BU41,SUMIF(防護具!$Y$30:$Y$212,BV$17&amp;$C40,防護具!$Q$30:$Q$212))-BU40,0)</f>
        <v>0</v>
      </c>
      <c r="BW41" s="762">
        <f>IFERROR(
SUM(BV41,SUMIF(防護具!$Y$30:$Y$212,BW$17&amp;$C40,防護具!$Q$30:$Q$212))-BV40,0)</f>
        <v>0</v>
      </c>
      <c r="BX41" s="762">
        <f>IFERROR(
SUM(BW41,SUMIF(防護具!$Y$30:$Y$212,BX$17&amp;$C40,防護具!$Q$30:$Q$212))-BW40,0)</f>
        <v>0</v>
      </c>
      <c r="BY41" s="762">
        <f>IFERROR(
SUM(BX41,SUMIF(防護具!$Y$30:$Y$212,BY$17&amp;$C40,防護具!$Q$30:$Q$212))-BX40,0)</f>
        <v>0</v>
      </c>
      <c r="BZ41" s="762">
        <f>IFERROR(
SUM(BY41,SUMIF(防護具!$Y$30:$Y$212,BZ$17&amp;$C40,防護具!$Q$30:$Q$212))-BY40,0)</f>
        <v>0</v>
      </c>
      <c r="CA41" s="762">
        <f>IFERROR(
SUM(BZ41,SUMIF(防護具!$Y$30:$Y$212,CA$17&amp;$C40,防護具!$Q$30:$Q$212))-BZ40,0)</f>
        <v>0</v>
      </c>
      <c r="CB41" s="762">
        <f>IFERROR(
SUM(CA41,SUMIF(防護具!$Y$30:$Y$212,CB$17&amp;$C40,防護具!$Q$30:$Q$212))-CA40,0)</f>
        <v>0</v>
      </c>
      <c r="CC41" s="762">
        <f>IFERROR(
SUM(CB41,SUMIF(防護具!$Y$30:$Y$212,CC$17&amp;$C40,防護具!$Q$30:$Q$212))-CB40,0)</f>
        <v>0</v>
      </c>
      <c r="CD41" s="762">
        <f>IFERROR(
SUM(CC41,SUMIF(防護具!$Y$30:$Y$212,CD$17&amp;$C40,防護具!$Q$30:$Q$212))-CC40,0)</f>
        <v>0</v>
      </c>
      <c r="CE41" s="762">
        <f>IFERROR(
SUM(CD41,SUMIF(防護具!$Y$30:$Y$212,CE$17&amp;$C40,防護具!$Q$30:$Q$212))-CD40,0)</f>
        <v>0</v>
      </c>
      <c r="CF41" s="762">
        <f>IFERROR(
SUM(CE41,SUMIF(防護具!$Y$30:$Y$212,CF$17&amp;$C40,防護具!$Q$30:$Q$212))-CE40,0)</f>
        <v>0</v>
      </c>
      <c r="CG41" s="762">
        <f>IFERROR(
SUM(CF41,SUMIF(防護具!$Y$30:$Y$212,CG$17&amp;$C40,防護具!$Q$30:$Q$212))-CF40,0)</f>
        <v>0</v>
      </c>
      <c r="CH41" s="762">
        <f>IFERROR(
SUM(CG41,SUMIF(防護具!$Y$30:$Y$212,CH$17&amp;$C40,防護具!$Q$30:$Q$212))-CG40,0)</f>
        <v>0</v>
      </c>
      <c r="CI41" s="762">
        <f>IFERROR(
SUM(CH41,SUMIF(防護具!$Y$30:$Y$212,CI$17&amp;$C40,防護具!$Q$30:$Q$212))-CH40,0)</f>
        <v>0</v>
      </c>
      <c r="CJ41" s="762">
        <f>IFERROR(
SUM(CI41,SUMIF(防護具!$Y$30:$Y$212,CJ$17&amp;$C40,防護具!$Q$30:$Q$212))-CI40,0)</f>
        <v>0</v>
      </c>
      <c r="CK41" s="762">
        <f>IFERROR(
SUM(CJ41,SUMIF(防護具!$Y$30:$Y$212,CK$17&amp;$C40,防護具!$Q$30:$Q$212))-CJ40,0)</f>
        <v>0</v>
      </c>
      <c r="CL41" s="762">
        <f>IFERROR(
SUM(CK41,SUMIF(防護具!$Y$30:$Y$212,CL$17&amp;$C40,防護具!$Q$30:$Q$212))-CK40,0)</f>
        <v>0</v>
      </c>
      <c r="CM41" s="762">
        <f>IFERROR(
SUM(CL41,SUMIF(防護具!$Y$30:$Y$212,CM$17&amp;$C40,防護具!$Q$30:$Q$212))-CL40,0)</f>
        <v>0</v>
      </c>
      <c r="CN41" s="762">
        <f>IFERROR(
SUM(CM41,SUMIF(防護具!$Y$30:$Y$212,CN$17&amp;$C40,防護具!$Q$30:$Q$212))-CM40,0)</f>
        <v>0</v>
      </c>
      <c r="CO41" s="762">
        <f>IFERROR(
SUM(CN41,SUMIF(防護具!$Y$30:$Y$212,CO$17&amp;$C40,防護具!$Q$30:$Q$212))-CN40,0)</f>
        <v>0</v>
      </c>
      <c r="CP41" s="762">
        <f>IFERROR(
SUM(CO41,SUMIF(防護具!$Y$30:$Y$212,CP$17&amp;$C40,防護具!$Q$30:$Q$212))-CO40,0)</f>
        <v>0</v>
      </c>
      <c r="CQ41" s="762">
        <f>IFERROR(
SUM(CP41,SUMIF(防護具!$Y$30:$Y$212,CQ$17&amp;$C40,防護具!$Q$30:$Q$212))-CP40,0)</f>
        <v>0</v>
      </c>
      <c r="CR41" s="762">
        <f>IFERROR(
SUM(CQ41,SUMIF(防護具!$Y$30:$Y$212,CR$17&amp;$C40,防護具!$Q$30:$Q$212))-CQ40,0)</f>
        <v>0</v>
      </c>
      <c r="CS41" s="762">
        <f>IFERROR(
SUM(CR41,SUMIF(防護具!$Y$30:$Y$212,CS$17&amp;$C40,防護具!$Q$30:$Q$212))-CR40,0)</f>
        <v>0</v>
      </c>
      <c r="CT41" s="762">
        <f>IFERROR(
SUM(CS41,SUMIF(防護具!$Y$30:$Y$212,CT$17&amp;$C40,防護具!$Q$30:$Q$212))-CS40,0)</f>
        <v>0</v>
      </c>
      <c r="CU41" s="762">
        <f>IFERROR(
SUM(CT41,SUMIF(防護具!$Y$30:$Y$212,CU$17&amp;$C40,防護具!$Q$30:$Q$212))-CT40,0)</f>
        <v>0</v>
      </c>
      <c r="CV41" s="762">
        <f>IFERROR(
SUM(CU41,SUMIF(防護具!$Y$30:$Y$212,CV$17&amp;$C40,防護具!$Q$30:$Q$212))-CU40,0)</f>
        <v>0</v>
      </c>
      <c r="CW41" s="762">
        <f>IFERROR(
SUM(CV41,SUMIF(防護具!$Y$30:$Y$212,CW$17&amp;$C40,防護具!$Q$30:$Q$212))-CV40,0)</f>
        <v>0</v>
      </c>
      <c r="CX41" s="762">
        <f>IFERROR(
SUM(CW41,SUMIF(防護具!$Y$30:$Y$212,CX$17&amp;$C40,防護具!$Q$30:$Q$212))-CW40,0)</f>
        <v>0</v>
      </c>
      <c r="CY41" s="762">
        <f>IFERROR(
SUM(CX41,SUMIF(防護具!$Y$30:$Y$212,CY$17&amp;$C40,防護具!$Q$30:$Q$212))-CX40,0)</f>
        <v>0</v>
      </c>
      <c r="CZ41" s="762">
        <f>IFERROR(
SUM(CY41,SUMIF(防護具!$Y$30:$Y$212,CZ$17&amp;$C40,防護具!$Q$30:$Q$212))-CY40,0)</f>
        <v>0</v>
      </c>
      <c r="DA41" s="762">
        <f>IFERROR(
SUM(CZ41,SUMIF(防護具!$Y$30:$Y$212,DA$17&amp;$C40,防護具!$Q$30:$Q$212))-CZ40,0)</f>
        <v>0</v>
      </c>
      <c r="DB41" s="762">
        <f>IFERROR(
SUM(DA41,SUMIF(防護具!$Y$30:$Y$212,DB$17&amp;$C40,防護具!$Q$30:$Q$212))-DA40,0)</f>
        <v>0</v>
      </c>
      <c r="DC41" s="762">
        <f>IFERROR(
SUM(DB41,SUMIF(防護具!$Y$30:$Y$212,DC$17&amp;$C40,防護具!$Q$30:$Q$212))-DB40,0)</f>
        <v>0</v>
      </c>
      <c r="DD41" s="762">
        <f>IFERROR(
SUM(DC41,SUMIF(防護具!$Y$30:$Y$212,DD$17&amp;$C40,防護具!$Q$30:$Q$212))-DC40,0)</f>
        <v>0</v>
      </c>
      <c r="DE41" s="762">
        <f>IFERROR(
SUM(DD41,SUMIF(防護具!$Y$30:$Y$212,DE$17&amp;$C40,防護具!$Q$30:$Q$212))-DD40,0)</f>
        <v>0</v>
      </c>
      <c r="DF41" s="762">
        <f>IFERROR(
SUM(DE41,SUMIF(防護具!$Y$30:$Y$212,DF$17&amp;$C40,防護具!$Q$30:$Q$212))-DE40,0)</f>
        <v>0</v>
      </c>
      <c r="DG41" s="762">
        <f>IFERROR(
SUM(DF41,SUMIF(防護具!$Y$30:$Y$212,DG$17&amp;$C40,防護具!$Q$30:$Q$212))-DF40,0)</f>
        <v>0</v>
      </c>
      <c r="DH41" s="762">
        <f>IFERROR(
SUM(DG41,SUMIF(防護具!$Y$30:$Y$212,DH$17&amp;$C40,防護具!$Q$30:$Q$212))-DG40,0)</f>
        <v>0</v>
      </c>
      <c r="DI41" s="762">
        <f>IFERROR(
SUM(DH41,SUMIF(防護具!$Y$30:$Y$212,DI$17&amp;$C40,防護具!$Q$30:$Q$212))-DH40,0)</f>
        <v>0</v>
      </c>
      <c r="DJ41" s="762">
        <f>IFERROR(
SUM(DI41,SUMIF(防護具!$Y$30:$Y$212,DJ$17&amp;$C40,防護具!$Q$30:$Q$212))-DI40,0)</f>
        <v>0</v>
      </c>
      <c r="DK41" s="762">
        <f>IFERROR(
SUM(DJ41,SUMIF(防護具!$Y$30:$Y$212,DK$17&amp;$C40,防護具!$Q$30:$Q$212))-DJ40,0)</f>
        <v>0</v>
      </c>
      <c r="DL41" s="762">
        <f>IFERROR(
SUM(DK41,SUMIF(防護具!$Y$30:$Y$212,DL$17&amp;$C40,防護具!$Q$30:$Q$212))-DK40,0)</f>
        <v>0</v>
      </c>
      <c r="DM41" s="762">
        <f>IFERROR(
SUM(DL41,SUMIF(防護具!$Y$30:$Y$212,DM$17&amp;$C40,防護具!$Q$30:$Q$212))-DL40,0)</f>
        <v>0</v>
      </c>
      <c r="DN41" s="762">
        <f>IFERROR(
SUM(DM41,SUMIF(防護具!$Y$30:$Y$212,DN$17&amp;$C40,防護具!$Q$30:$Q$212))-DM40,0)</f>
        <v>0</v>
      </c>
      <c r="DO41" s="762">
        <f>IFERROR(
SUM(DN41,SUMIF(防護具!$Y$30:$Y$212,DO$17&amp;$C40,防護具!$Q$30:$Q$212))-DN40,0)</f>
        <v>0</v>
      </c>
      <c r="DP41" s="762">
        <f>IFERROR(
SUM(DO41,SUMIF(防護具!$Y$30:$Y$212,DP$17&amp;$C40,防護具!$Q$30:$Q$212))-DO40,0)</f>
        <v>0</v>
      </c>
      <c r="DQ41" s="762">
        <f>IFERROR(
SUM(DP41,SUMIF(防護具!$Y$30:$Y$212,DQ$17&amp;$C40,防護具!$Q$30:$Q$212))-DP40,0)</f>
        <v>0</v>
      </c>
      <c r="DR41" s="762">
        <f>IFERROR(
SUM(DQ41,SUMIF(防護具!$Y$30:$Y$212,DR$17&amp;$C40,防護具!$Q$30:$Q$212))-DQ40,0)</f>
        <v>0</v>
      </c>
      <c r="DS41" s="762">
        <f>IFERROR(
SUM(DR41,SUMIF(防護具!$Y$30:$Y$212,DS$17&amp;$C40,防護具!$Q$30:$Q$212))-DR40,0)</f>
        <v>0</v>
      </c>
      <c r="DT41" s="762">
        <f>IFERROR(
SUM(DS41,SUMIF(防護具!$Y$30:$Y$212,DT$17&amp;$C40,防護具!$Q$30:$Q$212))-DS40,0)</f>
        <v>0</v>
      </c>
      <c r="DU41" s="762">
        <f>IFERROR(
SUM(DT41,SUMIF(防護具!$Y$30:$Y$212,DU$17&amp;$C40,防護具!$Q$30:$Q$212))-DT40,0)</f>
        <v>0</v>
      </c>
      <c r="DV41" s="762">
        <f>IFERROR(
SUM(DU41,SUMIF(防護具!$Y$30:$Y$212,DV$17&amp;$C40,防護具!$Q$30:$Q$212))-DU40,0)</f>
        <v>0</v>
      </c>
      <c r="DW41" s="762">
        <f>IFERROR(
SUM(DV41,SUMIF(防護具!$Y$30:$Y$212,DW$17&amp;$C40,防護具!$Q$30:$Q$212))-DV40,0)</f>
        <v>0</v>
      </c>
      <c r="DX41" s="762">
        <f>IFERROR(
SUM(DW41,SUMIF(防護具!$Y$30:$Y$212,DX$17&amp;$C40,防護具!$Q$30:$Q$212))-DW40,0)</f>
        <v>0</v>
      </c>
      <c r="DY41" s="762">
        <f>IFERROR(
SUM(DX41,SUMIF(防護具!$Y$30:$Y$212,DY$17&amp;$C40,防護具!$Q$30:$Q$212))-DX40,0)</f>
        <v>0</v>
      </c>
      <c r="DZ41" s="762">
        <f>IFERROR(
SUM(DY41,SUMIF(防護具!$Y$30:$Y$212,DZ$17&amp;$C40,防護具!$Q$30:$Q$212))-DY40,0)</f>
        <v>0</v>
      </c>
      <c r="EA41" s="762">
        <f>IFERROR(
SUM(DZ41,SUMIF(防護具!$Y$30:$Y$212,EA$17&amp;$C40,防護具!$Q$30:$Q$212))-DZ40,0)</f>
        <v>0</v>
      </c>
      <c r="EB41" s="762">
        <f>IFERROR(
SUM(EA41,SUMIF(防護具!$Y$30:$Y$212,EB$17&amp;$C40,防護具!$Q$30:$Q$212))-EA40,0)</f>
        <v>0</v>
      </c>
      <c r="EC41" s="762">
        <f>IFERROR(
SUM(EB41,SUMIF(防護具!$Y$30:$Y$212,EC$17&amp;$C40,防護具!$Q$30:$Q$212))-EB40,0)</f>
        <v>0</v>
      </c>
      <c r="ED41" s="762">
        <f>IFERROR(
SUM(EC41,SUMIF(防護具!$Y$30:$Y$212,ED$17&amp;$C40,防護具!$Q$30:$Q$212))-EC40,0)</f>
        <v>0</v>
      </c>
      <c r="EE41" s="762">
        <f>IFERROR(
SUM(ED41,SUMIF(防護具!$Y$30:$Y$212,EE$17&amp;$C40,防護具!$Q$30:$Q$212))-ED40,0)</f>
        <v>0</v>
      </c>
      <c r="EF41" s="762">
        <f>IFERROR(
SUM(EE41,SUMIF(防護具!$Y$30:$Y$212,EF$17&amp;$C40,防護具!$Q$30:$Q$212))-EE40,0)</f>
        <v>0</v>
      </c>
      <c r="EG41" s="762">
        <f>IFERROR(
SUM(EF41,SUMIF(防護具!$Y$30:$Y$212,EG$17&amp;$C40,防護具!$Q$30:$Q$212))-EF40,0)</f>
        <v>0</v>
      </c>
      <c r="EH41" s="762">
        <f>IFERROR(
SUM(EG41,SUMIF(防護具!$Y$30:$Y$212,EH$17&amp;$C40,防護具!$Q$30:$Q$212))-EG40,0)</f>
        <v>0</v>
      </c>
      <c r="EI41" s="762">
        <f>IFERROR(
SUM(EH41,SUMIF(防護具!$Y$30:$Y$212,EI$17&amp;$C40,防護具!$Q$30:$Q$212))-EH40,0)</f>
        <v>0</v>
      </c>
      <c r="EJ41" s="762">
        <f>IFERROR(
SUM(EI41,SUMIF(防護具!$Y$30:$Y$212,EJ$17&amp;$C40,防護具!$Q$30:$Q$212))-EI40,0)</f>
        <v>0</v>
      </c>
      <c r="EK41" s="762">
        <f>IFERROR(
SUM(EJ41,SUMIF(防護具!$Y$30:$Y$212,EK$17&amp;$C40,防護具!$Q$30:$Q$212))-EJ40,0)</f>
        <v>0</v>
      </c>
      <c r="EL41" s="762">
        <f>IFERROR(
SUM(EK41,SUMIF(防護具!$Y$30:$Y$212,EL$17&amp;$C40,防護具!$Q$30:$Q$212))-EK40,0)</f>
        <v>0</v>
      </c>
      <c r="EM41" s="762">
        <f>IFERROR(
SUM(EL41,SUMIF(防護具!$Y$30:$Y$212,EM$17&amp;$C40,防護具!$Q$30:$Q$212))-EL40,0)</f>
        <v>0</v>
      </c>
      <c r="EN41" s="762">
        <f>IFERROR(
SUM(EM41,SUMIF(防護具!$Y$30:$Y$212,EN$17&amp;$C40,防護具!$Q$30:$Q$212))-EM40,0)</f>
        <v>0</v>
      </c>
      <c r="EO41" s="762">
        <f>IFERROR(
SUM(EN41,SUMIF(防護具!$Y$30:$Y$212,EO$17&amp;$C40,防護具!$Q$30:$Q$212))-EN40,0)</f>
        <v>0</v>
      </c>
      <c r="EP41" s="762">
        <f>IFERROR(
SUM(EO41,SUMIF(防護具!$Y$30:$Y$212,EP$17&amp;$C40,防護具!$Q$30:$Q$212))-EO40,0)</f>
        <v>0</v>
      </c>
      <c r="EQ41" s="762">
        <f>IFERROR(
SUM(EP41,SUMIF(防護具!$Y$30:$Y$212,EQ$17&amp;$C40,防護具!$Q$30:$Q$212))-EP40,0)</f>
        <v>0</v>
      </c>
      <c r="ER41" s="762">
        <f>IFERROR(
SUM(EQ41,SUMIF(防護具!$Y$30:$Y$212,ER$17&amp;$C40,防護具!$Q$30:$Q$212))-EQ40,0)</f>
        <v>0</v>
      </c>
      <c r="ES41" s="762">
        <f>IFERROR(
SUM(ER41,SUMIF(防護具!$Y$30:$Y$212,ES$17&amp;$C40,防護具!$Q$30:$Q$212))-ER40,0)</f>
        <v>0</v>
      </c>
      <c r="ET41" s="762">
        <f>IFERROR(
SUM(ES41,SUMIF(防護具!$Y$30:$Y$212,ET$17&amp;$C40,防護具!$Q$30:$Q$212))-ES40,0)</f>
        <v>0</v>
      </c>
      <c r="EU41" s="762">
        <f>IFERROR(
SUM(ET41,SUMIF(防護具!$Y$30:$Y$212,EU$17&amp;$C40,防護具!$Q$30:$Q$212))-ET40,0)</f>
        <v>0</v>
      </c>
      <c r="EV41" s="762">
        <f>IFERROR(
SUM(EU41,SUMIF(防護具!$Y$30:$Y$212,EV$17&amp;$C40,防護具!$Q$30:$Q$212))-EU40,0)</f>
        <v>0</v>
      </c>
      <c r="EW41" s="762">
        <f>IFERROR(
SUM(EV41,SUMIF(防護具!$Y$30:$Y$212,EW$17&amp;$C40,防護具!$Q$30:$Q$212))-EV40,0)</f>
        <v>0</v>
      </c>
      <c r="EX41" s="762">
        <f>IFERROR(
SUM(EW41,SUMIF(防護具!$Y$30:$Y$212,EX$17&amp;$C40,防護具!$Q$30:$Q$212))-EW40,0)</f>
        <v>0</v>
      </c>
      <c r="EY41" s="762">
        <f>IFERROR(
SUM(EX41,SUMIF(防護具!$Y$30:$Y$212,EY$17&amp;$C40,防護具!$Q$30:$Q$212))-EX40,0)</f>
        <v>0</v>
      </c>
      <c r="EZ41" s="762">
        <f>IFERROR(
SUM(EY41,SUMIF(防護具!$Y$30:$Y$212,EZ$17&amp;$C40,防護具!$Q$30:$Q$212))-EY40,0)</f>
        <v>0</v>
      </c>
      <c r="FA41" s="762">
        <f>IFERROR(
SUM(EZ41,SUMIF(防護具!$Y$30:$Y$212,FA$17&amp;$C40,防護具!$Q$30:$Q$212))-EZ40,0)</f>
        <v>0</v>
      </c>
      <c r="FB41" s="762">
        <f>IFERROR(
SUM(FA41,SUMIF(防護具!$Y$30:$Y$212,FB$17&amp;$C40,防護具!$Q$30:$Q$212))-FA40,0)</f>
        <v>0</v>
      </c>
      <c r="FC41" s="762">
        <f>IFERROR(
SUM(FB41,SUMIF(防護具!$Y$30:$Y$212,FC$17&amp;$C40,防護具!$Q$30:$Q$212))-FB40,0)</f>
        <v>0</v>
      </c>
      <c r="FD41" s="762">
        <f>IFERROR(
SUM(FC41,SUMIF(防護具!$Y$30:$Y$212,FD$17&amp;$C40,防護具!$Q$30:$Q$212))-FC40,0)</f>
        <v>0</v>
      </c>
      <c r="FE41" s="762">
        <f>IFERROR(
SUM(FD41,SUMIF(防護具!$Y$30:$Y$212,FE$17&amp;$C40,防護具!$Q$30:$Q$212))-FD40,0)</f>
        <v>0</v>
      </c>
      <c r="FF41" s="762">
        <f>IFERROR(
SUM(FE41,SUMIF(防護具!$Y$30:$Y$212,FF$17&amp;$C40,防護具!$Q$30:$Q$212))-FE40,0)</f>
        <v>0</v>
      </c>
      <c r="FG41" s="762">
        <f>IFERROR(
SUM(FF41,SUMIF(防護具!$Y$30:$Y$212,FG$17&amp;$C40,防護具!$Q$30:$Q$212))-FF40,0)</f>
        <v>0</v>
      </c>
      <c r="FH41" s="762">
        <f>IFERROR(
SUM(FG41,SUMIF(防護具!$Y$30:$Y$212,FH$17&amp;$C40,防護具!$Q$30:$Q$212))-FG40,0)</f>
        <v>0</v>
      </c>
      <c r="FI41" s="762">
        <f>IFERROR(
SUM(FH41,SUMIF(防護具!$Y$30:$Y$212,FI$17&amp;$C40,防護具!$Q$30:$Q$212))-FH40,0)</f>
        <v>0</v>
      </c>
      <c r="FJ41" s="762">
        <f>IFERROR(
SUM(FI41,SUMIF(防護具!$Y$30:$Y$212,FJ$17&amp;$C40,防護具!$Q$30:$Q$212))-FI40,0)</f>
        <v>0</v>
      </c>
      <c r="FK41" s="762">
        <f>IFERROR(
SUM(FJ41,SUMIF(防護具!$Y$30:$Y$212,FK$17&amp;$C40,防護具!$Q$30:$Q$212))-FJ40,0)</f>
        <v>0</v>
      </c>
      <c r="FL41" s="762">
        <f>IFERROR(
SUM(FK41,SUMIF(防護具!$Y$30:$Y$212,FL$17&amp;$C40,防護具!$Q$30:$Q$212))-FK40,0)</f>
        <v>0</v>
      </c>
      <c r="FM41" s="762">
        <f>IFERROR(
SUM(FL41,SUMIF(防護具!$Y$30:$Y$212,FM$17&amp;$C40,防護具!$Q$30:$Q$212))-FL40,0)</f>
        <v>0</v>
      </c>
      <c r="FN41" s="762">
        <f>IFERROR(
SUM(FM41,SUMIF(防護具!$Y$30:$Y$212,FN$17&amp;$C40,防護具!$Q$30:$Q$212))-FM40,0)</f>
        <v>0</v>
      </c>
      <c r="FO41" s="762">
        <f>IFERROR(
SUM(FN41,SUMIF(防護具!$Y$30:$Y$212,FO$17&amp;$C40,防護具!$Q$30:$Q$212))-FN40,0)</f>
        <v>0</v>
      </c>
      <c r="FP41" s="762">
        <f>IFERROR(
SUM(FO41,SUMIF(防護具!$Y$30:$Y$212,FP$17&amp;$C40,防護具!$Q$30:$Q$212))-FO40,0)</f>
        <v>0</v>
      </c>
      <c r="FQ41" s="762">
        <f>IFERROR(
SUM(FP41,SUMIF(防護具!$Y$30:$Y$212,FQ$17&amp;$C40,防護具!$Q$30:$Q$212))-FP40,0)</f>
        <v>0</v>
      </c>
      <c r="FR41" s="762">
        <f>IFERROR(
SUM(FQ41,SUMIF(防護具!$Y$30:$Y$212,FR$17&amp;$C40,防護具!$Q$30:$Q$212))-FQ40,0)</f>
        <v>0</v>
      </c>
      <c r="FS41" s="762">
        <f>IFERROR(
SUM(FR41,SUMIF(防護具!$Y$30:$Y$212,FS$17&amp;$C40,防護具!$Q$30:$Q$212))-FR40,0)</f>
        <v>0</v>
      </c>
      <c r="FT41" s="762">
        <f>IFERROR(
SUM(FS41,SUMIF(防護具!$Y$30:$Y$212,FT$17&amp;$C40,防護具!$Q$30:$Q$212))-FS40,0)</f>
        <v>0</v>
      </c>
      <c r="FU41" s="762">
        <f>IFERROR(
SUM(FT41,SUMIF(防護具!$Y$30:$Y$212,FU$17&amp;$C40,防護具!$Q$30:$Q$212))-FT40,0)</f>
        <v>0</v>
      </c>
      <c r="FV41" s="762">
        <f>IFERROR(
SUM(FU41,SUMIF(防護具!$Y$30:$Y$212,FV$17&amp;$C40,防護具!$Q$30:$Q$212))-FU40,0)</f>
        <v>0</v>
      </c>
      <c r="FW41" s="762">
        <f>IFERROR(
SUM(FV41,SUMIF(防護具!$Y$30:$Y$212,FW$17&amp;$C40,防護具!$Q$30:$Q$212))-FV40,0)</f>
        <v>0</v>
      </c>
      <c r="FX41" s="762">
        <f>IFERROR(
SUM(FW41,SUMIF(防護具!$Y$30:$Y$212,FX$17&amp;$C40,防護具!$Q$30:$Q$212))-FW40,0)</f>
        <v>0</v>
      </c>
      <c r="FY41" s="762">
        <f>IFERROR(
SUM(FX41,SUMIF(防護具!$Y$30:$Y$212,FY$17&amp;$C40,防護具!$Q$30:$Q$212))-FX40,0)</f>
        <v>0</v>
      </c>
      <c r="FZ41" s="762">
        <f>IFERROR(
SUM(FY41,SUMIF(防護具!$Y$30:$Y$212,FZ$17&amp;$C40,防護具!$Q$30:$Q$212))-FY40,0)</f>
        <v>0</v>
      </c>
      <c r="GA41" s="762">
        <f>IFERROR(
SUM(FZ41,SUMIF(防護具!$Y$30:$Y$212,GA$17&amp;$C40,防護具!$Q$30:$Q$212))-FZ40,0)</f>
        <v>0</v>
      </c>
      <c r="GB41" s="762">
        <f>IFERROR(
SUM(GA41,SUMIF(防護具!$Y$30:$Y$212,GB$17&amp;$C40,防護具!$Q$30:$Q$212))-GA40,0)</f>
        <v>0</v>
      </c>
      <c r="GC41" s="762">
        <f>IFERROR(
SUM(GB41,SUMIF(防護具!$Y$30:$Y$212,GC$17&amp;$C40,防護具!$Q$30:$Q$212))-GB40,0)</f>
        <v>0</v>
      </c>
      <c r="GD41" s="762">
        <f>IFERROR(
SUM(GC41,SUMIF(防護具!$Y$30:$Y$212,GD$17&amp;$C40,防護具!$Q$30:$Q$212))-GC40,0)</f>
        <v>0</v>
      </c>
      <c r="GE41" s="762">
        <f>IFERROR(
SUM(GD41,SUMIF(防護具!$Y$30:$Y$212,GE$17&amp;$C40,防護具!$Q$30:$Q$212))-GD40,0)</f>
        <v>0</v>
      </c>
      <c r="GF41" s="762">
        <f>IFERROR(
SUM(GE41,SUMIF(防護具!$Y$30:$Y$212,GF$17&amp;$C40,防護具!$Q$30:$Q$212))-GE40,0)</f>
        <v>0</v>
      </c>
      <c r="GG41" s="762">
        <f>IFERROR(
SUM(GF41,SUMIF(防護具!$Y$30:$Y$212,GG$17&amp;$C40,防護具!$Q$30:$Q$212))-GF40,0)</f>
        <v>0</v>
      </c>
      <c r="GH41" s="762">
        <f>IFERROR(
SUM(GG41,SUMIF(防護具!$Y$30:$Y$212,GH$17&amp;$C40,防護具!$Q$30:$Q$212))-GG40,0)</f>
        <v>0</v>
      </c>
      <c r="GI41" s="762">
        <f>IFERROR(
SUM(GH41,SUMIF(防護具!$Y$30:$Y$212,GI$17&amp;$C40,防護具!$Q$30:$Q$212))-GH40,0)</f>
        <v>0</v>
      </c>
      <c r="GJ41" s="762">
        <f>IFERROR(
SUM(GI41,SUMIF(防護具!$Y$30:$Y$212,GJ$17&amp;$C40,防護具!$Q$30:$Q$212))-GI40,0)</f>
        <v>0</v>
      </c>
    </row>
    <row r="42" spans="2:192" s="632" customFormat="1">
      <c r="B42" s="633"/>
      <c r="C42" s="625"/>
      <c r="D42" s="701" t="s">
        <v>1425</v>
      </c>
      <c r="E42" s="706"/>
      <c r="F42" s="653"/>
      <c r="G42" s="762">
        <f xml:space="preserve">
IF(
SUM(SUMIF(防護具!$Y$13:$Y$29,G$17&amp;$C40,防護具!$Q$13:$Q$29),F42)-VLOOKUP($C40,$C$3:$D$15,2,FALSE)*F38&lt;0,0,
SUM(SUMIF(防護具!$Y$13:$Y$29,G$17&amp;$C40,防護具!$Q$13:$Q$29),F42)-VLOOKUP($C40,$C$3:$D$15,2,FALSE)*F38)</f>
        <v>0</v>
      </c>
      <c r="H42" s="762">
        <f xml:space="preserve">
IF(
SUM(SUMIF(防護具!$Y$13:$Y$29,H$17&amp;$C40,防護具!$Q$13:$Q$29),G42)-VLOOKUP($C40,$C$3:$D$15,2,FALSE)*G38&lt;0,0,
SUM(SUMIF(防護具!$Y$13:$Y$29,H$17&amp;$C40,防護具!$Q$13:$Q$29),G42)-VLOOKUP($C40,$C$3:$D$15,2,FALSE)*G38)</f>
        <v>0</v>
      </c>
      <c r="I42" s="762">
        <f xml:space="preserve">
IF(
SUM(SUMIF(防護具!$Y$13:$Y$29,I$17&amp;$C40,防護具!$Q$13:$Q$29),H42)-VLOOKUP($C40,$C$3:$D$15,2,FALSE)*H38&lt;0,0,
SUM(SUMIF(防護具!$Y$13:$Y$29,I$17&amp;$C40,防護具!$Q$13:$Q$29),H42)-VLOOKUP($C40,$C$3:$D$15,2,FALSE)*H38)</f>
        <v>0</v>
      </c>
      <c r="J42" s="762">
        <f xml:space="preserve">
IF(
SUM(SUMIF(防護具!$Y$13:$Y$29,J$17&amp;$C40,防護具!$Q$13:$Q$29),I42)-VLOOKUP($C40,$C$3:$D$15,2,FALSE)*I38&lt;0,0,
SUM(SUMIF(防護具!$Y$13:$Y$29,J$17&amp;$C40,防護具!$Q$13:$Q$29),I42)-VLOOKUP($C40,$C$3:$D$15,2,FALSE)*I38)</f>
        <v>0</v>
      </c>
      <c r="K42" s="762">
        <f xml:space="preserve">
IF(
SUM(SUMIF(防護具!$Y$13:$Y$29,K$17&amp;$C40,防護具!$Q$13:$Q$29),J42)-VLOOKUP($C40,$C$3:$D$15,2,FALSE)*J38&lt;0,0,
SUM(SUMIF(防護具!$Y$13:$Y$29,K$17&amp;$C40,防護具!$Q$13:$Q$29),J42)-VLOOKUP($C40,$C$3:$D$15,2,FALSE)*J38)</f>
        <v>0</v>
      </c>
      <c r="L42" s="762">
        <f xml:space="preserve">
IF(
SUM(SUMIF(防護具!$Y$13:$Y$29,L$17&amp;$C40,防護具!$Q$13:$Q$29),K42)-VLOOKUP($C40,$C$3:$D$15,2,FALSE)*K38&lt;0,0,
SUM(SUMIF(防護具!$Y$13:$Y$29,L$17&amp;$C40,防護具!$Q$13:$Q$29),K42)-VLOOKUP($C40,$C$3:$D$15,2,FALSE)*K38)</f>
        <v>0</v>
      </c>
      <c r="M42" s="762">
        <f xml:space="preserve">
IF(
SUM(SUMIF(防護具!$Y$13:$Y$29,M$17&amp;$C40,防護具!$Q$13:$Q$29),L42)-VLOOKUP($C40,$C$3:$D$15,2,FALSE)*L38&lt;0,0,
SUM(SUMIF(防護具!$Y$13:$Y$29,M$17&amp;$C40,防護具!$Q$13:$Q$29),L42)-VLOOKUP($C40,$C$3:$D$15,2,FALSE)*L38)</f>
        <v>0</v>
      </c>
      <c r="N42" s="762">
        <f xml:space="preserve">
IF(
SUM(SUMIF(防護具!$Y$13:$Y$29,N$17&amp;$C40,防護具!$Q$13:$Q$29),M42)-VLOOKUP($C40,$C$3:$D$15,2,FALSE)*M38&lt;0,0,
SUM(SUMIF(防護具!$Y$13:$Y$29,N$17&amp;$C40,防護具!$Q$13:$Q$29),M42)-VLOOKUP($C40,$C$3:$D$15,2,FALSE)*M38)</f>
        <v>0</v>
      </c>
      <c r="O42" s="762">
        <f xml:space="preserve">
IF(
SUM(SUMIF(防護具!$Y$13:$Y$29,O$17&amp;$C40,防護具!$Q$13:$Q$29),N42)-VLOOKUP($C40,$C$3:$D$15,2,FALSE)*N38&lt;0,0,
SUM(SUMIF(防護具!$Y$13:$Y$29,O$17&amp;$C40,防護具!$Q$13:$Q$29),N42)-VLOOKUP($C40,$C$3:$D$15,2,FALSE)*N38)</f>
        <v>0</v>
      </c>
      <c r="P42" s="762">
        <f xml:space="preserve">
IF(
SUM(SUMIF(防護具!$Y$13:$Y$29,P$17&amp;$C40,防護具!$Q$13:$Q$29),O42)-VLOOKUP($C40,$C$3:$D$15,2,FALSE)*O38&lt;0,0,
SUM(SUMIF(防護具!$Y$13:$Y$29,P$17&amp;$C40,防護具!$Q$13:$Q$29),O42)-VLOOKUP($C40,$C$3:$D$15,2,FALSE)*O38)</f>
        <v>0</v>
      </c>
      <c r="Q42" s="762">
        <f xml:space="preserve">
IF(
SUM(SUMIF(防護具!$Y$13:$Y$29,Q$17&amp;$C40,防護具!$Q$13:$Q$29),P42)-VLOOKUP($C40,$C$3:$D$15,2,FALSE)*P$20&lt;0,0,
SUM(SUMIF(防護具!$Y$13:$Y$29,Q$17&amp;$C40,防護具!$Q$13:$Q$29),P42)-VLOOKUP($C40,$C$3:$D$15,2,FALSE)*P$20)</f>
        <v>0</v>
      </c>
      <c r="R42" s="762">
        <f xml:space="preserve">
IF(
SUM(SUMIF(防護具!$Y$13:$Y$29,R$17&amp;$C40,防護具!$Q$13:$Q$29),Q42)-VLOOKUP($C40,$C$3:$D$15,2,FALSE)*Q$20&lt;0,0,
SUM(SUMIF(防護具!$Y$13:$Y$29,R$17&amp;$C40,防護具!$Q$13:$Q$29),Q42)-VLOOKUP($C40,$C$3:$D$15,2,FALSE)*Q$20)</f>
        <v>0</v>
      </c>
      <c r="S42" s="762">
        <f xml:space="preserve">
IF(
SUM(SUMIF(防護具!$Y$13:$Y$29,S$17&amp;$C40,防護具!$Q$13:$Q$29),R42)-VLOOKUP($C40,$C$3:$D$15,2,FALSE)*R$20&lt;0,0,
SUM(SUMIF(防護具!$Y$13:$Y$29,S$17&amp;$C40,防護具!$Q$13:$Q$29),R42)-VLOOKUP($C40,$C$3:$D$15,2,FALSE)*R$20)</f>
        <v>0</v>
      </c>
      <c r="T42" s="762">
        <f xml:space="preserve">
IF(
SUM(SUMIF(防護具!$Y$13:$Y$29,T$17&amp;$C40,防護具!$Q$13:$Q$29),S42)-VLOOKUP($C40,$C$3:$D$15,2,FALSE)*S$20&lt;0,0,
SUM(SUMIF(防護具!$Y$13:$Y$29,T$17&amp;$C40,防護具!$Q$13:$Q$29),S42)-VLOOKUP($C40,$C$3:$D$15,2,FALSE)*S$20)</f>
        <v>0</v>
      </c>
      <c r="U42" s="762">
        <f xml:space="preserve">
IF(
SUM(SUMIF(防護具!$Y$13:$Y$29,U$17&amp;$C40,防護具!$Q$13:$Q$29),T42)-VLOOKUP($C40,$C$3:$D$15,2,FALSE)*T$20&lt;0,0,
SUM(SUMIF(防護具!$Y$13:$Y$29,U$17&amp;$C40,防護具!$Q$13:$Q$29),T42)-VLOOKUP($C40,$C$3:$D$15,2,FALSE)*T$20)</f>
        <v>0</v>
      </c>
      <c r="V42" s="762">
        <f xml:space="preserve">
IF(
SUM(SUMIF(防護具!$Y$13:$Y$29,V$17&amp;$C40,防護具!$Q$13:$Q$29),U42)-VLOOKUP($C40,$C$3:$D$15,2,FALSE)*U$20&lt;0,0,
SUM(SUMIF(防護具!$Y$13:$Y$29,V$17&amp;$C40,防護具!$Q$13:$Q$29),U42)-VLOOKUP($C40,$C$3:$D$15,2,FALSE)*U$20)</f>
        <v>0</v>
      </c>
      <c r="W42" s="762">
        <f xml:space="preserve">
IF(
SUM(SUMIF(防護具!$Y$13:$Y$29,W$17&amp;$C40,防護具!$Q$13:$Q$29),V42)-VLOOKUP($C40,$C$3:$D$15,2,FALSE)*V$20&lt;0,0,
SUM(SUMIF(防護具!$Y$13:$Y$29,W$17&amp;$C40,防護具!$Q$13:$Q$29),V42)-VLOOKUP($C40,$C$3:$D$15,2,FALSE)*V$20)</f>
        <v>0</v>
      </c>
      <c r="X42" s="762">
        <f xml:space="preserve">
IF(
SUM(SUMIF(防護具!$Y$13:$Y$29,X$17&amp;$C40,防護具!$Q$13:$Q$29),W42)-VLOOKUP($C40,$C$3:$D$15,2,FALSE)*W$20&lt;0,0,
SUM(SUMIF(防護具!$Y$13:$Y$29,X$17&amp;$C40,防護具!$Q$13:$Q$29),W42)-VLOOKUP($C40,$C$3:$D$15,2,FALSE)*W$20)</f>
        <v>0</v>
      </c>
      <c r="Y42" s="762">
        <f xml:space="preserve">
IF(
SUM(SUMIF(防護具!$Y$13:$Y$29,Y$17&amp;$C40,防護具!$Q$13:$Q$29),X42)-VLOOKUP($C40,$C$3:$D$15,2,FALSE)*X$20&lt;0,0,
SUM(SUMIF(防護具!$Y$13:$Y$29,Y$17&amp;$C40,防護具!$Q$13:$Q$29),X42)-VLOOKUP($C40,$C$3:$D$15,2,FALSE)*X$20)</f>
        <v>0</v>
      </c>
      <c r="Z42" s="762">
        <f xml:space="preserve">
IF(
SUM(SUMIF(防護具!$Y$13:$Y$29,Z$17&amp;$C40,防護具!$Q$13:$Q$29),Y42)-VLOOKUP($C40,$C$3:$D$15,2,FALSE)*Y$20&lt;0,0,
SUM(SUMIF(防護具!$Y$13:$Y$29,Z$17&amp;$C40,防護具!$Q$13:$Q$29),Y42)-VLOOKUP($C40,$C$3:$D$15,2,FALSE)*Y$20)</f>
        <v>0</v>
      </c>
      <c r="AA42" s="762">
        <f xml:space="preserve">
IF(
SUM(SUMIF(防護具!$Y$13:$Y$29,AA$17&amp;$C40,防護具!$Q$13:$Q$29),Z42)-VLOOKUP($C40,$C$3:$D$15,2,FALSE)*Z$20&lt;0,0,
SUM(SUMIF(防護具!$Y$13:$Y$29,AA$17&amp;$C40,防護具!$Q$13:$Q$29),Z42)-VLOOKUP($C40,$C$3:$D$15,2,FALSE)*Z$20)</f>
        <v>0</v>
      </c>
      <c r="AB42" s="762">
        <f xml:space="preserve">
IF(
SUM(SUMIF(防護具!$Y$13:$Y$29,AB$17&amp;$C40,防護具!$Q$13:$Q$29),AA42)-VLOOKUP($C40,$C$3:$D$15,2,FALSE)*AA$20&lt;0,0,
SUM(SUMIF(防護具!$Y$13:$Y$29,AB$17&amp;$C40,防護具!$Q$13:$Q$29),AA42)-VLOOKUP($C40,$C$3:$D$15,2,FALSE)*AA$20)</f>
        <v>0</v>
      </c>
      <c r="AC42" s="762">
        <f xml:space="preserve">
IF(
SUM(SUMIF(防護具!$Y$13:$Y$29,AC$17&amp;$C40,防護具!$Q$13:$Q$29),AB42)-VLOOKUP($C40,$C$3:$D$15,2,FALSE)*AB$20&lt;0,0,
SUM(SUMIF(防護具!$Y$13:$Y$29,AC$17&amp;$C40,防護具!$Q$13:$Q$29),AB42)-VLOOKUP($C40,$C$3:$D$15,2,FALSE)*AB$20)</f>
        <v>0</v>
      </c>
      <c r="AD42" s="762">
        <f xml:space="preserve">
IF(
SUM(SUMIF(防護具!$Y$13:$Y$29,AD$17&amp;$C40,防護具!$Q$13:$Q$29),AC42)-VLOOKUP($C40,$C$3:$D$15,2,FALSE)*AC$20&lt;0,0,
SUM(SUMIF(防護具!$Y$13:$Y$29,AD$17&amp;$C40,防護具!$Q$13:$Q$29),AC42)-VLOOKUP($C40,$C$3:$D$15,2,FALSE)*AC$20)</f>
        <v>0</v>
      </c>
      <c r="AE42" s="762">
        <f xml:space="preserve">
IF(
SUM(SUMIF(防護具!$Y$13:$Y$29,AE$17&amp;$C40,防護具!$Q$13:$Q$29),AD42)-VLOOKUP($C40,$C$3:$D$15,2,FALSE)*AD$20&lt;0,0,
SUM(SUMIF(防護具!$Y$13:$Y$29,AE$17&amp;$C40,防護具!$Q$13:$Q$29),AD42)-VLOOKUP($C40,$C$3:$D$15,2,FALSE)*AD$20)</f>
        <v>0</v>
      </c>
      <c r="AF42" s="762">
        <f xml:space="preserve">
IF(
SUM(SUMIF(防護具!$Y$13:$Y$29,AF$17&amp;$C40,防護具!$Q$13:$Q$29),AE42)-VLOOKUP($C40,$C$3:$D$15,2,FALSE)*AE$20&lt;0,0,
SUM(SUMIF(防護具!$Y$13:$Y$29,AF$17&amp;$C40,防護具!$Q$13:$Q$29),AE42)-VLOOKUP($C40,$C$3:$D$15,2,FALSE)*AE$20)</f>
        <v>0</v>
      </c>
      <c r="AG42" s="762">
        <f xml:space="preserve">
IF(
SUM(SUMIF(防護具!$Y$13:$Y$29,AG$17&amp;$C40,防護具!$Q$13:$Q$29),AF42)-VLOOKUP($C40,$C$3:$D$15,2,FALSE)*AF$20&lt;0,0,
SUM(SUMIF(防護具!$Y$13:$Y$29,AG$17&amp;$C40,防護具!$Q$13:$Q$29),AF42)-VLOOKUP($C40,$C$3:$D$15,2,FALSE)*AF$20)</f>
        <v>0</v>
      </c>
      <c r="AH42" s="762">
        <f xml:space="preserve">
IF(
SUM(SUMIF(防護具!$Y$13:$Y$29,AH$17&amp;$C40,防護具!$Q$13:$Q$29),AG42)-VLOOKUP($C40,$C$3:$D$15,2,FALSE)*AG$20&lt;0,0,
SUM(SUMIF(防護具!$Y$13:$Y$29,AH$17&amp;$C40,防護具!$Q$13:$Q$29),AG42)-VLOOKUP($C40,$C$3:$D$15,2,FALSE)*AG$20)</f>
        <v>0</v>
      </c>
      <c r="AI42" s="762">
        <f xml:space="preserve">
IF(
SUM(SUMIF(防護具!$Y$13:$Y$29,AI$17&amp;$C40,防護具!$Q$13:$Q$29),AH42)-VLOOKUP($C40,$C$3:$D$15,2,FALSE)*AH$20&lt;0,0,
SUM(SUMIF(防護具!$Y$13:$Y$29,AI$17&amp;$C40,防護具!$Q$13:$Q$29),AH42)-VLOOKUP($C40,$C$3:$D$15,2,FALSE)*AH$20)</f>
        <v>0</v>
      </c>
      <c r="AJ42" s="762">
        <f xml:space="preserve">
IF(
SUM(SUMIF(防護具!$Y$13:$Y$29,AJ$17&amp;$C40,防護具!$Q$13:$Q$29),AI42)-VLOOKUP($C40,$C$3:$D$15,2,FALSE)*AI$20&lt;0,0,
SUM(SUMIF(防護具!$Y$13:$Y$29,AJ$17&amp;$C40,防護具!$Q$13:$Q$29),AI42)-VLOOKUP($C40,$C$3:$D$15,2,FALSE)*AI$20)</f>
        <v>0</v>
      </c>
      <c r="AK42" s="762">
        <f xml:space="preserve">
IF(
SUM(SUMIF(防護具!$Y$13:$Y$29,AK$17&amp;$C40,防護具!$Q$13:$Q$29),AJ42)-VLOOKUP($C40,$C$3:$D$15,2,FALSE)*AJ$20&lt;0,0,
SUM(SUMIF(防護具!$Y$13:$Y$29,AK$17&amp;$C40,防護具!$Q$13:$Q$29),AJ42)-VLOOKUP($C40,$C$3:$D$15,2,FALSE)*AJ$20)</f>
        <v>0</v>
      </c>
      <c r="AL42" s="762">
        <f xml:space="preserve">
IF(
SUM(SUMIF(防護具!$Y$13:$Y$29,AL$17&amp;$C40,防護具!$Q$13:$Q$29),AK42)-VLOOKUP($C40,$C$3:$D$15,2,FALSE)*AK$20&lt;0,0,
SUM(SUMIF(防護具!$Y$13:$Y$29,AL$17&amp;$C40,防護具!$Q$13:$Q$29),AK42)-VLOOKUP($C40,$C$3:$D$15,2,FALSE)*AK$20)</f>
        <v>0</v>
      </c>
      <c r="AM42" s="762">
        <f xml:space="preserve">
IF(
SUM(SUMIF(防護具!$Y$13:$Y$29,AM$17&amp;$C40,防護具!$Q$13:$Q$29),AL42)-VLOOKUP($C40,$C$3:$D$15,2,FALSE)*AL$20&lt;0,0,
SUM(SUMIF(防護具!$Y$13:$Y$29,AM$17&amp;$C40,防護具!$Q$13:$Q$29),AL42)-VLOOKUP($C40,$C$3:$D$15,2,FALSE)*AL$20)</f>
        <v>0</v>
      </c>
      <c r="AN42" s="762">
        <f xml:space="preserve">
IF(
SUM(SUMIF(防護具!$Y$13:$Y$29,AN$17&amp;$C40,防護具!$Q$13:$Q$29),AM42)-VLOOKUP($C40,$C$3:$D$15,2,FALSE)*AM$20&lt;0,0,
SUM(SUMIF(防護具!$Y$13:$Y$29,AN$17&amp;$C40,防護具!$Q$13:$Q$29),AM42)-VLOOKUP($C40,$C$3:$D$15,2,FALSE)*AM$20)</f>
        <v>0</v>
      </c>
      <c r="AO42" s="762">
        <f xml:space="preserve">
IF(
SUM(SUMIF(防護具!$Y$13:$Y$29,AO$17&amp;$C40,防護具!$Q$13:$Q$29),AN42)-VLOOKUP($C40,$C$3:$D$15,2,FALSE)*AN$20&lt;0,0,
SUM(SUMIF(防護具!$Y$13:$Y$29,AO$17&amp;$C40,防護具!$Q$13:$Q$29),AN42)-VLOOKUP($C40,$C$3:$D$15,2,FALSE)*AN$20)</f>
        <v>0</v>
      </c>
      <c r="AP42" s="762">
        <f xml:space="preserve">
IF(
SUM(SUMIF(防護具!$Y$13:$Y$29,AP$17&amp;$C40,防護具!$Q$13:$Q$29),AO42)-VLOOKUP($C40,$C$3:$D$15,2,FALSE)*AO$20&lt;0,0,
SUM(SUMIF(防護具!$Y$13:$Y$29,AP$17&amp;$C40,防護具!$Q$13:$Q$29),AO42)-VLOOKUP($C40,$C$3:$D$15,2,FALSE)*AO$20)</f>
        <v>0</v>
      </c>
      <c r="AQ42" s="762">
        <f xml:space="preserve">
IF(
SUM(SUMIF(防護具!$Y$13:$Y$29,AQ$17&amp;$C40,防護具!$Q$13:$Q$29),AP42)-VLOOKUP($C40,$C$3:$D$15,2,FALSE)*AP$20&lt;0,0,
SUM(SUMIF(防護具!$Y$13:$Y$29,AQ$17&amp;$C40,防護具!$Q$13:$Q$29),AP42)-VLOOKUP($C40,$C$3:$D$15,2,FALSE)*AP$20)</f>
        <v>0</v>
      </c>
      <c r="AR42" s="762">
        <f xml:space="preserve">
IF(
SUM(SUMIF(防護具!$Y$13:$Y$29,AR$17&amp;$C40,防護具!$Q$13:$Q$29),AQ42)-VLOOKUP($C40,$C$3:$D$15,2,FALSE)*AQ$20&lt;0,0,
SUM(SUMIF(防護具!$Y$13:$Y$29,AR$17&amp;$C40,防護具!$Q$13:$Q$29),AQ42)-VLOOKUP($C40,$C$3:$D$15,2,FALSE)*AQ$20)</f>
        <v>0</v>
      </c>
      <c r="AS42" s="762">
        <f xml:space="preserve">
IF(
SUM(SUMIF(防護具!$Y$13:$Y$29,AS$17&amp;$C40,防護具!$Q$13:$Q$29),AR42)-VLOOKUP($C40,$C$3:$D$15,2,FALSE)*AR$20&lt;0,0,
SUM(SUMIF(防護具!$Y$13:$Y$29,AS$17&amp;$C40,防護具!$Q$13:$Q$29),AR42)-VLOOKUP($C40,$C$3:$D$15,2,FALSE)*AR$20)</f>
        <v>0</v>
      </c>
      <c r="AT42" s="762">
        <f xml:space="preserve">
IF(
SUM(SUMIF(防護具!$Y$13:$Y$29,AT$17&amp;$C40,防護具!$Q$13:$Q$29),AS42)-VLOOKUP($C40,$C$3:$D$15,2,FALSE)*AS$20&lt;0,0,
SUM(SUMIF(防護具!$Y$13:$Y$29,AT$17&amp;$C40,防護具!$Q$13:$Q$29),AS42)-VLOOKUP($C40,$C$3:$D$15,2,FALSE)*AS$20)</f>
        <v>0</v>
      </c>
      <c r="AU42" s="762">
        <f xml:space="preserve">
IF(
SUM(SUMIF(防護具!$Y$13:$Y$29,AU$17&amp;$C40,防護具!$Q$13:$Q$29),AT42)-VLOOKUP($C40,$C$3:$D$15,2,FALSE)*AT$20&lt;0,0,
SUM(SUMIF(防護具!$Y$13:$Y$29,AU$17&amp;$C40,防護具!$Q$13:$Q$29),AT42)-VLOOKUP($C40,$C$3:$D$15,2,FALSE)*AT$20)</f>
        <v>0</v>
      </c>
      <c r="AV42" s="762">
        <f xml:space="preserve">
IF(
SUM(SUMIF(防護具!$Y$13:$Y$29,AV$17&amp;$C40,防護具!$Q$13:$Q$29),AU42)-VLOOKUP($C40,$C$3:$D$15,2,FALSE)*AU$20&lt;0,0,
SUM(SUMIF(防護具!$Y$13:$Y$29,AV$17&amp;$C40,防護具!$Q$13:$Q$29),AU42)-VLOOKUP($C40,$C$3:$D$15,2,FALSE)*AU$20)</f>
        <v>0</v>
      </c>
      <c r="AW42" s="762">
        <f xml:space="preserve">
IF(
SUM(SUMIF(防護具!$Y$13:$Y$29,AW$17&amp;$C40,防護具!$Q$13:$Q$29),AV42)-VLOOKUP($C40,$C$3:$D$15,2,FALSE)*AV$20&lt;0,0,
SUM(SUMIF(防護具!$Y$13:$Y$29,AW$17&amp;$C40,防護具!$Q$13:$Q$29),AV42)-VLOOKUP($C40,$C$3:$D$15,2,FALSE)*AV$20)</f>
        <v>0</v>
      </c>
      <c r="AX42" s="762">
        <f xml:space="preserve">
IF(
SUM(SUMIF(防護具!$Y$13:$Y$29,AX$17&amp;$C40,防護具!$Q$13:$Q$29),AW42)-VLOOKUP($C40,$C$3:$D$15,2,FALSE)*AW$20&lt;0,0,
SUM(SUMIF(防護具!$Y$13:$Y$29,AX$17&amp;$C40,防護具!$Q$13:$Q$29),AW42)-VLOOKUP($C40,$C$3:$D$15,2,FALSE)*AW$20)</f>
        <v>0</v>
      </c>
      <c r="AY42" s="762">
        <f xml:space="preserve">
IF(
SUM(SUMIF(防護具!$Y$13:$Y$29,AY$17&amp;$C40,防護具!$Q$13:$Q$29),AX42)-VLOOKUP($C40,$C$3:$D$15,2,FALSE)*AX$20&lt;0,0,
SUM(SUMIF(防護具!$Y$13:$Y$29,AY$17&amp;$C40,防護具!$Q$13:$Q$29),AX42)-VLOOKUP($C40,$C$3:$D$15,2,FALSE)*AX$20)</f>
        <v>0</v>
      </c>
      <c r="AZ42" s="762">
        <f xml:space="preserve">
IF(
SUM(SUMIF(防護具!$Y$13:$Y$29,AZ$17&amp;$C40,防護具!$Q$13:$Q$29),AY42)-VLOOKUP($C40,$C$3:$D$15,2,FALSE)*AY$20&lt;0,0,
SUM(SUMIF(防護具!$Y$13:$Y$29,AZ$17&amp;$C40,防護具!$Q$13:$Q$29),AY42)-VLOOKUP($C40,$C$3:$D$15,2,FALSE)*AY$20)</f>
        <v>0</v>
      </c>
      <c r="BA42" s="762">
        <f xml:space="preserve">
IF(
SUM(SUMIF(防護具!$Y$13:$Y$29,BA$17&amp;$C40,防護具!$Q$13:$Q$29),AZ42)-VLOOKUP($C40,$C$3:$D$15,2,FALSE)*AZ$20&lt;0,0,
SUM(SUMIF(防護具!$Y$13:$Y$29,BA$17&amp;$C40,防護具!$Q$13:$Q$29),AZ42)-VLOOKUP($C40,$C$3:$D$15,2,FALSE)*AZ$20)</f>
        <v>0</v>
      </c>
      <c r="BB42" s="762">
        <f xml:space="preserve">
IF(
SUM(SUMIF(防護具!$Y$13:$Y$29,BB$17&amp;$C40,防護具!$Q$13:$Q$29),BA42)-VLOOKUP($C40,$C$3:$D$15,2,FALSE)*BA$20&lt;0,0,
SUM(SUMIF(防護具!$Y$13:$Y$29,BB$17&amp;$C40,防護具!$Q$13:$Q$29),BA42)-VLOOKUP($C40,$C$3:$D$15,2,FALSE)*BA$20)</f>
        <v>0</v>
      </c>
      <c r="BC42" s="762">
        <f xml:space="preserve">
IF(
SUM(SUMIF(防護具!$Y$13:$Y$29,BC$17&amp;$C40,防護具!$Q$13:$Q$29),BB42)-VLOOKUP($C40,$C$3:$D$15,2,FALSE)*BB$20&lt;0,0,
SUM(SUMIF(防護具!$Y$13:$Y$29,BC$17&amp;$C40,防護具!$Q$13:$Q$29),BB42)-VLOOKUP($C40,$C$3:$D$15,2,FALSE)*BB$20)</f>
        <v>0</v>
      </c>
      <c r="BD42" s="762">
        <f xml:space="preserve">
IF(
SUM(SUMIF(防護具!$Y$13:$Y$29,BD$17&amp;$C40,防護具!$Q$13:$Q$29),BC42)-VLOOKUP($C40,$C$3:$D$15,2,FALSE)*BC$20&lt;0,0,
SUM(SUMIF(防護具!$Y$13:$Y$29,BD$17&amp;$C40,防護具!$Q$13:$Q$29),BC42)-VLOOKUP($C40,$C$3:$D$15,2,FALSE)*BC$20)</f>
        <v>0</v>
      </c>
      <c r="BE42" s="762">
        <f xml:space="preserve">
IF(
SUM(SUMIF(防護具!$Y$13:$Y$29,BE$17&amp;$C40,防護具!$Q$13:$Q$29),BD42)-VLOOKUP($C40,$C$3:$D$15,2,FALSE)*BD$20&lt;0,0,
SUM(SUMIF(防護具!$Y$13:$Y$29,BE$17&amp;$C40,防護具!$Q$13:$Q$29),BD42)-VLOOKUP($C40,$C$3:$D$15,2,FALSE)*BD$20)</f>
        <v>0</v>
      </c>
      <c r="BF42" s="762">
        <f xml:space="preserve">
IF(
SUM(SUMIF(防護具!$Y$13:$Y$29,BF$17&amp;$C40,防護具!$Q$13:$Q$29),BE42)-VLOOKUP($C40,$C$3:$D$15,2,FALSE)*BE$20&lt;0,0,
SUM(SUMIF(防護具!$Y$13:$Y$29,BF$17&amp;$C40,防護具!$Q$13:$Q$29),BE42)-VLOOKUP($C40,$C$3:$D$15,2,FALSE)*BE$20)</f>
        <v>0</v>
      </c>
      <c r="BG42" s="762">
        <f xml:space="preserve">
IF(
SUM(SUMIF(防護具!$Y$13:$Y$29,BG$17&amp;$C40,防護具!$Q$13:$Q$29),BF42)-VLOOKUP($C40,$C$3:$D$15,2,FALSE)*BF$20&lt;0,0,
SUM(SUMIF(防護具!$Y$13:$Y$29,BG$17&amp;$C40,防護具!$Q$13:$Q$29),BF42)-VLOOKUP($C40,$C$3:$D$15,2,FALSE)*BF$20)</f>
        <v>0</v>
      </c>
      <c r="BH42" s="762">
        <f xml:space="preserve">
IF(
SUM(SUMIF(防護具!$Y$13:$Y$29,BH$17&amp;$C40,防護具!$Q$13:$Q$29),BG42)-VLOOKUP($C40,$C$3:$D$15,2,FALSE)*BG$20&lt;0,0,
SUM(SUMIF(防護具!$Y$13:$Y$29,BH$17&amp;$C40,防護具!$Q$13:$Q$29),BG42)-VLOOKUP($C40,$C$3:$D$15,2,FALSE)*BG$20)</f>
        <v>0</v>
      </c>
      <c r="BI42" s="762">
        <f xml:space="preserve">
IF(
SUM(SUMIF(防護具!$Y$13:$Y$29,BI$17&amp;$C40,防護具!$Q$13:$Q$29),BH42)-VLOOKUP($C40,$C$3:$D$15,2,FALSE)*BH$20&lt;0,0,
SUM(SUMIF(防護具!$Y$13:$Y$29,BI$17&amp;$C40,防護具!$Q$13:$Q$29),BH42)-VLOOKUP($C40,$C$3:$D$15,2,FALSE)*BH$20)</f>
        <v>0</v>
      </c>
      <c r="BJ42" s="762">
        <f xml:space="preserve">
IF(
SUM(SUMIF(防護具!$Y$13:$Y$29,BJ$17&amp;$C40,防護具!$Q$13:$Q$29),BI42)-VLOOKUP($C40,$C$3:$D$15,2,FALSE)*BI$20&lt;0,0,
SUM(SUMIF(防護具!$Y$13:$Y$29,BJ$17&amp;$C40,防護具!$Q$13:$Q$29),BI42)-VLOOKUP($C40,$C$3:$D$15,2,FALSE)*BI$20)</f>
        <v>0</v>
      </c>
      <c r="BK42" s="762">
        <f xml:space="preserve">
IF(
SUM(SUMIF(防護具!$Y$13:$Y$29,BK$17&amp;$C40,防護具!$Q$13:$Q$29),BJ42)-VLOOKUP($C40,$C$3:$D$15,2,FALSE)*BJ$20&lt;0,0,
SUM(SUMIF(防護具!$Y$13:$Y$29,BK$17&amp;$C40,防護具!$Q$13:$Q$29),BJ42)-VLOOKUP($C40,$C$3:$D$15,2,FALSE)*BJ$20)</f>
        <v>0</v>
      </c>
      <c r="BL42" s="762">
        <f xml:space="preserve">
IF(
SUM(SUMIF(防護具!$Y$13:$Y$29,BL$17&amp;$C40,防護具!$Q$13:$Q$29),BK42)-VLOOKUP($C40,$C$3:$D$15,2,FALSE)*BK$20&lt;0,0,
SUM(SUMIF(防護具!$Y$13:$Y$29,BL$17&amp;$C40,防護具!$Q$13:$Q$29),BK42)-VLOOKUP($C40,$C$3:$D$15,2,FALSE)*BK$20)</f>
        <v>0</v>
      </c>
      <c r="BM42" s="762">
        <f xml:space="preserve">
IF(
SUM(SUMIF(防護具!$Y$13:$Y$29,BM$17&amp;$C40,防護具!$Q$13:$Q$29),BL42)-VLOOKUP($C40,$C$3:$D$15,2,FALSE)*BL$20&lt;0,0,
SUM(SUMIF(防護具!$Y$13:$Y$29,BM$17&amp;$C40,防護具!$Q$13:$Q$29),BL42)-VLOOKUP($C40,$C$3:$D$15,2,FALSE)*BL$20)</f>
        <v>0</v>
      </c>
      <c r="BN42" s="762">
        <f xml:space="preserve">
IF(
SUM(SUMIF(防護具!$Y$13:$Y$29,BN$17&amp;$C40,防護具!$Q$13:$Q$29),BM42)-VLOOKUP($C40,$C$3:$D$15,2,FALSE)*BM$20&lt;0,0,
SUM(SUMIF(防護具!$Y$13:$Y$29,BN$17&amp;$C40,防護具!$Q$13:$Q$29),BM42)-VLOOKUP($C40,$C$3:$D$15,2,FALSE)*BM$20)</f>
        <v>0</v>
      </c>
      <c r="BO42" s="762">
        <f xml:space="preserve">
IF(
SUM(SUMIF(防護具!$Y$13:$Y$29,BO$17&amp;$C40,防護具!$Q$13:$Q$29),BN42)-VLOOKUP($C40,$C$3:$D$15,2,FALSE)*BN$20&lt;0,0,
SUM(SUMIF(防護具!$Y$13:$Y$29,BO$17&amp;$C40,防護具!$Q$13:$Q$29),BN42)-VLOOKUP($C40,$C$3:$D$15,2,FALSE)*BN$20)</f>
        <v>0</v>
      </c>
      <c r="BP42" s="762">
        <f xml:space="preserve">
IF(
SUM(SUMIF(防護具!$Y$13:$Y$29,BP$17&amp;$C40,防護具!$Q$13:$Q$29),BO42)-VLOOKUP($C40,$C$3:$D$15,2,FALSE)*BO$20&lt;0,0,
SUM(SUMIF(防護具!$Y$13:$Y$29,BP$17&amp;$C40,防護具!$Q$13:$Q$29),BO42)-VLOOKUP($C40,$C$3:$D$15,2,FALSE)*BO$20)</f>
        <v>0</v>
      </c>
      <c r="BQ42" s="762">
        <f xml:space="preserve">
IF(
SUM(SUMIF(防護具!$Y$13:$Y$29,BQ$17&amp;$C40,防護具!$Q$13:$Q$29),BP42)-VLOOKUP($C40,$C$3:$D$15,2,FALSE)*BP$20&lt;0,0,
SUM(SUMIF(防護具!$Y$13:$Y$29,BQ$17&amp;$C40,防護具!$Q$13:$Q$29),BP42)-VLOOKUP($C40,$C$3:$D$15,2,FALSE)*BP$20)</f>
        <v>0</v>
      </c>
      <c r="BR42" s="762">
        <f xml:space="preserve">
IF(
SUM(SUMIF(防護具!$Y$13:$Y$29,BR$17&amp;$C40,防護具!$Q$13:$Q$29),BQ42)-VLOOKUP($C40,$C$3:$D$15,2,FALSE)*BQ$20&lt;0,0,
SUM(SUMIF(防護具!$Y$13:$Y$29,BR$17&amp;$C40,防護具!$Q$13:$Q$29),BQ42)-VLOOKUP($C40,$C$3:$D$15,2,FALSE)*BQ$20)</f>
        <v>0</v>
      </c>
      <c r="BS42" s="762">
        <f xml:space="preserve">
IF(
SUM(SUMIF(防護具!$Y$13:$Y$29,BS$17&amp;$C40,防護具!$Q$13:$Q$29),BR42)-VLOOKUP($C40,$C$3:$D$15,2,FALSE)*BR$20&lt;0,0,
SUM(SUMIF(防護具!$Y$13:$Y$29,BS$17&amp;$C40,防護具!$Q$13:$Q$29),BR42)-VLOOKUP($C40,$C$3:$D$15,2,FALSE)*BR$20)</f>
        <v>0</v>
      </c>
      <c r="BT42" s="762">
        <f xml:space="preserve">
IF(
SUM(SUMIF(防護具!$Y$13:$Y$29,BT$17&amp;$C40,防護具!$Q$13:$Q$29),BS42)-VLOOKUP($C40,$C$3:$D$15,2,FALSE)*BS$20&lt;0,0,
SUM(SUMIF(防護具!$Y$13:$Y$29,BT$17&amp;$C40,防護具!$Q$13:$Q$29),BS42)-VLOOKUP($C40,$C$3:$D$15,2,FALSE)*BS$20)</f>
        <v>0</v>
      </c>
      <c r="BU42" s="762">
        <f xml:space="preserve">
IF(
SUM(SUMIF(防護具!$Y$13:$Y$29,BU$17&amp;$C40,防護具!$Q$13:$Q$29),BT42)-VLOOKUP($C40,$C$3:$D$15,2,FALSE)*BT$20&lt;0,0,
SUM(SUMIF(防護具!$Y$13:$Y$29,BU$17&amp;$C40,防護具!$Q$13:$Q$29),BT42)-VLOOKUP($C40,$C$3:$D$15,2,FALSE)*BT$20)</f>
        <v>0</v>
      </c>
      <c r="BV42" s="762">
        <f xml:space="preserve">
IF(
SUM(SUMIF(防護具!$Y$13:$Y$29,BV$17&amp;$C40,防護具!$Q$13:$Q$29),BU42)-VLOOKUP($C40,$C$3:$D$15,2,FALSE)*BU$20&lt;0,0,
SUM(SUMIF(防護具!$Y$13:$Y$29,BV$17&amp;$C40,防護具!$Q$13:$Q$29),BU42)-VLOOKUP($C40,$C$3:$D$15,2,FALSE)*BU$20)</f>
        <v>0</v>
      </c>
      <c r="BW42" s="762">
        <f xml:space="preserve">
IF(
SUM(SUMIF(防護具!$Y$13:$Y$29,BW$17&amp;$C40,防護具!$Q$13:$Q$29),BV42)-VLOOKUP($C40,$C$3:$D$15,2,FALSE)*BV$20&lt;0,0,
SUM(SUMIF(防護具!$Y$13:$Y$29,BW$17&amp;$C40,防護具!$Q$13:$Q$29),BV42)-VLOOKUP($C40,$C$3:$D$15,2,FALSE)*BV$20)</f>
        <v>0</v>
      </c>
      <c r="BX42" s="762">
        <f xml:space="preserve">
IF(
SUM(SUMIF(防護具!$Y$13:$Y$29,BX$17&amp;$C40,防護具!$Q$13:$Q$29),BW42)-VLOOKUP($C40,$C$3:$D$15,2,FALSE)*BW$20&lt;0,0,
SUM(SUMIF(防護具!$Y$13:$Y$29,BX$17&amp;$C40,防護具!$Q$13:$Q$29),BW42)-VLOOKUP($C40,$C$3:$D$15,2,FALSE)*BW$20)</f>
        <v>0</v>
      </c>
      <c r="BY42" s="762">
        <f xml:space="preserve">
IF(
SUM(SUMIF(防護具!$Y$13:$Y$29,BY$17&amp;$C40,防護具!$Q$13:$Q$29),BX42)-VLOOKUP($C40,$C$3:$D$15,2,FALSE)*BX$20&lt;0,0,
SUM(SUMIF(防護具!$Y$13:$Y$29,BY$17&amp;$C40,防護具!$Q$13:$Q$29),BX42)-VLOOKUP($C40,$C$3:$D$15,2,FALSE)*BX$20)</f>
        <v>0</v>
      </c>
      <c r="BZ42" s="762">
        <f xml:space="preserve">
IF(
SUM(SUMIF(防護具!$Y$13:$Y$29,BZ$17&amp;$C40,防護具!$Q$13:$Q$29),BY42)-VLOOKUP($C40,$C$3:$D$15,2,FALSE)*BY$20&lt;0,0,
SUM(SUMIF(防護具!$Y$13:$Y$29,BZ$17&amp;$C40,防護具!$Q$13:$Q$29),BY42)-VLOOKUP($C40,$C$3:$D$15,2,FALSE)*BY$20)</f>
        <v>0</v>
      </c>
      <c r="CA42" s="762">
        <f xml:space="preserve">
IF(
SUM(SUMIF(防護具!$Y$13:$Y$29,CA$17&amp;$C40,防護具!$Q$13:$Q$29),BZ42)-VLOOKUP($C40,$C$3:$D$15,2,FALSE)*BZ$20&lt;0,0,
SUM(SUMIF(防護具!$Y$13:$Y$29,CA$17&amp;$C40,防護具!$Q$13:$Q$29),BZ42)-VLOOKUP($C40,$C$3:$D$15,2,FALSE)*BZ$20)</f>
        <v>0</v>
      </c>
      <c r="CB42" s="762">
        <f xml:space="preserve">
IF(
SUM(SUMIF(防護具!$Y$13:$Y$29,CB$17&amp;$C40,防護具!$Q$13:$Q$29),CA42)-VLOOKUP($C40,$C$3:$D$15,2,FALSE)*CA$20&lt;0,0,
SUM(SUMIF(防護具!$Y$13:$Y$29,CB$17&amp;$C40,防護具!$Q$13:$Q$29),CA42)-VLOOKUP($C40,$C$3:$D$15,2,FALSE)*CA$20)</f>
        <v>0</v>
      </c>
      <c r="CC42" s="762">
        <f xml:space="preserve">
IF(
SUM(SUMIF(防護具!$Y$13:$Y$29,CC$17&amp;$C40,防護具!$Q$13:$Q$29),CB42)-VLOOKUP($C40,$C$3:$D$15,2,FALSE)*CB$20&lt;0,0,
SUM(SUMIF(防護具!$Y$13:$Y$29,CC$17&amp;$C40,防護具!$Q$13:$Q$29),CB42)-VLOOKUP($C40,$C$3:$D$15,2,FALSE)*CB$20)</f>
        <v>0</v>
      </c>
      <c r="CD42" s="762">
        <f xml:space="preserve">
IF(
SUM(SUMIF(防護具!$Y$13:$Y$29,CD$17&amp;$C40,防護具!$Q$13:$Q$29),CC42)-VLOOKUP($C40,$C$3:$D$15,2,FALSE)*CC$20&lt;0,0,
SUM(SUMIF(防護具!$Y$13:$Y$29,CD$17&amp;$C40,防護具!$Q$13:$Q$29),CC42)-VLOOKUP($C40,$C$3:$D$15,2,FALSE)*CC$20)</f>
        <v>0</v>
      </c>
      <c r="CE42" s="762">
        <f xml:space="preserve">
IF(
SUM(SUMIF(防護具!$Y$13:$Y$29,CE$17&amp;$C40,防護具!$Q$13:$Q$29),CD42)-VLOOKUP($C40,$C$3:$D$15,2,FALSE)*CD$20&lt;0,0,
SUM(SUMIF(防護具!$Y$13:$Y$29,CE$17&amp;$C40,防護具!$Q$13:$Q$29),CD42)-VLOOKUP($C40,$C$3:$D$15,2,FALSE)*CD$20)</f>
        <v>0</v>
      </c>
      <c r="CF42" s="762">
        <f xml:space="preserve">
IF(
SUM(SUMIF(防護具!$Y$13:$Y$29,CF$17&amp;$C40,防護具!$Q$13:$Q$29),CE42)-VLOOKUP($C40,$C$3:$D$15,2,FALSE)*CE$20&lt;0,0,
SUM(SUMIF(防護具!$Y$13:$Y$29,CF$17&amp;$C40,防護具!$Q$13:$Q$29),CE42)-VLOOKUP($C40,$C$3:$D$15,2,FALSE)*CE$20)</f>
        <v>0</v>
      </c>
      <c r="CG42" s="762">
        <f xml:space="preserve">
IF(
SUM(SUMIF(防護具!$Y$13:$Y$29,CG$17&amp;$C40,防護具!$Q$13:$Q$29),CF42)-VLOOKUP($C40,$C$3:$D$15,2,FALSE)*CF$20&lt;0,0,
SUM(SUMIF(防護具!$Y$13:$Y$29,CG$17&amp;$C40,防護具!$Q$13:$Q$29),CF42)-VLOOKUP($C40,$C$3:$D$15,2,FALSE)*CF$20)</f>
        <v>0</v>
      </c>
      <c r="CH42" s="762">
        <f xml:space="preserve">
IF(
SUM(SUMIF(防護具!$Y$13:$Y$29,CH$17&amp;$C40,防護具!$Q$13:$Q$29),CG42)-VLOOKUP($C40,$C$3:$D$15,2,FALSE)*CG$20&lt;0,0,
SUM(SUMIF(防護具!$Y$13:$Y$29,CH$17&amp;$C40,防護具!$Q$13:$Q$29),CG42)-VLOOKUP($C40,$C$3:$D$15,2,FALSE)*CG$20)</f>
        <v>0</v>
      </c>
      <c r="CI42" s="762">
        <f xml:space="preserve">
IF(
SUM(SUMIF(防護具!$Y$13:$Y$29,CI$17&amp;$C40,防護具!$Q$13:$Q$29),CH42)-VLOOKUP($C40,$C$3:$D$15,2,FALSE)*CH$20&lt;0,0,
SUM(SUMIF(防護具!$Y$13:$Y$29,CI$17&amp;$C40,防護具!$Q$13:$Q$29),CH42)-VLOOKUP($C40,$C$3:$D$15,2,FALSE)*CH$20)</f>
        <v>0</v>
      </c>
      <c r="CJ42" s="762">
        <f xml:space="preserve">
IF(
SUM(SUMIF(防護具!$Y$13:$Y$29,CJ$17&amp;$C40,防護具!$Q$13:$Q$29),CI42)-VLOOKUP($C40,$C$3:$D$15,2,FALSE)*CI$20&lt;0,0,
SUM(SUMIF(防護具!$Y$13:$Y$29,CJ$17&amp;$C40,防護具!$Q$13:$Q$29),CI42)-VLOOKUP($C40,$C$3:$D$15,2,FALSE)*CI$20)</f>
        <v>0</v>
      </c>
      <c r="CK42" s="762">
        <f xml:space="preserve">
IF(
SUM(SUMIF(防護具!$Y$13:$Y$29,CK$17&amp;$C40,防護具!$Q$13:$Q$29),CJ42)-VLOOKUP($C40,$C$3:$D$15,2,FALSE)*CJ$20&lt;0,0,
SUM(SUMIF(防護具!$Y$13:$Y$29,CK$17&amp;$C40,防護具!$Q$13:$Q$29),CJ42)-VLOOKUP($C40,$C$3:$D$15,2,FALSE)*CJ$20)</f>
        <v>0</v>
      </c>
      <c r="CL42" s="762">
        <f xml:space="preserve">
IF(
SUM(SUMIF(防護具!$Y$13:$Y$29,CL$17&amp;$C40,防護具!$Q$13:$Q$29),CK42)-VLOOKUP($C40,$C$3:$D$15,2,FALSE)*CK$20&lt;0,0,
SUM(SUMIF(防護具!$Y$13:$Y$29,CL$17&amp;$C40,防護具!$Q$13:$Q$29),CK42)-VLOOKUP($C40,$C$3:$D$15,2,FALSE)*CK$20)</f>
        <v>0</v>
      </c>
      <c r="CM42" s="762">
        <f xml:space="preserve">
IF(
SUM(SUMIF(防護具!$Y$13:$Y$29,CM$17&amp;$C40,防護具!$Q$13:$Q$29),CL42)-VLOOKUP($C40,$C$3:$D$15,2,FALSE)*CL$20&lt;0,0,
SUM(SUMIF(防護具!$Y$13:$Y$29,CM$17&amp;$C40,防護具!$Q$13:$Q$29),CL42)-VLOOKUP($C40,$C$3:$D$15,2,FALSE)*CL$20)</f>
        <v>0</v>
      </c>
      <c r="CN42" s="762">
        <f xml:space="preserve">
IF(
SUM(SUMIF(防護具!$Y$13:$Y$29,CN$17&amp;$C40,防護具!$Q$13:$Q$29),CM42)-VLOOKUP($C40,$C$3:$D$15,2,FALSE)*CM$20&lt;0,0,
SUM(SUMIF(防護具!$Y$13:$Y$29,CN$17&amp;$C40,防護具!$Q$13:$Q$29),CM42)-VLOOKUP($C40,$C$3:$D$15,2,FALSE)*CM$20)</f>
        <v>0</v>
      </c>
      <c r="CO42" s="762">
        <f xml:space="preserve">
IF(
SUM(SUMIF(防護具!$Y$13:$Y$29,CO$17&amp;$C40,防護具!$Q$13:$Q$29),CN42)-VLOOKUP($C40,$C$3:$D$15,2,FALSE)*CN$20&lt;0,0,
SUM(SUMIF(防護具!$Y$13:$Y$29,CO$17&amp;$C40,防護具!$Q$13:$Q$29),CN42)-VLOOKUP($C40,$C$3:$D$15,2,FALSE)*CN$20)</f>
        <v>0</v>
      </c>
      <c r="CP42" s="762">
        <f xml:space="preserve">
IF(
SUM(SUMIF(防護具!$Y$13:$Y$29,CP$17&amp;$C40,防護具!$Q$13:$Q$29),CO42)-VLOOKUP($C40,$C$3:$D$15,2,FALSE)*CO$20&lt;0,0,
SUM(SUMIF(防護具!$Y$13:$Y$29,CP$17&amp;$C40,防護具!$Q$13:$Q$29),CO42)-VLOOKUP($C40,$C$3:$D$15,2,FALSE)*CO$20)</f>
        <v>0</v>
      </c>
      <c r="CQ42" s="762">
        <f xml:space="preserve">
IF(
SUM(SUMIF(防護具!$Y$13:$Y$29,CQ$17&amp;$C40,防護具!$Q$13:$Q$29),CP42)-VLOOKUP($C40,$C$3:$D$15,2,FALSE)*CP$20&lt;0,0,
SUM(SUMIF(防護具!$Y$13:$Y$29,CQ$17&amp;$C40,防護具!$Q$13:$Q$29),CP42)-VLOOKUP($C40,$C$3:$D$15,2,FALSE)*CP$20)</f>
        <v>0</v>
      </c>
      <c r="CR42" s="762">
        <f xml:space="preserve">
IF(
SUM(SUMIF(防護具!$Y$13:$Y$29,CR$17&amp;$C40,防護具!$Q$13:$Q$29),CQ42)-VLOOKUP($C40,$C$3:$D$15,2,FALSE)*CQ$20&lt;0,0,
SUM(SUMIF(防護具!$Y$13:$Y$29,CR$17&amp;$C40,防護具!$Q$13:$Q$29),CQ42)-VLOOKUP($C40,$C$3:$D$15,2,FALSE)*CQ$20)</f>
        <v>0</v>
      </c>
      <c r="CS42" s="762">
        <f xml:space="preserve">
IF(
SUM(SUMIF(防護具!$Y$13:$Y$29,CS$17&amp;$C40,防護具!$Q$13:$Q$29),CR42)-VLOOKUP($C40,$C$3:$D$15,2,FALSE)*CR$20&lt;0,0,
SUM(SUMIF(防護具!$Y$13:$Y$29,CS$17&amp;$C40,防護具!$Q$13:$Q$29),CR42)-VLOOKUP($C40,$C$3:$D$15,2,FALSE)*CR$20)</f>
        <v>0</v>
      </c>
      <c r="CT42" s="762">
        <f xml:space="preserve">
IF(
SUM(SUMIF(防護具!$Y$13:$Y$29,CT$17&amp;$C40,防護具!$Q$13:$Q$29),CS42)-VLOOKUP($C40,$C$3:$D$15,2,FALSE)*CS$20&lt;0,0,
SUM(SUMIF(防護具!$Y$13:$Y$29,CT$17&amp;$C40,防護具!$Q$13:$Q$29),CS42)-VLOOKUP($C40,$C$3:$D$15,2,FALSE)*CS$20)</f>
        <v>0</v>
      </c>
      <c r="CU42" s="762">
        <f xml:space="preserve">
IF(
SUM(SUMIF(防護具!$Y$13:$Y$29,CU$17&amp;$C40,防護具!$Q$13:$Q$29),CT42)-VLOOKUP($C40,$C$3:$D$15,2,FALSE)*CT$20&lt;0,0,
SUM(SUMIF(防護具!$Y$13:$Y$29,CU$17&amp;$C40,防護具!$Q$13:$Q$29),CT42)-VLOOKUP($C40,$C$3:$D$15,2,FALSE)*CT$20)</f>
        <v>0</v>
      </c>
      <c r="CV42" s="762">
        <f xml:space="preserve">
IF(
SUM(SUMIF(防護具!$Y$13:$Y$29,CV$17&amp;$C40,防護具!$Q$13:$Q$29),CU42)-VLOOKUP($C40,$C$3:$D$15,2,FALSE)*CU$20&lt;0,0,
SUM(SUMIF(防護具!$Y$13:$Y$29,CV$17&amp;$C40,防護具!$Q$13:$Q$29),CU42)-VLOOKUP($C40,$C$3:$D$15,2,FALSE)*CU$20)</f>
        <v>0</v>
      </c>
      <c r="CW42" s="762">
        <f xml:space="preserve">
IF(
SUM(SUMIF(防護具!$Y$13:$Y$29,CW$17&amp;$C40,防護具!$Q$13:$Q$29),CV42)-VLOOKUP($C40,$C$3:$D$15,2,FALSE)*CV$20&lt;0,0,
SUM(SUMIF(防護具!$Y$13:$Y$29,CW$17&amp;$C40,防護具!$Q$13:$Q$29),CV42)-VLOOKUP($C40,$C$3:$D$15,2,FALSE)*CV$20)</f>
        <v>0</v>
      </c>
      <c r="CX42" s="762">
        <f xml:space="preserve">
IF(
SUM(SUMIF(防護具!$Y$13:$Y$29,CX$17&amp;$C40,防護具!$Q$13:$Q$29),CW42)-VLOOKUP($C40,$C$3:$D$15,2,FALSE)*CW$20&lt;0,0,
SUM(SUMIF(防護具!$Y$13:$Y$29,CX$17&amp;$C40,防護具!$Q$13:$Q$29),CW42)-VLOOKUP($C40,$C$3:$D$15,2,FALSE)*CW$20)</f>
        <v>0</v>
      </c>
      <c r="CY42" s="762">
        <f xml:space="preserve">
IF(
SUM(SUMIF(防護具!$Y$13:$Y$29,CY$17&amp;$C40,防護具!$Q$13:$Q$29),CX42)-VLOOKUP($C40,$C$3:$D$15,2,FALSE)*CX$20&lt;0,0,
SUM(SUMIF(防護具!$Y$13:$Y$29,CY$17&amp;$C40,防護具!$Q$13:$Q$29),CX42)-VLOOKUP($C40,$C$3:$D$15,2,FALSE)*CX$20)</f>
        <v>0</v>
      </c>
      <c r="CZ42" s="762">
        <f xml:space="preserve">
IF(
SUM(SUMIF(防護具!$Y$13:$Y$29,CZ$17&amp;$C40,防護具!$Q$13:$Q$29),CY42)-VLOOKUP($C40,$C$3:$D$15,2,FALSE)*CY$20&lt;0,0,
SUM(SUMIF(防護具!$Y$13:$Y$29,CZ$17&amp;$C40,防護具!$Q$13:$Q$29),CY42)-VLOOKUP($C40,$C$3:$D$15,2,FALSE)*CY$20)</f>
        <v>0</v>
      </c>
      <c r="DA42" s="762">
        <f xml:space="preserve">
IF(
SUM(SUMIF(防護具!$Y$13:$Y$29,DA$17&amp;$C40,防護具!$Q$13:$Q$29),CZ42)-VLOOKUP($C40,$C$3:$D$15,2,FALSE)*CZ$20&lt;0,0,
SUM(SUMIF(防護具!$Y$13:$Y$29,DA$17&amp;$C40,防護具!$Q$13:$Q$29),CZ42)-VLOOKUP($C40,$C$3:$D$15,2,FALSE)*CZ$20)</f>
        <v>0</v>
      </c>
      <c r="DB42" s="762">
        <f xml:space="preserve">
IF(
SUM(SUMIF(防護具!$Y$13:$Y$29,DB$17&amp;$C40,防護具!$Q$13:$Q$29),DA42)-VLOOKUP($C40,$C$3:$D$15,2,FALSE)*DA$20&lt;0,0,
SUM(SUMIF(防護具!$Y$13:$Y$29,DB$17&amp;$C40,防護具!$Q$13:$Q$29),DA42)-VLOOKUP($C40,$C$3:$D$15,2,FALSE)*DA$20)</f>
        <v>0</v>
      </c>
      <c r="DC42" s="762">
        <f xml:space="preserve">
IF(
SUM(SUMIF(防護具!$Y$13:$Y$29,DC$17&amp;$C40,防護具!$Q$13:$Q$29),DB42)-VLOOKUP($C40,$C$3:$D$15,2,FALSE)*DB$20&lt;0,0,
SUM(SUMIF(防護具!$Y$13:$Y$29,DC$17&amp;$C40,防護具!$Q$13:$Q$29),DB42)-VLOOKUP($C40,$C$3:$D$15,2,FALSE)*DB$20)</f>
        <v>0</v>
      </c>
      <c r="DD42" s="762">
        <f xml:space="preserve">
IF(
SUM(SUMIF(防護具!$Y$13:$Y$29,DD$17&amp;$C40,防護具!$Q$13:$Q$29),DC42)-VLOOKUP($C40,$C$3:$D$15,2,FALSE)*DC$20&lt;0,0,
SUM(SUMIF(防護具!$Y$13:$Y$29,DD$17&amp;$C40,防護具!$Q$13:$Q$29),DC42)-VLOOKUP($C40,$C$3:$D$15,2,FALSE)*DC$20)</f>
        <v>0</v>
      </c>
      <c r="DE42" s="762">
        <f xml:space="preserve">
IF(
SUM(SUMIF(防護具!$Y$13:$Y$29,DE$17&amp;$C40,防護具!$Q$13:$Q$29),DD42)-VLOOKUP($C40,$C$3:$D$15,2,FALSE)*DD$20&lt;0,0,
SUM(SUMIF(防護具!$Y$13:$Y$29,DE$17&amp;$C40,防護具!$Q$13:$Q$29),DD42)-VLOOKUP($C40,$C$3:$D$15,2,FALSE)*DD$20)</f>
        <v>0</v>
      </c>
      <c r="DF42" s="762">
        <f xml:space="preserve">
IF(
SUM(SUMIF(防護具!$Y$13:$Y$29,DF$17&amp;$C40,防護具!$Q$13:$Q$29),DE42)-VLOOKUP($C40,$C$3:$D$15,2,FALSE)*DE$20&lt;0,0,
SUM(SUMIF(防護具!$Y$13:$Y$29,DF$17&amp;$C40,防護具!$Q$13:$Q$29),DE42)-VLOOKUP($C40,$C$3:$D$15,2,FALSE)*DE$20)</f>
        <v>0</v>
      </c>
      <c r="DG42" s="762">
        <f xml:space="preserve">
IF(
SUM(SUMIF(防護具!$Y$13:$Y$29,DG$17&amp;$C40,防護具!$Q$13:$Q$29),DF42)-VLOOKUP($C40,$C$3:$D$15,2,FALSE)*DF$20&lt;0,0,
SUM(SUMIF(防護具!$Y$13:$Y$29,DG$17&amp;$C40,防護具!$Q$13:$Q$29),DF42)-VLOOKUP($C40,$C$3:$D$15,2,FALSE)*DF$20)</f>
        <v>0</v>
      </c>
      <c r="DH42" s="762">
        <f xml:space="preserve">
IF(
SUM(SUMIF(防護具!$Y$13:$Y$29,DH$17&amp;$C40,防護具!$Q$13:$Q$29),DG42)-VLOOKUP($C40,$C$3:$D$15,2,FALSE)*DG$20&lt;0,0,
SUM(SUMIF(防護具!$Y$13:$Y$29,DH$17&amp;$C40,防護具!$Q$13:$Q$29),DG42)-VLOOKUP($C40,$C$3:$D$15,2,FALSE)*DG$20)</f>
        <v>0</v>
      </c>
      <c r="DI42" s="762">
        <f xml:space="preserve">
IF(
SUM(SUMIF(防護具!$Y$13:$Y$29,DI$17&amp;$C40,防護具!$Q$13:$Q$29),DH42)-VLOOKUP($C40,$C$3:$D$15,2,FALSE)*DH$20&lt;0,0,
SUM(SUMIF(防護具!$Y$13:$Y$29,DI$17&amp;$C40,防護具!$Q$13:$Q$29),DH42)-VLOOKUP($C40,$C$3:$D$15,2,FALSE)*DH$20)</f>
        <v>0</v>
      </c>
      <c r="DJ42" s="762">
        <f xml:space="preserve">
IF(
SUM(SUMIF(防護具!$Y$13:$Y$29,DJ$17&amp;$C40,防護具!$Q$13:$Q$29),DI42)-VLOOKUP($C40,$C$3:$D$15,2,FALSE)*DI$20&lt;0,0,
SUM(SUMIF(防護具!$Y$13:$Y$29,DJ$17&amp;$C40,防護具!$Q$13:$Q$29),DI42)-VLOOKUP($C40,$C$3:$D$15,2,FALSE)*DI$20)</f>
        <v>0</v>
      </c>
      <c r="DK42" s="762">
        <f xml:space="preserve">
IF(
SUM(SUMIF(防護具!$Y$13:$Y$29,DK$17&amp;$C40,防護具!$Q$13:$Q$29),DJ42)-VLOOKUP($C40,$C$3:$D$15,2,FALSE)*DJ$20&lt;0,0,
SUM(SUMIF(防護具!$Y$13:$Y$29,DK$17&amp;$C40,防護具!$Q$13:$Q$29),DJ42)-VLOOKUP($C40,$C$3:$D$15,2,FALSE)*DJ$20)</f>
        <v>0</v>
      </c>
      <c r="DL42" s="762">
        <f xml:space="preserve">
IF(
SUM(SUMIF(防護具!$Y$13:$Y$29,DL$17&amp;$C40,防護具!$Q$13:$Q$29),DK42)-VLOOKUP($C40,$C$3:$D$15,2,FALSE)*DK$20&lt;0,0,
SUM(SUMIF(防護具!$Y$13:$Y$29,DL$17&amp;$C40,防護具!$Q$13:$Q$29),DK42)-VLOOKUP($C40,$C$3:$D$15,2,FALSE)*DK$20)</f>
        <v>0</v>
      </c>
      <c r="DM42" s="762">
        <f xml:space="preserve">
IF(
SUM(SUMIF(防護具!$Y$13:$Y$29,DM$17&amp;$C40,防護具!$Q$13:$Q$29),DL42)-VLOOKUP($C40,$C$3:$D$15,2,FALSE)*DL$20&lt;0,0,
SUM(SUMIF(防護具!$Y$13:$Y$29,DM$17&amp;$C40,防護具!$Q$13:$Q$29),DL42)-VLOOKUP($C40,$C$3:$D$15,2,FALSE)*DL$20)</f>
        <v>0</v>
      </c>
      <c r="DN42" s="762">
        <f xml:space="preserve">
IF(
SUM(SUMIF(防護具!$Y$13:$Y$29,DN$17&amp;$C40,防護具!$Q$13:$Q$29),DM42)-VLOOKUP($C40,$C$3:$D$15,2,FALSE)*DM$20&lt;0,0,
SUM(SUMIF(防護具!$Y$13:$Y$29,DN$17&amp;$C40,防護具!$Q$13:$Q$29),DM42)-VLOOKUP($C40,$C$3:$D$15,2,FALSE)*DM$20)</f>
        <v>0</v>
      </c>
      <c r="DO42" s="762">
        <f xml:space="preserve">
IF(
SUM(SUMIF(防護具!$Y$13:$Y$29,DO$17&amp;$C40,防護具!$Q$13:$Q$29),DN42)-VLOOKUP($C40,$C$3:$D$15,2,FALSE)*DN$20&lt;0,0,
SUM(SUMIF(防護具!$Y$13:$Y$29,DO$17&amp;$C40,防護具!$Q$13:$Q$29),DN42)-VLOOKUP($C40,$C$3:$D$15,2,FALSE)*DN$20)</f>
        <v>0</v>
      </c>
      <c r="DP42" s="762">
        <f xml:space="preserve">
IF(
SUM(SUMIF(防護具!$Y$13:$Y$29,DP$17&amp;$C40,防護具!$Q$13:$Q$29),DO42)-VLOOKUP($C40,$C$3:$D$15,2,FALSE)*DO$20&lt;0,0,
SUM(SUMIF(防護具!$Y$13:$Y$29,DP$17&amp;$C40,防護具!$Q$13:$Q$29),DO42)-VLOOKUP($C40,$C$3:$D$15,2,FALSE)*DO$20)</f>
        <v>0</v>
      </c>
      <c r="DQ42" s="762">
        <f xml:space="preserve">
IF(
SUM(SUMIF(防護具!$Y$13:$Y$29,DQ$17&amp;$C40,防護具!$Q$13:$Q$29),DP42)-VLOOKUP($C40,$C$3:$D$15,2,FALSE)*DP$20&lt;0,0,
SUM(SUMIF(防護具!$Y$13:$Y$29,DQ$17&amp;$C40,防護具!$Q$13:$Q$29),DP42)-VLOOKUP($C40,$C$3:$D$15,2,FALSE)*DP$20)</f>
        <v>0</v>
      </c>
      <c r="DR42" s="762">
        <f xml:space="preserve">
IF(
SUM(SUMIF(防護具!$Y$13:$Y$29,DR$17&amp;$C40,防護具!$Q$13:$Q$29),DQ42)-VLOOKUP($C40,$C$3:$D$15,2,FALSE)*DQ$20&lt;0,0,
SUM(SUMIF(防護具!$Y$13:$Y$29,DR$17&amp;$C40,防護具!$Q$13:$Q$29),DQ42)-VLOOKUP($C40,$C$3:$D$15,2,FALSE)*DQ$20)</f>
        <v>0</v>
      </c>
      <c r="DS42" s="762">
        <f xml:space="preserve">
IF(
SUM(SUMIF(防護具!$Y$13:$Y$29,DS$17&amp;$C40,防護具!$Q$13:$Q$29),DR42)-VLOOKUP($C40,$C$3:$D$15,2,FALSE)*DR$20&lt;0,0,
SUM(SUMIF(防護具!$Y$13:$Y$29,DS$17&amp;$C40,防護具!$Q$13:$Q$29),DR42)-VLOOKUP($C40,$C$3:$D$15,2,FALSE)*DR$20)</f>
        <v>0</v>
      </c>
      <c r="DT42" s="762">
        <f xml:space="preserve">
IF(
SUM(SUMIF(防護具!$Y$13:$Y$29,DT$17&amp;$C40,防護具!$Q$13:$Q$29),DS42)-VLOOKUP($C40,$C$3:$D$15,2,FALSE)*DS$20&lt;0,0,
SUM(SUMIF(防護具!$Y$13:$Y$29,DT$17&amp;$C40,防護具!$Q$13:$Q$29),DS42)-VLOOKUP($C40,$C$3:$D$15,2,FALSE)*DS$20)</f>
        <v>0</v>
      </c>
      <c r="DU42" s="762">
        <f xml:space="preserve">
IF(
SUM(SUMIF(防護具!$Y$13:$Y$29,DU$17&amp;$C40,防護具!$Q$13:$Q$29),DT42)-VLOOKUP($C40,$C$3:$D$15,2,FALSE)*DT$20&lt;0,0,
SUM(SUMIF(防護具!$Y$13:$Y$29,DU$17&amp;$C40,防護具!$Q$13:$Q$29),DT42)-VLOOKUP($C40,$C$3:$D$15,2,FALSE)*DT$20)</f>
        <v>0</v>
      </c>
      <c r="DV42" s="762">
        <f xml:space="preserve">
IF(
SUM(SUMIF(防護具!$Y$13:$Y$29,DV$17&amp;$C40,防護具!$Q$13:$Q$29),DU42)-VLOOKUP($C40,$C$3:$D$15,2,FALSE)*DU$20&lt;0,0,
SUM(SUMIF(防護具!$Y$13:$Y$29,DV$17&amp;$C40,防護具!$Q$13:$Q$29),DU42)-VLOOKUP($C40,$C$3:$D$15,2,FALSE)*DU$20)</f>
        <v>0</v>
      </c>
      <c r="DW42" s="762">
        <f xml:space="preserve">
IF(
SUM(SUMIF(防護具!$Y$13:$Y$29,DW$17&amp;$C40,防護具!$Q$13:$Q$29),DV42)-VLOOKUP($C40,$C$3:$D$15,2,FALSE)*DV$20&lt;0,0,
SUM(SUMIF(防護具!$Y$13:$Y$29,DW$17&amp;$C40,防護具!$Q$13:$Q$29),DV42)-VLOOKUP($C40,$C$3:$D$15,2,FALSE)*DV$20)</f>
        <v>0</v>
      </c>
      <c r="DX42" s="762">
        <f xml:space="preserve">
IF(
SUM(SUMIF(防護具!$Y$13:$Y$29,DX$17&amp;$C40,防護具!$Q$13:$Q$29),DW42)-VLOOKUP($C40,$C$3:$D$15,2,FALSE)*DW$20&lt;0,0,
SUM(SUMIF(防護具!$Y$13:$Y$29,DX$17&amp;$C40,防護具!$Q$13:$Q$29),DW42)-VLOOKUP($C40,$C$3:$D$15,2,FALSE)*DW$20)</f>
        <v>0</v>
      </c>
      <c r="DY42" s="762">
        <f xml:space="preserve">
IF(
SUM(SUMIF(防護具!$Y$13:$Y$29,DY$17&amp;$C40,防護具!$Q$13:$Q$29),DX42)-VLOOKUP($C40,$C$3:$D$15,2,FALSE)*DX$20&lt;0,0,
SUM(SUMIF(防護具!$Y$13:$Y$29,DY$17&amp;$C40,防護具!$Q$13:$Q$29),DX42)-VLOOKUP($C40,$C$3:$D$15,2,FALSE)*DX$20)</f>
        <v>0</v>
      </c>
      <c r="DZ42" s="762">
        <f xml:space="preserve">
IF(
SUM(SUMIF(防護具!$Y$13:$Y$29,DZ$17&amp;$C40,防護具!$Q$13:$Q$29),DY42)-VLOOKUP($C40,$C$3:$D$15,2,FALSE)*DY$20&lt;0,0,
SUM(SUMIF(防護具!$Y$13:$Y$29,DZ$17&amp;$C40,防護具!$Q$13:$Q$29),DY42)-VLOOKUP($C40,$C$3:$D$15,2,FALSE)*DY$20)</f>
        <v>0</v>
      </c>
      <c r="EA42" s="762">
        <f xml:space="preserve">
IF(
SUM(SUMIF(防護具!$Y$13:$Y$29,EA$17&amp;$C40,防護具!$Q$13:$Q$29),DZ42)-VLOOKUP($C40,$C$3:$D$15,2,FALSE)*DZ$20&lt;0,0,
SUM(SUMIF(防護具!$Y$13:$Y$29,EA$17&amp;$C40,防護具!$Q$13:$Q$29),DZ42)-VLOOKUP($C40,$C$3:$D$15,2,FALSE)*DZ$20)</f>
        <v>0</v>
      </c>
      <c r="EB42" s="762">
        <f xml:space="preserve">
IF(
SUM(SUMIF(防護具!$Y$13:$Y$29,EB$17&amp;$C40,防護具!$Q$13:$Q$29),EA42)-VLOOKUP($C40,$C$3:$D$15,2,FALSE)*EA$20&lt;0,0,
SUM(SUMIF(防護具!$Y$13:$Y$29,EB$17&amp;$C40,防護具!$Q$13:$Q$29),EA42)-VLOOKUP($C40,$C$3:$D$15,2,FALSE)*EA$20)</f>
        <v>0</v>
      </c>
      <c r="EC42" s="762">
        <f xml:space="preserve">
IF(
SUM(SUMIF(防護具!$Y$13:$Y$29,EC$17&amp;$C40,防護具!$Q$13:$Q$29),EB42)-VLOOKUP($C40,$C$3:$D$15,2,FALSE)*EB$20&lt;0,0,
SUM(SUMIF(防護具!$Y$13:$Y$29,EC$17&amp;$C40,防護具!$Q$13:$Q$29),EB42)-VLOOKUP($C40,$C$3:$D$15,2,FALSE)*EB$20)</f>
        <v>0</v>
      </c>
      <c r="ED42" s="762">
        <f xml:space="preserve">
IF(
SUM(SUMIF(防護具!$Y$13:$Y$29,ED$17&amp;$C40,防護具!$Q$13:$Q$29),EC42)-VLOOKUP($C40,$C$3:$D$15,2,FALSE)*EC$20&lt;0,0,
SUM(SUMIF(防護具!$Y$13:$Y$29,ED$17&amp;$C40,防護具!$Q$13:$Q$29),EC42)-VLOOKUP($C40,$C$3:$D$15,2,FALSE)*EC$20)</f>
        <v>0</v>
      </c>
      <c r="EE42" s="762">
        <f xml:space="preserve">
IF(
SUM(SUMIF(防護具!$Y$13:$Y$29,EE$17&amp;$C40,防護具!$Q$13:$Q$29),ED42)-VLOOKUP($C40,$C$3:$D$15,2,FALSE)*ED$20&lt;0,0,
SUM(SUMIF(防護具!$Y$13:$Y$29,EE$17&amp;$C40,防護具!$Q$13:$Q$29),ED42)-VLOOKUP($C40,$C$3:$D$15,2,FALSE)*ED$20)</f>
        <v>0</v>
      </c>
      <c r="EF42" s="762">
        <f xml:space="preserve">
IF(
SUM(SUMIF(防護具!$Y$13:$Y$29,EF$17&amp;$C40,防護具!$Q$13:$Q$29),EE42)-VLOOKUP($C40,$C$3:$D$15,2,FALSE)*EE$20&lt;0,0,
SUM(SUMIF(防護具!$Y$13:$Y$29,EF$17&amp;$C40,防護具!$Q$13:$Q$29),EE42)-VLOOKUP($C40,$C$3:$D$15,2,FALSE)*EE$20)</f>
        <v>0</v>
      </c>
      <c r="EG42" s="762">
        <f xml:space="preserve">
IF(
SUM(SUMIF(防護具!$Y$13:$Y$29,EG$17&amp;$C40,防護具!$Q$13:$Q$29),EF42)-VLOOKUP($C40,$C$3:$D$15,2,FALSE)*EF$20&lt;0,0,
SUM(SUMIF(防護具!$Y$13:$Y$29,EG$17&amp;$C40,防護具!$Q$13:$Q$29),EF42)-VLOOKUP($C40,$C$3:$D$15,2,FALSE)*EF$20)</f>
        <v>0</v>
      </c>
      <c r="EH42" s="762">
        <f xml:space="preserve">
IF(
SUM(SUMIF(防護具!$Y$13:$Y$29,EH$17&amp;$C40,防護具!$Q$13:$Q$29),EG42)-VLOOKUP($C40,$C$3:$D$15,2,FALSE)*EG$20&lt;0,0,
SUM(SUMIF(防護具!$Y$13:$Y$29,EH$17&amp;$C40,防護具!$Q$13:$Q$29),EG42)-VLOOKUP($C40,$C$3:$D$15,2,FALSE)*EG$20)</f>
        <v>0</v>
      </c>
      <c r="EI42" s="762">
        <f xml:space="preserve">
IF(
SUM(SUMIF(防護具!$Y$13:$Y$29,EI$17&amp;$C40,防護具!$Q$13:$Q$29),EH42)-VLOOKUP($C40,$C$3:$D$15,2,FALSE)*EH$20&lt;0,0,
SUM(SUMIF(防護具!$Y$13:$Y$29,EI$17&amp;$C40,防護具!$Q$13:$Q$29),EH42)-VLOOKUP($C40,$C$3:$D$15,2,FALSE)*EH$20)</f>
        <v>0</v>
      </c>
      <c r="EJ42" s="762">
        <f xml:space="preserve">
IF(
SUM(SUMIF(防護具!$Y$13:$Y$29,EJ$17&amp;$C40,防護具!$Q$13:$Q$29),EI42)-VLOOKUP($C40,$C$3:$D$15,2,FALSE)*EI$20&lt;0,0,
SUM(SUMIF(防護具!$Y$13:$Y$29,EJ$17&amp;$C40,防護具!$Q$13:$Q$29),EI42)-VLOOKUP($C40,$C$3:$D$15,2,FALSE)*EI$20)</f>
        <v>0</v>
      </c>
      <c r="EK42" s="762">
        <f xml:space="preserve">
IF(
SUM(SUMIF(防護具!$Y$13:$Y$29,EK$17&amp;$C40,防護具!$Q$13:$Q$29),EJ42)-VLOOKUP($C40,$C$3:$D$15,2,FALSE)*EJ$20&lt;0,0,
SUM(SUMIF(防護具!$Y$13:$Y$29,EK$17&amp;$C40,防護具!$Q$13:$Q$29),EJ42)-VLOOKUP($C40,$C$3:$D$15,2,FALSE)*EJ$20)</f>
        <v>0</v>
      </c>
      <c r="EL42" s="762">
        <f xml:space="preserve">
IF(
SUM(SUMIF(防護具!$Y$13:$Y$29,EL$17&amp;$C40,防護具!$Q$13:$Q$29),EK42)-VLOOKUP($C40,$C$3:$D$15,2,FALSE)*EK$20&lt;0,0,
SUM(SUMIF(防護具!$Y$13:$Y$29,EL$17&amp;$C40,防護具!$Q$13:$Q$29),EK42)-VLOOKUP($C40,$C$3:$D$15,2,FALSE)*EK$20)</f>
        <v>0</v>
      </c>
      <c r="EM42" s="762">
        <f xml:space="preserve">
IF(
SUM(SUMIF(防護具!$Y$13:$Y$29,EM$17&amp;$C40,防護具!$Q$13:$Q$29),EL42)-VLOOKUP($C40,$C$3:$D$15,2,FALSE)*EL$20&lt;0,0,
SUM(SUMIF(防護具!$Y$13:$Y$29,EM$17&amp;$C40,防護具!$Q$13:$Q$29),EL42)-VLOOKUP($C40,$C$3:$D$15,2,FALSE)*EL$20)</f>
        <v>0</v>
      </c>
      <c r="EN42" s="762">
        <f xml:space="preserve">
IF(
SUM(SUMIF(防護具!$Y$13:$Y$29,EN$17&amp;$C40,防護具!$Q$13:$Q$29),EM42)-VLOOKUP($C40,$C$3:$D$15,2,FALSE)*EM$20&lt;0,0,
SUM(SUMIF(防護具!$Y$13:$Y$29,EN$17&amp;$C40,防護具!$Q$13:$Q$29),EM42)-VLOOKUP($C40,$C$3:$D$15,2,FALSE)*EM$20)</f>
        <v>0</v>
      </c>
      <c r="EO42" s="762">
        <f xml:space="preserve">
IF(
SUM(SUMIF(防護具!$Y$13:$Y$29,EO$17&amp;$C40,防護具!$Q$13:$Q$29),EN42)-VLOOKUP($C40,$C$3:$D$15,2,FALSE)*EN$20&lt;0,0,
SUM(SUMIF(防護具!$Y$13:$Y$29,EO$17&amp;$C40,防護具!$Q$13:$Q$29),EN42)-VLOOKUP($C40,$C$3:$D$15,2,FALSE)*EN$20)</f>
        <v>0</v>
      </c>
      <c r="EP42" s="762">
        <f xml:space="preserve">
IF(
SUM(SUMIF(防護具!$Y$13:$Y$29,EP$17&amp;$C40,防護具!$Q$13:$Q$29),EO42)-VLOOKUP($C40,$C$3:$D$15,2,FALSE)*EO$20&lt;0,0,
SUM(SUMIF(防護具!$Y$13:$Y$29,EP$17&amp;$C40,防護具!$Q$13:$Q$29),EO42)-VLOOKUP($C40,$C$3:$D$15,2,FALSE)*EO$20)</f>
        <v>0</v>
      </c>
      <c r="EQ42" s="762">
        <f xml:space="preserve">
IF(
SUM(SUMIF(防護具!$Y$13:$Y$29,EQ$17&amp;$C40,防護具!$Q$13:$Q$29),EP42)-VLOOKUP($C40,$C$3:$D$15,2,FALSE)*EP$20&lt;0,0,
SUM(SUMIF(防護具!$Y$13:$Y$29,EQ$17&amp;$C40,防護具!$Q$13:$Q$29),EP42)-VLOOKUP($C40,$C$3:$D$15,2,FALSE)*EP$20)</f>
        <v>0</v>
      </c>
      <c r="ER42" s="762">
        <f xml:space="preserve">
IF(
SUM(SUMIF(防護具!$Y$13:$Y$29,ER$17&amp;$C40,防護具!$Q$13:$Q$29),EQ42)-VLOOKUP($C40,$C$3:$D$15,2,FALSE)*EQ$20&lt;0,0,
SUM(SUMIF(防護具!$Y$13:$Y$29,ER$17&amp;$C40,防護具!$Q$13:$Q$29),EQ42)-VLOOKUP($C40,$C$3:$D$15,2,FALSE)*EQ$20)</f>
        <v>0</v>
      </c>
      <c r="ES42" s="762">
        <f xml:space="preserve">
IF(
SUM(SUMIF(防護具!$Y$13:$Y$29,ES$17&amp;$C40,防護具!$Q$13:$Q$29),ER42)-VLOOKUP($C40,$C$3:$D$15,2,FALSE)*ER$20&lt;0,0,
SUM(SUMIF(防護具!$Y$13:$Y$29,ES$17&amp;$C40,防護具!$Q$13:$Q$29),ER42)-VLOOKUP($C40,$C$3:$D$15,2,FALSE)*ER$20)</f>
        <v>0</v>
      </c>
      <c r="ET42" s="762">
        <f xml:space="preserve">
IF(
SUM(SUMIF(防護具!$Y$13:$Y$29,ET$17&amp;$C40,防護具!$Q$13:$Q$29),ES42)-VLOOKUP($C40,$C$3:$D$15,2,FALSE)*ES$20&lt;0,0,
SUM(SUMIF(防護具!$Y$13:$Y$29,ET$17&amp;$C40,防護具!$Q$13:$Q$29),ES42)-VLOOKUP($C40,$C$3:$D$15,2,FALSE)*ES$20)</f>
        <v>0</v>
      </c>
      <c r="EU42" s="762">
        <f xml:space="preserve">
IF(
SUM(SUMIF(防護具!$Y$13:$Y$29,EU$17&amp;$C40,防護具!$Q$13:$Q$29),ET42)-VLOOKUP($C40,$C$3:$D$15,2,FALSE)*ET$20&lt;0,0,
SUM(SUMIF(防護具!$Y$13:$Y$29,EU$17&amp;$C40,防護具!$Q$13:$Q$29),ET42)-VLOOKUP($C40,$C$3:$D$15,2,FALSE)*ET$20)</f>
        <v>0</v>
      </c>
      <c r="EV42" s="762">
        <f xml:space="preserve">
IF(
SUM(SUMIF(防護具!$Y$13:$Y$29,EV$17&amp;$C40,防護具!$Q$13:$Q$29),EU42)-VLOOKUP($C40,$C$3:$D$15,2,FALSE)*EU$20&lt;0,0,
SUM(SUMIF(防護具!$Y$13:$Y$29,EV$17&amp;$C40,防護具!$Q$13:$Q$29),EU42)-VLOOKUP($C40,$C$3:$D$15,2,FALSE)*EU$20)</f>
        <v>0</v>
      </c>
      <c r="EW42" s="762">
        <f xml:space="preserve">
IF(
SUM(SUMIF(防護具!$Y$13:$Y$29,EW$17&amp;$C40,防護具!$Q$13:$Q$29),EV42)-VLOOKUP($C40,$C$3:$D$15,2,FALSE)*EV$20&lt;0,0,
SUM(SUMIF(防護具!$Y$13:$Y$29,EW$17&amp;$C40,防護具!$Q$13:$Q$29),EV42)-VLOOKUP($C40,$C$3:$D$15,2,FALSE)*EV$20)</f>
        <v>0</v>
      </c>
      <c r="EX42" s="762">
        <f xml:space="preserve">
IF(
SUM(SUMIF(防護具!$Y$13:$Y$29,EX$17&amp;$C40,防護具!$Q$13:$Q$29),EW42)-VLOOKUP($C40,$C$3:$D$15,2,FALSE)*EW$20&lt;0,0,
SUM(SUMIF(防護具!$Y$13:$Y$29,EX$17&amp;$C40,防護具!$Q$13:$Q$29),EW42)-VLOOKUP($C40,$C$3:$D$15,2,FALSE)*EW$20)</f>
        <v>0</v>
      </c>
      <c r="EY42" s="762">
        <f xml:space="preserve">
IF(
SUM(SUMIF(防護具!$Y$13:$Y$29,EY$17&amp;$C40,防護具!$Q$13:$Q$29),EX42)-VLOOKUP($C40,$C$3:$D$15,2,FALSE)*EX$20&lt;0,0,
SUM(SUMIF(防護具!$Y$13:$Y$29,EY$17&amp;$C40,防護具!$Q$13:$Q$29),EX42)-VLOOKUP($C40,$C$3:$D$15,2,FALSE)*EX$20)</f>
        <v>0</v>
      </c>
      <c r="EZ42" s="762">
        <f xml:space="preserve">
IF(
SUM(SUMIF(防護具!$Y$13:$Y$29,EZ$17&amp;$C40,防護具!$Q$13:$Q$29),EY42)-VLOOKUP($C40,$C$3:$D$15,2,FALSE)*EY$20&lt;0,0,
SUM(SUMIF(防護具!$Y$13:$Y$29,EZ$17&amp;$C40,防護具!$Q$13:$Q$29),EY42)-VLOOKUP($C40,$C$3:$D$15,2,FALSE)*EY$20)</f>
        <v>0</v>
      </c>
      <c r="FA42" s="762">
        <f xml:space="preserve">
IF(
SUM(SUMIF(防護具!$Y$13:$Y$29,FA$17&amp;$C40,防護具!$Q$13:$Q$29),EZ42)-VLOOKUP($C40,$C$3:$D$15,2,FALSE)*EZ$20&lt;0,0,
SUM(SUMIF(防護具!$Y$13:$Y$29,FA$17&amp;$C40,防護具!$Q$13:$Q$29),EZ42)-VLOOKUP($C40,$C$3:$D$15,2,FALSE)*EZ$20)</f>
        <v>0</v>
      </c>
      <c r="FB42" s="762">
        <f xml:space="preserve">
IF(
SUM(SUMIF(防護具!$Y$13:$Y$29,FB$17&amp;$C40,防護具!$Q$13:$Q$29),FA42)-VLOOKUP($C40,$C$3:$D$15,2,FALSE)*FA$20&lt;0,0,
SUM(SUMIF(防護具!$Y$13:$Y$29,FB$17&amp;$C40,防護具!$Q$13:$Q$29),FA42)-VLOOKUP($C40,$C$3:$D$15,2,FALSE)*FA$20)</f>
        <v>0</v>
      </c>
      <c r="FC42" s="762">
        <f xml:space="preserve">
IF(
SUM(SUMIF(防護具!$Y$13:$Y$29,FC$17&amp;$C40,防護具!$Q$13:$Q$29),FB42)-VLOOKUP($C40,$C$3:$D$15,2,FALSE)*FB$20&lt;0,0,
SUM(SUMIF(防護具!$Y$13:$Y$29,FC$17&amp;$C40,防護具!$Q$13:$Q$29),FB42)-VLOOKUP($C40,$C$3:$D$15,2,FALSE)*FB$20)</f>
        <v>0</v>
      </c>
      <c r="FD42" s="762">
        <f xml:space="preserve">
IF(
SUM(SUMIF(防護具!$Y$13:$Y$29,FD$17&amp;$C40,防護具!$Q$13:$Q$29),FC42)-VLOOKUP($C40,$C$3:$D$15,2,FALSE)*FC$20&lt;0,0,
SUM(SUMIF(防護具!$Y$13:$Y$29,FD$17&amp;$C40,防護具!$Q$13:$Q$29),FC42)-VLOOKUP($C40,$C$3:$D$15,2,FALSE)*FC$20)</f>
        <v>0</v>
      </c>
      <c r="FE42" s="762">
        <f xml:space="preserve">
IF(
SUM(SUMIF(防護具!$Y$13:$Y$29,FE$17&amp;$C40,防護具!$Q$13:$Q$29),FD42)-VLOOKUP($C40,$C$3:$D$15,2,FALSE)*FD$20&lt;0,0,
SUM(SUMIF(防護具!$Y$13:$Y$29,FE$17&amp;$C40,防護具!$Q$13:$Q$29),FD42)-VLOOKUP($C40,$C$3:$D$15,2,FALSE)*FD$20)</f>
        <v>0</v>
      </c>
      <c r="FF42" s="762">
        <f xml:space="preserve">
IF(
SUM(SUMIF(防護具!$Y$13:$Y$29,FF$17&amp;$C40,防護具!$Q$13:$Q$29),FE42)-VLOOKUP($C40,$C$3:$D$15,2,FALSE)*FE$20&lt;0,0,
SUM(SUMIF(防護具!$Y$13:$Y$29,FF$17&amp;$C40,防護具!$Q$13:$Q$29),FE42)-VLOOKUP($C40,$C$3:$D$15,2,FALSE)*FE$20)</f>
        <v>0</v>
      </c>
      <c r="FG42" s="762">
        <f xml:space="preserve">
IF(
SUM(SUMIF(防護具!$Y$13:$Y$29,FG$17&amp;$C40,防護具!$Q$13:$Q$29),FF42)-VLOOKUP($C40,$C$3:$D$15,2,FALSE)*FF$20&lt;0,0,
SUM(SUMIF(防護具!$Y$13:$Y$29,FG$17&amp;$C40,防護具!$Q$13:$Q$29),FF42)-VLOOKUP($C40,$C$3:$D$15,2,FALSE)*FF$20)</f>
        <v>0</v>
      </c>
      <c r="FH42" s="762">
        <f xml:space="preserve">
IF(
SUM(SUMIF(防護具!$Y$13:$Y$29,FH$17&amp;$C40,防護具!$Q$13:$Q$29),FG42)-VLOOKUP($C40,$C$3:$D$15,2,FALSE)*FG$20&lt;0,0,
SUM(SUMIF(防護具!$Y$13:$Y$29,FH$17&amp;$C40,防護具!$Q$13:$Q$29),FG42)-VLOOKUP($C40,$C$3:$D$15,2,FALSE)*FG$20)</f>
        <v>0</v>
      </c>
      <c r="FI42" s="762">
        <f xml:space="preserve">
IF(
SUM(SUMIF(防護具!$Y$13:$Y$29,FI$17&amp;$C40,防護具!$Q$13:$Q$29),FH42)-VLOOKUP($C40,$C$3:$D$15,2,FALSE)*FH$20&lt;0,0,
SUM(SUMIF(防護具!$Y$13:$Y$29,FI$17&amp;$C40,防護具!$Q$13:$Q$29),FH42)-VLOOKUP($C40,$C$3:$D$15,2,FALSE)*FH$20)</f>
        <v>0</v>
      </c>
      <c r="FJ42" s="762">
        <f xml:space="preserve">
IF(
SUM(SUMIF(防護具!$Y$13:$Y$29,FJ$17&amp;$C40,防護具!$Q$13:$Q$29),FI42)-VLOOKUP($C40,$C$3:$D$15,2,FALSE)*FI$20&lt;0,0,
SUM(SUMIF(防護具!$Y$13:$Y$29,FJ$17&amp;$C40,防護具!$Q$13:$Q$29),FI42)-VLOOKUP($C40,$C$3:$D$15,2,FALSE)*FI$20)</f>
        <v>0</v>
      </c>
      <c r="FK42" s="762">
        <f xml:space="preserve">
IF(
SUM(SUMIF(防護具!$Y$13:$Y$29,FK$17&amp;$C40,防護具!$Q$13:$Q$29),FJ42)-VLOOKUP($C40,$C$3:$D$15,2,FALSE)*FJ$20&lt;0,0,
SUM(SUMIF(防護具!$Y$13:$Y$29,FK$17&amp;$C40,防護具!$Q$13:$Q$29),FJ42)-VLOOKUP($C40,$C$3:$D$15,2,FALSE)*FJ$20)</f>
        <v>0</v>
      </c>
      <c r="FL42" s="762">
        <f xml:space="preserve">
IF(
SUM(SUMIF(防護具!$Y$13:$Y$29,FL$17&amp;$C40,防護具!$Q$13:$Q$29),FK42)-VLOOKUP($C40,$C$3:$D$15,2,FALSE)*FK$20&lt;0,0,
SUM(SUMIF(防護具!$Y$13:$Y$29,FL$17&amp;$C40,防護具!$Q$13:$Q$29),FK42)-VLOOKUP($C40,$C$3:$D$15,2,FALSE)*FK$20)</f>
        <v>0</v>
      </c>
      <c r="FM42" s="762">
        <f xml:space="preserve">
IF(
SUM(SUMIF(防護具!$Y$13:$Y$29,FM$17&amp;$C40,防護具!$Q$13:$Q$29),FL42)-VLOOKUP($C40,$C$3:$D$15,2,FALSE)*FL$20&lt;0,0,
SUM(SUMIF(防護具!$Y$13:$Y$29,FM$17&amp;$C40,防護具!$Q$13:$Q$29),FL42)-VLOOKUP($C40,$C$3:$D$15,2,FALSE)*FL$20)</f>
        <v>0</v>
      </c>
      <c r="FN42" s="762">
        <f xml:space="preserve">
IF(
SUM(SUMIF(防護具!$Y$13:$Y$29,FN$17&amp;$C40,防護具!$Q$13:$Q$29),FM42)-VLOOKUP($C40,$C$3:$D$15,2,FALSE)*FM$20&lt;0,0,
SUM(SUMIF(防護具!$Y$13:$Y$29,FN$17&amp;$C40,防護具!$Q$13:$Q$29),FM42)-VLOOKUP($C40,$C$3:$D$15,2,FALSE)*FM$20)</f>
        <v>0</v>
      </c>
      <c r="FO42" s="762">
        <f xml:space="preserve">
IF(
SUM(SUMIF(防護具!$Y$13:$Y$29,FO$17&amp;$C40,防護具!$Q$13:$Q$29),FN42)-VLOOKUP($C40,$C$3:$D$15,2,FALSE)*FN$20&lt;0,0,
SUM(SUMIF(防護具!$Y$13:$Y$29,FO$17&amp;$C40,防護具!$Q$13:$Q$29),FN42)-VLOOKUP($C40,$C$3:$D$15,2,FALSE)*FN$20)</f>
        <v>0</v>
      </c>
      <c r="FP42" s="762">
        <f xml:space="preserve">
IF(
SUM(SUMIF(防護具!$Y$13:$Y$29,FP$17&amp;$C40,防護具!$Q$13:$Q$29),FO42)-VLOOKUP($C40,$C$3:$D$15,2,FALSE)*FO$20&lt;0,0,
SUM(SUMIF(防護具!$Y$13:$Y$29,FP$17&amp;$C40,防護具!$Q$13:$Q$29),FO42)-VLOOKUP($C40,$C$3:$D$15,2,FALSE)*FO$20)</f>
        <v>0</v>
      </c>
      <c r="FQ42" s="762">
        <f xml:space="preserve">
IF(
SUM(SUMIF(防護具!$Y$13:$Y$29,FQ$17&amp;$C40,防護具!$Q$13:$Q$29),FP42)-VLOOKUP($C40,$C$3:$D$15,2,FALSE)*FP$20&lt;0,0,
SUM(SUMIF(防護具!$Y$13:$Y$29,FQ$17&amp;$C40,防護具!$Q$13:$Q$29),FP42)-VLOOKUP($C40,$C$3:$D$15,2,FALSE)*FP$20)</f>
        <v>0</v>
      </c>
      <c r="FR42" s="762">
        <f xml:space="preserve">
IF(
SUM(SUMIF(防護具!$Y$13:$Y$29,FR$17&amp;$C40,防護具!$Q$13:$Q$29),FQ42)-VLOOKUP($C40,$C$3:$D$15,2,FALSE)*FQ$20&lt;0,0,
SUM(SUMIF(防護具!$Y$13:$Y$29,FR$17&amp;$C40,防護具!$Q$13:$Q$29),FQ42)-VLOOKUP($C40,$C$3:$D$15,2,FALSE)*FQ$20)</f>
        <v>0</v>
      </c>
      <c r="FS42" s="762">
        <f xml:space="preserve">
IF(
SUM(SUMIF(防護具!$Y$13:$Y$29,FS$17&amp;$C40,防護具!$Q$13:$Q$29),FR42)-VLOOKUP($C40,$C$3:$D$15,2,FALSE)*FR$20&lt;0,0,
SUM(SUMIF(防護具!$Y$13:$Y$29,FS$17&amp;$C40,防護具!$Q$13:$Q$29),FR42)-VLOOKUP($C40,$C$3:$D$15,2,FALSE)*FR$20)</f>
        <v>0</v>
      </c>
      <c r="FT42" s="762">
        <f xml:space="preserve">
IF(
SUM(SUMIF(防護具!$Y$13:$Y$29,FT$17&amp;$C40,防護具!$Q$13:$Q$29),FS42)-VLOOKUP($C40,$C$3:$D$15,2,FALSE)*FS$20&lt;0,0,
SUM(SUMIF(防護具!$Y$13:$Y$29,FT$17&amp;$C40,防護具!$Q$13:$Q$29),FS42)-VLOOKUP($C40,$C$3:$D$15,2,FALSE)*FS$20)</f>
        <v>0</v>
      </c>
      <c r="FU42" s="762">
        <f xml:space="preserve">
IF(
SUM(SUMIF(防護具!$Y$13:$Y$29,FU$17&amp;$C40,防護具!$Q$13:$Q$29),FT42)-VLOOKUP($C40,$C$3:$D$15,2,FALSE)*FT$20&lt;0,0,
SUM(SUMIF(防護具!$Y$13:$Y$29,FU$17&amp;$C40,防護具!$Q$13:$Q$29),FT42)-VLOOKUP($C40,$C$3:$D$15,2,FALSE)*FT$20)</f>
        <v>0</v>
      </c>
      <c r="FV42" s="762">
        <f xml:space="preserve">
IF(
SUM(SUMIF(防護具!$Y$13:$Y$29,FV$17&amp;$C40,防護具!$Q$13:$Q$29),FU42)-VLOOKUP($C40,$C$3:$D$15,2,FALSE)*FU$20&lt;0,0,
SUM(SUMIF(防護具!$Y$13:$Y$29,FV$17&amp;$C40,防護具!$Q$13:$Q$29),FU42)-VLOOKUP($C40,$C$3:$D$15,2,FALSE)*FU$20)</f>
        <v>0</v>
      </c>
      <c r="FW42" s="762">
        <f xml:space="preserve">
IF(
SUM(SUMIF(防護具!$Y$13:$Y$29,FW$17&amp;$C40,防護具!$Q$13:$Q$29),FV42)-VLOOKUP($C40,$C$3:$D$15,2,FALSE)*FV$20&lt;0,0,
SUM(SUMIF(防護具!$Y$13:$Y$29,FW$17&amp;$C40,防護具!$Q$13:$Q$29),FV42)-VLOOKUP($C40,$C$3:$D$15,2,FALSE)*FV$20)</f>
        <v>0</v>
      </c>
      <c r="FX42" s="762">
        <f xml:space="preserve">
IF(
SUM(SUMIF(防護具!$Y$13:$Y$29,FX$17&amp;$C40,防護具!$Q$13:$Q$29),FW42)-VLOOKUP($C40,$C$3:$D$15,2,FALSE)*FW$20&lt;0,0,
SUM(SUMIF(防護具!$Y$13:$Y$29,FX$17&amp;$C40,防護具!$Q$13:$Q$29),FW42)-VLOOKUP($C40,$C$3:$D$15,2,FALSE)*FW$20)</f>
        <v>0</v>
      </c>
      <c r="FY42" s="762">
        <f xml:space="preserve">
IF(
SUM(SUMIF(防護具!$Y$13:$Y$29,FY$17&amp;$C40,防護具!$Q$13:$Q$29),FX42)-VLOOKUP($C40,$C$3:$D$15,2,FALSE)*FX$20&lt;0,0,
SUM(SUMIF(防護具!$Y$13:$Y$29,FY$17&amp;$C40,防護具!$Q$13:$Q$29),FX42)-VLOOKUP($C40,$C$3:$D$15,2,FALSE)*FX$20)</f>
        <v>0</v>
      </c>
      <c r="FZ42" s="762">
        <f xml:space="preserve">
IF(
SUM(SUMIF(防護具!$Y$13:$Y$29,FZ$17&amp;$C40,防護具!$Q$13:$Q$29),FY42)-VLOOKUP($C40,$C$3:$D$15,2,FALSE)*FY$20&lt;0,0,
SUM(SUMIF(防護具!$Y$13:$Y$29,FZ$17&amp;$C40,防護具!$Q$13:$Q$29),FY42)-VLOOKUP($C40,$C$3:$D$15,2,FALSE)*FY$20)</f>
        <v>0</v>
      </c>
      <c r="GA42" s="762">
        <f xml:space="preserve">
IF(
SUM(SUMIF(防護具!$Y$13:$Y$29,GA$17&amp;$C40,防護具!$Q$13:$Q$29),FZ42)-VLOOKUP($C40,$C$3:$D$15,2,FALSE)*FZ$20&lt;0,0,
SUM(SUMIF(防護具!$Y$13:$Y$29,GA$17&amp;$C40,防護具!$Q$13:$Q$29),FZ42)-VLOOKUP($C40,$C$3:$D$15,2,FALSE)*FZ$20)</f>
        <v>0</v>
      </c>
      <c r="GB42" s="762">
        <f xml:space="preserve">
IF(
SUM(SUMIF(防護具!$Y$13:$Y$29,GB$17&amp;$C40,防護具!$Q$13:$Q$29),GA42)-VLOOKUP($C40,$C$3:$D$15,2,FALSE)*GA$20&lt;0,0,
SUM(SUMIF(防護具!$Y$13:$Y$29,GB$17&amp;$C40,防護具!$Q$13:$Q$29),GA42)-VLOOKUP($C40,$C$3:$D$15,2,FALSE)*GA$20)</f>
        <v>0</v>
      </c>
      <c r="GC42" s="762">
        <f xml:space="preserve">
IF(
SUM(SUMIF(防護具!$Y$13:$Y$29,GC$17&amp;$C40,防護具!$Q$13:$Q$29),GB42)-VLOOKUP($C40,$C$3:$D$15,2,FALSE)*GB$20&lt;0,0,
SUM(SUMIF(防護具!$Y$13:$Y$29,GC$17&amp;$C40,防護具!$Q$13:$Q$29),GB42)-VLOOKUP($C40,$C$3:$D$15,2,FALSE)*GB$20)</f>
        <v>0</v>
      </c>
      <c r="GD42" s="762">
        <f xml:space="preserve">
IF(
SUM(SUMIF(防護具!$Y$13:$Y$29,GD$17&amp;$C40,防護具!$Q$13:$Q$29),GC42)-VLOOKUP($C40,$C$3:$D$15,2,FALSE)*GC$20&lt;0,0,
SUM(SUMIF(防護具!$Y$13:$Y$29,GD$17&amp;$C40,防護具!$Q$13:$Q$29),GC42)-VLOOKUP($C40,$C$3:$D$15,2,FALSE)*GC$20)</f>
        <v>0</v>
      </c>
      <c r="GE42" s="762">
        <f xml:space="preserve">
IF(
SUM(SUMIF(防護具!$Y$13:$Y$29,GE$17&amp;$C40,防護具!$Q$13:$Q$29),GD42)-VLOOKUP($C40,$C$3:$D$15,2,FALSE)*GD$20&lt;0,0,
SUM(SUMIF(防護具!$Y$13:$Y$29,GE$17&amp;$C40,防護具!$Q$13:$Q$29),GD42)-VLOOKUP($C40,$C$3:$D$15,2,FALSE)*GD$20)</f>
        <v>0</v>
      </c>
      <c r="GF42" s="762">
        <f xml:space="preserve">
IF(
SUM(SUMIF(防護具!$Y$13:$Y$29,GF$17&amp;$C40,防護具!$Q$13:$Q$29),GE42)-VLOOKUP($C40,$C$3:$D$15,2,FALSE)*GE$20&lt;0,0,
SUM(SUMIF(防護具!$Y$13:$Y$29,GF$17&amp;$C40,防護具!$Q$13:$Q$29),GE42)-VLOOKUP($C40,$C$3:$D$15,2,FALSE)*GE$20)</f>
        <v>0</v>
      </c>
      <c r="GG42" s="762">
        <f xml:space="preserve">
IF(
SUM(SUMIF(防護具!$Y$13:$Y$29,GG$17&amp;$C40,防護具!$Q$13:$Q$29),GF42)-VLOOKUP($C40,$C$3:$D$15,2,FALSE)*GF$20&lt;0,0,
SUM(SUMIF(防護具!$Y$13:$Y$29,GG$17&amp;$C40,防護具!$Q$13:$Q$29),GF42)-VLOOKUP($C40,$C$3:$D$15,2,FALSE)*GF$20)</f>
        <v>0</v>
      </c>
      <c r="GH42" s="762">
        <f xml:space="preserve">
IF(
SUM(SUMIF(防護具!$Y$13:$Y$29,GH$17&amp;$C40,防護具!$Q$13:$Q$29),GG42)-VLOOKUP($C40,$C$3:$D$15,2,FALSE)*GG$20&lt;0,0,
SUM(SUMIF(防護具!$Y$13:$Y$29,GH$17&amp;$C40,防護具!$Q$13:$Q$29),GG42)-VLOOKUP($C40,$C$3:$D$15,2,FALSE)*GG$20)</f>
        <v>0</v>
      </c>
      <c r="GI42" s="762">
        <f xml:space="preserve">
IF(
SUM(SUMIF(防護具!$Y$13:$Y$29,GI$17&amp;$C40,防護具!$Q$13:$Q$29),GH42)-VLOOKUP($C40,$C$3:$D$15,2,FALSE)*GH$20&lt;0,0,
SUM(SUMIF(防護具!$Y$13:$Y$29,GI$17&amp;$C40,防護具!$Q$13:$Q$29),GH42)-VLOOKUP($C40,$C$3:$D$15,2,FALSE)*GH$20)</f>
        <v>0</v>
      </c>
      <c r="GJ42" s="762">
        <f xml:space="preserve">
IF(
SUM(SUMIF(防護具!$Y$13:$Y$29,GJ$17&amp;$C40,防護具!$Q$13:$Q$29),GI42)-VLOOKUP($C40,$C$3:$D$15,2,FALSE)*GI$20&lt;0,0,
SUM(SUMIF(防護具!$Y$13:$Y$29,GJ$17&amp;$C40,防護具!$Q$13:$Q$29),GI42)-VLOOKUP($C40,$C$3:$D$15,2,FALSE)*GI$20)</f>
        <v>0</v>
      </c>
    </row>
    <row r="43" spans="2:192" s="627" customFormat="1">
      <c r="B43" s="631"/>
      <c r="C43" s="626" t="s">
        <v>475</v>
      </c>
      <c r="D43" s="702" t="s">
        <v>1423</v>
      </c>
      <c r="E43" s="707"/>
      <c r="F43" s="654"/>
      <c r="G43" s="763">
        <f xml:space="preserve">
MIN(G44,
IF((VLOOKUP($C43,$C$3:$D$15,2,FALSE)*G$20-G45)&lt;0,0,VLOOKUP($C43,$C$3:$D$15,2,FALSE)*G$20-G45))</f>
        <v>0</v>
      </c>
      <c r="H43" s="763">
        <f xml:space="preserve">
IF(G45&gt;=VLOOKUP($C43,$C$3:$D$15,2,FALSE)*H$20,0,
IF(AND(G45&lt;VLOOKUP($C43,$C$3:$D$15,2,FALSE)*H$20,H44&lt;=VLOOKUP($C43,$C$3:$D$15,2,FALSE)*H$20),IF(H44-G45&lt;0,0,H44-G45),
IF(AND(G45&lt;VLOOKUP($C43,$C$3:$D$15,2,FALSE)*H$20,H44&gt;VLOOKUP($C43,$C$3:$D$15,2,FALSE)*H$20),VLOOKUP($C43,$C$3:$D$15,2,FALSE)*H$20-G45)))</f>
        <v>0</v>
      </c>
      <c r="I43" s="763">
        <f t="shared" ref="I43:P43" si="1359" xml:space="preserve">
IF(H45&gt;=VLOOKUP($C43,$C$3:$D$15,2,FALSE)*I$20,0,
IF(AND(H45&lt;VLOOKUP($C43,$C$3:$D$15,2,FALSE)*I$20,I44&lt;=VLOOKUP($C43,$C$3:$D$15,2,FALSE)*I$20),IF(I44-H45&lt;0,0,I44-H45),
IF(AND(H45&lt;VLOOKUP($C43,$C$3:$D$15,2,FALSE)*I$20,I44&gt;VLOOKUP($C43,$C$3:$D$15,2,FALSE)*I$20),VLOOKUP($C43,$C$3:$D$15,2,FALSE)*I$20-H45)))</f>
        <v>0</v>
      </c>
      <c r="J43" s="763">
        <f t="shared" si="1359"/>
        <v>0</v>
      </c>
      <c r="K43" s="763">
        <f t="shared" si="1359"/>
        <v>0</v>
      </c>
      <c r="L43" s="763">
        <f t="shared" si="1359"/>
        <v>0</v>
      </c>
      <c r="M43" s="763">
        <f t="shared" si="1359"/>
        <v>0</v>
      </c>
      <c r="N43" s="763">
        <f t="shared" si="1359"/>
        <v>0</v>
      </c>
      <c r="O43" s="763">
        <f t="shared" si="1359"/>
        <v>0</v>
      </c>
      <c r="P43" s="763">
        <f t="shared" si="1359"/>
        <v>0</v>
      </c>
      <c r="Q43" s="763">
        <f t="shared" ref="Q43" si="1360" xml:space="preserve">
IF(P45&gt;=VLOOKUP($C43,$C$3:$D$15,2,FALSE)*Q$20,0,
IF(AND(P45&lt;VLOOKUP($C43,$C$3:$D$15,2,FALSE)*Q$20,Q44&lt;=VLOOKUP($C43,$C$3:$D$15,2,FALSE)*Q$20),IF(Q44-P45&lt;0,0,Q44-P45),
IF(AND(P45&lt;VLOOKUP($C43,$C$3:$D$15,2,FALSE)*Q$20,Q44&gt;VLOOKUP($C43,$C$3:$D$15,2,FALSE)*Q$20),VLOOKUP($C43,$C$3:$D$15,2,FALSE)*Q$20-P45)))</f>
        <v>0</v>
      </c>
      <c r="R43" s="763">
        <f t="shared" ref="R43" si="1361" xml:space="preserve">
IF(Q45&gt;=VLOOKUP($C43,$C$3:$D$15,2,FALSE)*R$20,0,
IF(AND(Q45&lt;VLOOKUP($C43,$C$3:$D$15,2,FALSE)*R$20,R44&lt;=VLOOKUP($C43,$C$3:$D$15,2,FALSE)*R$20),IF(R44-Q45&lt;0,0,R44-Q45),
IF(AND(Q45&lt;VLOOKUP($C43,$C$3:$D$15,2,FALSE)*R$20,R44&gt;VLOOKUP($C43,$C$3:$D$15,2,FALSE)*R$20),VLOOKUP($C43,$C$3:$D$15,2,FALSE)*R$20-Q45)))</f>
        <v>0</v>
      </c>
      <c r="S43" s="763">
        <f t="shared" ref="S43" si="1362" xml:space="preserve">
IF(R45&gt;=VLOOKUP($C43,$C$3:$D$15,2,FALSE)*S$20,0,
IF(AND(R45&lt;VLOOKUP($C43,$C$3:$D$15,2,FALSE)*S$20,S44&lt;=VLOOKUP($C43,$C$3:$D$15,2,FALSE)*S$20),IF(S44-R45&lt;0,0,S44-R45),
IF(AND(R45&lt;VLOOKUP($C43,$C$3:$D$15,2,FALSE)*S$20,S44&gt;VLOOKUP($C43,$C$3:$D$15,2,FALSE)*S$20),VLOOKUP($C43,$C$3:$D$15,2,FALSE)*S$20-R45)))</f>
        <v>0</v>
      </c>
      <c r="T43" s="763">
        <f t="shared" ref="T43" si="1363" xml:space="preserve">
IF(S45&gt;=VLOOKUP($C43,$C$3:$D$15,2,FALSE)*T$20,0,
IF(AND(S45&lt;VLOOKUP($C43,$C$3:$D$15,2,FALSE)*T$20,T44&lt;=VLOOKUP($C43,$C$3:$D$15,2,FALSE)*T$20),IF(T44-S45&lt;0,0,T44-S45),
IF(AND(S45&lt;VLOOKUP($C43,$C$3:$D$15,2,FALSE)*T$20,T44&gt;VLOOKUP($C43,$C$3:$D$15,2,FALSE)*T$20),VLOOKUP($C43,$C$3:$D$15,2,FALSE)*T$20-S45)))</f>
        <v>0</v>
      </c>
      <c r="U43" s="763">
        <f t="shared" ref="U43" si="1364" xml:space="preserve">
IF(T45&gt;=VLOOKUP($C43,$C$3:$D$15,2,FALSE)*U$20,0,
IF(AND(T45&lt;VLOOKUP($C43,$C$3:$D$15,2,FALSE)*U$20,U44&lt;=VLOOKUP($C43,$C$3:$D$15,2,FALSE)*U$20),IF(U44-T45&lt;0,0,U44-T45),
IF(AND(T45&lt;VLOOKUP($C43,$C$3:$D$15,2,FALSE)*U$20,U44&gt;VLOOKUP($C43,$C$3:$D$15,2,FALSE)*U$20),VLOOKUP($C43,$C$3:$D$15,2,FALSE)*U$20-T45)))</f>
        <v>0</v>
      </c>
      <c r="V43" s="763">
        <f t="shared" ref="V43" si="1365" xml:space="preserve">
IF(U45&gt;=VLOOKUP($C43,$C$3:$D$15,2,FALSE)*V$20,0,
IF(AND(U45&lt;VLOOKUP($C43,$C$3:$D$15,2,FALSE)*V$20,V44&lt;=VLOOKUP($C43,$C$3:$D$15,2,FALSE)*V$20),IF(V44-U45&lt;0,0,V44-U45),
IF(AND(U45&lt;VLOOKUP($C43,$C$3:$D$15,2,FALSE)*V$20,V44&gt;VLOOKUP($C43,$C$3:$D$15,2,FALSE)*V$20),VLOOKUP($C43,$C$3:$D$15,2,FALSE)*V$20-U45)))</f>
        <v>0</v>
      </c>
      <c r="W43" s="763">
        <f t="shared" ref="W43" si="1366" xml:space="preserve">
IF(V45&gt;=VLOOKUP($C43,$C$3:$D$15,2,FALSE)*W$20,0,
IF(AND(V45&lt;VLOOKUP($C43,$C$3:$D$15,2,FALSE)*W$20,W44&lt;=VLOOKUP($C43,$C$3:$D$15,2,FALSE)*W$20),IF(W44-V45&lt;0,0,W44-V45),
IF(AND(V45&lt;VLOOKUP($C43,$C$3:$D$15,2,FALSE)*W$20,W44&gt;VLOOKUP($C43,$C$3:$D$15,2,FALSE)*W$20),VLOOKUP($C43,$C$3:$D$15,2,FALSE)*W$20-V45)))</f>
        <v>0</v>
      </c>
      <c r="X43" s="763">
        <f t="shared" ref="X43" si="1367" xml:space="preserve">
IF(W45&gt;=VLOOKUP($C43,$C$3:$D$15,2,FALSE)*X$20,0,
IF(AND(W45&lt;VLOOKUP($C43,$C$3:$D$15,2,FALSE)*X$20,X44&lt;=VLOOKUP($C43,$C$3:$D$15,2,FALSE)*X$20),IF(X44-W45&lt;0,0,X44-W45),
IF(AND(W45&lt;VLOOKUP($C43,$C$3:$D$15,2,FALSE)*X$20,X44&gt;VLOOKUP($C43,$C$3:$D$15,2,FALSE)*X$20),VLOOKUP($C43,$C$3:$D$15,2,FALSE)*X$20-W45)))</f>
        <v>0</v>
      </c>
      <c r="Y43" s="763">
        <f t="shared" ref="Y43" si="1368" xml:space="preserve">
IF(X45&gt;=VLOOKUP($C43,$C$3:$D$15,2,FALSE)*Y$20,0,
IF(AND(X45&lt;VLOOKUP($C43,$C$3:$D$15,2,FALSE)*Y$20,Y44&lt;=VLOOKUP($C43,$C$3:$D$15,2,FALSE)*Y$20),IF(Y44-X45&lt;0,0,Y44-X45),
IF(AND(X45&lt;VLOOKUP($C43,$C$3:$D$15,2,FALSE)*Y$20,Y44&gt;VLOOKUP($C43,$C$3:$D$15,2,FALSE)*Y$20),VLOOKUP($C43,$C$3:$D$15,2,FALSE)*Y$20-X45)))</f>
        <v>0</v>
      </c>
      <c r="Z43" s="763">
        <f t="shared" ref="Z43" si="1369" xml:space="preserve">
IF(Y45&gt;=VLOOKUP($C43,$C$3:$D$15,2,FALSE)*Z$20,0,
IF(AND(Y45&lt;VLOOKUP($C43,$C$3:$D$15,2,FALSE)*Z$20,Z44&lt;=VLOOKUP($C43,$C$3:$D$15,2,FALSE)*Z$20),IF(Z44-Y45&lt;0,0,Z44-Y45),
IF(AND(Y45&lt;VLOOKUP($C43,$C$3:$D$15,2,FALSE)*Z$20,Z44&gt;VLOOKUP($C43,$C$3:$D$15,2,FALSE)*Z$20),VLOOKUP($C43,$C$3:$D$15,2,FALSE)*Z$20-Y45)))</f>
        <v>0</v>
      </c>
      <c r="AA43" s="763">
        <f t="shared" ref="AA43" si="1370" xml:space="preserve">
IF(Z45&gt;=VLOOKUP($C43,$C$3:$D$15,2,FALSE)*AA$20,0,
IF(AND(Z45&lt;VLOOKUP($C43,$C$3:$D$15,2,FALSE)*AA$20,AA44&lt;=VLOOKUP($C43,$C$3:$D$15,2,FALSE)*AA$20),IF(AA44-Z45&lt;0,0,AA44-Z45),
IF(AND(Z45&lt;VLOOKUP($C43,$C$3:$D$15,2,FALSE)*AA$20,AA44&gt;VLOOKUP($C43,$C$3:$D$15,2,FALSE)*AA$20),VLOOKUP($C43,$C$3:$D$15,2,FALSE)*AA$20-Z45)))</f>
        <v>0</v>
      </c>
      <c r="AB43" s="763">
        <f t="shared" ref="AB43" si="1371" xml:space="preserve">
IF(AA45&gt;=VLOOKUP($C43,$C$3:$D$15,2,FALSE)*AB$20,0,
IF(AND(AA45&lt;VLOOKUP($C43,$C$3:$D$15,2,FALSE)*AB$20,AB44&lt;=VLOOKUP($C43,$C$3:$D$15,2,FALSE)*AB$20),IF(AB44-AA45&lt;0,0,AB44-AA45),
IF(AND(AA45&lt;VLOOKUP($C43,$C$3:$D$15,2,FALSE)*AB$20,AB44&gt;VLOOKUP($C43,$C$3:$D$15,2,FALSE)*AB$20),VLOOKUP($C43,$C$3:$D$15,2,FALSE)*AB$20-AA45)))</f>
        <v>0</v>
      </c>
      <c r="AC43" s="763">
        <f t="shared" ref="AC43" si="1372" xml:space="preserve">
IF(AB45&gt;=VLOOKUP($C43,$C$3:$D$15,2,FALSE)*AC$20,0,
IF(AND(AB45&lt;VLOOKUP($C43,$C$3:$D$15,2,FALSE)*AC$20,AC44&lt;=VLOOKUP($C43,$C$3:$D$15,2,FALSE)*AC$20),IF(AC44-AB45&lt;0,0,AC44-AB45),
IF(AND(AB45&lt;VLOOKUP($C43,$C$3:$D$15,2,FALSE)*AC$20,AC44&gt;VLOOKUP($C43,$C$3:$D$15,2,FALSE)*AC$20),VLOOKUP($C43,$C$3:$D$15,2,FALSE)*AC$20-AB45)))</f>
        <v>0</v>
      </c>
      <c r="AD43" s="763">
        <f t="shared" ref="AD43" si="1373" xml:space="preserve">
IF(AC45&gt;=VLOOKUP($C43,$C$3:$D$15,2,FALSE)*AD$20,0,
IF(AND(AC45&lt;VLOOKUP($C43,$C$3:$D$15,2,FALSE)*AD$20,AD44&lt;=VLOOKUP($C43,$C$3:$D$15,2,FALSE)*AD$20),IF(AD44-AC45&lt;0,0,AD44-AC45),
IF(AND(AC45&lt;VLOOKUP($C43,$C$3:$D$15,2,FALSE)*AD$20,AD44&gt;VLOOKUP($C43,$C$3:$D$15,2,FALSE)*AD$20),VLOOKUP($C43,$C$3:$D$15,2,FALSE)*AD$20-AC45)))</f>
        <v>0</v>
      </c>
      <c r="AE43" s="763">
        <f t="shared" ref="AE43" si="1374" xml:space="preserve">
IF(AD45&gt;=VLOOKUP($C43,$C$3:$D$15,2,FALSE)*AE$20,0,
IF(AND(AD45&lt;VLOOKUP($C43,$C$3:$D$15,2,FALSE)*AE$20,AE44&lt;=VLOOKUP($C43,$C$3:$D$15,2,FALSE)*AE$20),IF(AE44-AD45&lt;0,0,AE44-AD45),
IF(AND(AD45&lt;VLOOKUP($C43,$C$3:$D$15,2,FALSE)*AE$20,AE44&gt;VLOOKUP($C43,$C$3:$D$15,2,FALSE)*AE$20),VLOOKUP($C43,$C$3:$D$15,2,FALSE)*AE$20-AD45)))</f>
        <v>0</v>
      </c>
      <c r="AF43" s="763">
        <f t="shared" ref="AF43" si="1375" xml:space="preserve">
IF(AE45&gt;=VLOOKUP($C43,$C$3:$D$15,2,FALSE)*AF$20,0,
IF(AND(AE45&lt;VLOOKUP($C43,$C$3:$D$15,2,FALSE)*AF$20,AF44&lt;=VLOOKUP($C43,$C$3:$D$15,2,FALSE)*AF$20),IF(AF44-AE45&lt;0,0,AF44-AE45),
IF(AND(AE45&lt;VLOOKUP($C43,$C$3:$D$15,2,FALSE)*AF$20,AF44&gt;VLOOKUP($C43,$C$3:$D$15,2,FALSE)*AF$20),VLOOKUP($C43,$C$3:$D$15,2,FALSE)*AF$20-AE45)))</f>
        <v>0</v>
      </c>
      <c r="AG43" s="763">
        <f t="shared" ref="AG43" si="1376" xml:space="preserve">
IF(AF45&gt;=VLOOKUP($C43,$C$3:$D$15,2,FALSE)*AG$20,0,
IF(AND(AF45&lt;VLOOKUP($C43,$C$3:$D$15,2,FALSE)*AG$20,AG44&lt;=VLOOKUP($C43,$C$3:$D$15,2,FALSE)*AG$20),IF(AG44-AF45&lt;0,0,AG44-AF45),
IF(AND(AF45&lt;VLOOKUP($C43,$C$3:$D$15,2,FALSE)*AG$20,AG44&gt;VLOOKUP($C43,$C$3:$D$15,2,FALSE)*AG$20),VLOOKUP($C43,$C$3:$D$15,2,FALSE)*AG$20-AF45)))</f>
        <v>0</v>
      </c>
      <c r="AH43" s="763">
        <f t="shared" ref="AH43" si="1377" xml:space="preserve">
IF(AG45&gt;=VLOOKUP($C43,$C$3:$D$15,2,FALSE)*AH$20,0,
IF(AND(AG45&lt;VLOOKUP($C43,$C$3:$D$15,2,FALSE)*AH$20,AH44&lt;=VLOOKUP($C43,$C$3:$D$15,2,FALSE)*AH$20),IF(AH44-AG45&lt;0,0,AH44-AG45),
IF(AND(AG45&lt;VLOOKUP($C43,$C$3:$D$15,2,FALSE)*AH$20,AH44&gt;VLOOKUP($C43,$C$3:$D$15,2,FALSE)*AH$20),VLOOKUP($C43,$C$3:$D$15,2,FALSE)*AH$20-AG45)))</f>
        <v>0</v>
      </c>
      <c r="AI43" s="763">
        <f t="shared" ref="AI43" si="1378" xml:space="preserve">
IF(AH45&gt;=VLOOKUP($C43,$C$3:$D$15,2,FALSE)*AI$20,0,
IF(AND(AH45&lt;VLOOKUP($C43,$C$3:$D$15,2,FALSE)*AI$20,AI44&lt;=VLOOKUP($C43,$C$3:$D$15,2,FALSE)*AI$20),IF(AI44-AH45&lt;0,0,AI44-AH45),
IF(AND(AH45&lt;VLOOKUP($C43,$C$3:$D$15,2,FALSE)*AI$20,AI44&gt;VLOOKUP($C43,$C$3:$D$15,2,FALSE)*AI$20),VLOOKUP($C43,$C$3:$D$15,2,FALSE)*AI$20-AH45)))</f>
        <v>0</v>
      </c>
      <c r="AJ43" s="763">
        <f t="shared" ref="AJ43" si="1379" xml:space="preserve">
IF(AI45&gt;=VLOOKUP($C43,$C$3:$D$15,2,FALSE)*AJ$20,0,
IF(AND(AI45&lt;VLOOKUP($C43,$C$3:$D$15,2,FALSE)*AJ$20,AJ44&lt;=VLOOKUP($C43,$C$3:$D$15,2,FALSE)*AJ$20),IF(AJ44-AI45&lt;0,0,AJ44-AI45),
IF(AND(AI45&lt;VLOOKUP($C43,$C$3:$D$15,2,FALSE)*AJ$20,AJ44&gt;VLOOKUP($C43,$C$3:$D$15,2,FALSE)*AJ$20),VLOOKUP($C43,$C$3:$D$15,2,FALSE)*AJ$20-AI45)))</f>
        <v>0</v>
      </c>
      <c r="AK43" s="763">
        <f t="shared" ref="AK43" si="1380" xml:space="preserve">
IF(AJ45&gt;=VLOOKUP($C43,$C$3:$D$15,2,FALSE)*AK$20,0,
IF(AND(AJ45&lt;VLOOKUP($C43,$C$3:$D$15,2,FALSE)*AK$20,AK44&lt;=VLOOKUP($C43,$C$3:$D$15,2,FALSE)*AK$20),IF(AK44-AJ45&lt;0,0,AK44-AJ45),
IF(AND(AJ45&lt;VLOOKUP($C43,$C$3:$D$15,2,FALSE)*AK$20,AK44&gt;VLOOKUP($C43,$C$3:$D$15,2,FALSE)*AK$20),VLOOKUP($C43,$C$3:$D$15,2,FALSE)*AK$20-AJ45)))</f>
        <v>0</v>
      </c>
      <c r="AL43" s="763">
        <f t="shared" ref="AL43" si="1381" xml:space="preserve">
IF(AK45&gt;=VLOOKUP($C43,$C$3:$D$15,2,FALSE)*AL$20,0,
IF(AND(AK45&lt;VLOOKUP($C43,$C$3:$D$15,2,FALSE)*AL$20,AL44&lt;=VLOOKUP($C43,$C$3:$D$15,2,FALSE)*AL$20),IF(AL44-AK45&lt;0,0,AL44-AK45),
IF(AND(AK45&lt;VLOOKUP($C43,$C$3:$D$15,2,FALSE)*AL$20,AL44&gt;VLOOKUP($C43,$C$3:$D$15,2,FALSE)*AL$20),VLOOKUP($C43,$C$3:$D$15,2,FALSE)*AL$20-AK45)))</f>
        <v>0</v>
      </c>
      <c r="AM43" s="763">
        <f t="shared" ref="AM43" si="1382" xml:space="preserve">
IF(AL45&gt;=VLOOKUP($C43,$C$3:$D$15,2,FALSE)*AM$20,0,
IF(AND(AL45&lt;VLOOKUP($C43,$C$3:$D$15,2,FALSE)*AM$20,AM44&lt;=VLOOKUP($C43,$C$3:$D$15,2,FALSE)*AM$20),IF(AM44-AL45&lt;0,0,AM44-AL45),
IF(AND(AL45&lt;VLOOKUP($C43,$C$3:$D$15,2,FALSE)*AM$20,AM44&gt;VLOOKUP($C43,$C$3:$D$15,2,FALSE)*AM$20),VLOOKUP($C43,$C$3:$D$15,2,FALSE)*AM$20-AL45)))</f>
        <v>0</v>
      </c>
      <c r="AN43" s="763">
        <f t="shared" ref="AN43" si="1383" xml:space="preserve">
IF(AM45&gt;=VLOOKUP($C43,$C$3:$D$15,2,FALSE)*AN$20,0,
IF(AND(AM45&lt;VLOOKUP($C43,$C$3:$D$15,2,FALSE)*AN$20,AN44&lt;=VLOOKUP($C43,$C$3:$D$15,2,FALSE)*AN$20),IF(AN44-AM45&lt;0,0,AN44-AM45),
IF(AND(AM45&lt;VLOOKUP($C43,$C$3:$D$15,2,FALSE)*AN$20,AN44&gt;VLOOKUP($C43,$C$3:$D$15,2,FALSE)*AN$20),VLOOKUP($C43,$C$3:$D$15,2,FALSE)*AN$20-AM45)))</f>
        <v>0</v>
      </c>
      <c r="AO43" s="763">
        <f t="shared" ref="AO43" si="1384" xml:space="preserve">
IF(AN45&gt;=VLOOKUP($C43,$C$3:$D$15,2,FALSE)*AO$20,0,
IF(AND(AN45&lt;VLOOKUP($C43,$C$3:$D$15,2,FALSE)*AO$20,AO44&lt;=VLOOKUP($C43,$C$3:$D$15,2,FALSE)*AO$20),IF(AO44-AN45&lt;0,0,AO44-AN45),
IF(AND(AN45&lt;VLOOKUP($C43,$C$3:$D$15,2,FALSE)*AO$20,AO44&gt;VLOOKUP($C43,$C$3:$D$15,2,FALSE)*AO$20),VLOOKUP($C43,$C$3:$D$15,2,FALSE)*AO$20-AN45)))</f>
        <v>0</v>
      </c>
      <c r="AP43" s="763">
        <f t="shared" ref="AP43" si="1385" xml:space="preserve">
IF(AO45&gt;=VLOOKUP($C43,$C$3:$D$15,2,FALSE)*AP$20,0,
IF(AND(AO45&lt;VLOOKUP($C43,$C$3:$D$15,2,FALSE)*AP$20,AP44&lt;=VLOOKUP($C43,$C$3:$D$15,2,FALSE)*AP$20),IF(AP44-AO45&lt;0,0,AP44-AO45),
IF(AND(AO45&lt;VLOOKUP($C43,$C$3:$D$15,2,FALSE)*AP$20,AP44&gt;VLOOKUP($C43,$C$3:$D$15,2,FALSE)*AP$20),VLOOKUP($C43,$C$3:$D$15,2,FALSE)*AP$20-AO45)))</f>
        <v>0</v>
      </c>
      <c r="AQ43" s="763">
        <f t="shared" ref="AQ43" si="1386" xml:space="preserve">
IF(AP45&gt;=VLOOKUP($C43,$C$3:$D$15,2,FALSE)*AQ$20,0,
IF(AND(AP45&lt;VLOOKUP($C43,$C$3:$D$15,2,FALSE)*AQ$20,AQ44&lt;=VLOOKUP($C43,$C$3:$D$15,2,FALSE)*AQ$20),IF(AQ44-AP45&lt;0,0,AQ44-AP45),
IF(AND(AP45&lt;VLOOKUP($C43,$C$3:$D$15,2,FALSE)*AQ$20,AQ44&gt;VLOOKUP($C43,$C$3:$D$15,2,FALSE)*AQ$20),VLOOKUP($C43,$C$3:$D$15,2,FALSE)*AQ$20-AP45)))</f>
        <v>0</v>
      </c>
      <c r="AR43" s="763">
        <f t="shared" ref="AR43" si="1387" xml:space="preserve">
IF(AQ45&gt;=VLOOKUP($C43,$C$3:$D$15,2,FALSE)*AR$20,0,
IF(AND(AQ45&lt;VLOOKUP($C43,$C$3:$D$15,2,FALSE)*AR$20,AR44&lt;=VLOOKUP($C43,$C$3:$D$15,2,FALSE)*AR$20),IF(AR44-AQ45&lt;0,0,AR44-AQ45),
IF(AND(AQ45&lt;VLOOKUP($C43,$C$3:$D$15,2,FALSE)*AR$20,AR44&gt;VLOOKUP($C43,$C$3:$D$15,2,FALSE)*AR$20),VLOOKUP($C43,$C$3:$D$15,2,FALSE)*AR$20-AQ45)))</f>
        <v>0</v>
      </c>
      <c r="AS43" s="763">
        <f t="shared" ref="AS43" si="1388" xml:space="preserve">
IF(AR45&gt;=VLOOKUP($C43,$C$3:$D$15,2,FALSE)*AS$20,0,
IF(AND(AR45&lt;VLOOKUP($C43,$C$3:$D$15,2,FALSE)*AS$20,AS44&lt;=VLOOKUP($C43,$C$3:$D$15,2,FALSE)*AS$20),IF(AS44-AR45&lt;0,0,AS44-AR45),
IF(AND(AR45&lt;VLOOKUP($C43,$C$3:$D$15,2,FALSE)*AS$20,AS44&gt;VLOOKUP($C43,$C$3:$D$15,2,FALSE)*AS$20),VLOOKUP($C43,$C$3:$D$15,2,FALSE)*AS$20-AR45)))</f>
        <v>0</v>
      </c>
      <c r="AT43" s="763">
        <f t="shared" ref="AT43" si="1389" xml:space="preserve">
IF(AS45&gt;=VLOOKUP($C43,$C$3:$D$15,2,FALSE)*AT$20,0,
IF(AND(AS45&lt;VLOOKUP($C43,$C$3:$D$15,2,FALSE)*AT$20,AT44&lt;=VLOOKUP($C43,$C$3:$D$15,2,FALSE)*AT$20),IF(AT44-AS45&lt;0,0,AT44-AS45),
IF(AND(AS45&lt;VLOOKUP($C43,$C$3:$D$15,2,FALSE)*AT$20,AT44&gt;VLOOKUP($C43,$C$3:$D$15,2,FALSE)*AT$20),VLOOKUP($C43,$C$3:$D$15,2,FALSE)*AT$20-AS45)))</f>
        <v>0</v>
      </c>
      <c r="AU43" s="763">
        <f t="shared" ref="AU43" si="1390" xml:space="preserve">
IF(AT45&gt;=VLOOKUP($C43,$C$3:$D$15,2,FALSE)*AU$20,0,
IF(AND(AT45&lt;VLOOKUP($C43,$C$3:$D$15,2,FALSE)*AU$20,AU44&lt;=VLOOKUP($C43,$C$3:$D$15,2,FALSE)*AU$20),IF(AU44-AT45&lt;0,0,AU44-AT45),
IF(AND(AT45&lt;VLOOKUP($C43,$C$3:$D$15,2,FALSE)*AU$20,AU44&gt;VLOOKUP($C43,$C$3:$D$15,2,FALSE)*AU$20),VLOOKUP($C43,$C$3:$D$15,2,FALSE)*AU$20-AT45)))</f>
        <v>0</v>
      </c>
      <c r="AV43" s="763">
        <f t="shared" ref="AV43" si="1391" xml:space="preserve">
IF(AU45&gt;=VLOOKUP($C43,$C$3:$D$15,2,FALSE)*AV$20,0,
IF(AND(AU45&lt;VLOOKUP($C43,$C$3:$D$15,2,FALSE)*AV$20,AV44&lt;=VLOOKUP($C43,$C$3:$D$15,2,FALSE)*AV$20),IF(AV44-AU45&lt;0,0,AV44-AU45),
IF(AND(AU45&lt;VLOOKUP($C43,$C$3:$D$15,2,FALSE)*AV$20,AV44&gt;VLOOKUP($C43,$C$3:$D$15,2,FALSE)*AV$20),VLOOKUP($C43,$C$3:$D$15,2,FALSE)*AV$20-AU45)))</f>
        <v>0</v>
      </c>
      <c r="AW43" s="763">
        <f t="shared" ref="AW43" si="1392" xml:space="preserve">
IF(AV45&gt;=VLOOKUP($C43,$C$3:$D$15,2,FALSE)*AW$20,0,
IF(AND(AV45&lt;VLOOKUP($C43,$C$3:$D$15,2,FALSE)*AW$20,AW44&lt;=VLOOKUP($C43,$C$3:$D$15,2,FALSE)*AW$20),IF(AW44-AV45&lt;0,0,AW44-AV45),
IF(AND(AV45&lt;VLOOKUP($C43,$C$3:$D$15,2,FALSE)*AW$20,AW44&gt;VLOOKUP($C43,$C$3:$D$15,2,FALSE)*AW$20),VLOOKUP($C43,$C$3:$D$15,2,FALSE)*AW$20-AV45)))</f>
        <v>0</v>
      </c>
      <c r="AX43" s="763">
        <f t="shared" ref="AX43" si="1393" xml:space="preserve">
IF(AW45&gt;=VLOOKUP($C43,$C$3:$D$15,2,FALSE)*AX$20,0,
IF(AND(AW45&lt;VLOOKUP($C43,$C$3:$D$15,2,FALSE)*AX$20,AX44&lt;=VLOOKUP($C43,$C$3:$D$15,2,FALSE)*AX$20),IF(AX44-AW45&lt;0,0,AX44-AW45),
IF(AND(AW45&lt;VLOOKUP($C43,$C$3:$D$15,2,FALSE)*AX$20,AX44&gt;VLOOKUP($C43,$C$3:$D$15,2,FALSE)*AX$20),VLOOKUP($C43,$C$3:$D$15,2,FALSE)*AX$20-AW45)))</f>
        <v>0</v>
      </c>
      <c r="AY43" s="763">
        <f t="shared" ref="AY43" si="1394" xml:space="preserve">
IF(AX45&gt;=VLOOKUP($C43,$C$3:$D$15,2,FALSE)*AY$20,0,
IF(AND(AX45&lt;VLOOKUP($C43,$C$3:$D$15,2,FALSE)*AY$20,AY44&lt;=VLOOKUP($C43,$C$3:$D$15,2,FALSE)*AY$20),IF(AY44-AX45&lt;0,0,AY44-AX45),
IF(AND(AX45&lt;VLOOKUP($C43,$C$3:$D$15,2,FALSE)*AY$20,AY44&gt;VLOOKUP($C43,$C$3:$D$15,2,FALSE)*AY$20),VLOOKUP($C43,$C$3:$D$15,2,FALSE)*AY$20-AX45)))</f>
        <v>0</v>
      </c>
      <c r="AZ43" s="763">
        <f t="shared" ref="AZ43" si="1395" xml:space="preserve">
IF(AY45&gt;=VLOOKUP($C43,$C$3:$D$15,2,FALSE)*AZ$20,0,
IF(AND(AY45&lt;VLOOKUP($C43,$C$3:$D$15,2,FALSE)*AZ$20,AZ44&lt;=VLOOKUP($C43,$C$3:$D$15,2,FALSE)*AZ$20),IF(AZ44-AY45&lt;0,0,AZ44-AY45),
IF(AND(AY45&lt;VLOOKUP($C43,$C$3:$D$15,2,FALSE)*AZ$20,AZ44&gt;VLOOKUP($C43,$C$3:$D$15,2,FALSE)*AZ$20),VLOOKUP($C43,$C$3:$D$15,2,FALSE)*AZ$20-AY45)))</f>
        <v>0</v>
      </c>
      <c r="BA43" s="763">
        <f t="shared" ref="BA43" si="1396" xml:space="preserve">
IF(AZ45&gt;=VLOOKUP($C43,$C$3:$D$15,2,FALSE)*BA$20,0,
IF(AND(AZ45&lt;VLOOKUP($C43,$C$3:$D$15,2,FALSE)*BA$20,BA44&lt;=VLOOKUP($C43,$C$3:$D$15,2,FALSE)*BA$20),IF(BA44-AZ45&lt;0,0,BA44-AZ45),
IF(AND(AZ45&lt;VLOOKUP($C43,$C$3:$D$15,2,FALSE)*BA$20,BA44&gt;VLOOKUP($C43,$C$3:$D$15,2,FALSE)*BA$20),VLOOKUP($C43,$C$3:$D$15,2,FALSE)*BA$20-AZ45)))</f>
        <v>0</v>
      </c>
      <c r="BB43" s="763">
        <f t="shared" ref="BB43" si="1397" xml:space="preserve">
IF(BA45&gt;=VLOOKUP($C43,$C$3:$D$15,2,FALSE)*BB$20,0,
IF(AND(BA45&lt;VLOOKUP($C43,$C$3:$D$15,2,FALSE)*BB$20,BB44&lt;=VLOOKUP($C43,$C$3:$D$15,2,FALSE)*BB$20),IF(BB44-BA45&lt;0,0,BB44-BA45),
IF(AND(BA45&lt;VLOOKUP($C43,$C$3:$D$15,2,FALSE)*BB$20,BB44&gt;VLOOKUP($C43,$C$3:$D$15,2,FALSE)*BB$20),VLOOKUP($C43,$C$3:$D$15,2,FALSE)*BB$20-BA45)))</f>
        <v>0</v>
      </c>
      <c r="BC43" s="763">
        <f t="shared" ref="BC43" si="1398" xml:space="preserve">
IF(BB45&gt;=VLOOKUP($C43,$C$3:$D$15,2,FALSE)*BC$20,0,
IF(AND(BB45&lt;VLOOKUP($C43,$C$3:$D$15,2,FALSE)*BC$20,BC44&lt;=VLOOKUP($C43,$C$3:$D$15,2,FALSE)*BC$20),IF(BC44-BB45&lt;0,0,BC44-BB45),
IF(AND(BB45&lt;VLOOKUP($C43,$C$3:$D$15,2,FALSE)*BC$20,BC44&gt;VLOOKUP($C43,$C$3:$D$15,2,FALSE)*BC$20),VLOOKUP($C43,$C$3:$D$15,2,FALSE)*BC$20-BB45)))</f>
        <v>0</v>
      </c>
      <c r="BD43" s="763">
        <f t="shared" ref="BD43" si="1399" xml:space="preserve">
IF(BC45&gt;=VLOOKUP($C43,$C$3:$D$15,2,FALSE)*BD$20,0,
IF(AND(BC45&lt;VLOOKUP($C43,$C$3:$D$15,2,FALSE)*BD$20,BD44&lt;=VLOOKUP($C43,$C$3:$D$15,2,FALSE)*BD$20),IF(BD44-BC45&lt;0,0,BD44-BC45),
IF(AND(BC45&lt;VLOOKUP($C43,$C$3:$D$15,2,FALSE)*BD$20,BD44&gt;VLOOKUP($C43,$C$3:$D$15,2,FALSE)*BD$20),VLOOKUP($C43,$C$3:$D$15,2,FALSE)*BD$20-BC45)))</f>
        <v>0</v>
      </c>
      <c r="BE43" s="763">
        <f t="shared" ref="BE43" si="1400" xml:space="preserve">
IF(BD45&gt;=VLOOKUP($C43,$C$3:$D$15,2,FALSE)*BE$20,0,
IF(AND(BD45&lt;VLOOKUP($C43,$C$3:$D$15,2,FALSE)*BE$20,BE44&lt;=VLOOKUP($C43,$C$3:$D$15,2,FALSE)*BE$20),IF(BE44-BD45&lt;0,0,BE44-BD45),
IF(AND(BD45&lt;VLOOKUP($C43,$C$3:$D$15,2,FALSE)*BE$20,BE44&gt;VLOOKUP($C43,$C$3:$D$15,2,FALSE)*BE$20),VLOOKUP($C43,$C$3:$D$15,2,FALSE)*BE$20-BD45)))</f>
        <v>0</v>
      </c>
      <c r="BF43" s="763">
        <f t="shared" ref="BF43" si="1401" xml:space="preserve">
IF(BE45&gt;=VLOOKUP($C43,$C$3:$D$15,2,FALSE)*BF$20,0,
IF(AND(BE45&lt;VLOOKUP($C43,$C$3:$D$15,2,FALSE)*BF$20,BF44&lt;=VLOOKUP($C43,$C$3:$D$15,2,FALSE)*BF$20),IF(BF44-BE45&lt;0,0,BF44-BE45),
IF(AND(BE45&lt;VLOOKUP($C43,$C$3:$D$15,2,FALSE)*BF$20,BF44&gt;VLOOKUP($C43,$C$3:$D$15,2,FALSE)*BF$20),VLOOKUP($C43,$C$3:$D$15,2,FALSE)*BF$20-BE45)))</f>
        <v>0</v>
      </c>
      <c r="BG43" s="763">
        <f t="shared" ref="BG43" si="1402" xml:space="preserve">
IF(BF45&gt;=VLOOKUP($C43,$C$3:$D$15,2,FALSE)*BG$20,0,
IF(AND(BF45&lt;VLOOKUP($C43,$C$3:$D$15,2,FALSE)*BG$20,BG44&lt;=VLOOKUP($C43,$C$3:$D$15,2,FALSE)*BG$20),IF(BG44-BF45&lt;0,0,BG44-BF45),
IF(AND(BF45&lt;VLOOKUP($C43,$C$3:$D$15,2,FALSE)*BG$20,BG44&gt;VLOOKUP($C43,$C$3:$D$15,2,FALSE)*BG$20),VLOOKUP($C43,$C$3:$D$15,2,FALSE)*BG$20-BF45)))</f>
        <v>0</v>
      </c>
      <c r="BH43" s="763">
        <f t="shared" ref="BH43" si="1403" xml:space="preserve">
IF(BG45&gt;=VLOOKUP($C43,$C$3:$D$15,2,FALSE)*BH$20,0,
IF(AND(BG45&lt;VLOOKUP($C43,$C$3:$D$15,2,FALSE)*BH$20,BH44&lt;=VLOOKUP($C43,$C$3:$D$15,2,FALSE)*BH$20),IF(BH44-BG45&lt;0,0,BH44-BG45),
IF(AND(BG45&lt;VLOOKUP($C43,$C$3:$D$15,2,FALSE)*BH$20,BH44&gt;VLOOKUP($C43,$C$3:$D$15,2,FALSE)*BH$20),VLOOKUP($C43,$C$3:$D$15,2,FALSE)*BH$20-BG45)))</f>
        <v>0</v>
      </c>
      <c r="BI43" s="763">
        <f t="shared" ref="BI43" si="1404" xml:space="preserve">
IF(BH45&gt;=VLOOKUP($C43,$C$3:$D$15,2,FALSE)*BI$20,0,
IF(AND(BH45&lt;VLOOKUP($C43,$C$3:$D$15,2,FALSE)*BI$20,BI44&lt;=VLOOKUP($C43,$C$3:$D$15,2,FALSE)*BI$20),IF(BI44-BH45&lt;0,0,BI44-BH45),
IF(AND(BH45&lt;VLOOKUP($C43,$C$3:$D$15,2,FALSE)*BI$20,BI44&gt;VLOOKUP($C43,$C$3:$D$15,2,FALSE)*BI$20),VLOOKUP($C43,$C$3:$D$15,2,FALSE)*BI$20-BH45)))</f>
        <v>0</v>
      </c>
      <c r="BJ43" s="763">
        <f t="shared" ref="BJ43" si="1405" xml:space="preserve">
IF(BI45&gt;=VLOOKUP($C43,$C$3:$D$15,2,FALSE)*BJ$20,0,
IF(AND(BI45&lt;VLOOKUP($C43,$C$3:$D$15,2,FALSE)*BJ$20,BJ44&lt;=VLOOKUP($C43,$C$3:$D$15,2,FALSE)*BJ$20),IF(BJ44-BI45&lt;0,0,BJ44-BI45),
IF(AND(BI45&lt;VLOOKUP($C43,$C$3:$D$15,2,FALSE)*BJ$20,BJ44&gt;VLOOKUP($C43,$C$3:$D$15,2,FALSE)*BJ$20),VLOOKUP($C43,$C$3:$D$15,2,FALSE)*BJ$20-BI45)))</f>
        <v>0</v>
      </c>
      <c r="BK43" s="763">
        <f t="shared" ref="BK43" si="1406" xml:space="preserve">
IF(BJ45&gt;=VLOOKUP($C43,$C$3:$D$15,2,FALSE)*BK$20,0,
IF(AND(BJ45&lt;VLOOKUP($C43,$C$3:$D$15,2,FALSE)*BK$20,BK44&lt;=VLOOKUP($C43,$C$3:$D$15,2,FALSE)*BK$20),IF(BK44-BJ45&lt;0,0,BK44-BJ45),
IF(AND(BJ45&lt;VLOOKUP($C43,$C$3:$D$15,2,FALSE)*BK$20,BK44&gt;VLOOKUP($C43,$C$3:$D$15,2,FALSE)*BK$20),VLOOKUP($C43,$C$3:$D$15,2,FALSE)*BK$20-BJ45)))</f>
        <v>0</v>
      </c>
      <c r="BL43" s="763">
        <f t="shared" ref="BL43" si="1407" xml:space="preserve">
IF(BK45&gt;=VLOOKUP($C43,$C$3:$D$15,2,FALSE)*BL$20,0,
IF(AND(BK45&lt;VLOOKUP($C43,$C$3:$D$15,2,FALSE)*BL$20,BL44&lt;=VLOOKUP($C43,$C$3:$D$15,2,FALSE)*BL$20),IF(BL44-BK45&lt;0,0,BL44-BK45),
IF(AND(BK45&lt;VLOOKUP($C43,$C$3:$D$15,2,FALSE)*BL$20,BL44&gt;VLOOKUP($C43,$C$3:$D$15,2,FALSE)*BL$20),VLOOKUP($C43,$C$3:$D$15,2,FALSE)*BL$20-BK45)))</f>
        <v>0</v>
      </c>
      <c r="BM43" s="763">
        <f t="shared" ref="BM43" si="1408" xml:space="preserve">
IF(BL45&gt;=VLOOKUP($C43,$C$3:$D$15,2,FALSE)*BM$20,0,
IF(AND(BL45&lt;VLOOKUP($C43,$C$3:$D$15,2,FALSE)*BM$20,BM44&lt;=VLOOKUP($C43,$C$3:$D$15,2,FALSE)*BM$20),IF(BM44-BL45&lt;0,0,BM44-BL45),
IF(AND(BL45&lt;VLOOKUP($C43,$C$3:$D$15,2,FALSE)*BM$20,BM44&gt;VLOOKUP($C43,$C$3:$D$15,2,FALSE)*BM$20),VLOOKUP($C43,$C$3:$D$15,2,FALSE)*BM$20-BL45)))</f>
        <v>0</v>
      </c>
      <c r="BN43" s="763">
        <f t="shared" ref="BN43" si="1409" xml:space="preserve">
IF(BM45&gt;=VLOOKUP($C43,$C$3:$D$15,2,FALSE)*BN$20,0,
IF(AND(BM45&lt;VLOOKUP($C43,$C$3:$D$15,2,FALSE)*BN$20,BN44&lt;=VLOOKUP($C43,$C$3:$D$15,2,FALSE)*BN$20),IF(BN44-BM45&lt;0,0,BN44-BM45),
IF(AND(BM45&lt;VLOOKUP($C43,$C$3:$D$15,2,FALSE)*BN$20,BN44&gt;VLOOKUP($C43,$C$3:$D$15,2,FALSE)*BN$20),VLOOKUP($C43,$C$3:$D$15,2,FALSE)*BN$20-BM45)))</f>
        <v>0</v>
      </c>
      <c r="BO43" s="763">
        <f t="shared" ref="BO43" si="1410" xml:space="preserve">
IF(BN45&gt;=VLOOKUP($C43,$C$3:$D$15,2,FALSE)*BO$20,0,
IF(AND(BN45&lt;VLOOKUP($C43,$C$3:$D$15,2,FALSE)*BO$20,BO44&lt;=VLOOKUP($C43,$C$3:$D$15,2,FALSE)*BO$20),IF(BO44-BN45&lt;0,0,BO44-BN45),
IF(AND(BN45&lt;VLOOKUP($C43,$C$3:$D$15,2,FALSE)*BO$20,BO44&gt;VLOOKUP($C43,$C$3:$D$15,2,FALSE)*BO$20),VLOOKUP($C43,$C$3:$D$15,2,FALSE)*BO$20-BN45)))</f>
        <v>0</v>
      </c>
      <c r="BP43" s="763">
        <f t="shared" ref="BP43" si="1411" xml:space="preserve">
IF(BO45&gt;=VLOOKUP($C43,$C$3:$D$15,2,FALSE)*BP$20,0,
IF(AND(BO45&lt;VLOOKUP($C43,$C$3:$D$15,2,FALSE)*BP$20,BP44&lt;=VLOOKUP($C43,$C$3:$D$15,2,FALSE)*BP$20),IF(BP44-BO45&lt;0,0,BP44-BO45),
IF(AND(BO45&lt;VLOOKUP($C43,$C$3:$D$15,2,FALSE)*BP$20,BP44&gt;VLOOKUP($C43,$C$3:$D$15,2,FALSE)*BP$20),VLOOKUP($C43,$C$3:$D$15,2,FALSE)*BP$20-BO45)))</f>
        <v>0</v>
      </c>
      <c r="BQ43" s="763">
        <f t="shared" ref="BQ43" si="1412" xml:space="preserve">
IF(BP45&gt;=VLOOKUP($C43,$C$3:$D$15,2,FALSE)*BQ$20,0,
IF(AND(BP45&lt;VLOOKUP($C43,$C$3:$D$15,2,FALSE)*BQ$20,BQ44&lt;=VLOOKUP($C43,$C$3:$D$15,2,FALSE)*BQ$20),IF(BQ44-BP45&lt;0,0,BQ44-BP45),
IF(AND(BP45&lt;VLOOKUP($C43,$C$3:$D$15,2,FALSE)*BQ$20,BQ44&gt;VLOOKUP($C43,$C$3:$D$15,2,FALSE)*BQ$20),VLOOKUP($C43,$C$3:$D$15,2,FALSE)*BQ$20-BP45)))</f>
        <v>0</v>
      </c>
      <c r="BR43" s="763">
        <f t="shared" ref="BR43" si="1413" xml:space="preserve">
IF(BQ45&gt;=VLOOKUP($C43,$C$3:$D$15,2,FALSE)*BR$20,0,
IF(AND(BQ45&lt;VLOOKUP($C43,$C$3:$D$15,2,FALSE)*BR$20,BR44&lt;=VLOOKUP($C43,$C$3:$D$15,2,FALSE)*BR$20),IF(BR44-BQ45&lt;0,0,BR44-BQ45),
IF(AND(BQ45&lt;VLOOKUP($C43,$C$3:$D$15,2,FALSE)*BR$20,BR44&gt;VLOOKUP($C43,$C$3:$D$15,2,FALSE)*BR$20),VLOOKUP($C43,$C$3:$D$15,2,FALSE)*BR$20-BQ45)))</f>
        <v>0</v>
      </c>
      <c r="BS43" s="763">
        <f t="shared" ref="BS43" si="1414" xml:space="preserve">
IF(BR45&gt;=VLOOKUP($C43,$C$3:$D$15,2,FALSE)*BS$20,0,
IF(AND(BR45&lt;VLOOKUP($C43,$C$3:$D$15,2,FALSE)*BS$20,BS44&lt;=VLOOKUP($C43,$C$3:$D$15,2,FALSE)*BS$20),IF(BS44-BR45&lt;0,0,BS44-BR45),
IF(AND(BR45&lt;VLOOKUP($C43,$C$3:$D$15,2,FALSE)*BS$20,BS44&gt;VLOOKUP($C43,$C$3:$D$15,2,FALSE)*BS$20),VLOOKUP($C43,$C$3:$D$15,2,FALSE)*BS$20-BR45)))</f>
        <v>0</v>
      </c>
      <c r="BT43" s="763">
        <f t="shared" ref="BT43" si="1415" xml:space="preserve">
IF(BS45&gt;=VLOOKUP($C43,$C$3:$D$15,2,FALSE)*BT$20,0,
IF(AND(BS45&lt;VLOOKUP($C43,$C$3:$D$15,2,FALSE)*BT$20,BT44&lt;=VLOOKUP($C43,$C$3:$D$15,2,FALSE)*BT$20),IF(BT44-BS45&lt;0,0,BT44-BS45),
IF(AND(BS45&lt;VLOOKUP($C43,$C$3:$D$15,2,FALSE)*BT$20,BT44&gt;VLOOKUP($C43,$C$3:$D$15,2,FALSE)*BT$20),VLOOKUP($C43,$C$3:$D$15,2,FALSE)*BT$20-BS45)))</f>
        <v>0</v>
      </c>
      <c r="BU43" s="763">
        <f t="shared" ref="BU43" si="1416" xml:space="preserve">
IF(BT45&gt;=VLOOKUP($C43,$C$3:$D$15,2,FALSE)*BU$20,0,
IF(AND(BT45&lt;VLOOKUP($C43,$C$3:$D$15,2,FALSE)*BU$20,BU44&lt;=VLOOKUP($C43,$C$3:$D$15,2,FALSE)*BU$20),IF(BU44-BT45&lt;0,0,BU44-BT45),
IF(AND(BT45&lt;VLOOKUP($C43,$C$3:$D$15,2,FALSE)*BU$20,BU44&gt;VLOOKUP($C43,$C$3:$D$15,2,FALSE)*BU$20),VLOOKUP($C43,$C$3:$D$15,2,FALSE)*BU$20-BT45)))</f>
        <v>0</v>
      </c>
      <c r="BV43" s="763">
        <f t="shared" ref="BV43" si="1417" xml:space="preserve">
IF(BU45&gt;=VLOOKUP($C43,$C$3:$D$15,2,FALSE)*BV$20,0,
IF(AND(BU45&lt;VLOOKUP($C43,$C$3:$D$15,2,FALSE)*BV$20,BV44&lt;=VLOOKUP($C43,$C$3:$D$15,2,FALSE)*BV$20),IF(BV44-BU45&lt;0,0,BV44-BU45),
IF(AND(BU45&lt;VLOOKUP($C43,$C$3:$D$15,2,FALSE)*BV$20,BV44&gt;VLOOKUP($C43,$C$3:$D$15,2,FALSE)*BV$20),VLOOKUP($C43,$C$3:$D$15,2,FALSE)*BV$20-BU45)))</f>
        <v>0</v>
      </c>
      <c r="BW43" s="763">
        <f t="shared" ref="BW43" si="1418" xml:space="preserve">
IF(BV45&gt;=VLOOKUP($C43,$C$3:$D$15,2,FALSE)*BW$20,0,
IF(AND(BV45&lt;VLOOKUP($C43,$C$3:$D$15,2,FALSE)*BW$20,BW44&lt;=VLOOKUP($C43,$C$3:$D$15,2,FALSE)*BW$20),IF(BW44-BV45&lt;0,0,BW44-BV45),
IF(AND(BV45&lt;VLOOKUP($C43,$C$3:$D$15,2,FALSE)*BW$20,BW44&gt;VLOOKUP($C43,$C$3:$D$15,2,FALSE)*BW$20),VLOOKUP($C43,$C$3:$D$15,2,FALSE)*BW$20-BV45)))</f>
        <v>0</v>
      </c>
      <c r="BX43" s="763">
        <f t="shared" ref="BX43" si="1419" xml:space="preserve">
IF(BW45&gt;=VLOOKUP($C43,$C$3:$D$15,2,FALSE)*BX$20,0,
IF(AND(BW45&lt;VLOOKUP($C43,$C$3:$D$15,2,FALSE)*BX$20,BX44&lt;=VLOOKUP($C43,$C$3:$D$15,2,FALSE)*BX$20),IF(BX44-BW45&lt;0,0,BX44-BW45),
IF(AND(BW45&lt;VLOOKUP($C43,$C$3:$D$15,2,FALSE)*BX$20,BX44&gt;VLOOKUP($C43,$C$3:$D$15,2,FALSE)*BX$20),VLOOKUP($C43,$C$3:$D$15,2,FALSE)*BX$20-BW45)))</f>
        <v>0</v>
      </c>
      <c r="BY43" s="763">
        <f t="shared" ref="BY43" si="1420" xml:space="preserve">
IF(BX45&gt;=VLOOKUP($C43,$C$3:$D$15,2,FALSE)*BY$20,0,
IF(AND(BX45&lt;VLOOKUP($C43,$C$3:$D$15,2,FALSE)*BY$20,BY44&lt;=VLOOKUP($C43,$C$3:$D$15,2,FALSE)*BY$20),IF(BY44-BX45&lt;0,0,BY44-BX45),
IF(AND(BX45&lt;VLOOKUP($C43,$C$3:$D$15,2,FALSE)*BY$20,BY44&gt;VLOOKUP($C43,$C$3:$D$15,2,FALSE)*BY$20),VLOOKUP($C43,$C$3:$D$15,2,FALSE)*BY$20-BX45)))</f>
        <v>0</v>
      </c>
      <c r="BZ43" s="763">
        <f t="shared" ref="BZ43" si="1421" xml:space="preserve">
IF(BY45&gt;=VLOOKUP($C43,$C$3:$D$15,2,FALSE)*BZ$20,0,
IF(AND(BY45&lt;VLOOKUP($C43,$C$3:$D$15,2,FALSE)*BZ$20,BZ44&lt;=VLOOKUP($C43,$C$3:$D$15,2,FALSE)*BZ$20),IF(BZ44-BY45&lt;0,0,BZ44-BY45),
IF(AND(BY45&lt;VLOOKUP($C43,$C$3:$D$15,2,FALSE)*BZ$20,BZ44&gt;VLOOKUP($C43,$C$3:$D$15,2,FALSE)*BZ$20),VLOOKUP($C43,$C$3:$D$15,2,FALSE)*BZ$20-BY45)))</f>
        <v>0</v>
      </c>
      <c r="CA43" s="763">
        <f t="shared" ref="CA43" si="1422" xml:space="preserve">
IF(BZ45&gt;=VLOOKUP($C43,$C$3:$D$15,2,FALSE)*CA$20,0,
IF(AND(BZ45&lt;VLOOKUP($C43,$C$3:$D$15,2,FALSE)*CA$20,CA44&lt;=VLOOKUP($C43,$C$3:$D$15,2,FALSE)*CA$20),IF(CA44-BZ45&lt;0,0,CA44-BZ45),
IF(AND(BZ45&lt;VLOOKUP($C43,$C$3:$D$15,2,FALSE)*CA$20,CA44&gt;VLOOKUP($C43,$C$3:$D$15,2,FALSE)*CA$20),VLOOKUP($C43,$C$3:$D$15,2,FALSE)*CA$20-BZ45)))</f>
        <v>0</v>
      </c>
      <c r="CB43" s="763">
        <f t="shared" ref="CB43" si="1423" xml:space="preserve">
IF(CA45&gt;=VLOOKUP($C43,$C$3:$D$15,2,FALSE)*CB$20,0,
IF(AND(CA45&lt;VLOOKUP($C43,$C$3:$D$15,2,FALSE)*CB$20,CB44&lt;=VLOOKUP($C43,$C$3:$D$15,2,FALSE)*CB$20),IF(CB44-CA45&lt;0,0,CB44-CA45),
IF(AND(CA45&lt;VLOOKUP($C43,$C$3:$D$15,2,FALSE)*CB$20,CB44&gt;VLOOKUP($C43,$C$3:$D$15,2,FALSE)*CB$20),VLOOKUP($C43,$C$3:$D$15,2,FALSE)*CB$20-CA45)))</f>
        <v>0</v>
      </c>
      <c r="CC43" s="763">
        <f t="shared" ref="CC43" si="1424" xml:space="preserve">
IF(CB45&gt;=VLOOKUP($C43,$C$3:$D$15,2,FALSE)*CC$20,0,
IF(AND(CB45&lt;VLOOKUP($C43,$C$3:$D$15,2,FALSE)*CC$20,CC44&lt;=VLOOKUP($C43,$C$3:$D$15,2,FALSE)*CC$20),IF(CC44-CB45&lt;0,0,CC44-CB45),
IF(AND(CB45&lt;VLOOKUP($C43,$C$3:$D$15,2,FALSE)*CC$20,CC44&gt;VLOOKUP($C43,$C$3:$D$15,2,FALSE)*CC$20),VLOOKUP($C43,$C$3:$D$15,2,FALSE)*CC$20-CB45)))</f>
        <v>0</v>
      </c>
      <c r="CD43" s="763">
        <f t="shared" ref="CD43" si="1425" xml:space="preserve">
IF(CC45&gt;=VLOOKUP($C43,$C$3:$D$15,2,FALSE)*CD$20,0,
IF(AND(CC45&lt;VLOOKUP($C43,$C$3:$D$15,2,FALSE)*CD$20,CD44&lt;=VLOOKUP($C43,$C$3:$D$15,2,FALSE)*CD$20),IF(CD44-CC45&lt;0,0,CD44-CC45),
IF(AND(CC45&lt;VLOOKUP($C43,$C$3:$D$15,2,FALSE)*CD$20,CD44&gt;VLOOKUP($C43,$C$3:$D$15,2,FALSE)*CD$20),VLOOKUP($C43,$C$3:$D$15,2,FALSE)*CD$20-CC45)))</f>
        <v>0</v>
      </c>
      <c r="CE43" s="763">
        <f t="shared" ref="CE43" si="1426" xml:space="preserve">
IF(CD45&gt;=VLOOKUP($C43,$C$3:$D$15,2,FALSE)*CE$20,0,
IF(AND(CD45&lt;VLOOKUP($C43,$C$3:$D$15,2,FALSE)*CE$20,CE44&lt;=VLOOKUP($C43,$C$3:$D$15,2,FALSE)*CE$20),IF(CE44-CD45&lt;0,0,CE44-CD45),
IF(AND(CD45&lt;VLOOKUP($C43,$C$3:$D$15,2,FALSE)*CE$20,CE44&gt;VLOOKUP($C43,$C$3:$D$15,2,FALSE)*CE$20),VLOOKUP($C43,$C$3:$D$15,2,FALSE)*CE$20-CD45)))</f>
        <v>0</v>
      </c>
      <c r="CF43" s="763">
        <f t="shared" ref="CF43" si="1427" xml:space="preserve">
IF(CE45&gt;=VLOOKUP($C43,$C$3:$D$15,2,FALSE)*CF$20,0,
IF(AND(CE45&lt;VLOOKUP($C43,$C$3:$D$15,2,FALSE)*CF$20,CF44&lt;=VLOOKUP($C43,$C$3:$D$15,2,FALSE)*CF$20),IF(CF44-CE45&lt;0,0,CF44-CE45),
IF(AND(CE45&lt;VLOOKUP($C43,$C$3:$D$15,2,FALSE)*CF$20,CF44&gt;VLOOKUP($C43,$C$3:$D$15,2,FALSE)*CF$20),VLOOKUP($C43,$C$3:$D$15,2,FALSE)*CF$20-CE45)))</f>
        <v>0</v>
      </c>
      <c r="CG43" s="763">
        <f t="shared" ref="CG43" si="1428" xml:space="preserve">
IF(CF45&gt;=VLOOKUP($C43,$C$3:$D$15,2,FALSE)*CG$20,0,
IF(AND(CF45&lt;VLOOKUP($C43,$C$3:$D$15,2,FALSE)*CG$20,CG44&lt;=VLOOKUP($C43,$C$3:$D$15,2,FALSE)*CG$20),IF(CG44-CF45&lt;0,0,CG44-CF45),
IF(AND(CF45&lt;VLOOKUP($C43,$C$3:$D$15,2,FALSE)*CG$20,CG44&gt;VLOOKUP($C43,$C$3:$D$15,2,FALSE)*CG$20),VLOOKUP($C43,$C$3:$D$15,2,FALSE)*CG$20-CF45)))</f>
        <v>0</v>
      </c>
      <c r="CH43" s="763">
        <f t="shared" ref="CH43" si="1429" xml:space="preserve">
IF(CG45&gt;=VLOOKUP($C43,$C$3:$D$15,2,FALSE)*CH$20,0,
IF(AND(CG45&lt;VLOOKUP($C43,$C$3:$D$15,2,FALSE)*CH$20,CH44&lt;=VLOOKUP($C43,$C$3:$D$15,2,FALSE)*CH$20),IF(CH44-CG45&lt;0,0,CH44-CG45),
IF(AND(CG45&lt;VLOOKUP($C43,$C$3:$D$15,2,FALSE)*CH$20,CH44&gt;VLOOKUP($C43,$C$3:$D$15,2,FALSE)*CH$20),VLOOKUP($C43,$C$3:$D$15,2,FALSE)*CH$20-CG45)))</f>
        <v>0</v>
      </c>
      <c r="CI43" s="763">
        <f t="shared" ref="CI43" si="1430" xml:space="preserve">
IF(CH45&gt;=VLOOKUP($C43,$C$3:$D$15,2,FALSE)*CI$20,0,
IF(AND(CH45&lt;VLOOKUP($C43,$C$3:$D$15,2,FALSE)*CI$20,CI44&lt;=VLOOKUP($C43,$C$3:$D$15,2,FALSE)*CI$20),IF(CI44-CH45&lt;0,0,CI44-CH45),
IF(AND(CH45&lt;VLOOKUP($C43,$C$3:$D$15,2,FALSE)*CI$20,CI44&gt;VLOOKUP($C43,$C$3:$D$15,2,FALSE)*CI$20),VLOOKUP($C43,$C$3:$D$15,2,FALSE)*CI$20-CH45)))</f>
        <v>0</v>
      </c>
      <c r="CJ43" s="763">
        <f t="shared" ref="CJ43" si="1431" xml:space="preserve">
IF(CI45&gt;=VLOOKUP($C43,$C$3:$D$15,2,FALSE)*CJ$20,0,
IF(AND(CI45&lt;VLOOKUP($C43,$C$3:$D$15,2,FALSE)*CJ$20,CJ44&lt;=VLOOKUP($C43,$C$3:$D$15,2,FALSE)*CJ$20),IF(CJ44-CI45&lt;0,0,CJ44-CI45),
IF(AND(CI45&lt;VLOOKUP($C43,$C$3:$D$15,2,FALSE)*CJ$20,CJ44&gt;VLOOKUP($C43,$C$3:$D$15,2,FALSE)*CJ$20),VLOOKUP($C43,$C$3:$D$15,2,FALSE)*CJ$20-CI45)))</f>
        <v>0</v>
      </c>
      <c r="CK43" s="763">
        <f t="shared" ref="CK43" si="1432" xml:space="preserve">
IF(CJ45&gt;=VLOOKUP($C43,$C$3:$D$15,2,FALSE)*CK$20,0,
IF(AND(CJ45&lt;VLOOKUP($C43,$C$3:$D$15,2,FALSE)*CK$20,CK44&lt;=VLOOKUP($C43,$C$3:$D$15,2,FALSE)*CK$20),IF(CK44-CJ45&lt;0,0,CK44-CJ45),
IF(AND(CJ45&lt;VLOOKUP($C43,$C$3:$D$15,2,FALSE)*CK$20,CK44&gt;VLOOKUP($C43,$C$3:$D$15,2,FALSE)*CK$20),VLOOKUP($C43,$C$3:$D$15,2,FALSE)*CK$20-CJ45)))</f>
        <v>0</v>
      </c>
      <c r="CL43" s="763">
        <f t="shared" ref="CL43" si="1433" xml:space="preserve">
IF(CK45&gt;=VLOOKUP($C43,$C$3:$D$15,2,FALSE)*CL$20,0,
IF(AND(CK45&lt;VLOOKUP($C43,$C$3:$D$15,2,FALSE)*CL$20,CL44&lt;=VLOOKUP($C43,$C$3:$D$15,2,FALSE)*CL$20),IF(CL44-CK45&lt;0,0,CL44-CK45),
IF(AND(CK45&lt;VLOOKUP($C43,$C$3:$D$15,2,FALSE)*CL$20,CL44&gt;VLOOKUP($C43,$C$3:$D$15,2,FALSE)*CL$20),VLOOKUP($C43,$C$3:$D$15,2,FALSE)*CL$20-CK45)))</f>
        <v>0</v>
      </c>
      <c r="CM43" s="763">
        <f t="shared" ref="CM43" si="1434" xml:space="preserve">
IF(CL45&gt;=VLOOKUP($C43,$C$3:$D$15,2,FALSE)*CM$20,0,
IF(AND(CL45&lt;VLOOKUP($C43,$C$3:$D$15,2,FALSE)*CM$20,CM44&lt;=VLOOKUP($C43,$C$3:$D$15,2,FALSE)*CM$20),IF(CM44-CL45&lt;0,0,CM44-CL45),
IF(AND(CL45&lt;VLOOKUP($C43,$C$3:$D$15,2,FALSE)*CM$20,CM44&gt;VLOOKUP($C43,$C$3:$D$15,2,FALSE)*CM$20),VLOOKUP($C43,$C$3:$D$15,2,FALSE)*CM$20-CL45)))</f>
        <v>0</v>
      </c>
      <c r="CN43" s="763">
        <f t="shared" ref="CN43" si="1435" xml:space="preserve">
IF(CM45&gt;=VLOOKUP($C43,$C$3:$D$15,2,FALSE)*CN$20,0,
IF(AND(CM45&lt;VLOOKUP($C43,$C$3:$D$15,2,FALSE)*CN$20,CN44&lt;=VLOOKUP($C43,$C$3:$D$15,2,FALSE)*CN$20),IF(CN44-CM45&lt;0,0,CN44-CM45),
IF(AND(CM45&lt;VLOOKUP($C43,$C$3:$D$15,2,FALSE)*CN$20,CN44&gt;VLOOKUP($C43,$C$3:$D$15,2,FALSE)*CN$20),VLOOKUP($C43,$C$3:$D$15,2,FALSE)*CN$20-CM45)))</f>
        <v>0</v>
      </c>
      <c r="CO43" s="763">
        <f t="shared" ref="CO43" si="1436" xml:space="preserve">
IF(CN45&gt;=VLOOKUP($C43,$C$3:$D$15,2,FALSE)*CO$20,0,
IF(AND(CN45&lt;VLOOKUP($C43,$C$3:$D$15,2,FALSE)*CO$20,CO44&lt;=VLOOKUP($C43,$C$3:$D$15,2,FALSE)*CO$20),IF(CO44-CN45&lt;0,0,CO44-CN45),
IF(AND(CN45&lt;VLOOKUP($C43,$C$3:$D$15,2,FALSE)*CO$20,CO44&gt;VLOOKUP($C43,$C$3:$D$15,2,FALSE)*CO$20),VLOOKUP($C43,$C$3:$D$15,2,FALSE)*CO$20-CN45)))</f>
        <v>0</v>
      </c>
      <c r="CP43" s="763">
        <f t="shared" ref="CP43" si="1437" xml:space="preserve">
IF(CO45&gt;=VLOOKUP($C43,$C$3:$D$15,2,FALSE)*CP$20,0,
IF(AND(CO45&lt;VLOOKUP($C43,$C$3:$D$15,2,FALSE)*CP$20,CP44&lt;=VLOOKUP($C43,$C$3:$D$15,2,FALSE)*CP$20),IF(CP44-CO45&lt;0,0,CP44-CO45),
IF(AND(CO45&lt;VLOOKUP($C43,$C$3:$D$15,2,FALSE)*CP$20,CP44&gt;VLOOKUP($C43,$C$3:$D$15,2,FALSE)*CP$20),VLOOKUP($C43,$C$3:$D$15,2,FALSE)*CP$20-CO45)))</f>
        <v>0</v>
      </c>
      <c r="CQ43" s="763">
        <f t="shared" ref="CQ43" si="1438" xml:space="preserve">
IF(CP45&gt;=VLOOKUP($C43,$C$3:$D$15,2,FALSE)*CQ$20,0,
IF(AND(CP45&lt;VLOOKUP($C43,$C$3:$D$15,2,FALSE)*CQ$20,CQ44&lt;=VLOOKUP($C43,$C$3:$D$15,2,FALSE)*CQ$20),IF(CQ44-CP45&lt;0,0,CQ44-CP45),
IF(AND(CP45&lt;VLOOKUP($C43,$C$3:$D$15,2,FALSE)*CQ$20,CQ44&gt;VLOOKUP($C43,$C$3:$D$15,2,FALSE)*CQ$20),VLOOKUP($C43,$C$3:$D$15,2,FALSE)*CQ$20-CP45)))</f>
        <v>0</v>
      </c>
      <c r="CR43" s="763">
        <f t="shared" ref="CR43" si="1439" xml:space="preserve">
IF(CQ45&gt;=VLOOKUP($C43,$C$3:$D$15,2,FALSE)*CR$20,0,
IF(AND(CQ45&lt;VLOOKUP($C43,$C$3:$D$15,2,FALSE)*CR$20,CR44&lt;=VLOOKUP($C43,$C$3:$D$15,2,FALSE)*CR$20),IF(CR44-CQ45&lt;0,0,CR44-CQ45),
IF(AND(CQ45&lt;VLOOKUP($C43,$C$3:$D$15,2,FALSE)*CR$20,CR44&gt;VLOOKUP($C43,$C$3:$D$15,2,FALSE)*CR$20),VLOOKUP($C43,$C$3:$D$15,2,FALSE)*CR$20-CQ45)))</f>
        <v>0</v>
      </c>
      <c r="CS43" s="763">
        <f t="shared" ref="CS43" si="1440" xml:space="preserve">
IF(CR45&gt;=VLOOKUP($C43,$C$3:$D$15,2,FALSE)*CS$20,0,
IF(AND(CR45&lt;VLOOKUP($C43,$C$3:$D$15,2,FALSE)*CS$20,CS44&lt;=VLOOKUP($C43,$C$3:$D$15,2,FALSE)*CS$20),IF(CS44-CR45&lt;0,0,CS44-CR45),
IF(AND(CR45&lt;VLOOKUP($C43,$C$3:$D$15,2,FALSE)*CS$20,CS44&gt;VLOOKUP($C43,$C$3:$D$15,2,FALSE)*CS$20),VLOOKUP($C43,$C$3:$D$15,2,FALSE)*CS$20-CR45)))</f>
        <v>0</v>
      </c>
      <c r="CT43" s="763">
        <f t="shared" ref="CT43" si="1441" xml:space="preserve">
IF(CS45&gt;=VLOOKUP($C43,$C$3:$D$15,2,FALSE)*CT$20,0,
IF(AND(CS45&lt;VLOOKUP($C43,$C$3:$D$15,2,FALSE)*CT$20,CT44&lt;=VLOOKUP($C43,$C$3:$D$15,2,FALSE)*CT$20),IF(CT44-CS45&lt;0,0,CT44-CS45),
IF(AND(CS45&lt;VLOOKUP($C43,$C$3:$D$15,2,FALSE)*CT$20,CT44&gt;VLOOKUP($C43,$C$3:$D$15,2,FALSE)*CT$20),VLOOKUP($C43,$C$3:$D$15,2,FALSE)*CT$20-CS45)))</f>
        <v>0</v>
      </c>
      <c r="CU43" s="763">
        <f t="shared" ref="CU43" si="1442" xml:space="preserve">
IF(CT45&gt;=VLOOKUP($C43,$C$3:$D$15,2,FALSE)*CU$20,0,
IF(AND(CT45&lt;VLOOKUP($C43,$C$3:$D$15,2,FALSE)*CU$20,CU44&lt;=VLOOKUP($C43,$C$3:$D$15,2,FALSE)*CU$20),IF(CU44-CT45&lt;0,0,CU44-CT45),
IF(AND(CT45&lt;VLOOKUP($C43,$C$3:$D$15,2,FALSE)*CU$20,CU44&gt;VLOOKUP($C43,$C$3:$D$15,2,FALSE)*CU$20),VLOOKUP($C43,$C$3:$D$15,2,FALSE)*CU$20-CT45)))</f>
        <v>0</v>
      </c>
      <c r="CV43" s="763">
        <f t="shared" ref="CV43" si="1443" xml:space="preserve">
IF(CU45&gt;=VLOOKUP($C43,$C$3:$D$15,2,FALSE)*CV$20,0,
IF(AND(CU45&lt;VLOOKUP($C43,$C$3:$D$15,2,FALSE)*CV$20,CV44&lt;=VLOOKUP($C43,$C$3:$D$15,2,FALSE)*CV$20),IF(CV44-CU45&lt;0,0,CV44-CU45),
IF(AND(CU45&lt;VLOOKUP($C43,$C$3:$D$15,2,FALSE)*CV$20,CV44&gt;VLOOKUP($C43,$C$3:$D$15,2,FALSE)*CV$20),VLOOKUP($C43,$C$3:$D$15,2,FALSE)*CV$20-CU45)))</f>
        <v>0</v>
      </c>
      <c r="CW43" s="763">
        <f t="shared" ref="CW43" si="1444" xml:space="preserve">
IF(CV45&gt;=VLOOKUP($C43,$C$3:$D$15,2,FALSE)*CW$20,0,
IF(AND(CV45&lt;VLOOKUP($C43,$C$3:$D$15,2,FALSE)*CW$20,CW44&lt;=VLOOKUP($C43,$C$3:$D$15,2,FALSE)*CW$20),IF(CW44-CV45&lt;0,0,CW44-CV45),
IF(AND(CV45&lt;VLOOKUP($C43,$C$3:$D$15,2,FALSE)*CW$20,CW44&gt;VLOOKUP($C43,$C$3:$D$15,2,FALSE)*CW$20),VLOOKUP($C43,$C$3:$D$15,2,FALSE)*CW$20-CV45)))</f>
        <v>0</v>
      </c>
      <c r="CX43" s="763">
        <f t="shared" ref="CX43" si="1445" xml:space="preserve">
IF(CW45&gt;=VLOOKUP($C43,$C$3:$D$15,2,FALSE)*CX$20,0,
IF(AND(CW45&lt;VLOOKUP($C43,$C$3:$D$15,2,FALSE)*CX$20,CX44&lt;=VLOOKUP($C43,$C$3:$D$15,2,FALSE)*CX$20),IF(CX44-CW45&lt;0,0,CX44-CW45),
IF(AND(CW45&lt;VLOOKUP($C43,$C$3:$D$15,2,FALSE)*CX$20,CX44&gt;VLOOKUP($C43,$C$3:$D$15,2,FALSE)*CX$20),VLOOKUP($C43,$C$3:$D$15,2,FALSE)*CX$20-CW45)))</f>
        <v>0</v>
      </c>
      <c r="CY43" s="763">
        <f t="shared" ref="CY43" si="1446" xml:space="preserve">
IF(CX45&gt;=VLOOKUP($C43,$C$3:$D$15,2,FALSE)*CY$20,0,
IF(AND(CX45&lt;VLOOKUP($C43,$C$3:$D$15,2,FALSE)*CY$20,CY44&lt;=VLOOKUP($C43,$C$3:$D$15,2,FALSE)*CY$20),IF(CY44-CX45&lt;0,0,CY44-CX45),
IF(AND(CX45&lt;VLOOKUP($C43,$C$3:$D$15,2,FALSE)*CY$20,CY44&gt;VLOOKUP($C43,$C$3:$D$15,2,FALSE)*CY$20),VLOOKUP($C43,$C$3:$D$15,2,FALSE)*CY$20-CX45)))</f>
        <v>0</v>
      </c>
      <c r="CZ43" s="763">
        <f t="shared" ref="CZ43" si="1447" xml:space="preserve">
IF(CY45&gt;=VLOOKUP($C43,$C$3:$D$15,2,FALSE)*CZ$20,0,
IF(AND(CY45&lt;VLOOKUP($C43,$C$3:$D$15,2,FALSE)*CZ$20,CZ44&lt;=VLOOKUP($C43,$C$3:$D$15,2,FALSE)*CZ$20),IF(CZ44-CY45&lt;0,0,CZ44-CY45),
IF(AND(CY45&lt;VLOOKUP($C43,$C$3:$D$15,2,FALSE)*CZ$20,CZ44&gt;VLOOKUP($C43,$C$3:$D$15,2,FALSE)*CZ$20),VLOOKUP($C43,$C$3:$D$15,2,FALSE)*CZ$20-CY45)))</f>
        <v>0</v>
      </c>
      <c r="DA43" s="763">
        <f t="shared" ref="DA43" si="1448" xml:space="preserve">
IF(CZ45&gt;=VLOOKUP($C43,$C$3:$D$15,2,FALSE)*DA$20,0,
IF(AND(CZ45&lt;VLOOKUP($C43,$C$3:$D$15,2,FALSE)*DA$20,DA44&lt;=VLOOKUP($C43,$C$3:$D$15,2,FALSE)*DA$20),IF(DA44-CZ45&lt;0,0,DA44-CZ45),
IF(AND(CZ45&lt;VLOOKUP($C43,$C$3:$D$15,2,FALSE)*DA$20,DA44&gt;VLOOKUP($C43,$C$3:$D$15,2,FALSE)*DA$20),VLOOKUP($C43,$C$3:$D$15,2,FALSE)*DA$20-CZ45)))</f>
        <v>0</v>
      </c>
      <c r="DB43" s="763">
        <f t="shared" ref="DB43" si="1449" xml:space="preserve">
IF(DA45&gt;=VLOOKUP($C43,$C$3:$D$15,2,FALSE)*DB$20,0,
IF(AND(DA45&lt;VLOOKUP($C43,$C$3:$D$15,2,FALSE)*DB$20,DB44&lt;=VLOOKUP($C43,$C$3:$D$15,2,FALSE)*DB$20),IF(DB44-DA45&lt;0,0,DB44-DA45),
IF(AND(DA45&lt;VLOOKUP($C43,$C$3:$D$15,2,FALSE)*DB$20,DB44&gt;VLOOKUP($C43,$C$3:$D$15,2,FALSE)*DB$20),VLOOKUP($C43,$C$3:$D$15,2,FALSE)*DB$20-DA45)))</f>
        <v>0</v>
      </c>
      <c r="DC43" s="763">
        <f t="shared" ref="DC43" si="1450" xml:space="preserve">
IF(DB45&gt;=VLOOKUP($C43,$C$3:$D$15,2,FALSE)*DC$20,0,
IF(AND(DB45&lt;VLOOKUP($C43,$C$3:$D$15,2,FALSE)*DC$20,DC44&lt;=VLOOKUP($C43,$C$3:$D$15,2,FALSE)*DC$20),IF(DC44-DB45&lt;0,0,DC44-DB45),
IF(AND(DB45&lt;VLOOKUP($C43,$C$3:$D$15,2,FALSE)*DC$20,DC44&gt;VLOOKUP($C43,$C$3:$D$15,2,FALSE)*DC$20),VLOOKUP($C43,$C$3:$D$15,2,FALSE)*DC$20-DB45)))</f>
        <v>0</v>
      </c>
      <c r="DD43" s="763">
        <f t="shared" ref="DD43" si="1451" xml:space="preserve">
IF(DC45&gt;=VLOOKUP($C43,$C$3:$D$15,2,FALSE)*DD$20,0,
IF(AND(DC45&lt;VLOOKUP($C43,$C$3:$D$15,2,FALSE)*DD$20,DD44&lt;=VLOOKUP($C43,$C$3:$D$15,2,FALSE)*DD$20),IF(DD44-DC45&lt;0,0,DD44-DC45),
IF(AND(DC45&lt;VLOOKUP($C43,$C$3:$D$15,2,FALSE)*DD$20,DD44&gt;VLOOKUP($C43,$C$3:$D$15,2,FALSE)*DD$20),VLOOKUP($C43,$C$3:$D$15,2,FALSE)*DD$20-DC45)))</f>
        <v>0</v>
      </c>
      <c r="DE43" s="763">
        <f t="shared" ref="DE43" si="1452" xml:space="preserve">
IF(DD45&gt;=VLOOKUP($C43,$C$3:$D$15,2,FALSE)*DE$20,0,
IF(AND(DD45&lt;VLOOKUP($C43,$C$3:$D$15,2,FALSE)*DE$20,DE44&lt;=VLOOKUP($C43,$C$3:$D$15,2,FALSE)*DE$20),IF(DE44-DD45&lt;0,0,DE44-DD45),
IF(AND(DD45&lt;VLOOKUP($C43,$C$3:$D$15,2,FALSE)*DE$20,DE44&gt;VLOOKUP($C43,$C$3:$D$15,2,FALSE)*DE$20),VLOOKUP($C43,$C$3:$D$15,2,FALSE)*DE$20-DD45)))</f>
        <v>0</v>
      </c>
      <c r="DF43" s="763">
        <f t="shared" ref="DF43" si="1453" xml:space="preserve">
IF(DE45&gt;=VLOOKUP($C43,$C$3:$D$15,2,FALSE)*DF$20,0,
IF(AND(DE45&lt;VLOOKUP($C43,$C$3:$D$15,2,FALSE)*DF$20,DF44&lt;=VLOOKUP($C43,$C$3:$D$15,2,FALSE)*DF$20),IF(DF44-DE45&lt;0,0,DF44-DE45),
IF(AND(DE45&lt;VLOOKUP($C43,$C$3:$D$15,2,FALSE)*DF$20,DF44&gt;VLOOKUP($C43,$C$3:$D$15,2,FALSE)*DF$20),VLOOKUP($C43,$C$3:$D$15,2,FALSE)*DF$20-DE45)))</f>
        <v>0</v>
      </c>
      <c r="DG43" s="763">
        <f t="shared" ref="DG43" si="1454" xml:space="preserve">
IF(DF45&gt;=VLOOKUP($C43,$C$3:$D$15,2,FALSE)*DG$20,0,
IF(AND(DF45&lt;VLOOKUP($C43,$C$3:$D$15,2,FALSE)*DG$20,DG44&lt;=VLOOKUP($C43,$C$3:$D$15,2,FALSE)*DG$20),IF(DG44-DF45&lt;0,0,DG44-DF45),
IF(AND(DF45&lt;VLOOKUP($C43,$C$3:$D$15,2,FALSE)*DG$20,DG44&gt;VLOOKUP($C43,$C$3:$D$15,2,FALSE)*DG$20),VLOOKUP($C43,$C$3:$D$15,2,FALSE)*DG$20-DF45)))</f>
        <v>0</v>
      </c>
      <c r="DH43" s="763">
        <f t="shared" ref="DH43" si="1455" xml:space="preserve">
IF(DG45&gt;=VLOOKUP($C43,$C$3:$D$15,2,FALSE)*DH$20,0,
IF(AND(DG45&lt;VLOOKUP($C43,$C$3:$D$15,2,FALSE)*DH$20,DH44&lt;=VLOOKUP($C43,$C$3:$D$15,2,FALSE)*DH$20),IF(DH44-DG45&lt;0,0,DH44-DG45),
IF(AND(DG45&lt;VLOOKUP($C43,$C$3:$D$15,2,FALSE)*DH$20,DH44&gt;VLOOKUP($C43,$C$3:$D$15,2,FALSE)*DH$20),VLOOKUP($C43,$C$3:$D$15,2,FALSE)*DH$20-DG45)))</f>
        <v>0</v>
      </c>
      <c r="DI43" s="763">
        <f t="shared" ref="DI43" si="1456" xml:space="preserve">
IF(DH45&gt;=VLOOKUP($C43,$C$3:$D$15,2,FALSE)*DI$20,0,
IF(AND(DH45&lt;VLOOKUP($C43,$C$3:$D$15,2,FALSE)*DI$20,DI44&lt;=VLOOKUP($C43,$C$3:$D$15,2,FALSE)*DI$20),IF(DI44-DH45&lt;0,0,DI44-DH45),
IF(AND(DH45&lt;VLOOKUP($C43,$C$3:$D$15,2,FALSE)*DI$20,DI44&gt;VLOOKUP($C43,$C$3:$D$15,2,FALSE)*DI$20),VLOOKUP($C43,$C$3:$D$15,2,FALSE)*DI$20-DH45)))</f>
        <v>0</v>
      </c>
      <c r="DJ43" s="763">
        <f t="shared" ref="DJ43" si="1457" xml:space="preserve">
IF(DI45&gt;=VLOOKUP($C43,$C$3:$D$15,2,FALSE)*DJ$20,0,
IF(AND(DI45&lt;VLOOKUP($C43,$C$3:$D$15,2,FALSE)*DJ$20,DJ44&lt;=VLOOKUP($C43,$C$3:$D$15,2,FALSE)*DJ$20),IF(DJ44-DI45&lt;0,0,DJ44-DI45),
IF(AND(DI45&lt;VLOOKUP($C43,$C$3:$D$15,2,FALSE)*DJ$20,DJ44&gt;VLOOKUP($C43,$C$3:$D$15,2,FALSE)*DJ$20),VLOOKUP($C43,$C$3:$D$15,2,FALSE)*DJ$20-DI45)))</f>
        <v>0</v>
      </c>
      <c r="DK43" s="763">
        <f t="shared" ref="DK43" si="1458" xml:space="preserve">
IF(DJ45&gt;=VLOOKUP($C43,$C$3:$D$15,2,FALSE)*DK$20,0,
IF(AND(DJ45&lt;VLOOKUP($C43,$C$3:$D$15,2,FALSE)*DK$20,DK44&lt;=VLOOKUP($C43,$C$3:$D$15,2,FALSE)*DK$20),IF(DK44-DJ45&lt;0,0,DK44-DJ45),
IF(AND(DJ45&lt;VLOOKUP($C43,$C$3:$D$15,2,FALSE)*DK$20,DK44&gt;VLOOKUP($C43,$C$3:$D$15,2,FALSE)*DK$20),VLOOKUP($C43,$C$3:$D$15,2,FALSE)*DK$20-DJ45)))</f>
        <v>0</v>
      </c>
      <c r="DL43" s="763">
        <f t="shared" ref="DL43" si="1459" xml:space="preserve">
IF(DK45&gt;=VLOOKUP($C43,$C$3:$D$15,2,FALSE)*DL$20,0,
IF(AND(DK45&lt;VLOOKUP($C43,$C$3:$D$15,2,FALSE)*DL$20,DL44&lt;=VLOOKUP($C43,$C$3:$D$15,2,FALSE)*DL$20),IF(DL44-DK45&lt;0,0,DL44-DK45),
IF(AND(DK45&lt;VLOOKUP($C43,$C$3:$D$15,2,FALSE)*DL$20,DL44&gt;VLOOKUP($C43,$C$3:$D$15,2,FALSE)*DL$20),VLOOKUP($C43,$C$3:$D$15,2,FALSE)*DL$20-DK45)))</f>
        <v>0</v>
      </c>
      <c r="DM43" s="763">
        <f t="shared" ref="DM43" si="1460" xml:space="preserve">
IF(DL45&gt;=VLOOKUP($C43,$C$3:$D$15,2,FALSE)*DM$20,0,
IF(AND(DL45&lt;VLOOKUP($C43,$C$3:$D$15,2,FALSE)*DM$20,DM44&lt;=VLOOKUP($C43,$C$3:$D$15,2,FALSE)*DM$20),IF(DM44-DL45&lt;0,0,DM44-DL45),
IF(AND(DL45&lt;VLOOKUP($C43,$C$3:$D$15,2,FALSE)*DM$20,DM44&gt;VLOOKUP($C43,$C$3:$D$15,2,FALSE)*DM$20),VLOOKUP($C43,$C$3:$D$15,2,FALSE)*DM$20-DL45)))</f>
        <v>0</v>
      </c>
      <c r="DN43" s="763">
        <f t="shared" ref="DN43" si="1461" xml:space="preserve">
IF(DM45&gt;=VLOOKUP($C43,$C$3:$D$15,2,FALSE)*DN$20,0,
IF(AND(DM45&lt;VLOOKUP($C43,$C$3:$D$15,2,FALSE)*DN$20,DN44&lt;=VLOOKUP($C43,$C$3:$D$15,2,FALSE)*DN$20),IF(DN44-DM45&lt;0,0,DN44-DM45),
IF(AND(DM45&lt;VLOOKUP($C43,$C$3:$D$15,2,FALSE)*DN$20,DN44&gt;VLOOKUP($C43,$C$3:$D$15,2,FALSE)*DN$20),VLOOKUP($C43,$C$3:$D$15,2,FALSE)*DN$20-DM45)))</f>
        <v>0</v>
      </c>
      <c r="DO43" s="763">
        <f t="shared" ref="DO43" si="1462" xml:space="preserve">
IF(DN45&gt;=VLOOKUP($C43,$C$3:$D$15,2,FALSE)*DO$20,0,
IF(AND(DN45&lt;VLOOKUP($C43,$C$3:$D$15,2,FALSE)*DO$20,DO44&lt;=VLOOKUP($C43,$C$3:$D$15,2,FALSE)*DO$20),IF(DO44-DN45&lt;0,0,DO44-DN45),
IF(AND(DN45&lt;VLOOKUP($C43,$C$3:$D$15,2,FALSE)*DO$20,DO44&gt;VLOOKUP($C43,$C$3:$D$15,2,FALSE)*DO$20),VLOOKUP($C43,$C$3:$D$15,2,FALSE)*DO$20-DN45)))</f>
        <v>0</v>
      </c>
      <c r="DP43" s="763">
        <f t="shared" ref="DP43" si="1463" xml:space="preserve">
IF(DO45&gt;=VLOOKUP($C43,$C$3:$D$15,2,FALSE)*DP$20,0,
IF(AND(DO45&lt;VLOOKUP($C43,$C$3:$D$15,2,FALSE)*DP$20,DP44&lt;=VLOOKUP($C43,$C$3:$D$15,2,FALSE)*DP$20),IF(DP44-DO45&lt;0,0,DP44-DO45),
IF(AND(DO45&lt;VLOOKUP($C43,$C$3:$D$15,2,FALSE)*DP$20,DP44&gt;VLOOKUP($C43,$C$3:$D$15,2,FALSE)*DP$20),VLOOKUP($C43,$C$3:$D$15,2,FALSE)*DP$20-DO45)))</f>
        <v>0</v>
      </c>
      <c r="DQ43" s="763">
        <f t="shared" ref="DQ43" si="1464" xml:space="preserve">
IF(DP45&gt;=VLOOKUP($C43,$C$3:$D$15,2,FALSE)*DQ$20,0,
IF(AND(DP45&lt;VLOOKUP($C43,$C$3:$D$15,2,FALSE)*DQ$20,DQ44&lt;=VLOOKUP($C43,$C$3:$D$15,2,FALSE)*DQ$20),IF(DQ44-DP45&lt;0,0,DQ44-DP45),
IF(AND(DP45&lt;VLOOKUP($C43,$C$3:$D$15,2,FALSE)*DQ$20,DQ44&gt;VLOOKUP($C43,$C$3:$D$15,2,FALSE)*DQ$20),VLOOKUP($C43,$C$3:$D$15,2,FALSE)*DQ$20-DP45)))</f>
        <v>0</v>
      </c>
      <c r="DR43" s="763">
        <f t="shared" ref="DR43" si="1465" xml:space="preserve">
IF(DQ45&gt;=VLOOKUP($C43,$C$3:$D$15,2,FALSE)*DR$20,0,
IF(AND(DQ45&lt;VLOOKUP($C43,$C$3:$D$15,2,FALSE)*DR$20,DR44&lt;=VLOOKUP($C43,$C$3:$D$15,2,FALSE)*DR$20),IF(DR44-DQ45&lt;0,0,DR44-DQ45),
IF(AND(DQ45&lt;VLOOKUP($C43,$C$3:$D$15,2,FALSE)*DR$20,DR44&gt;VLOOKUP($C43,$C$3:$D$15,2,FALSE)*DR$20),VLOOKUP($C43,$C$3:$D$15,2,FALSE)*DR$20-DQ45)))</f>
        <v>0</v>
      </c>
      <c r="DS43" s="763">
        <f t="shared" ref="DS43" si="1466" xml:space="preserve">
IF(DR45&gt;=VLOOKUP($C43,$C$3:$D$15,2,FALSE)*DS$20,0,
IF(AND(DR45&lt;VLOOKUP($C43,$C$3:$D$15,2,FALSE)*DS$20,DS44&lt;=VLOOKUP($C43,$C$3:$D$15,2,FALSE)*DS$20),IF(DS44-DR45&lt;0,0,DS44-DR45),
IF(AND(DR45&lt;VLOOKUP($C43,$C$3:$D$15,2,FALSE)*DS$20,DS44&gt;VLOOKUP($C43,$C$3:$D$15,2,FALSE)*DS$20),VLOOKUP($C43,$C$3:$D$15,2,FALSE)*DS$20-DR45)))</f>
        <v>0</v>
      </c>
      <c r="DT43" s="763">
        <f t="shared" ref="DT43" si="1467" xml:space="preserve">
IF(DS45&gt;=VLOOKUP($C43,$C$3:$D$15,2,FALSE)*DT$20,0,
IF(AND(DS45&lt;VLOOKUP($C43,$C$3:$D$15,2,FALSE)*DT$20,DT44&lt;=VLOOKUP($C43,$C$3:$D$15,2,FALSE)*DT$20),IF(DT44-DS45&lt;0,0,DT44-DS45),
IF(AND(DS45&lt;VLOOKUP($C43,$C$3:$D$15,2,FALSE)*DT$20,DT44&gt;VLOOKUP($C43,$C$3:$D$15,2,FALSE)*DT$20),VLOOKUP($C43,$C$3:$D$15,2,FALSE)*DT$20-DS45)))</f>
        <v>0</v>
      </c>
      <c r="DU43" s="763">
        <f t="shared" ref="DU43" si="1468" xml:space="preserve">
IF(DT45&gt;=VLOOKUP($C43,$C$3:$D$15,2,FALSE)*DU$20,0,
IF(AND(DT45&lt;VLOOKUP($C43,$C$3:$D$15,2,FALSE)*DU$20,DU44&lt;=VLOOKUP($C43,$C$3:$D$15,2,FALSE)*DU$20),IF(DU44-DT45&lt;0,0,DU44-DT45),
IF(AND(DT45&lt;VLOOKUP($C43,$C$3:$D$15,2,FALSE)*DU$20,DU44&gt;VLOOKUP($C43,$C$3:$D$15,2,FALSE)*DU$20),VLOOKUP($C43,$C$3:$D$15,2,FALSE)*DU$20-DT45)))</f>
        <v>0</v>
      </c>
      <c r="DV43" s="763">
        <f t="shared" ref="DV43" si="1469" xml:space="preserve">
IF(DU45&gt;=VLOOKUP($C43,$C$3:$D$15,2,FALSE)*DV$20,0,
IF(AND(DU45&lt;VLOOKUP($C43,$C$3:$D$15,2,FALSE)*DV$20,DV44&lt;=VLOOKUP($C43,$C$3:$D$15,2,FALSE)*DV$20),IF(DV44-DU45&lt;0,0,DV44-DU45),
IF(AND(DU45&lt;VLOOKUP($C43,$C$3:$D$15,2,FALSE)*DV$20,DV44&gt;VLOOKUP($C43,$C$3:$D$15,2,FALSE)*DV$20),VLOOKUP($C43,$C$3:$D$15,2,FALSE)*DV$20-DU45)))</f>
        <v>0</v>
      </c>
      <c r="DW43" s="763">
        <f t="shared" ref="DW43" si="1470" xml:space="preserve">
IF(DV45&gt;=VLOOKUP($C43,$C$3:$D$15,2,FALSE)*DW$20,0,
IF(AND(DV45&lt;VLOOKUP($C43,$C$3:$D$15,2,FALSE)*DW$20,DW44&lt;=VLOOKUP($C43,$C$3:$D$15,2,FALSE)*DW$20),IF(DW44-DV45&lt;0,0,DW44-DV45),
IF(AND(DV45&lt;VLOOKUP($C43,$C$3:$D$15,2,FALSE)*DW$20,DW44&gt;VLOOKUP($C43,$C$3:$D$15,2,FALSE)*DW$20),VLOOKUP($C43,$C$3:$D$15,2,FALSE)*DW$20-DV45)))</f>
        <v>0</v>
      </c>
      <c r="DX43" s="763">
        <f t="shared" ref="DX43" si="1471" xml:space="preserve">
IF(DW45&gt;=VLOOKUP($C43,$C$3:$D$15,2,FALSE)*DX$20,0,
IF(AND(DW45&lt;VLOOKUP($C43,$C$3:$D$15,2,FALSE)*DX$20,DX44&lt;=VLOOKUP($C43,$C$3:$D$15,2,FALSE)*DX$20),IF(DX44-DW45&lt;0,0,DX44-DW45),
IF(AND(DW45&lt;VLOOKUP($C43,$C$3:$D$15,2,FALSE)*DX$20,DX44&gt;VLOOKUP($C43,$C$3:$D$15,2,FALSE)*DX$20),VLOOKUP($C43,$C$3:$D$15,2,FALSE)*DX$20-DW45)))</f>
        <v>0</v>
      </c>
      <c r="DY43" s="763">
        <f t="shared" ref="DY43" si="1472" xml:space="preserve">
IF(DX45&gt;=VLOOKUP($C43,$C$3:$D$15,2,FALSE)*DY$20,0,
IF(AND(DX45&lt;VLOOKUP($C43,$C$3:$D$15,2,FALSE)*DY$20,DY44&lt;=VLOOKUP($C43,$C$3:$D$15,2,FALSE)*DY$20),IF(DY44-DX45&lt;0,0,DY44-DX45),
IF(AND(DX45&lt;VLOOKUP($C43,$C$3:$D$15,2,FALSE)*DY$20,DY44&gt;VLOOKUP($C43,$C$3:$D$15,2,FALSE)*DY$20),VLOOKUP($C43,$C$3:$D$15,2,FALSE)*DY$20-DX45)))</f>
        <v>0</v>
      </c>
      <c r="DZ43" s="763">
        <f t="shared" ref="DZ43" si="1473" xml:space="preserve">
IF(DY45&gt;=VLOOKUP($C43,$C$3:$D$15,2,FALSE)*DZ$20,0,
IF(AND(DY45&lt;VLOOKUP($C43,$C$3:$D$15,2,FALSE)*DZ$20,DZ44&lt;=VLOOKUP($C43,$C$3:$D$15,2,FALSE)*DZ$20),IF(DZ44-DY45&lt;0,0,DZ44-DY45),
IF(AND(DY45&lt;VLOOKUP($C43,$C$3:$D$15,2,FALSE)*DZ$20,DZ44&gt;VLOOKUP($C43,$C$3:$D$15,2,FALSE)*DZ$20),VLOOKUP($C43,$C$3:$D$15,2,FALSE)*DZ$20-DY45)))</f>
        <v>0</v>
      </c>
      <c r="EA43" s="763">
        <f t="shared" ref="EA43" si="1474" xml:space="preserve">
IF(DZ45&gt;=VLOOKUP($C43,$C$3:$D$15,2,FALSE)*EA$20,0,
IF(AND(DZ45&lt;VLOOKUP($C43,$C$3:$D$15,2,FALSE)*EA$20,EA44&lt;=VLOOKUP($C43,$C$3:$D$15,2,FALSE)*EA$20),IF(EA44-DZ45&lt;0,0,EA44-DZ45),
IF(AND(DZ45&lt;VLOOKUP($C43,$C$3:$D$15,2,FALSE)*EA$20,EA44&gt;VLOOKUP($C43,$C$3:$D$15,2,FALSE)*EA$20),VLOOKUP($C43,$C$3:$D$15,2,FALSE)*EA$20-DZ45)))</f>
        <v>0</v>
      </c>
      <c r="EB43" s="763">
        <f t="shared" ref="EB43" si="1475" xml:space="preserve">
IF(EA45&gt;=VLOOKUP($C43,$C$3:$D$15,2,FALSE)*EB$20,0,
IF(AND(EA45&lt;VLOOKUP($C43,$C$3:$D$15,2,FALSE)*EB$20,EB44&lt;=VLOOKUP($C43,$C$3:$D$15,2,FALSE)*EB$20),IF(EB44-EA45&lt;0,0,EB44-EA45),
IF(AND(EA45&lt;VLOOKUP($C43,$C$3:$D$15,2,FALSE)*EB$20,EB44&gt;VLOOKUP($C43,$C$3:$D$15,2,FALSE)*EB$20),VLOOKUP($C43,$C$3:$D$15,2,FALSE)*EB$20-EA45)))</f>
        <v>0</v>
      </c>
      <c r="EC43" s="763">
        <f t="shared" ref="EC43" si="1476" xml:space="preserve">
IF(EB45&gt;=VLOOKUP($C43,$C$3:$D$15,2,FALSE)*EC$20,0,
IF(AND(EB45&lt;VLOOKUP($C43,$C$3:$D$15,2,FALSE)*EC$20,EC44&lt;=VLOOKUP($C43,$C$3:$D$15,2,FALSE)*EC$20),IF(EC44-EB45&lt;0,0,EC44-EB45),
IF(AND(EB45&lt;VLOOKUP($C43,$C$3:$D$15,2,FALSE)*EC$20,EC44&gt;VLOOKUP($C43,$C$3:$D$15,2,FALSE)*EC$20),VLOOKUP($C43,$C$3:$D$15,2,FALSE)*EC$20-EB45)))</f>
        <v>0</v>
      </c>
      <c r="ED43" s="763">
        <f t="shared" ref="ED43" si="1477" xml:space="preserve">
IF(EC45&gt;=VLOOKUP($C43,$C$3:$D$15,2,FALSE)*ED$20,0,
IF(AND(EC45&lt;VLOOKUP($C43,$C$3:$D$15,2,FALSE)*ED$20,ED44&lt;=VLOOKUP($C43,$C$3:$D$15,2,FALSE)*ED$20),IF(ED44-EC45&lt;0,0,ED44-EC45),
IF(AND(EC45&lt;VLOOKUP($C43,$C$3:$D$15,2,FALSE)*ED$20,ED44&gt;VLOOKUP($C43,$C$3:$D$15,2,FALSE)*ED$20),VLOOKUP($C43,$C$3:$D$15,2,FALSE)*ED$20-EC45)))</f>
        <v>0</v>
      </c>
      <c r="EE43" s="763">
        <f t="shared" ref="EE43" si="1478" xml:space="preserve">
IF(ED45&gt;=VLOOKUP($C43,$C$3:$D$15,2,FALSE)*EE$20,0,
IF(AND(ED45&lt;VLOOKUP($C43,$C$3:$D$15,2,FALSE)*EE$20,EE44&lt;=VLOOKUP($C43,$C$3:$D$15,2,FALSE)*EE$20),IF(EE44-ED45&lt;0,0,EE44-ED45),
IF(AND(ED45&lt;VLOOKUP($C43,$C$3:$D$15,2,FALSE)*EE$20,EE44&gt;VLOOKUP($C43,$C$3:$D$15,2,FALSE)*EE$20),VLOOKUP($C43,$C$3:$D$15,2,FALSE)*EE$20-ED45)))</f>
        <v>0</v>
      </c>
      <c r="EF43" s="763">
        <f t="shared" ref="EF43" si="1479" xml:space="preserve">
IF(EE45&gt;=VLOOKUP($C43,$C$3:$D$15,2,FALSE)*EF$20,0,
IF(AND(EE45&lt;VLOOKUP($C43,$C$3:$D$15,2,FALSE)*EF$20,EF44&lt;=VLOOKUP($C43,$C$3:$D$15,2,FALSE)*EF$20),IF(EF44-EE45&lt;0,0,EF44-EE45),
IF(AND(EE45&lt;VLOOKUP($C43,$C$3:$D$15,2,FALSE)*EF$20,EF44&gt;VLOOKUP($C43,$C$3:$D$15,2,FALSE)*EF$20),VLOOKUP($C43,$C$3:$D$15,2,FALSE)*EF$20-EE45)))</f>
        <v>0</v>
      </c>
      <c r="EG43" s="763">
        <f t="shared" ref="EG43" si="1480" xml:space="preserve">
IF(EF45&gt;=VLOOKUP($C43,$C$3:$D$15,2,FALSE)*EG$20,0,
IF(AND(EF45&lt;VLOOKUP($C43,$C$3:$D$15,2,FALSE)*EG$20,EG44&lt;=VLOOKUP($C43,$C$3:$D$15,2,FALSE)*EG$20),IF(EG44-EF45&lt;0,0,EG44-EF45),
IF(AND(EF45&lt;VLOOKUP($C43,$C$3:$D$15,2,FALSE)*EG$20,EG44&gt;VLOOKUP($C43,$C$3:$D$15,2,FALSE)*EG$20),VLOOKUP($C43,$C$3:$D$15,2,FALSE)*EG$20-EF45)))</f>
        <v>0</v>
      </c>
      <c r="EH43" s="763">
        <f t="shared" ref="EH43" si="1481" xml:space="preserve">
IF(EG45&gt;=VLOOKUP($C43,$C$3:$D$15,2,FALSE)*EH$20,0,
IF(AND(EG45&lt;VLOOKUP($C43,$C$3:$D$15,2,FALSE)*EH$20,EH44&lt;=VLOOKUP($C43,$C$3:$D$15,2,FALSE)*EH$20),IF(EH44-EG45&lt;0,0,EH44-EG45),
IF(AND(EG45&lt;VLOOKUP($C43,$C$3:$D$15,2,FALSE)*EH$20,EH44&gt;VLOOKUP($C43,$C$3:$D$15,2,FALSE)*EH$20),VLOOKUP($C43,$C$3:$D$15,2,FALSE)*EH$20-EG45)))</f>
        <v>0</v>
      </c>
      <c r="EI43" s="763">
        <f t="shared" ref="EI43" si="1482" xml:space="preserve">
IF(EH45&gt;=VLOOKUP($C43,$C$3:$D$15,2,FALSE)*EI$20,0,
IF(AND(EH45&lt;VLOOKUP($C43,$C$3:$D$15,2,FALSE)*EI$20,EI44&lt;=VLOOKUP($C43,$C$3:$D$15,2,FALSE)*EI$20),IF(EI44-EH45&lt;0,0,EI44-EH45),
IF(AND(EH45&lt;VLOOKUP($C43,$C$3:$D$15,2,FALSE)*EI$20,EI44&gt;VLOOKUP($C43,$C$3:$D$15,2,FALSE)*EI$20),VLOOKUP($C43,$C$3:$D$15,2,FALSE)*EI$20-EH45)))</f>
        <v>0</v>
      </c>
      <c r="EJ43" s="763">
        <f t="shared" ref="EJ43" si="1483" xml:space="preserve">
IF(EI45&gt;=VLOOKUP($C43,$C$3:$D$15,2,FALSE)*EJ$20,0,
IF(AND(EI45&lt;VLOOKUP($C43,$C$3:$D$15,2,FALSE)*EJ$20,EJ44&lt;=VLOOKUP($C43,$C$3:$D$15,2,FALSE)*EJ$20),IF(EJ44-EI45&lt;0,0,EJ44-EI45),
IF(AND(EI45&lt;VLOOKUP($C43,$C$3:$D$15,2,FALSE)*EJ$20,EJ44&gt;VLOOKUP($C43,$C$3:$D$15,2,FALSE)*EJ$20),VLOOKUP($C43,$C$3:$D$15,2,FALSE)*EJ$20-EI45)))</f>
        <v>0</v>
      </c>
      <c r="EK43" s="763">
        <f t="shared" ref="EK43" si="1484" xml:space="preserve">
IF(EJ45&gt;=VLOOKUP($C43,$C$3:$D$15,2,FALSE)*EK$20,0,
IF(AND(EJ45&lt;VLOOKUP($C43,$C$3:$D$15,2,FALSE)*EK$20,EK44&lt;=VLOOKUP($C43,$C$3:$D$15,2,FALSE)*EK$20),IF(EK44-EJ45&lt;0,0,EK44-EJ45),
IF(AND(EJ45&lt;VLOOKUP($C43,$C$3:$D$15,2,FALSE)*EK$20,EK44&gt;VLOOKUP($C43,$C$3:$D$15,2,FALSE)*EK$20),VLOOKUP($C43,$C$3:$D$15,2,FALSE)*EK$20-EJ45)))</f>
        <v>0</v>
      </c>
      <c r="EL43" s="763">
        <f t="shared" ref="EL43" si="1485" xml:space="preserve">
IF(EK45&gt;=VLOOKUP($C43,$C$3:$D$15,2,FALSE)*EL$20,0,
IF(AND(EK45&lt;VLOOKUP($C43,$C$3:$D$15,2,FALSE)*EL$20,EL44&lt;=VLOOKUP($C43,$C$3:$D$15,2,FALSE)*EL$20),IF(EL44-EK45&lt;0,0,EL44-EK45),
IF(AND(EK45&lt;VLOOKUP($C43,$C$3:$D$15,2,FALSE)*EL$20,EL44&gt;VLOOKUP($C43,$C$3:$D$15,2,FALSE)*EL$20),VLOOKUP($C43,$C$3:$D$15,2,FALSE)*EL$20-EK45)))</f>
        <v>0</v>
      </c>
      <c r="EM43" s="763">
        <f t="shared" ref="EM43" si="1486" xml:space="preserve">
IF(EL45&gt;=VLOOKUP($C43,$C$3:$D$15,2,FALSE)*EM$20,0,
IF(AND(EL45&lt;VLOOKUP($C43,$C$3:$D$15,2,FALSE)*EM$20,EM44&lt;=VLOOKUP($C43,$C$3:$D$15,2,FALSE)*EM$20),IF(EM44-EL45&lt;0,0,EM44-EL45),
IF(AND(EL45&lt;VLOOKUP($C43,$C$3:$D$15,2,FALSE)*EM$20,EM44&gt;VLOOKUP($C43,$C$3:$D$15,2,FALSE)*EM$20),VLOOKUP($C43,$C$3:$D$15,2,FALSE)*EM$20-EL45)))</f>
        <v>0</v>
      </c>
      <c r="EN43" s="763">
        <f t="shared" ref="EN43" si="1487" xml:space="preserve">
IF(EM45&gt;=VLOOKUP($C43,$C$3:$D$15,2,FALSE)*EN$20,0,
IF(AND(EM45&lt;VLOOKUP($C43,$C$3:$D$15,2,FALSE)*EN$20,EN44&lt;=VLOOKUP($C43,$C$3:$D$15,2,FALSE)*EN$20),IF(EN44-EM45&lt;0,0,EN44-EM45),
IF(AND(EM45&lt;VLOOKUP($C43,$C$3:$D$15,2,FALSE)*EN$20,EN44&gt;VLOOKUP($C43,$C$3:$D$15,2,FALSE)*EN$20),VLOOKUP($C43,$C$3:$D$15,2,FALSE)*EN$20-EM45)))</f>
        <v>0</v>
      </c>
      <c r="EO43" s="763">
        <f t="shared" ref="EO43" si="1488" xml:space="preserve">
IF(EN45&gt;=VLOOKUP($C43,$C$3:$D$15,2,FALSE)*EO$20,0,
IF(AND(EN45&lt;VLOOKUP($C43,$C$3:$D$15,2,FALSE)*EO$20,EO44&lt;=VLOOKUP($C43,$C$3:$D$15,2,FALSE)*EO$20),IF(EO44-EN45&lt;0,0,EO44-EN45),
IF(AND(EN45&lt;VLOOKUP($C43,$C$3:$D$15,2,FALSE)*EO$20,EO44&gt;VLOOKUP($C43,$C$3:$D$15,2,FALSE)*EO$20),VLOOKUP($C43,$C$3:$D$15,2,FALSE)*EO$20-EN45)))</f>
        <v>0</v>
      </c>
      <c r="EP43" s="763">
        <f t="shared" ref="EP43" si="1489" xml:space="preserve">
IF(EO45&gt;=VLOOKUP($C43,$C$3:$D$15,2,FALSE)*EP$20,0,
IF(AND(EO45&lt;VLOOKUP($C43,$C$3:$D$15,2,FALSE)*EP$20,EP44&lt;=VLOOKUP($C43,$C$3:$D$15,2,FALSE)*EP$20),IF(EP44-EO45&lt;0,0,EP44-EO45),
IF(AND(EO45&lt;VLOOKUP($C43,$C$3:$D$15,2,FALSE)*EP$20,EP44&gt;VLOOKUP($C43,$C$3:$D$15,2,FALSE)*EP$20),VLOOKUP($C43,$C$3:$D$15,2,FALSE)*EP$20-EO45)))</f>
        <v>0</v>
      </c>
      <c r="EQ43" s="763">
        <f t="shared" ref="EQ43" si="1490" xml:space="preserve">
IF(EP45&gt;=VLOOKUP($C43,$C$3:$D$15,2,FALSE)*EQ$20,0,
IF(AND(EP45&lt;VLOOKUP($C43,$C$3:$D$15,2,FALSE)*EQ$20,EQ44&lt;=VLOOKUP($C43,$C$3:$D$15,2,FALSE)*EQ$20),IF(EQ44-EP45&lt;0,0,EQ44-EP45),
IF(AND(EP45&lt;VLOOKUP($C43,$C$3:$D$15,2,FALSE)*EQ$20,EQ44&gt;VLOOKUP($C43,$C$3:$D$15,2,FALSE)*EQ$20),VLOOKUP($C43,$C$3:$D$15,2,FALSE)*EQ$20-EP45)))</f>
        <v>0</v>
      </c>
      <c r="ER43" s="763">
        <f t="shared" ref="ER43" si="1491" xml:space="preserve">
IF(EQ45&gt;=VLOOKUP($C43,$C$3:$D$15,2,FALSE)*ER$20,0,
IF(AND(EQ45&lt;VLOOKUP($C43,$C$3:$D$15,2,FALSE)*ER$20,ER44&lt;=VLOOKUP($C43,$C$3:$D$15,2,FALSE)*ER$20),IF(ER44-EQ45&lt;0,0,ER44-EQ45),
IF(AND(EQ45&lt;VLOOKUP($C43,$C$3:$D$15,2,FALSE)*ER$20,ER44&gt;VLOOKUP($C43,$C$3:$D$15,2,FALSE)*ER$20),VLOOKUP($C43,$C$3:$D$15,2,FALSE)*ER$20-EQ45)))</f>
        <v>0</v>
      </c>
      <c r="ES43" s="763">
        <f t="shared" ref="ES43" si="1492" xml:space="preserve">
IF(ER45&gt;=VLOOKUP($C43,$C$3:$D$15,2,FALSE)*ES$20,0,
IF(AND(ER45&lt;VLOOKUP($C43,$C$3:$D$15,2,FALSE)*ES$20,ES44&lt;=VLOOKUP($C43,$C$3:$D$15,2,FALSE)*ES$20),IF(ES44-ER45&lt;0,0,ES44-ER45),
IF(AND(ER45&lt;VLOOKUP($C43,$C$3:$D$15,2,FALSE)*ES$20,ES44&gt;VLOOKUP($C43,$C$3:$D$15,2,FALSE)*ES$20),VLOOKUP($C43,$C$3:$D$15,2,FALSE)*ES$20-ER45)))</f>
        <v>0</v>
      </c>
      <c r="ET43" s="763">
        <f t="shared" ref="ET43" si="1493" xml:space="preserve">
IF(ES45&gt;=VLOOKUP($C43,$C$3:$D$15,2,FALSE)*ET$20,0,
IF(AND(ES45&lt;VLOOKUP($C43,$C$3:$D$15,2,FALSE)*ET$20,ET44&lt;=VLOOKUP($C43,$C$3:$D$15,2,FALSE)*ET$20),IF(ET44-ES45&lt;0,0,ET44-ES45),
IF(AND(ES45&lt;VLOOKUP($C43,$C$3:$D$15,2,FALSE)*ET$20,ET44&gt;VLOOKUP($C43,$C$3:$D$15,2,FALSE)*ET$20),VLOOKUP($C43,$C$3:$D$15,2,FALSE)*ET$20-ES45)))</f>
        <v>0</v>
      </c>
      <c r="EU43" s="763">
        <f t="shared" ref="EU43" si="1494" xml:space="preserve">
IF(ET45&gt;=VLOOKUP($C43,$C$3:$D$15,2,FALSE)*EU$20,0,
IF(AND(ET45&lt;VLOOKUP($C43,$C$3:$D$15,2,FALSE)*EU$20,EU44&lt;=VLOOKUP($C43,$C$3:$D$15,2,FALSE)*EU$20),IF(EU44-ET45&lt;0,0,EU44-ET45),
IF(AND(ET45&lt;VLOOKUP($C43,$C$3:$D$15,2,FALSE)*EU$20,EU44&gt;VLOOKUP($C43,$C$3:$D$15,2,FALSE)*EU$20),VLOOKUP($C43,$C$3:$D$15,2,FALSE)*EU$20-ET45)))</f>
        <v>0</v>
      </c>
      <c r="EV43" s="763">
        <f t="shared" ref="EV43" si="1495" xml:space="preserve">
IF(EU45&gt;=VLOOKUP($C43,$C$3:$D$15,2,FALSE)*EV$20,0,
IF(AND(EU45&lt;VLOOKUP($C43,$C$3:$D$15,2,FALSE)*EV$20,EV44&lt;=VLOOKUP($C43,$C$3:$D$15,2,FALSE)*EV$20),IF(EV44-EU45&lt;0,0,EV44-EU45),
IF(AND(EU45&lt;VLOOKUP($C43,$C$3:$D$15,2,FALSE)*EV$20,EV44&gt;VLOOKUP($C43,$C$3:$D$15,2,FALSE)*EV$20),VLOOKUP($C43,$C$3:$D$15,2,FALSE)*EV$20-EU45)))</f>
        <v>0</v>
      </c>
      <c r="EW43" s="763">
        <f t="shared" ref="EW43" si="1496" xml:space="preserve">
IF(EV45&gt;=VLOOKUP($C43,$C$3:$D$15,2,FALSE)*EW$20,0,
IF(AND(EV45&lt;VLOOKUP($C43,$C$3:$D$15,2,FALSE)*EW$20,EW44&lt;=VLOOKUP($C43,$C$3:$D$15,2,FALSE)*EW$20),IF(EW44-EV45&lt;0,0,EW44-EV45),
IF(AND(EV45&lt;VLOOKUP($C43,$C$3:$D$15,2,FALSE)*EW$20,EW44&gt;VLOOKUP($C43,$C$3:$D$15,2,FALSE)*EW$20),VLOOKUP($C43,$C$3:$D$15,2,FALSE)*EW$20-EV45)))</f>
        <v>0</v>
      </c>
      <c r="EX43" s="763">
        <f t="shared" ref="EX43" si="1497" xml:space="preserve">
IF(EW45&gt;=VLOOKUP($C43,$C$3:$D$15,2,FALSE)*EX$20,0,
IF(AND(EW45&lt;VLOOKUP($C43,$C$3:$D$15,2,FALSE)*EX$20,EX44&lt;=VLOOKUP($C43,$C$3:$D$15,2,FALSE)*EX$20),IF(EX44-EW45&lt;0,0,EX44-EW45),
IF(AND(EW45&lt;VLOOKUP($C43,$C$3:$D$15,2,FALSE)*EX$20,EX44&gt;VLOOKUP($C43,$C$3:$D$15,2,FALSE)*EX$20),VLOOKUP($C43,$C$3:$D$15,2,FALSE)*EX$20-EW45)))</f>
        <v>0</v>
      </c>
      <c r="EY43" s="763">
        <f t="shared" ref="EY43" si="1498" xml:space="preserve">
IF(EX45&gt;=VLOOKUP($C43,$C$3:$D$15,2,FALSE)*EY$20,0,
IF(AND(EX45&lt;VLOOKUP($C43,$C$3:$D$15,2,FALSE)*EY$20,EY44&lt;=VLOOKUP($C43,$C$3:$D$15,2,FALSE)*EY$20),IF(EY44-EX45&lt;0,0,EY44-EX45),
IF(AND(EX45&lt;VLOOKUP($C43,$C$3:$D$15,2,FALSE)*EY$20,EY44&gt;VLOOKUP($C43,$C$3:$D$15,2,FALSE)*EY$20),VLOOKUP($C43,$C$3:$D$15,2,FALSE)*EY$20-EX45)))</f>
        <v>0</v>
      </c>
      <c r="EZ43" s="763">
        <f t="shared" ref="EZ43" si="1499" xml:space="preserve">
IF(EY45&gt;=VLOOKUP($C43,$C$3:$D$15,2,FALSE)*EZ$20,0,
IF(AND(EY45&lt;VLOOKUP($C43,$C$3:$D$15,2,FALSE)*EZ$20,EZ44&lt;=VLOOKUP($C43,$C$3:$D$15,2,FALSE)*EZ$20),IF(EZ44-EY45&lt;0,0,EZ44-EY45),
IF(AND(EY45&lt;VLOOKUP($C43,$C$3:$D$15,2,FALSE)*EZ$20,EZ44&gt;VLOOKUP($C43,$C$3:$D$15,2,FALSE)*EZ$20),VLOOKUP($C43,$C$3:$D$15,2,FALSE)*EZ$20-EY45)))</f>
        <v>0</v>
      </c>
      <c r="FA43" s="763">
        <f t="shared" ref="FA43" si="1500" xml:space="preserve">
IF(EZ45&gt;=VLOOKUP($C43,$C$3:$D$15,2,FALSE)*FA$20,0,
IF(AND(EZ45&lt;VLOOKUP($C43,$C$3:$D$15,2,FALSE)*FA$20,FA44&lt;=VLOOKUP($C43,$C$3:$D$15,2,FALSE)*FA$20),IF(FA44-EZ45&lt;0,0,FA44-EZ45),
IF(AND(EZ45&lt;VLOOKUP($C43,$C$3:$D$15,2,FALSE)*FA$20,FA44&gt;VLOOKUP($C43,$C$3:$D$15,2,FALSE)*FA$20),VLOOKUP($C43,$C$3:$D$15,2,FALSE)*FA$20-EZ45)))</f>
        <v>0</v>
      </c>
      <c r="FB43" s="763">
        <f t="shared" ref="FB43" si="1501" xml:space="preserve">
IF(FA45&gt;=VLOOKUP($C43,$C$3:$D$15,2,FALSE)*FB$20,0,
IF(AND(FA45&lt;VLOOKUP($C43,$C$3:$D$15,2,FALSE)*FB$20,FB44&lt;=VLOOKUP($C43,$C$3:$D$15,2,FALSE)*FB$20),IF(FB44-FA45&lt;0,0,FB44-FA45),
IF(AND(FA45&lt;VLOOKUP($C43,$C$3:$D$15,2,FALSE)*FB$20,FB44&gt;VLOOKUP($C43,$C$3:$D$15,2,FALSE)*FB$20),VLOOKUP($C43,$C$3:$D$15,2,FALSE)*FB$20-FA45)))</f>
        <v>0</v>
      </c>
      <c r="FC43" s="763">
        <f t="shared" ref="FC43" si="1502" xml:space="preserve">
IF(FB45&gt;=VLOOKUP($C43,$C$3:$D$15,2,FALSE)*FC$20,0,
IF(AND(FB45&lt;VLOOKUP($C43,$C$3:$D$15,2,FALSE)*FC$20,FC44&lt;=VLOOKUP($C43,$C$3:$D$15,2,FALSE)*FC$20),IF(FC44-FB45&lt;0,0,FC44-FB45),
IF(AND(FB45&lt;VLOOKUP($C43,$C$3:$D$15,2,FALSE)*FC$20,FC44&gt;VLOOKUP($C43,$C$3:$D$15,2,FALSE)*FC$20),VLOOKUP($C43,$C$3:$D$15,2,FALSE)*FC$20-FB45)))</f>
        <v>0</v>
      </c>
      <c r="FD43" s="763">
        <f t="shared" ref="FD43" si="1503" xml:space="preserve">
IF(FC45&gt;=VLOOKUP($C43,$C$3:$D$15,2,FALSE)*FD$20,0,
IF(AND(FC45&lt;VLOOKUP($C43,$C$3:$D$15,2,FALSE)*FD$20,FD44&lt;=VLOOKUP($C43,$C$3:$D$15,2,FALSE)*FD$20),IF(FD44-FC45&lt;0,0,FD44-FC45),
IF(AND(FC45&lt;VLOOKUP($C43,$C$3:$D$15,2,FALSE)*FD$20,FD44&gt;VLOOKUP($C43,$C$3:$D$15,2,FALSE)*FD$20),VLOOKUP($C43,$C$3:$D$15,2,FALSE)*FD$20-FC45)))</f>
        <v>0</v>
      </c>
      <c r="FE43" s="763">
        <f t="shared" ref="FE43" si="1504" xml:space="preserve">
IF(FD45&gt;=VLOOKUP($C43,$C$3:$D$15,2,FALSE)*FE$20,0,
IF(AND(FD45&lt;VLOOKUP($C43,$C$3:$D$15,2,FALSE)*FE$20,FE44&lt;=VLOOKUP($C43,$C$3:$D$15,2,FALSE)*FE$20),IF(FE44-FD45&lt;0,0,FE44-FD45),
IF(AND(FD45&lt;VLOOKUP($C43,$C$3:$D$15,2,FALSE)*FE$20,FE44&gt;VLOOKUP($C43,$C$3:$D$15,2,FALSE)*FE$20),VLOOKUP($C43,$C$3:$D$15,2,FALSE)*FE$20-FD45)))</f>
        <v>0</v>
      </c>
      <c r="FF43" s="763">
        <f t="shared" ref="FF43" si="1505" xml:space="preserve">
IF(FE45&gt;=VLOOKUP($C43,$C$3:$D$15,2,FALSE)*FF$20,0,
IF(AND(FE45&lt;VLOOKUP($C43,$C$3:$D$15,2,FALSE)*FF$20,FF44&lt;=VLOOKUP($C43,$C$3:$D$15,2,FALSE)*FF$20),IF(FF44-FE45&lt;0,0,FF44-FE45),
IF(AND(FE45&lt;VLOOKUP($C43,$C$3:$D$15,2,FALSE)*FF$20,FF44&gt;VLOOKUP($C43,$C$3:$D$15,2,FALSE)*FF$20),VLOOKUP($C43,$C$3:$D$15,2,FALSE)*FF$20-FE45)))</f>
        <v>0</v>
      </c>
      <c r="FG43" s="763">
        <f t="shared" ref="FG43" si="1506" xml:space="preserve">
IF(FF45&gt;=VLOOKUP($C43,$C$3:$D$15,2,FALSE)*FG$20,0,
IF(AND(FF45&lt;VLOOKUP($C43,$C$3:$D$15,2,FALSE)*FG$20,FG44&lt;=VLOOKUP($C43,$C$3:$D$15,2,FALSE)*FG$20),IF(FG44-FF45&lt;0,0,FG44-FF45),
IF(AND(FF45&lt;VLOOKUP($C43,$C$3:$D$15,2,FALSE)*FG$20,FG44&gt;VLOOKUP($C43,$C$3:$D$15,2,FALSE)*FG$20),VLOOKUP($C43,$C$3:$D$15,2,FALSE)*FG$20-FF45)))</f>
        <v>0</v>
      </c>
      <c r="FH43" s="763">
        <f t="shared" ref="FH43" si="1507" xml:space="preserve">
IF(FG45&gt;=VLOOKUP($C43,$C$3:$D$15,2,FALSE)*FH$20,0,
IF(AND(FG45&lt;VLOOKUP($C43,$C$3:$D$15,2,FALSE)*FH$20,FH44&lt;=VLOOKUP($C43,$C$3:$D$15,2,FALSE)*FH$20),IF(FH44-FG45&lt;0,0,FH44-FG45),
IF(AND(FG45&lt;VLOOKUP($C43,$C$3:$D$15,2,FALSE)*FH$20,FH44&gt;VLOOKUP($C43,$C$3:$D$15,2,FALSE)*FH$20),VLOOKUP($C43,$C$3:$D$15,2,FALSE)*FH$20-FG45)))</f>
        <v>0</v>
      </c>
      <c r="FI43" s="763">
        <f t="shared" ref="FI43" si="1508" xml:space="preserve">
IF(FH45&gt;=VLOOKUP($C43,$C$3:$D$15,2,FALSE)*FI$20,0,
IF(AND(FH45&lt;VLOOKUP($C43,$C$3:$D$15,2,FALSE)*FI$20,FI44&lt;=VLOOKUP($C43,$C$3:$D$15,2,FALSE)*FI$20),IF(FI44-FH45&lt;0,0,FI44-FH45),
IF(AND(FH45&lt;VLOOKUP($C43,$C$3:$D$15,2,FALSE)*FI$20,FI44&gt;VLOOKUP($C43,$C$3:$D$15,2,FALSE)*FI$20),VLOOKUP($C43,$C$3:$D$15,2,FALSE)*FI$20-FH45)))</f>
        <v>0</v>
      </c>
      <c r="FJ43" s="763">
        <f t="shared" ref="FJ43" si="1509" xml:space="preserve">
IF(FI45&gt;=VLOOKUP($C43,$C$3:$D$15,2,FALSE)*FJ$20,0,
IF(AND(FI45&lt;VLOOKUP($C43,$C$3:$D$15,2,FALSE)*FJ$20,FJ44&lt;=VLOOKUP($C43,$C$3:$D$15,2,FALSE)*FJ$20),IF(FJ44-FI45&lt;0,0,FJ44-FI45),
IF(AND(FI45&lt;VLOOKUP($C43,$C$3:$D$15,2,FALSE)*FJ$20,FJ44&gt;VLOOKUP($C43,$C$3:$D$15,2,FALSE)*FJ$20),VLOOKUP($C43,$C$3:$D$15,2,FALSE)*FJ$20-FI45)))</f>
        <v>0</v>
      </c>
      <c r="FK43" s="763">
        <f t="shared" ref="FK43" si="1510" xml:space="preserve">
IF(FJ45&gt;=VLOOKUP($C43,$C$3:$D$15,2,FALSE)*FK$20,0,
IF(AND(FJ45&lt;VLOOKUP($C43,$C$3:$D$15,2,FALSE)*FK$20,FK44&lt;=VLOOKUP($C43,$C$3:$D$15,2,FALSE)*FK$20),IF(FK44-FJ45&lt;0,0,FK44-FJ45),
IF(AND(FJ45&lt;VLOOKUP($C43,$C$3:$D$15,2,FALSE)*FK$20,FK44&gt;VLOOKUP($C43,$C$3:$D$15,2,FALSE)*FK$20),VLOOKUP($C43,$C$3:$D$15,2,FALSE)*FK$20-FJ45)))</f>
        <v>0</v>
      </c>
      <c r="FL43" s="763">
        <f t="shared" ref="FL43" si="1511" xml:space="preserve">
IF(FK45&gt;=VLOOKUP($C43,$C$3:$D$15,2,FALSE)*FL$20,0,
IF(AND(FK45&lt;VLOOKUP($C43,$C$3:$D$15,2,FALSE)*FL$20,FL44&lt;=VLOOKUP($C43,$C$3:$D$15,2,FALSE)*FL$20),IF(FL44-FK45&lt;0,0,FL44-FK45),
IF(AND(FK45&lt;VLOOKUP($C43,$C$3:$D$15,2,FALSE)*FL$20,FL44&gt;VLOOKUP($C43,$C$3:$D$15,2,FALSE)*FL$20),VLOOKUP($C43,$C$3:$D$15,2,FALSE)*FL$20-FK45)))</f>
        <v>0</v>
      </c>
      <c r="FM43" s="763">
        <f t="shared" ref="FM43" si="1512" xml:space="preserve">
IF(FL45&gt;=VLOOKUP($C43,$C$3:$D$15,2,FALSE)*FM$20,0,
IF(AND(FL45&lt;VLOOKUP($C43,$C$3:$D$15,2,FALSE)*FM$20,FM44&lt;=VLOOKUP($C43,$C$3:$D$15,2,FALSE)*FM$20),IF(FM44-FL45&lt;0,0,FM44-FL45),
IF(AND(FL45&lt;VLOOKUP($C43,$C$3:$D$15,2,FALSE)*FM$20,FM44&gt;VLOOKUP($C43,$C$3:$D$15,2,FALSE)*FM$20),VLOOKUP($C43,$C$3:$D$15,2,FALSE)*FM$20-FL45)))</f>
        <v>0</v>
      </c>
      <c r="FN43" s="763">
        <f t="shared" ref="FN43" si="1513" xml:space="preserve">
IF(FM45&gt;=VLOOKUP($C43,$C$3:$D$15,2,FALSE)*FN$20,0,
IF(AND(FM45&lt;VLOOKUP($C43,$C$3:$D$15,2,FALSE)*FN$20,FN44&lt;=VLOOKUP($C43,$C$3:$D$15,2,FALSE)*FN$20),IF(FN44-FM45&lt;0,0,FN44-FM45),
IF(AND(FM45&lt;VLOOKUP($C43,$C$3:$D$15,2,FALSE)*FN$20,FN44&gt;VLOOKUP($C43,$C$3:$D$15,2,FALSE)*FN$20),VLOOKUP($C43,$C$3:$D$15,2,FALSE)*FN$20-FM45)))</f>
        <v>0</v>
      </c>
      <c r="FO43" s="763">
        <f t="shared" ref="FO43" si="1514" xml:space="preserve">
IF(FN45&gt;=VLOOKUP($C43,$C$3:$D$15,2,FALSE)*FO$20,0,
IF(AND(FN45&lt;VLOOKUP($C43,$C$3:$D$15,2,FALSE)*FO$20,FO44&lt;=VLOOKUP($C43,$C$3:$D$15,2,FALSE)*FO$20),IF(FO44-FN45&lt;0,0,FO44-FN45),
IF(AND(FN45&lt;VLOOKUP($C43,$C$3:$D$15,2,FALSE)*FO$20,FO44&gt;VLOOKUP($C43,$C$3:$D$15,2,FALSE)*FO$20),VLOOKUP($C43,$C$3:$D$15,2,FALSE)*FO$20-FN45)))</f>
        <v>0</v>
      </c>
      <c r="FP43" s="763">
        <f t="shared" ref="FP43" si="1515" xml:space="preserve">
IF(FO45&gt;=VLOOKUP($C43,$C$3:$D$15,2,FALSE)*FP$20,0,
IF(AND(FO45&lt;VLOOKUP($C43,$C$3:$D$15,2,FALSE)*FP$20,FP44&lt;=VLOOKUP($C43,$C$3:$D$15,2,FALSE)*FP$20),IF(FP44-FO45&lt;0,0,FP44-FO45),
IF(AND(FO45&lt;VLOOKUP($C43,$C$3:$D$15,2,FALSE)*FP$20,FP44&gt;VLOOKUP($C43,$C$3:$D$15,2,FALSE)*FP$20),VLOOKUP($C43,$C$3:$D$15,2,FALSE)*FP$20-FO45)))</f>
        <v>0</v>
      </c>
      <c r="FQ43" s="763">
        <f t="shared" ref="FQ43" si="1516" xml:space="preserve">
IF(FP45&gt;=VLOOKUP($C43,$C$3:$D$15,2,FALSE)*FQ$20,0,
IF(AND(FP45&lt;VLOOKUP($C43,$C$3:$D$15,2,FALSE)*FQ$20,FQ44&lt;=VLOOKUP($C43,$C$3:$D$15,2,FALSE)*FQ$20),IF(FQ44-FP45&lt;0,0,FQ44-FP45),
IF(AND(FP45&lt;VLOOKUP($C43,$C$3:$D$15,2,FALSE)*FQ$20,FQ44&gt;VLOOKUP($C43,$C$3:$D$15,2,FALSE)*FQ$20),VLOOKUP($C43,$C$3:$D$15,2,FALSE)*FQ$20-FP45)))</f>
        <v>0</v>
      </c>
      <c r="FR43" s="763">
        <f t="shared" ref="FR43" si="1517" xml:space="preserve">
IF(FQ45&gt;=VLOOKUP($C43,$C$3:$D$15,2,FALSE)*FR$20,0,
IF(AND(FQ45&lt;VLOOKUP($C43,$C$3:$D$15,2,FALSE)*FR$20,FR44&lt;=VLOOKUP($C43,$C$3:$D$15,2,FALSE)*FR$20),IF(FR44-FQ45&lt;0,0,FR44-FQ45),
IF(AND(FQ45&lt;VLOOKUP($C43,$C$3:$D$15,2,FALSE)*FR$20,FR44&gt;VLOOKUP($C43,$C$3:$D$15,2,FALSE)*FR$20),VLOOKUP($C43,$C$3:$D$15,2,FALSE)*FR$20-FQ45)))</f>
        <v>0</v>
      </c>
      <c r="FS43" s="763">
        <f t="shared" ref="FS43" si="1518" xml:space="preserve">
IF(FR45&gt;=VLOOKUP($C43,$C$3:$D$15,2,FALSE)*FS$20,0,
IF(AND(FR45&lt;VLOOKUP($C43,$C$3:$D$15,2,FALSE)*FS$20,FS44&lt;=VLOOKUP($C43,$C$3:$D$15,2,FALSE)*FS$20),IF(FS44-FR45&lt;0,0,FS44-FR45),
IF(AND(FR45&lt;VLOOKUP($C43,$C$3:$D$15,2,FALSE)*FS$20,FS44&gt;VLOOKUP($C43,$C$3:$D$15,2,FALSE)*FS$20),VLOOKUP($C43,$C$3:$D$15,2,FALSE)*FS$20-FR45)))</f>
        <v>0</v>
      </c>
      <c r="FT43" s="763">
        <f t="shared" ref="FT43" si="1519" xml:space="preserve">
IF(FS45&gt;=VLOOKUP($C43,$C$3:$D$15,2,FALSE)*FT$20,0,
IF(AND(FS45&lt;VLOOKUP($C43,$C$3:$D$15,2,FALSE)*FT$20,FT44&lt;=VLOOKUP($C43,$C$3:$D$15,2,FALSE)*FT$20),IF(FT44-FS45&lt;0,0,FT44-FS45),
IF(AND(FS45&lt;VLOOKUP($C43,$C$3:$D$15,2,FALSE)*FT$20,FT44&gt;VLOOKUP($C43,$C$3:$D$15,2,FALSE)*FT$20),VLOOKUP($C43,$C$3:$D$15,2,FALSE)*FT$20-FS45)))</f>
        <v>0</v>
      </c>
      <c r="FU43" s="763">
        <f t="shared" ref="FU43" si="1520" xml:space="preserve">
IF(FT45&gt;=VLOOKUP($C43,$C$3:$D$15,2,FALSE)*FU$20,0,
IF(AND(FT45&lt;VLOOKUP($C43,$C$3:$D$15,2,FALSE)*FU$20,FU44&lt;=VLOOKUP($C43,$C$3:$D$15,2,FALSE)*FU$20),IF(FU44-FT45&lt;0,0,FU44-FT45),
IF(AND(FT45&lt;VLOOKUP($C43,$C$3:$D$15,2,FALSE)*FU$20,FU44&gt;VLOOKUP($C43,$C$3:$D$15,2,FALSE)*FU$20),VLOOKUP($C43,$C$3:$D$15,2,FALSE)*FU$20-FT45)))</f>
        <v>0</v>
      </c>
      <c r="FV43" s="763">
        <f t="shared" ref="FV43" si="1521" xml:space="preserve">
IF(FU45&gt;=VLOOKUP($C43,$C$3:$D$15,2,FALSE)*FV$20,0,
IF(AND(FU45&lt;VLOOKUP($C43,$C$3:$D$15,2,FALSE)*FV$20,FV44&lt;=VLOOKUP($C43,$C$3:$D$15,2,FALSE)*FV$20),IF(FV44-FU45&lt;0,0,FV44-FU45),
IF(AND(FU45&lt;VLOOKUP($C43,$C$3:$D$15,2,FALSE)*FV$20,FV44&gt;VLOOKUP($C43,$C$3:$D$15,2,FALSE)*FV$20),VLOOKUP($C43,$C$3:$D$15,2,FALSE)*FV$20-FU45)))</f>
        <v>0</v>
      </c>
      <c r="FW43" s="763">
        <f t="shared" ref="FW43" si="1522" xml:space="preserve">
IF(FV45&gt;=VLOOKUP($C43,$C$3:$D$15,2,FALSE)*FW$20,0,
IF(AND(FV45&lt;VLOOKUP($C43,$C$3:$D$15,2,FALSE)*FW$20,FW44&lt;=VLOOKUP($C43,$C$3:$D$15,2,FALSE)*FW$20),IF(FW44-FV45&lt;0,0,FW44-FV45),
IF(AND(FV45&lt;VLOOKUP($C43,$C$3:$D$15,2,FALSE)*FW$20,FW44&gt;VLOOKUP($C43,$C$3:$D$15,2,FALSE)*FW$20),VLOOKUP($C43,$C$3:$D$15,2,FALSE)*FW$20-FV45)))</f>
        <v>0</v>
      </c>
      <c r="FX43" s="763">
        <f t="shared" ref="FX43" si="1523" xml:space="preserve">
IF(FW45&gt;=VLOOKUP($C43,$C$3:$D$15,2,FALSE)*FX$20,0,
IF(AND(FW45&lt;VLOOKUP($C43,$C$3:$D$15,2,FALSE)*FX$20,FX44&lt;=VLOOKUP($C43,$C$3:$D$15,2,FALSE)*FX$20),IF(FX44-FW45&lt;0,0,FX44-FW45),
IF(AND(FW45&lt;VLOOKUP($C43,$C$3:$D$15,2,FALSE)*FX$20,FX44&gt;VLOOKUP($C43,$C$3:$D$15,2,FALSE)*FX$20),VLOOKUP($C43,$C$3:$D$15,2,FALSE)*FX$20-FW45)))</f>
        <v>0</v>
      </c>
      <c r="FY43" s="763">
        <f t="shared" ref="FY43" si="1524" xml:space="preserve">
IF(FX45&gt;=VLOOKUP($C43,$C$3:$D$15,2,FALSE)*FY$20,0,
IF(AND(FX45&lt;VLOOKUP($C43,$C$3:$D$15,2,FALSE)*FY$20,FY44&lt;=VLOOKUP($C43,$C$3:$D$15,2,FALSE)*FY$20),IF(FY44-FX45&lt;0,0,FY44-FX45),
IF(AND(FX45&lt;VLOOKUP($C43,$C$3:$D$15,2,FALSE)*FY$20,FY44&gt;VLOOKUP($C43,$C$3:$D$15,2,FALSE)*FY$20),VLOOKUP($C43,$C$3:$D$15,2,FALSE)*FY$20-FX45)))</f>
        <v>0</v>
      </c>
      <c r="FZ43" s="763">
        <f t="shared" ref="FZ43" si="1525" xml:space="preserve">
IF(FY45&gt;=VLOOKUP($C43,$C$3:$D$15,2,FALSE)*FZ$20,0,
IF(AND(FY45&lt;VLOOKUP($C43,$C$3:$D$15,2,FALSE)*FZ$20,FZ44&lt;=VLOOKUP($C43,$C$3:$D$15,2,FALSE)*FZ$20),IF(FZ44-FY45&lt;0,0,FZ44-FY45),
IF(AND(FY45&lt;VLOOKUP($C43,$C$3:$D$15,2,FALSE)*FZ$20,FZ44&gt;VLOOKUP($C43,$C$3:$D$15,2,FALSE)*FZ$20),VLOOKUP($C43,$C$3:$D$15,2,FALSE)*FZ$20-FY45)))</f>
        <v>0</v>
      </c>
      <c r="GA43" s="763">
        <f t="shared" ref="GA43" si="1526" xml:space="preserve">
IF(FZ45&gt;=VLOOKUP($C43,$C$3:$D$15,2,FALSE)*GA$20,0,
IF(AND(FZ45&lt;VLOOKUP($C43,$C$3:$D$15,2,FALSE)*GA$20,GA44&lt;=VLOOKUP($C43,$C$3:$D$15,2,FALSE)*GA$20),IF(GA44-FZ45&lt;0,0,GA44-FZ45),
IF(AND(FZ45&lt;VLOOKUP($C43,$C$3:$D$15,2,FALSE)*GA$20,GA44&gt;VLOOKUP($C43,$C$3:$D$15,2,FALSE)*GA$20),VLOOKUP($C43,$C$3:$D$15,2,FALSE)*GA$20-FZ45)))</f>
        <v>0</v>
      </c>
      <c r="GB43" s="763">
        <f t="shared" ref="GB43" si="1527" xml:space="preserve">
IF(GA45&gt;=VLOOKUP($C43,$C$3:$D$15,2,FALSE)*GB$20,0,
IF(AND(GA45&lt;VLOOKUP($C43,$C$3:$D$15,2,FALSE)*GB$20,GB44&lt;=VLOOKUP($C43,$C$3:$D$15,2,FALSE)*GB$20),IF(GB44-GA45&lt;0,0,GB44-GA45),
IF(AND(GA45&lt;VLOOKUP($C43,$C$3:$D$15,2,FALSE)*GB$20,GB44&gt;VLOOKUP($C43,$C$3:$D$15,2,FALSE)*GB$20),VLOOKUP($C43,$C$3:$D$15,2,FALSE)*GB$20-GA45)))</f>
        <v>0</v>
      </c>
      <c r="GC43" s="763">
        <f t="shared" ref="GC43" si="1528" xml:space="preserve">
IF(GB45&gt;=VLOOKUP($C43,$C$3:$D$15,2,FALSE)*GC$20,0,
IF(AND(GB45&lt;VLOOKUP($C43,$C$3:$D$15,2,FALSE)*GC$20,GC44&lt;=VLOOKUP($C43,$C$3:$D$15,2,FALSE)*GC$20),IF(GC44-GB45&lt;0,0,GC44-GB45),
IF(AND(GB45&lt;VLOOKUP($C43,$C$3:$D$15,2,FALSE)*GC$20,GC44&gt;VLOOKUP($C43,$C$3:$D$15,2,FALSE)*GC$20),VLOOKUP($C43,$C$3:$D$15,2,FALSE)*GC$20-GB45)))</f>
        <v>0</v>
      </c>
      <c r="GD43" s="763">
        <f t="shared" ref="GD43" si="1529" xml:space="preserve">
IF(GC45&gt;=VLOOKUP($C43,$C$3:$D$15,2,FALSE)*GD$20,0,
IF(AND(GC45&lt;VLOOKUP($C43,$C$3:$D$15,2,FALSE)*GD$20,GD44&lt;=VLOOKUP($C43,$C$3:$D$15,2,FALSE)*GD$20),IF(GD44-GC45&lt;0,0,GD44-GC45),
IF(AND(GC45&lt;VLOOKUP($C43,$C$3:$D$15,2,FALSE)*GD$20,GD44&gt;VLOOKUP($C43,$C$3:$D$15,2,FALSE)*GD$20),VLOOKUP($C43,$C$3:$D$15,2,FALSE)*GD$20-GC45)))</f>
        <v>0</v>
      </c>
      <c r="GE43" s="763">
        <f t="shared" ref="GE43" si="1530" xml:space="preserve">
IF(GD45&gt;=VLOOKUP($C43,$C$3:$D$15,2,FALSE)*GE$20,0,
IF(AND(GD45&lt;VLOOKUP($C43,$C$3:$D$15,2,FALSE)*GE$20,GE44&lt;=VLOOKUP($C43,$C$3:$D$15,2,FALSE)*GE$20),IF(GE44-GD45&lt;0,0,GE44-GD45),
IF(AND(GD45&lt;VLOOKUP($C43,$C$3:$D$15,2,FALSE)*GE$20,GE44&gt;VLOOKUP($C43,$C$3:$D$15,2,FALSE)*GE$20),VLOOKUP($C43,$C$3:$D$15,2,FALSE)*GE$20-GD45)))</f>
        <v>0</v>
      </c>
      <c r="GF43" s="763">
        <f t="shared" ref="GF43" si="1531" xml:space="preserve">
IF(GE45&gt;=VLOOKUP($C43,$C$3:$D$15,2,FALSE)*GF$20,0,
IF(AND(GE45&lt;VLOOKUP($C43,$C$3:$D$15,2,FALSE)*GF$20,GF44&lt;=VLOOKUP($C43,$C$3:$D$15,2,FALSE)*GF$20),IF(GF44-GE45&lt;0,0,GF44-GE45),
IF(AND(GE45&lt;VLOOKUP($C43,$C$3:$D$15,2,FALSE)*GF$20,GF44&gt;VLOOKUP($C43,$C$3:$D$15,2,FALSE)*GF$20),VLOOKUP($C43,$C$3:$D$15,2,FALSE)*GF$20-GE45)))</f>
        <v>0</v>
      </c>
      <c r="GG43" s="763">
        <f t="shared" ref="GG43" si="1532" xml:space="preserve">
IF(GF45&gt;=VLOOKUP($C43,$C$3:$D$15,2,FALSE)*GG$20,0,
IF(AND(GF45&lt;VLOOKUP($C43,$C$3:$D$15,2,FALSE)*GG$20,GG44&lt;=VLOOKUP($C43,$C$3:$D$15,2,FALSE)*GG$20),IF(GG44-GF45&lt;0,0,GG44-GF45),
IF(AND(GF45&lt;VLOOKUP($C43,$C$3:$D$15,2,FALSE)*GG$20,GG44&gt;VLOOKUP($C43,$C$3:$D$15,2,FALSE)*GG$20),VLOOKUP($C43,$C$3:$D$15,2,FALSE)*GG$20-GF45)))</f>
        <v>0</v>
      </c>
      <c r="GH43" s="763">
        <f t="shared" ref="GH43" si="1533" xml:space="preserve">
IF(GG45&gt;=VLOOKUP($C43,$C$3:$D$15,2,FALSE)*GH$20,0,
IF(AND(GG45&lt;VLOOKUP($C43,$C$3:$D$15,2,FALSE)*GH$20,GH44&lt;=VLOOKUP($C43,$C$3:$D$15,2,FALSE)*GH$20),IF(GH44-GG45&lt;0,0,GH44-GG45),
IF(AND(GG45&lt;VLOOKUP($C43,$C$3:$D$15,2,FALSE)*GH$20,GH44&gt;VLOOKUP($C43,$C$3:$D$15,2,FALSE)*GH$20),VLOOKUP($C43,$C$3:$D$15,2,FALSE)*GH$20-GG45)))</f>
        <v>0</v>
      </c>
      <c r="GI43" s="763">
        <f t="shared" ref="GI43" si="1534" xml:space="preserve">
IF(GH45&gt;=VLOOKUP($C43,$C$3:$D$15,2,FALSE)*GI$20,0,
IF(AND(GH45&lt;VLOOKUP($C43,$C$3:$D$15,2,FALSE)*GI$20,GI44&lt;=VLOOKUP($C43,$C$3:$D$15,2,FALSE)*GI$20),IF(GI44-GH45&lt;0,0,GI44-GH45),
IF(AND(GH45&lt;VLOOKUP($C43,$C$3:$D$15,2,FALSE)*GI$20,GI44&gt;VLOOKUP($C43,$C$3:$D$15,2,FALSE)*GI$20),VLOOKUP($C43,$C$3:$D$15,2,FALSE)*GI$20-GH45)))</f>
        <v>0</v>
      </c>
      <c r="GJ43" s="763">
        <f t="shared" ref="GJ43" si="1535" xml:space="preserve">
IF(GI45&gt;=VLOOKUP($C43,$C$3:$D$15,2,FALSE)*GJ$20,0,
IF(AND(GI45&lt;VLOOKUP($C43,$C$3:$D$15,2,FALSE)*GJ$20,GJ44&lt;=VLOOKUP($C43,$C$3:$D$15,2,FALSE)*GJ$20),IF(GJ44-GI45&lt;0,0,GJ44-GI45),
IF(AND(GI45&lt;VLOOKUP($C43,$C$3:$D$15,2,FALSE)*GJ$20,GJ44&gt;VLOOKUP($C43,$C$3:$D$15,2,FALSE)*GJ$20),VLOOKUP($C43,$C$3:$D$15,2,FALSE)*GJ$20-GI45)))</f>
        <v>0</v>
      </c>
    </row>
    <row r="44" spans="2:192" s="627" customFormat="1">
      <c r="B44" s="631"/>
      <c r="C44" s="626"/>
      <c r="D44" s="702" t="s">
        <v>1424</v>
      </c>
      <c r="E44" s="707"/>
      <c r="F44" s="654"/>
      <c r="G44" s="763">
        <f>SUMIF(防護具!$Y$30:$Y$212,G$17&amp;$C43,防護具!$Q$30:$Q$212)</f>
        <v>0</v>
      </c>
      <c r="H44" s="763">
        <f>IFERROR(
SUM(G44,SUMIF(防護具!$Y$30:$Y$212,H$17&amp;$C43,防護具!$Q$30:$Q$212))-G43,0)</f>
        <v>0</v>
      </c>
      <c r="I44" s="763">
        <f>IFERROR(
SUM(H44,SUMIF(防護具!$Y$30:$Y$212,I$17&amp;$C43,防護具!$Q$30:$Q$212))-H43,0)</f>
        <v>0</v>
      </c>
      <c r="J44" s="763">
        <f>IFERROR(
SUM(I44,SUMIF(防護具!$Y$30:$Y$212,J$17&amp;$C43,防護具!$Q$30:$Q$212))-I43,0)</f>
        <v>0</v>
      </c>
      <c r="K44" s="763">
        <f>IFERROR(
SUM(J44,SUMIF(防護具!$Y$30:$Y$212,K$17&amp;$C43,防護具!$Q$30:$Q$212))-J43,0)</f>
        <v>0</v>
      </c>
      <c r="L44" s="763">
        <f>IFERROR(
SUM(K44,SUMIF(防護具!$Y$30:$Y$212,L$17&amp;$C43,防護具!$Q$30:$Q$212))-K43,0)</f>
        <v>0</v>
      </c>
      <c r="M44" s="763">
        <f>IFERROR(
SUM(L44,SUMIF(防護具!$Y$30:$Y$212,M$17&amp;$C43,防護具!$Q$30:$Q$212))-L43,0)</f>
        <v>0</v>
      </c>
      <c r="N44" s="763">
        <f>IFERROR(
SUM(M44,SUMIF(防護具!$Y$30:$Y$212,N$17&amp;$C43,防護具!$Q$30:$Q$212))-M43,0)</f>
        <v>0</v>
      </c>
      <c r="O44" s="763">
        <f>IFERROR(
SUM(N44,SUMIF(防護具!$Y$30:$Y$212,O$17&amp;$C43,防護具!$Q$30:$Q$212))-N43,0)</f>
        <v>0</v>
      </c>
      <c r="P44" s="763">
        <f>IFERROR(
SUM(O44,SUMIF(防護具!$Y$30:$Y$212,P$17&amp;$C43,防護具!$Q$30:$Q$212))-O43,0)</f>
        <v>0</v>
      </c>
      <c r="Q44" s="763">
        <f>IFERROR(
SUM(P44,SUMIF(防護具!$Y$30:$Y$212,Q$17&amp;$C43,防護具!$Q$30:$Q$212))-P43,0)</f>
        <v>0</v>
      </c>
      <c r="R44" s="763">
        <f>IFERROR(
SUM(Q44,SUMIF(防護具!$Y$30:$Y$212,R$17&amp;$C43,防護具!$Q$30:$Q$212))-Q43,0)</f>
        <v>0</v>
      </c>
      <c r="S44" s="763">
        <f>IFERROR(
SUM(R44,SUMIF(防護具!$Y$30:$Y$212,S$17&amp;$C43,防護具!$Q$30:$Q$212))-R43,0)</f>
        <v>0</v>
      </c>
      <c r="T44" s="763">
        <f>IFERROR(
SUM(S44,SUMIF(防護具!$Y$30:$Y$212,T$17&amp;$C43,防護具!$Q$30:$Q$212))-S43,0)</f>
        <v>0</v>
      </c>
      <c r="U44" s="763">
        <f>IFERROR(
SUM(T44,SUMIF(防護具!$Y$30:$Y$212,U$17&amp;$C43,防護具!$Q$30:$Q$212))-T43,0)</f>
        <v>0</v>
      </c>
      <c r="V44" s="763">
        <f>IFERROR(
SUM(U44,SUMIF(防護具!$Y$30:$Y$212,V$17&amp;$C43,防護具!$Q$30:$Q$212))-U43,0)</f>
        <v>0</v>
      </c>
      <c r="W44" s="763">
        <f>IFERROR(
SUM(V44,SUMIF(防護具!$Y$30:$Y$212,W$17&amp;$C43,防護具!$Q$30:$Q$212))-V43,0)</f>
        <v>0</v>
      </c>
      <c r="X44" s="763">
        <f>IFERROR(
SUM(W44,SUMIF(防護具!$Y$30:$Y$212,X$17&amp;$C43,防護具!$Q$30:$Q$212))-W43,0)</f>
        <v>0</v>
      </c>
      <c r="Y44" s="763">
        <f>IFERROR(
SUM(X44,SUMIF(防護具!$Y$30:$Y$212,Y$17&amp;$C43,防護具!$Q$30:$Q$212))-X43,0)</f>
        <v>0</v>
      </c>
      <c r="Z44" s="763">
        <f>IFERROR(
SUM(Y44,SUMIF(防護具!$Y$30:$Y$212,Z$17&amp;$C43,防護具!$Q$30:$Q$212))-Y43,0)</f>
        <v>0</v>
      </c>
      <c r="AA44" s="763">
        <f>IFERROR(
SUM(Z44,SUMIF(防護具!$Y$30:$Y$212,AA$17&amp;$C43,防護具!$Q$30:$Q$212))-Z43,0)</f>
        <v>0</v>
      </c>
      <c r="AB44" s="763">
        <f>IFERROR(
SUM(AA44,SUMIF(防護具!$Y$30:$Y$212,AB$17&amp;$C43,防護具!$Q$30:$Q$212))-AA43,0)</f>
        <v>0</v>
      </c>
      <c r="AC44" s="763">
        <f>IFERROR(
SUM(AB44,SUMIF(防護具!$Y$30:$Y$212,AC$17&amp;$C43,防護具!$Q$30:$Q$212))-AB43,0)</f>
        <v>0</v>
      </c>
      <c r="AD44" s="763">
        <f>IFERROR(
SUM(AC44,SUMIF(防護具!$Y$30:$Y$212,AD$17&amp;$C43,防護具!$Q$30:$Q$212))-AC43,0)</f>
        <v>0</v>
      </c>
      <c r="AE44" s="763">
        <f>IFERROR(
SUM(AD44,SUMIF(防護具!$Y$30:$Y$212,AE$17&amp;$C43,防護具!$Q$30:$Q$212))-AD43,0)</f>
        <v>0</v>
      </c>
      <c r="AF44" s="763">
        <f>IFERROR(
SUM(AE44,SUMIF(防護具!$Y$30:$Y$212,AF$17&amp;$C43,防護具!$Q$30:$Q$212))-AE43,0)</f>
        <v>0</v>
      </c>
      <c r="AG44" s="763">
        <f>IFERROR(
SUM(AF44,SUMIF(防護具!$Y$30:$Y$212,AG$17&amp;$C43,防護具!$Q$30:$Q$212))-AF43,0)</f>
        <v>0</v>
      </c>
      <c r="AH44" s="763">
        <f>IFERROR(
SUM(AG44,SUMIF(防護具!$Y$30:$Y$212,AH$17&amp;$C43,防護具!$Q$30:$Q$212))-AG43,0)</f>
        <v>0</v>
      </c>
      <c r="AI44" s="763">
        <f>IFERROR(
SUM(AH44,SUMIF(防護具!$Y$30:$Y$212,AI$17&amp;$C43,防護具!$Q$30:$Q$212))-AH43,0)</f>
        <v>0</v>
      </c>
      <c r="AJ44" s="763">
        <f>IFERROR(
SUM(AI44,SUMIF(防護具!$Y$30:$Y$212,AJ$17&amp;$C43,防護具!$Q$30:$Q$212))-AI43,0)</f>
        <v>0</v>
      </c>
      <c r="AK44" s="763">
        <f>IFERROR(
SUM(AJ44,SUMIF(防護具!$Y$30:$Y$212,AK$17&amp;$C43,防護具!$Q$30:$Q$212))-AJ43,0)</f>
        <v>0</v>
      </c>
      <c r="AL44" s="763">
        <f>IFERROR(
SUM(AK44,SUMIF(防護具!$Y$30:$Y$212,AL$17&amp;$C43,防護具!$Q$30:$Q$212))-AK43,0)</f>
        <v>0</v>
      </c>
      <c r="AM44" s="763">
        <f>IFERROR(
SUM(AL44,SUMIF(防護具!$Y$30:$Y$212,AM$17&amp;$C43,防護具!$Q$30:$Q$212))-AL43,0)</f>
        <v>0</v>
      </c>
      <c r="AN44" s="763">
        <f>IFERROR(
SUM(AM44,SUMIF(防護具!$Y$30:$Y$212,AN$17&amp;$C43,防護具!$Q$30:$Q$212))-AM43,0)</f>
        <v>0</v>
      </c>
      <c r="AO44" s="763">
        <f>IFERROR(
SUM(AN44,SUMIF(防護具!$Y$30:$Y$212,AO$17&amp;$C43,防護具!$Q$30:$Q$212))-AN43,0)</f>
        <v>0</v>
      </c>
      <c r="AP44" s="763">
        <f>IFERROR(
SUM(AO44,SUMIF(防護具!$Y$30:$Y$212,AP$17&amp;$C43,防護具!$Q$30:$Q$212))-AO43,0)</f>
        <v>0</v>
      </c>
      <c r="AQ44" s="763">
        <f>IFERROR(
SUM(AP44,SUMIF(防護具!$Y$30:$Y$212,AQ$17&amp;$C43,防護具!$Q$30:$Q$212))-AP43,0)</f>
        <v>0</v>
      </c>
      <c r="AR44" s="763">
        <f>IFERROR(
SUM(AQ44,SUMIF(防護具!$Y$30:$Y$212,AR$17&amp;$C43,防護具!$Q$30:$Q$212))-AQ43,0)</f>
        <v>0</v>
      </c>
      <c r="AS44" s="763">
        <f>IFERROR(
SUM(AR44,SUMIF(防護具!$Y$30:$Y$212,AS$17&amp;$C43,防護具!$Q$30:$Q$212))-AR43,0)</f>
        <v>0</v>
      </c>
      <c r="AT44" s="763">
        <f>IFERROR(
SUM(AS44,SUMIF(防護具!$Y$30:$Y$212,AT$17&amp;$C43,防護具!$Q$30:$Q$212))-AS43,0)</f>
        <v>0</v>
      </c>
      <c r="AU44" s="763">
        <f>IFERROR(
SUM(AT44,SUMIF(防護具!$Y$30:$Y$212,AU$17&amp;$C43,防護具!$Q$30:$Q$212))-AT43,0)</f>
        <v>0</v>
      </c>
      <c r="AV44" s="763">
        <f>IFERROR(
SUM(AU44,SUMIF(防護具!$Y$30:$Y$212,AV$17&amp;$C43,防護具!$Q$30:$Q$212))-AU43,0)</f>
        <v>0</v>
      </c>
      <c r="AW44" s="763">
        <f>IFERROR(
SUM(AV44,SUMIF(防護具!$Y$30:$Y$212,AW$17&amp;$C43,防護具!$Q$30:$Q$212))-AV43,0)</f>
        <v>0</v>
      </c>
      <c r="AX44" s="763">
        <f>IFERROR(
SUM(AW44,SUMIF(防護具!$Y$30:$Y$212,AX$17&amp;$C43,防護具!$Q$30:$Q$212))-AW43,0)</f>
        <v>0</v>
      </c>
      <c r="AY44" s="763">
        <f>IFERROR(
SUM(AX44,SUMIF(防護具!$Y$30:$Y$212,AY$17&amp;$C43,防護具!$Q$30:$Q$212))-AX43,0)</f>
        <v>0</v>
      </c>
      <c r="AZ44" s="763">
        <f>IFERROR(
SUM(AY44,SUMIF(防護具!$Y$30:$Y$212,AZ$17&amp;$C43,防護具!$Q$30:$Q$212))-AY43,0)</f>
        <v>0</v>
      </c>
      <c r="BA44" s="763">
        <f>IFERROR(
SUM(AZ44,SUMIF(防護具!$Y$30:$Y$212,BA$17&amp;$C43,防護具!$Q$30:$Q$212))-AZ43,0)</f>
        <v>0</v>
      </c>
      <c r="BB44" s="763">
        <f>IFERROR(
SUM(BA44,SUMIF(防護具!$Y$30:$Y$212,BB$17&amp;$C43,防護具!$Q$30:$Q$212))-BA43,0)</f>
        <v>0</v>
      </c>
      <c r="BC44" s="763">
        <f>IFERROR(
SUM(BB44,SUMIF(防護具!$Y$30:$Y$212,BC$17&amp;$C43,防護具!$Q$30:$Q$212))-BB43,0)</f>
        <v>0</v>
      </c>
      <c r="BD44" s="763">
        <f>IFERROR(
SUM(BC44,SUMIF(防護具!$Y$30:$Y$212,BD$17&amp;$C43,防護具!$Q$30:$Q$212))-BC43,0)</f>
        <v>0</v>
      </c>
      <c r="BE44" s="763">
        <f>IFERROR(
SUM(BD44,SUMIF(防護具!$Y$30:$Y$212,BE$17&amp;$C43,防護具!$Q$30:$Q$212))-BD43,0)</f>
        <v>0</v>
      </c>
      <c r="BF44" s="763">
        <f>IFERROR(
SUM(BE44,SUMIF(防護具!$Y$30:$Y$212,BF$17&amp;$C43,防護具!$Q$30:$Q$212))-BE43,0)</f>
        <v>0</v>
      </c>
      <c r="BG44" s="763">
        <f>IFERROR(
SUM(BF44,SUMIF(防護具!$Y$30:$Y$212,BG$17&amp;$C43,防護具!$Q$30:$Q$212))-BF43,0)</f>
        <v>0</v>
      </c>
      <c r="BH44" s="763">
        <f>IFERROR(
SUM(BG44,SUMIF(防護具!$Y$30:$Y$212,BH$17&amp;$C43,防護具!$Q$30:$Q$212))-BG43,0)</f>
        <v>0</v>
      </c>
      <c r="BI44" s="763">
        <f>IFERROR(
SUM(BH44,SUMIF(防護具!$Y$30:$Y$212,BI$17&amp;$C43,防護具!$Q$30:$Q$212))-BH43,0)</f>
        <v>0</v>
      </c>
      <c r="BJ44" s="763">
        <f>IFERROR(
SUM(BI44,SUMIF(防護具!$Y$30:$Y$212,BJ$17&amp;$C43,防護具!$Q$30:$Q$212))-BI43,0)</f>
        <v>0</v>
      </c>
      <c r="BK44" s="763">
        <f>IFERROR(
SUM(BJ44,SUMIF(防護具!$Y$30:$Y$212,BK$17&amp;$C43,防護具!$Q$30:$Q$212))-BJ43,0)</f>
        <v>0</v>
      </c>
      <c r="BL44" s="763">
        <f>IFERROR(
SUM(BK44,SUMIF(防護具!$Y$30:$Y$212,BL$17&amp;$C43,防護具!$Q$30:$Q$212))-BK43,0)</f>
        <v>0</v>
      </c>
      <c r="BM44" s="763">
        <f>IFERROR(
SUM(BL44,SUMIF(防護具!$Y$30:$Y$212,BM$17&amp;$C43,防護具!$Q$30:$Q$212))-BL43,0)</f>
        <v>0</v>
      </c>
      <c r="BN44" s="763">
        <f>IFERROR(
SUM(BM44,SUMIF(防護具!$Y$30:$Y$212,BN$17&amp;$C43,防護具!$Q$30:$Q$212))-BM43,0)</f>
        <v>0</v>
      </c>
      <c r="BO44" s="763">
        <f>IFERROR(
SUM(BN44,SUMIF(防護具!$Y$30:$Y$212,BO$17&amp;$C43,防護具!$Q$30:$Q$212))-BN43,0)</f>
        <v>0</v>
      </c>
      <c r="BP44" s="763">
        <f>IFERROR(
SUM(BO44,SUMIF(防護具!$Y$30:$Y$212,BP$17&amp;$C43,防護具!$Q$30:$Q$212))-BO43,0)</f>
        <v>0</v>
      </c>
      <c r="BQ44" s="763">
        <f>IFERROR(
SUM(BP44,SUMIF(防護具!$Y$30:$Y$212,BQ$17&amp;$C43,防護具!$Q$30:$Q$212))-BP43,0)</f>
        <v>0</v>
      </c>
      <c r="BR44" s="763">
        <f>IFERROR(
SUM(BQ44,SUMIF(防護具!$Y$30:$Y$212,BR$17&amp;$C43,防護具!$Q$30:$Q$212))-BQ43,0)</f>
        <v>0</v>
      </c>
      <c r="BS44" s="763">
        <f>IFERROR(
SUM(BR44,SUMIF(防護具!$Y$30:$Y$212,BS$17&amp;$C43,防護具!$Q$30:$Q$212))-BR43,0)</f>
        <v>0</v>
      </c>
      <c r="BT44" s="763">
        <f>IFERROR(
SUM(BS44,SUMIF(防護具!$Y$30:$Y$212,BT$17&amp;$C43,防護具!$Q$30:$Q$212))-BS43,0)</f>
        <v>0</v>
      </c>
      <c r="BU44" s="763">
        <f>IFERROR(
SUM(BT44,SUMIF(防護具!$Y$30:$Y$212,BU$17&amp;$C43,防護具!$Q$30:$Q$212))-BT43,0)</f>
        <v>0</v>
      </c>
      <c r="BV44" s="763">
        <f>IFERROR(
SUM(BU44,SUMIF(防護具!$Y$30:$Y$212,BV$17&amp;$C43,防護具!$Q$30:$Q$212))-BU43,0)</f>
        <v>0</v>
      </c>
      <c r="BW44" s="763">
        <f>IFERROR(
SUM(BV44,SUMIF(防護具!$Y$30:$Y$212,BW$17&amp;$C43,防護具!$Q$30:$Q$212))-BV43,0)</f>
        <v>0</v>
      </c>
      <c r="BX44" s="763">
        <f>IFERROR(
SUM(BW44,SUMIF(防護具!$Y$30:$Y$212,BX$17&amp;$C43,防護具!$Q$30:$Q$212))-BW43,0)</f>
        <v>0</v>
      </c>
      <c r="BY44" s="763">
        <f>IFERROR(
SUM(BX44,SUMIF(防護具!$Y$30:$Y$212,BY$17&amp;$C43,防護具!$Q$30:$Q$212))-BX43,0)</f>
        <v>0</v>
      </c>
      <c r="BZ44" s="763">
        <f>IFERROR(
SUM(BY44,SUMIF(防護具!$Y$30:$Y$212,BZ$17&amp;$C43,防護具!$Q$30:$Q$212))-BY43,0)</f>
        <v>0</v>
      </c>
      <c r="CA44" s="763">
        <f>IFERROR(
SUM(BZ44,SUMIF(防護具!$Y$30:$Y$212,CA$17&amp;$C43,防護具!$Q$30:$Q$212))-BZ43,0)</f>
        <v>0</v>
      </c>
      <c r="CB44" s="763">
        <f>IFERROR(
SUM(CA44,SUMIF(防護具!$Y$30:$Y$212,CB$17&amp;$C43,防護具!$Q$30:$Q$212))-CA43,0)</f>
        <v>0</v>
      </c>
      <c r="CC44" s="763">
        <f>IFERROR(
SUM(CB44,SUMIF(防護具!$Y$30:$Y$212,CC$17&amp;$C43,防護具!$Q$30:$Q$212))-CB43,0)</f>
        <v>0</v>
      </c>
      <c r="CD44" s="763">
        <f>IFERROR(
SUM(CC44,SUMIF(防護具!$Y$30:$Y$212,CD$17&amp;$C43,防護具!$Q$30:$Q$212))-CC43,0)</f>
        <v>0</v>
      </c>
      <c r="CE44" s="763">
        <f>IFERROR(
SUM(CD44,SUMIF(防護具!$Y$30:$Y$212,CE$17&amp;$C43,防護具!$Q$30:$Q$212))-CD43,0)</f>
        <v>0</v>
      </c>
      <c r="CF44" s="763">
        <f>IFERROR(
SUM(CE44,SUMIF(防護具!$Y$30:$Y$212,CF$17&amp;$C43,防護具!$Q$30:$Q$212))-CE43,0)</f>
        <v>0</v>
      </c>
      <c r="CG44" s="763">
        <f>IFERROR(
SUM(CF44,SUMIF(防護具!$Y$30:$Y$212,CG$17&amp;$C43,防護具!$Q$30:$Q$212))-CF43,0)</f>
        <v>0</v>
      </c>
      <c r="CH44" s="763">
        <f>IFERROR(
SUM(CG44,SUMIF(防護具!$Y$30:$Y$212,CH$17&amp;$C43,防護具!$Q$30:$Q$212))-CG43,0)</f>
        <v>0</v>
      </c>
      <c r="CI44" s="763">
        <f>IFERROR(
SUM(CH44,SUMIF(防護具!$Y$30:$Y$212,CI$17&amp;$C43,防護具!$Q$30:$Q$212))-CH43,0)</f>
        <v>0</v>
      </c>
      <c r="CJ44" s="763">
        <f>IFERROR(
SUM(CI44,SUMIF(防護具!$Y$30:$Y$212,CJ$17&amp;$C43,防護具!$Q$30:$Q$212))-CI43,0)</f>
        <v>0</v>
      </c>
      <c r="CK44" s="763">
        <f>IFERROR(
SUM(CJ44,SUMIF(防護具!$Y$30:$Y$212,CK$17&amp;$C43,防護具!$Q$30:$Q$212))-CJ43,0)</f>
        <v>0</v>
      </c>
      <c r="CL44" s="763">
        <f>IFERROR(
SUM(CK44,SUMIF(防護具!$Y$30:$Y$212,CL$17&amp;$C43,防護具!$Q$30:$Q$212))-CK43,0)</f>
        <v>0</v>
      </c>
      <c r="CM44" s="763">
        <f>IFERROR(
SUM(CL44,SUMIF(防護具!$Y$30:$Y$212,CM$17&amp;$C43,防護具!$Q$30:$Q$212))-CL43,0)</f>
        <v>0</v>
      </c>
      <c r="CN44" s="763">
        <f>IFERROR(
SUM(CM44,SUMIF(防護具!$Y$30:$Y$212,CN$17&amp;$C43,防護具!$Q$30:$Q$212))-CM43,0)</f>
        <v>0</v>
      </c>
      <c r="CO44" s="763">
        <f>IFERROR(
SUM(CN44,SUMIF(防護具!$Y$30:$Y$212,CO$17&amp;$C43,防護具!$Q$30:$Q$212))-CN43,0)</f>
        <v>0</v>
      </c>
      <c r="CP44" s="763">
        <f>IFERROR(
SUM(CO44,SUMIF(防護具!$Y$30:$Y$212,CP$17&amp;$C43,防護具!$Q$30:$Q$212))-CO43,0)</f>
        <v>0</v>
      </c>
      <c r="CQ44" s="763">
        <f>IFERROR(
SUM(CP44,SUMIF(防護具!$Y$30:$Y$212,CQ$17&amp;$C43,防護具!$Q$30:$Q$212))-CP43,0)</f>
        <v>0</v>
      </c>
      <c r="CR44" s="763">
        <f>IFERROR(
SUM(CQ44,SUMIF(防護具!$Y$30:$Y$212,CR$17&amp;$C43,防護具!$Q$30:$Q$212))-CQ43,0)</f>
        <v>0</v>
      </c>
      <c r="CS44" s="763">
        <f>IFERROR(
SUM(CR44,SUMIF(防護具!$Y$30:$Y$212,CS$17&amp;$C43,防護具!$Q$30:$Q$212))-CR43,0)</f>
        <v>0</v>
      </c>
      <c r="CT44" s="763">
        <f>IFERROR(
SUM(CS44,SUMIF(防護具!$Y$30:$Y$212,CT$17&amp;$C43,防護具!$Q$30:$Q$212))-CS43,0)</f>
        <v>0</v>
      </c>
      <c r="CU44" s="763">
        <f>IFERROR(
SUM(CT44,SUMIF(防護具!$Y$30:$Y$212,CU$17&amp;$C43,防護具!$Q$30:$Q$212))-CT43,0)</f>
        <v>0</v>
      </c>
      <c r="CV44" s="763">
        <f>IFERROR(
SUM(CU44,SUMIF(防護具!$Y$30:$Y$212,CV$17&amp;$C43,防護具!$Q$30:$Q$212))-CU43,0)</f>
        <v>0</v>
      </c>
      <c r="CW44" s="763">
        <f>IFERROR(
SUM(CV44,SUMIF(防護具!$Y$30:$Y$212,CW$17&amp;$C43,防護具!$Q$30:$Q$212))-CV43,0)</f>
        <v>0</v>
      </c>
      <c r="CX44" s="763">
        <f>IFERROR(
SUM(CW44,SUMIF(防護具!$Y$30:$Y$212,CX$17&amp;$C43,防護具!$Q$30:$Q$212))-CW43,0)</f>
        <v>0</v>
      </c>
      <c r="CY44" s="763">
        <f>IFERROR(
SUM(CX44,SUMIF(防護具!$Y$30:$Y$212,CY$17&amp;$C43,防護具!$Q$30:$Q$212))-CX43,0)</f>
        <v>0</v>
      </c>
      <c r="CZ44" s="763">
        <f>IFERROR(
SUM(CY44,SUMIF(防護具!$Y$30:$Y$212,CZ$17&amp;$C43,防護具!$Q$30:$Q$212))-CY43,0)</f>
        <v>0</v>
      </c>
      <c r="DA44" s="763">
        <f>IFERROR(
SUM(CZ44,SUMIF(防護具!$Y$30:$Y$212,DA$17&amp;$C43,防護具!$Q$30:$Q$212))-CZ43,0)</f>
        <v>0</v>
      </c>
      <c r="DB44" s="763">
        <f>IFERROR(
SUM(DA44,SUMIF(防護具!$Y$30:$Y$212,DB$17&amp;$C43,防護具!$Q$30:$Q$212))-DA43,0)</f>
        <v>0</v>
      </c>
      <c r="DC44" s="763">
        <f>IFERROR(
SUM(DB44,SUMIF(防護具!$Y$30:$Y$212,DC$17&amp;$C43,防護具!$Q$30:$Q$212))-DB43,0)</f>
        <v>0</v>
      </c>
      <c r="DD44" s="763">
        <f>IFERROR(
SUM(DC44,SUMIF(防護具!$Y$30:$Y$212,DD$17&amp;$C43,防護具!$Q$30:$Q$212))-DC43,0)</f>
        <v>0</v>
      </c>
      <c r="DE44" s="763">
        <f>IFERROR(
SUM(DD44,SUMIF(防護具!$Y$30:$Y$212,DE$17&amp;$C43,防護具!$Q$30:$Q$212))-DD43,0)</f>
        <v>0</v>
      </c>
      <c r="DF44" s="763">
        <f>IFERROR(
SUM(DE44,SUMIF(防護具!$Y$30:$Y$212,DF$17&amp;$C43,防護具!$Q$30:$Q$212))-DE43,0)</f>
        <v>0</v>
      </c>
      <c r="DG44" s="763">
        <f>IFERROR(
SUM(DF44,SUMIF(防護具!$Y$30:$Y$212,DG$17&amp;$C43,防護具!$Q$30:$Q$212))-DF43,0)</f>
        <v>0</v>
      </c>
      <c r="DH44" s="763">
        <f>IFERROR(
SUM(DG44,SUMIF(防護具!$Y$30:$Y$212,DH$17&amp;$C43,防護具!$Q$30:$Q$212))-DG43,0)</f>
        <v>0</v>
      </c>
      <c r="DI44" s="763">
        <f>IFERROR(
SUM(DH44,SUMIF(防護具!$Y$30:$Y$212,DI$17&amp;$C43,防護具!$Q$30:$Q$212))-DH43,0)</f>
        <v>0</v>
      </c>
      <c r="DJ44" s="763">
        <f>IFERROR(
SUM(DI44,SUMIF(防護具!$Y$30:$Y$212,DJ$17&amp;$C43,防護具!$Q$30:$Q$212))-DI43,0)</f>
        <v>0</v>
      </c>
      <c r="DK44" s="763">
        <f>IFERROR(
SUM(DJ44,SUMIF(防護具!$Y$30:$Y$212,DK$17&amp;$C43,防護具!$Q$30:$Q$212))-DJ43,0)</f>
        <v>0</v>
      </c>
      <c r="DL44" s="763">
        <f>IFERROR(
SUM(DK44,SUMIF(防護具!$Y$30:$Y$212,DL$17&amp;$C43,防護具!$Q$30:$Q$212))-DK43,0)</f>
        <v>0</v>
      </c>
      <c r="DM44" s="763">
        <f>IFERROR(
SUM(DL44,SUMIF(防護具!$Y$30:$Y$212,DM$17&amp;$C43,防護具!$Q$30:$Q$212))-DL43,0)</f>
        <v>0</v>
      </c>
      <c r="DN44" s="763">
        <f>IFERROR(
SUM(DM44,SUMIF(防護具!$Y$30:$Y$212,DN$17&amp;$C43,防護具!$Q$30:$Q$212))-DM43,0)</f>
        <v>0</v>
      </c>
      <c r="DO44" s="763">
        <f>IFERROR(
SUM(DN44,SUMIF(防護具!$Y$30:$Y$212,DO$17&amp;$C43,防護具!$Q$30:$Q$212))-DN43,0)</f>
        <v>0</v>
      </c>
      <c r="DP44" s="763">
        <f>IFERROR(
SUM(DO44,SUMIF(防護具!$Y$30:$Y$212,DP$17&amp;$C43,防護具!$Q$30:$Q$212))-DO43,0)</f>
        <v>0</v>
      </c>
      <c r="DQ44" s="763">
        <f>IFERROR(
SUM(DP44,SUMIF(防護具!$Y$30:$Y$212,DQ$17&amp;$C43,防護具!$Q$30:$Q$212))-DP43,0)</f>
        <v>0</v>
      </c>
      <c r="DR44" s="763">
        <f>IFERROR(
SUM(DQ44,SUMIF(防護具!$Y$30:$Y$212,DR$17&amp;$C43,防護具!$Q$30:$Q$212))-DQ43,0)</f>
        <v>0</v>
      </c>
      <c r="DS44" s="763">
        <f>IFERROR(
SUM(DR44,SUMIF(防護具!$Y$30:$Y$212,DS$17&amp;$C43,防護具!$Q$30:$Q$212))-DR43,0)</f>
        <v>0</v>
      </c>
      <c r="DT44" s="763">
        <f>IFERROR(
SUM(DS44,SUMIF(防護具!$Y$30:$Y$212,DT$17&amp;$C43,防護具!$Q$30:$Q$212))-DS43,0)</f>
        <v>0</v>
      </c>
      <c r="DU44" s="763">
        <f>IFERROR(
SUM(DT44,SUMIF(防護具!$Y$30:$Y$212,DU$17&amp;$C43,防護具!$Q$30:$Q$212))-DT43,0)</f>
        <v>0</v>
      </c>
      <c r="DV44" s="763">
        <f>IFERROR(
SUM(DU44,SUMIF(防護具!$Y$30:$Y$212,DV$17&amp;$C43,防護具!$Q$30:$Q$212))-DU43,0)</f>
        <v>0</v>
      </c>
      <c r="DW44" s="763">
        <f>IFERROR(
SUM(DV44,SUMIF(防護具!$Y$30:$Y$212,DW$17&amp;$C43,防護具!$Q$30:$Q$212))-DV43,0)</f>
        <v>0</v>
      </c>
      <c r="DX44" s="763">
        <f>IFERROR(
SUM(DW44,SUMIF(防護具!$Y$30:$Y$212,DX$17&amp;$C43,防護具!$Q$30:$Q$212))-DW43,0)</f>
        <v>0</v>
      </c>
      <c r="DY44" s="763">
        <f>IFERROR(
SUM(DX44,SUMIF(防護具!$Y$30:$Y$212,DY$17&amp;$C43,防護具!$Q$30:$Q$212))-DX43,0)</f>
        <v>0</v>
      </c>
      <c r="DZ44" s="763">
        <f>IFERROR(
SUM(DY44,SUMIF(防護具!$Y$30:$Y$212,DZ$17&amp;$C43,防護具!$Q$30:$Q$212))-DY43,0)</f>
        <v>0</v>
      </c>
      <c r="EA44" s="763">
        <f>IFERROR(
SUM(DZ44,SUMIF(防護具!$Y$30:$Y$212,EA$17&amp;$C43,防護具!$Q$30:$Q$212))-DZ43,0)</f>
        <v>0</v>
      </c>
      <c r="EB44" s="763">
        <f>IFERROR(
SUM(EA44,SUMIF(防護具!$Y$30:$Y$212,EB$17&amp;$C43,防護具!$Q$30:$Q$212))-EA43,0)</f>
        <v>0</v>
      </c>
      <c r="EC44" s="763">
        <f>IFERROR(
SUM(EB44,SUMIF(防護具!$Y$30:$Y$212,EC$17&amp;$C43,防護具!$Q$30:$Q$212))-EB43,0)</f>
        <v>0</v>
      </c>
      <c r="ED44" s="763">
        <f>IFERROR(
SUM(EC44,SUMIF(防護具!$Y$30:$Y$212,ED$17&amp;$C43,防護具!$Q$30:$Q$212))-EC43,0)</f>
        <v>0</v>
      </c>
      <c r="EE44" s="763">
        <f>IFERROR(
SUM(ED44,SUMIF(防護具!$Y$30:$Y$212,EE$17&amp;$C43,防護具!$Q$30:$Q$212))-ED43,0)</f>
        <v>0</v>
      </c>
      <c r="EF44" s="763">
        <f>IFERROR(
SUM(EE44,SUMIF(防護具!$Y$30:$Y$212,EF$17&amp;$C43,防護具!$Q$30:$Q$212))-EE43,0)</f>
        <v>0</v>
      </c>
      <c r="EG44" s="763">
        <f>IFERROR(
SUM(EF44,SUMIF(防護具!$Y$30:$Y$212,EG$17&amp;$C43,防護具!$Q$30:$Q$212))-EF43,0)</f>
        <v>0</v>
      </c>
      <c r="EH44" s="763">
        <f>IFERROR(
SUM(EG44,SUMIF(防護具!$Y$30:$Y$212,EH$17&amp;$C43,防護具!$Q$30:$Q$212))-EG43,0)</f>
        <v>0</v>
      </c>
      <c r="EI44" s="763">
        <f>IFERROR(
SUM(EH44,SUMIF(防護具!$Y$30:$Y$212,EI$17&amp;$C43,防護具!$Q$30:$Q$212))-EH43,0)</f>
        <v>0</v>
      </c>
      <c r="EJ44" s="763">
        <f>IFERROR(
SUM(EI44,SUMIF(防護具!$Y$30:$Y$212,EJ$17&amp;$C43,防護具!$Q$30:$Q$212))-EI43,0)</f>
        <v>0</v>
      </c>
      <c r="EK44" s="763">
        <f>IFERROR(
SUM(EJ44,SUMIF(防護具!$Y$30:$Y$212,EK$17&amp;$C43,防護具!$Q$30:$Q$212))-EJ43,0)</f>
        <v>0</v>
      </c>
      <c r="EL44" s="763">
        <f>IFERROR(
SUM(EK44,SUMIF(防護具!$Y$30:$Y$212,EL$17&amp;$C43,防護具!$Q$30:$Q$212))-EK43,0)</f>
        <v>0</v>
      </c>
      <c r="EM44" s="763">
        <f>IFERROR(
SUM(EL44,SUMIF(防護具!$Y$30:$Y$212,EM$17&amp;$C43,防護具!$Q$30:$Q$212))-EL43,0)</f>
        <v>0</v>
      </c>
      <c r="EN44" s="763">
        <f>IFERROR(
SUM(EM44,SUMIF(防護具!$Y$30:$Y$212,EN$17&amp;$C43,防護具!$Q$30:$Q$212))-EM43,0)</f>
        <v>0</v>
      </c>
      <c r="EO44" s="763">
        <f>IFERROR(
SUM(EN44,SUMIF(防護具!$Y$30:$Y$212,EO$17&amp;$C43,防護具!$Q$30:$Q$212))-EN43,0)</f>
        <v>0</v>
      </c>
      <c r="EP44" s="763">
        <f>IFERROR(
SUM(EO44,SUMIF(防護具!$Y$30:$Y$212,EP$17&amp;$C43,防護具!$Q$30:$Q$212))-EO43,0)</f>
        <v>0</v>
      </c>
      <c r="EQ44" s="763">
        <f>IFERROR(
SUM(EP44,SUMIF(防護具!$Y$30:$Y$212,EQ$17&amp;$C43,防護具!$Q$30:$Q$212))-EP43,0)</f>
        <v>0</v>
      </c>
      <c r="ER44" s="763">
        <f>IFERROR(
SUM(EQ44,SUMIF(防護具!$Y$30:$Y$212,ER$17&amp;$C43,防護具!$Q$30:$Q$212))-EQ43,0)</f>
        <v>0</v>
      </c>
      <c r="ES44" s="763">
        <f>IFERROR(
SUM(ER44,SUMIF(防護具!$Y$30:$Y$212,ES$17&amp;$C43,防護具!$Q$30:$Q$212))-ER43,0)</f>
        <v>0</v>
      </c>
      <c r="ET44" s="763">
        <f>IFERROR(
SUM(ES44,SUMIF(防護具!$Y$30:$Y$212,ET$17&amp;$C43,防護具!$Q$30:$Q$212))-ES43,0)</f>
        <v>0</v>
      </c>
      <c r="EU44" s="763">
        <f>IFERROR(
SUM(ET44,SUMIF(防護具!$Y$30:$Y$212,EU$17&amp;$C43,防護具!$Q$30:$Q$212))-ET43,0)</f>
        <v>0</v>
      </c>
      <c r="EV44" s="763">
        <f>IFERROR(
SUM(EU44,SUMIF(防護具!$Y$30:$Y$212,EV$17&amp;$C43,防護具!$Q$30:$Q$212))-EU43,0)</f>
        <v>0</v>
      </c>
      <c r="EW44" s="763">
        <f>IFERROR(
SUM(EV44,SUMIF(防護具!$Y$30:$Y$212,EW$17&amp;$C43,防護具!$Q$30:$Q$212))-EV43,0)</f>
        <v>0</v>
      </c>
      <c r="EX44" s="763">
        <f>IFERROR(
SUM(EW44,SUMIF(防護具!$Y$30:$Y$212,EX$17&amp;$C43,防護具!$Q$30:$Q$212))-EW43,0)</f>
        <v>0</v>
      </c>
      <c r="EY44" s="763">
        <f>IFERROR(
SUM(EX44,SUMIF(防護具!$Y$30:$Y$212,EY$17&amp;$C43,防護具!$Q$30:$Q$212))-EX43,0)</f>
        <v>0</v>
      </c>
      <c r="EZ44" s="763">
        <f>IFERROR(
SUM(EY44,SUMIF(防護具!$Y$30:$Y$212,EZ$17&amp;$C43,防護具!$Q$30:$Q$212))-EY43,0)</f>
        <v>0</v>
      </c>
      <c r="FA44" s="763">
        <f>IFERROR(
SUM(EZ44,SUMIF(防護具!$Y$30:$Y$212,FA$17&amp;$C43,防護具!$Q$30:$Q$212))-EZ43,0)</f>
        <v>0</v>
      </c>
      <c r="FB44" s="763">
        <f>IFERROR(
SUM(FA44,SUMIF(防護具!$Y$30:$Y$212,FB$17&amp;$C43,防護具!$Q$30:$Q$212))-FA43,0)</f>
        <v>0</v>
      </c>
      <c r="FC44" s="763">
        <f>IFERROR(
SUM(FB44,SUMIF(防護具!$Y$30:$Y$212,FC$17&amp;$C43,防護具!$Q$30:$Q$212))-FB43,0)</f>
        <v>0</v>
      </c>
      <c r="FD44" s="763">
        <f>IFERROR(
SUM(FC44,SUMIF(防護具!$Y$30:$Y$212,FD$17&amp;$C43,防護具!$Q$30:$Q$212))-FC43,0)</f>
        <v>0</v>
      </c>
      <c r="FE44" s="763">
        <f>IFERROR(
SUM(FD44,SUMIF(防護具!$Y$30:$Y$212,FE$17&amp;$C43,防護具!$Q$30:$Q$212))-FD43,0)</f>
        <v>0</v>
      </c>
      <c r="FF44" s="763">
        <f>IFERROR(
SUM(FE44,SUMIF(防護具!$Y$30:$Y$212,FF$17&amp;$C43,防護具!$Q$30:$Q$212))-FE43,0)</f>
        <v>0</v>
      </c>
      <c r="FG44" s="763">
        <f>IFERROR(
SUM(FF44,SUMIF(防護具!$Y$30:$Y$212,FG$17&amp;$C43,防護具!$Q$30:$Q$212))-FF43,0)</f>
        <v>0</v>
      </c>
      <c r="FH44" s="763">
        <f>IFERROR(
SUM(FG44,SUMIF(防護具!$Y$30:$Y$212,FH$17&amp;$C43,防護具!$Q$30:$Q$212))-FG43,0)</f>
        <v>0</v>
      </c>
      <c r="FI44" s="763">
        <f>IFERROR(
SUM(FH44,SUMIF(防護具!$Y$30:$Y$212,FI$17&amp;$C43,防護具!$Q$30:$Q$212))-FH43,0)</f>
        <v>0</v>
      </c>
      <c r="FJ44" s="763">
        <f>IFERROR(
SUM(FI44,SUMIF(防護具!$Y$30:$Y$212,FJ$17&amp;$C43,防護具!$Q$30:$Q$212))-FI43,0)</f>
        <v>0</v>
      </c>
      <c r="FK44" s="763">
        <f>IFERROR(
SUM(FJ44,SUMIF(防護具!$Y$30:$Y$212,FK$17&amp;$C43,防護具!$Q$30:$Q$212))-FJ43,0)</f>
        <v>0</v>
      </c>
      <c r="FL44" s="763">
        <f>IFERROR(
SUM(FK44,SUMIF(防護具!$Y$30:$Y$212,FL$17&amp;$C43,防護具!$Q$30:$Q$212))-FK43,0)</f>
        <v>0</v>
      </c>
      <c r="FM44" s="763">
        <f>IFERROR(
SUM(FL44,SUMIF(防護具!$Y$30:$Y$212,FM$17&amp;$C43,防護具!$Q$30:$Q$212))-FL43,0)</f>
        <v>0</v>
      </c>
      <c r="FN44" s="763">
        <f>IFERROR(
SUM(FM44,SUMIF(防護具!$Y$30:$Y$212,FN$17&amp;$C43,防護具!$Q$30:$Q$212))-FM43,0)</f>
        <v>0</v>
      </c>
      <c r="FO44" s="763">
        <f>IFERROR(
SUM(FN44,SUMIF(防護具!$Y$30:$Y$212,FO$17&amp;$C43,防護具!$Q$30:$Q$212))-FN43,0)</f>
        <v>0</v>
      </c>
      <c r="FP44" s="763">
        <f>IFERROR(
SUM(FO44,SUMIF(防護具!$Y$30:$Y$212,FP$17&amp;$C43,防護具!$Q$30:$Q$212))-FO43,0)</f>
        <v>0</v>
      </c>
      <c r="FQ44" s="763">
        <f>IFERROR(
SUM(FP44,SUMIF(防護具!$Y$30:$Y$212,FQ$17&amp;$C43,防護具!$Q$30:$Q$212))-FP43,0)</f>
        <v>0</v>
      </c>
      <c r="FR44" s="763">
        <f>IFERROR(
SUM(FQ44,SUMIF(防護具!$Y$30:$Y$212,FR$17&amp;$C43,防護具!$Q$30:$Q$212))-FQ43,0)</f>
        <v>0</v>
      </c>
      <c r="FS44" s="763">
        <f>IFERROR(
SUM(FR44,SUMIF(防護具!$Y$30:$Y$212,FS$17&amp;$C43,防護具!$Q$30:$Q$212))-FR43,0)</f>
        <v>0</v>
      </c>
      <c r="FT44" s="763">
        <f>IFERROR(
SUM(FS44,SUMIF(防護具!$Y$30:$Y$212,FT$17&amp;$C43,防護具!$Q$30:$Q$212))-FS43,0)</f>
        <v>0</v>
      </c>
      <c r="FU44" s="763">
        <f>IFERROR(
SUM(FT44,SUMIF(防護具!$Y$30:$Y$212,FU$17&amp;$C43,防護具!$Q$30:$Q$212))-FT43,0)</f>
        <v>0</v>
      </c>
      <c r="FV44" s="763">
        <f>IFERROR(
SUM(FU44,SUMIF(防護具!$Y$30:$Y$212,FV$17&amp;$C43,防護具!$Q$30:$Q$212))-FU43,0)</f>
        <v>0</v>
      </c>
      <c r="FW44" s="763">
        <f>IFERROR(
SUM(FV44,SUMIF(防護具!$Y$30:$Y$212,FW$17&amp;$C43,防護具!$Q$30:$Q$212))-FV43,0)</f>
        <v>0</v>
      </c>
      <c r="FX44" s="763">
        <f>IFERROR(
SUM(FW44,SUMIF(防護具!$Y$30:$Y$212,FX$17&amp;$C43,防護具!$Q$30:$Q$212))-FW43,0)</f>
        <v>0</v>
      </c>
      <c r="FY44" s="763">
        <f>IFERROR(
SUM(FX44,SUMIF(防護具!$Y$30:$Y$212,FY$17&amp;$C43,防護具!$Q$30:$Q$212))-FX43,0)</f>
        <v>0</v>
      </c>
      <c r="FZ44" s="763">
        <f>IFERROR(
SUM(FY44,SUMIF(防護具!$Y$30:$Y$212,FZ$17&amp;$C43,防護具!$Q$30:$Q$212))-FY43,0)</f>
        <v>0</v>
      </c>
      <c r="GA44" s="763">
        <f>IFERROR(
SUM(FZ44,SUMIF(防護具!$Y$30:$Y$212,GA$17&amp;$C43,防護具!$Q$30:$Q$212))-FZ43,0)</f>
        <v>0</v>
      </c>
      <c r="GB44" s="763">
        <f>IFERROR(
SUM(GA44,SUMIF(防護具!$Y$30:$Y$212,GB$17&amp;$C43,防護具!$Q$30:$Q$212))-GA43,0)</f>
        <v>0</v>
      </c>
      <c r="GC44" s="763">
        <f>IFERROR(
SUM(GB44,SUMIF(防護具!$Y$30:$Y$212,GC$17&amp;$C43,防護具!$Q$30:$Q$212))-GB43,0)</f>
        <v>0</v>
      </c>
      <c r="GD44" s="763">
        <f>IFERROR(
SUM(GC44,SUMIF(防護具!$Y$30:$Y$212,GD$17&amp;$C43,防護具!$Q$30:$Q$212))-GC43,0)</f>
        <v>0</v>
      </c>
      <c r="GE44" s="763">
        <f>IFERROR(
SUM(GD44,SUMIF(防護具!$Y$30:$Y$212,GE$17&amp;$C43,防護具!$Q$30:$Q$212))-GD43,0)</f>
        <v>0</v>
      </c>
      <c r="GF44" s="763">
        <f>IFERROR(
SUM(GE44,SUMIF(防護具!$Y$30:$Y$212,GF$17&amp;$C43,防護具!$Q$30:$Q$212))-GE43,0)</f>
        <v>0</v>
      </c>
      <c r="GG44" s="763">
        <f>IFERROR(
SUM(GF44,SUMIF(防護具!$Y$30:$Y$212,GG$17&amp;$C43,防護具!$Q$30:$Q$212))-GF43,0)</f>
        <v>0</v>
      </c>
      <c r="GH44" s="763">
        <f>IFERROR(
SUM(GG44,SUMIF(防護具!$Y$30:$Y$212,GH$17&amp;$C43,防護具!$Q$30:$Q$212))-GG43,0)</f>
        <v>0</v>
      </c>
      <c r="GI44" s="763">
        <f>IFERROR(
SUM(GH44,SUMIF(防護具!$Y$30:$Y$212,GI$17&amp;$C43,防護具!$Q$30:$Q$212))-GH43,0)</f>
        <v>0</v>
      </c>
      <c r="GJ44" s="763">
        <f>IFERROR(
SUM(GI44,SUMIF(防護具!$Y$30:$Y$212,GJ$17&amp;$C43,防護具!$Q$30:$Q$212))-GI43,0)</f>
        <v>0</v>
      </c>
    </row>
    <row r="45" spans="2:192" s="627" customFormat="1">
      <c r="B45" s="631"/>
      <c r="C45" s="626"/>
      <c r="D45" s="702" t="s">
        <v>1425</v>
      </c>
      <c r="E45" s="707"/>
      <c r="F45" s="654"/>
      <c r="G45" s="763">
        <f xml:space="preserve">
IF(
SUM(SUMIF(防護具!$Y$13:$Y$29,G$17&amp;$C43,防護具!$Q$13:$Q$29),F45)-VLOOKUP($C43,$C$3:$D$15,2,FALSE)*F41&lt;0,0,
SUM(SUMIF(防護具!$Y$13:$Y$29,G$17&amp;$C43,防護具!$Q$13:$Q$29),F45)-VLOOKUP($C43,$C$3:$D$15,2,FALSE)*F41)</f>
        <v>0</v>
      </c>
      <c r="H45" s="763">
        <f xml:space="preserve">
IF(
SUM(SUMIF(防護具!$Y$13:$Y$29,H$17&amp;$C43,防護具!$Q$13:$Q$29),G45)-VLOOKUP($C43,$C$3:$D$15,2,FALSE)*G41&lt;0,0,
SUM(SUMIF(防護具!$Y$13:$Y$29,H$17&amp;$C43,防護具!$Q$13:$Q$29),G45)-VLOOKUP($C43,$C$3:$D$15,2,FALSE)*G41)</f>
        <v>0</v>
      </c>
      <c r="I45" s="763">
        <f xml:space="preserve">
IF(
SUM(SUMIF(防護具!$Y$13:$Y$29,I$17&amp;$C43,防護具!$Q$13:$Q$29),H45)-VLOOKUP($C43,$C$3:$D$15,2,FALSE)*H41&lt;0,0,
SUM(SUMIF(防護具!$Y$13:$Y$29,I$17&amp;$C43,防護具!$Q$13:$Q$29),H45)-VLOOKUP($C43,$C$3:$D$15,2,FALSE)*H41)</f>
        <v>0</v>
      </c>
      <c r="J45" s="763">
        <f xml:space="preserve">
IF(
SUM(SUMIF(防護具!$Y$13:$Y$29,J$17&amp;$C43,防護具!$Q$13:$Q$29),I45)-VLOOKUP($C43,$C$3:$D$15,2,FALSE)*I41&lt;0,0,
SUM(SUMIF(防護具!$Y$13:$Y$29,J$17&amp;$C43,防護具!$Q$13:$Q$29),I45)-VLOOKUP($C43,$C$3:$D$15,2,FALSE)*I41)</f>
        <v>0</v>
      </c>
      <c r="K45" s="763">
        <f xml:space="preserve">
IF(
SUM(SUMIF(防護具!$Y$13:$Y$29,K$17&amp;$C43,防護具!$Q$13:$Q$29),J45)-VLOOKUP($C43,$C$3:$D$15,2,FALSE)*J41&lt;0,0,
SUM(SUMIF(防護具!$Y$13:$Y$29,K$17&amp;$C43,防護具!$Q$13:$Q$29),J45)-VLOOKUP($C43,$C$3:$D$15,2,FALSE)*J41)</f>
        <v>0</v>
      </c>
      <c r="L45" s="763">
        <f xml:space="preserve">
IF(
SUM(SUMIF(防護具!$Y$13:$Y$29,L$17&amp;$C43,防護具!$Q$13:$Q$29),K45)-VLOOKUP($C43,$C$3:$D$15,2,FALSE)*K41&lt;0,0,
SUM(SUMIF(防護具!$Y$13:$Y$29,L$17&amp;$C43,防護具!$Q$13:$Q$29),K45)-VLOOKUP($C43,$C$3:$D$15,2,FALSE)*K41)</f>
        <v>0</v>
      </c>
      <c r="M45" s="763">
        <f xml:space="preserve">
IF(
SUM(SUMIF(防護具!$Y$13:$Y$29,M$17&amp;$C43,防護具!$Q$13:$Q$29),L45)-VLOOKUP($C43,$C$3:$D$15,2,FALSE)*L41&lt;0,0,
SUM(SUMIF(防護具!$Y$13:$Y$29,M$17&amp;$C43,防護具!$Q$13:$Q$29),L45)-VLOOKUP($C43,$C$3:$D$15,2,FALSE)*L41)</f>
        <v>0</v>
      </c>
      <c r="N45" s="763">
        <f xml:space="preserve">
IF(
SUM(SUMIF(防護具!$Y$13:$Y$29,N$17&amp;$C43,防護具!$Q$13:$Q$29),M45)-VLOOKUP($C43,$C$3:$D$15,2,FALSE)*M41&lt;0,0,
SUM(SUMIF(防護具!$Y$13:$Y$29,N$17&amp;$C43,防護具!$Q$13:$Q$29),M45)-VLOOKUP($C43,$C$3:$D$15,2,FALSE)*M41)</f>
        <v>0</v>
      </c>
      <c r="O45" s="763">
        <f xml:space="preserve">
IF(
SUM(SUMIF(防護具!$Y$13:$Y$29,O$17&amp;$C43,防護具!$Q$13:$Q$29),N45)-VLOOKUP($C43,$C$3:$D$15,2,FALSE)*N41&lt;0,0,
SUM(SUMIF(防護具!$Y$13:$Y$29,O$17&amp;$C43,防護具!$Q$13:$Q$29),N45)-VLOOKUP($C43,$C$3:$D$15,2,FALSE)*N41)</f>
        <v>0</v>
      </c>
      <c r="P45" s="763">
        <f xml:space="preserve">
IF(
SUM(SUMIF(防護具!$Y$13:$Y$29,P$17&amp;$C43,防護具!$Q$13:$Q$29),O45)-VLOOKUP($C43,$C$3:$D$15,2,FALSE)*O41&lt;0,0,
SUM(SUMIF(防護具!$Y$13:$Y$29,P$17&amp;$C43,防護具!$Q$13:$Q$29),O45)-VLOOKUP($C43,$C$3:$D$15,2,FALSE)*O41)</f>
        <v>0</v>
      </c>
      <c r="Q45" s="763">
        <f xml:space="preserve">
IF(
SUM(SUMIF(防護具!$Y$13:$Y$29,Q$17&amp;$C43,防護具!$Q$13:$Q$29),P45)-VLOOKUP($C43,$C$3:$D$15,2,FALSE)*P$20&lt;0,0,
SUM(SUMIF(防護具!$Y$13:$Y$29,Q$17&amp;$C43,防護具!$Q$13:$Q$29),P45)-VLOOKUP($C43,$C$3:$D$15,2,FALSE)*P$20)</f>
        <v>0</v>
      </c>
      <c r="R45" s="763">
        <f xml:space="preserve">
IF(
SUM(SUMIF(防護具!$Y$13:$Y$29,R$17&amp;$C43,防護具!$Q$13:$Q$29),Q45)-VLOOKUP($C43,$C$3:$D$15,2,FALSE)*Q$20&lt;0,0,
SUM(SUMIF(防護具!$Y$13:$Y$29,R$17&amp;$C43,防護具!$Q$13:$Q$29),Q45)-VLOOKUP($C43,$C$3:$D$15,2,FALSE)*Q$20)</f>
        <v>0</v>
      </c>
      <c r="S45" s="763">
        <f xml:space="preserve">
IF(
SUM(SUMIF(防護具!$Y$13:$Y$29,S$17&amp;$C43,防護具!$Q$13:$Q$29),R45)-VLOOKUP($C43,$C$3:$D$15,2,FALSE)*R$20&lt;0,0,
SUM(SUMIF(防護具!$Y$13:$Y$29,S$17&amp;$C43,防護具!$Q$13:$Q$29),R45)-VLOOKUP($C43,$C$3:$D$15,2,FALSE)*R$20)</f>
        <v>0</v>
      </c>
      <c r="T45" s="763">
        <f xml:space="preserve">
IF(
SUM(SUMIF(防護具!$Y$13:$Y$29,T$17&amp;$C43,防護具!$Q$13:$Q$29),S45)-VLOOKUP($C43,$C$3:$D$15,2,FALSE)*S$20&lt;0,0,
SUM(SUMIF(防護具!$Y$13:$Y$29,T$17&amp;$C43,防護具!$Q$13:$Q$29),S45)-VLOOKUP($C43,$C$3:$D$15,2,FALSE)*S$20)</f>
        <v>0</v>
      </c>
      <c r="U45" s="763">
        <f xml:space="preserve">
IF(
SUM(SUMIF(防護具!$Y$13:$Y$29,U$17&amp;$C43,防護具!$Q$13:$Q$29),T45)-VLOOKUP($C43,$C$3:$D$15,2,FALSE)*T$20&lt;0,0,
SUM(SUMIF(防護具!$Y$13:$Y$29,U$17&amp;$C43,防護具!$Q$13:$Q$29),T45)-VLOOKUP($C43,$C$3:$D$15,2,FALSE)*T$20)</f>
        <v>0</v>
      </c>
      <c r="V45" s="763">
        <f xml:space="preserve">
IF(
SUM(SUMIF(防護具!$Y$13:$Y$29,V$17&amp;$C43,防護具!$Q$13:$Q$29),U45)-VLOOKUP($C43,$C$3:$D$15,2,FALSE)*U$20&lt;0,0,
SUM(SUMIF(防護具!$Y$13:$Y$29,V$17&amp;$C43,防護具!$Q$13:$Q$29),U45)-VLOOKUP($C43,$C$3:$D$15,2,FALSE)*U$20)</f>
        <v>0</v>
      </c>
      <c r="W45" s="763">
        <f xml:space="preserve">
IF(
SUM(SUMIF(防護具!$Y$13:$Y$29,W$17&amp;$C43,防護具!$Q$13:$Q$29),V45)-VLOOKUP($C43,$C$3:$D$15,2,FALSE)*V$20&lt;0,0,
SUM(SUMIF(防護具!$Y$13:$Y$29,W$17&amp;$C43,防護具!$Q$13:$Q$29),V45)-VLOOKUP($C43,$C$3:$D$15,2,FALSE)*V$20)</f>
        <v>0</v>
      </c>
      <c r="X45" s="763">
        <f xml:space="preserve">
IF(
SUM(SUMIF(防護具!$Y$13:$Y$29,X$17&amp;$C43,防護具!$Q$13:$Q$29),W45)-VLOOKUP($C43,$C$3:$D$15,2,FALSE)*W$20&lt;0,0,
SUM(SUMIF(防護具!$Y$13:$Y$29,X$17&amp;$C43,防護具!$Q$13:$Q$29),W45)-VLOOKUP($C43,$C$3:$D$15,2,FALSE)*W$20)</f>
        <v>0</v>
      </c>
      <c r="Y45" s="763">
        <f xml:space="preserve">
IF(
SUM(SUMIF(防護具!$Y$13:$Y$29,Y$17&amp;$C43,防護具!$Q$13:$Q$29),X45)-VLOOKUP($C43,$C$3:$D$15,2,FALSE)*X$20&lt;0,0,
SUM(SUMIF(防護具!$Y$13:$Y$29,Y$17&amp;$C43,防護具!$Q$13:$Q$29),X45)-VLOOKUP($C43,$C$3:$D$15,2,FALSE)*X$20)</f>
        <v>0</v>
      </c>
      <c r="Z45" s="763">
        <f xml:space="preserve">
IF(
SUM(SUMIF(防護具!$Y$13:$Y$29,Z$17&amp;$C43,防護具!$Q$13:$Q$29),Y45)-VLOOKUP($C43,$C$3:$D$15,2,FALSE)*Y$20&lt;0,0,
SUM(SUMIF(防護具!$Y$13:$Y$29,Z$17&amp;$C43,防護具!$Q$13:$Q$29),Y45)-VLOOKUP($C43,$C$3:$D$15,2,FALSE)*Y$20)</f>
        <v>0</v>
      </c>
      <c r="AA45" s="763">
        <f xml:space="preserve">
IF(
SUM(SUMIF(防護具!$Y$13:$Y$29,AA$17&amp;$C43,防護具!$Q$13:$Q$29),Z45)-VLOOKUP($C43,$C$3:$D$15,2,FALSE)*Z$20&lt;0,0,
SUM(SUMIF(防護具!$Y$13:$Y$29,AA$17&amp;$C43,防護具!$Q$13:$Q$29),Z45)-VLOOKUP($C43,$C$3:$D$15,2,FALSE)*Z$20)</f>
        <v>0</v>
      </c>
      <c r="AB45" s="763">
        <f xml:space="preserve">
IF(
SUM(SUMIF(防護具!$Y$13:$Y$29,AB$17&amp;$C43,防護具!$Q$13:$Q$29),AA45)-VLOOKUP($C43,$C$3:$D$15,2,FALSE)*AA$20&lt;0,0,
SUM(SUMIF(防護具!$Y$13:$Y$29,AB$17&amp;$C43,防護具!$Q$13:$Q$29),AA45)-VLOOKUP($C43,$C$3:$D$15,2,FALSE)*AA$20)</f>
        <v>0</v>
      </c>
      <c r="AC45" s="763">
        <f xml:space="preserve">
IF(
SUM(SUMIF(防護具!$Y$13:$Y$29,AC$17&amp;$C43,防護具!$Q$13:$Q$29),AB45)-VLOOKUP($C43,$C$3:$D$15,2,FALSE)*AB$20&lt;0,0,
SUM(SUMIF(防護具!$Y$13:$Y$29,AC$17&amp;$C43,防護具!$Q$13:$Q$29),AB45)-VLOOKUP($C43,$C$3:$D$15,2,FALSE)*AB$20)</f>
        <v>0</v>
      </c>
      <c r="AD45" s="763">
        <f xml:space="preserve">
IF(
SUM(SUMIF(防護具!$Y$13:$Y$29,AD$17&amp;$C43,防護具!$Q$13:$Q$29),AC45)-VLOOKUP($C43,$C$3:$D$15,2,FALSE)*AC$20&lt;0,0,
SUM(SUMIF(防護具!$Y$13:$Y$29,AD$17&amp;$C43,防護具!$Q$13:$Q$29),AC45)-VLOOKUP($C43,$C$3:$D$15,2,FALSE)*AC$20)</f>
        <v>0</v>
      </c>
      <c r="AE45" s="763">
        <f xml:space="preserve">
IF(
SUM(SUMIF(防護具!$Y$13:$Y$29,AE$17&amp;$C43,防護具!$Q$13:$Q$29),AD45)-VLOOKUP($C43,$C$3:$D$15,2,FALSE)*AD$20&lt;0,0,
SUM(SUMIF(防護具!$Y$13:$Y$29,AE$17&amp;$C43,防護具!$Q$13:$Q$29),AD45)-VLOOKUP($C43,$C$3:$D$15,2,FALSE)*AD$20)</f>
        <v>0</v>
      </c>
      <c r="AF45" s="763">
        <f xml:space="preserve">
IF(
SUM(SUMIF(防護具!$Y$13:$Y$29,AF$17&amp;$C43,防護具!$Q$13:$Q$29),AE45)-VLOOKUP($C43,$C$3:$D$15,2,FALSE)*AE$20&lt;0,0,
SUM(SUMIF(防護具!$Y$13:$Y$29,AF$17&amp;$C43,防護具!$Q$13:$Q$29),AE45)-VLOOKUP($C43,$C$3:$D$15,2,FALSE)*AE$20)</f>
        <v>0</v>
      </c>
      <c r="AG45" s="763">
        <f xml:space="preserve">
IF(
SUM(SUMIF(防護具!$Y$13:$Y$29,AG$17&amp;$C43,防護具!$Q$13:$Q$29),AF45)-VLOOKUP($C43,$C$3:$D$15,2,FALSE)*AF$20&lt;0,0,
SUM(SUMIF(防護具!$Y$13:$Y$29,AG$17&amp;$C43,防護具!$Q$13:$Q$29),AF45)-VLOOKUP($C43,$C$3:$D$15,2,FALSE)*AF$20)</f>
        <v>0</v>
      </c>
      <c r="AH45" s="763">
        <f xml:space="preserve">
IF(
SUM(SUMIF(防護具!$Y$13:$Y$29,AH$17&amp;$C43,防護具!$Q$13:$Q$29),AG45)-VLOOKUP($C43,$C$3:$D$15,2,FALSE)*AG$20&lt;0,0,
SUM(SUMIF(防護具!$Y$13:$Y$29,AH$17&amp;$C43,防護具!$Q$13:$Q$29),AG45)-VLOOKUP($C43,$C$3:$D$15,2,FALSE)*AG$20)</f>
        <v>0</v>
      </c>
      <c r="AI45" s="763">
        <f xml:space="preserve">
IF(
SUM(SUMIF(防護具!$Y$13:$Y$29,AI$17&amp;$C43,防護具!$Q$13:$Q$29),AH45)-VLOOKUP($C43,$C$3:$D$15,2,FALSE)*AH$20&lt;0,0,
SUM(SUMIF(防護具!$Y$13:$Y$29,AI$17&amp;$C43,防護具!$Q$13:$Q$29),AH45)-VLOOKUP($C43,$C$3:$D$15,2,FALSE)*AH$20)</f>
        <v>0</v>
      </c>
      <c r="AJ45" s="763">
        <f xml:space="preserve">
IF(
SUM(SUMIF(防護具!$Y$13:$Y$29,AJ$17&amp;$C43,防護具!$Q$13:$Q$29),AI45)-VLOOKUP($C43,$C$3:$D$15,2,FALSE)*AI$20&lt;0,0,
SUM(SUMIF(防護具!$Y$13:$Y$29,AJ$17&amp;$C43,防護具!$Q$13:$Q$29),AI45)-VLOOKUP($C43,$C$3:$D$15,2,FALSE)*AI$20)</f>
        <v>0</v>
      </c>
      <c r="AK45" s="763">
        <f xml:space="preserve">
IF(
SUM(SUMIF(防護具!$Y$13:$Y$29,AK$17&amp;$C43,防護具!$Q$13:$Q$29),AJ45)-VLOOKUP($C43,$C$3:$D$15,2,FALSE)*AJ$20&lt;0,0,
SUM(SUMIF(防護具!$Y$13:$Y$29,AK$17&amp;$C43,防護具!$Q$13:$Q$29),AJ45)-VLOOKUP($C43,$C$3:$D$15,2,FALSE)*AJ$20)</f>
        <v>0</v>
      </c>
      <c r="AL45" s="763">
        <f xml:space="preserve">
IF(
SUM(SUMIF(防護具!$Y$13:$Y$29,AL$17&amp;$C43,防護具!$Q$13:$Q$29),AK45)-VLOOKUP($C43,$C$3:$D$15,2,FALSE)*AK$20&lt;0,0,
SUM(SUMIF(防護具!$Y$13:$Y$29,AL$17&amp;$C43,防護具!$Q$13:$Q$29),AK45)-VLOOKUP($C43,$C$3:$D$15,2,FALSE)*AK$20)</f>
        <v>0</v>
      </c>
      <c r="AM45" s="763">
        <f xml:space="preserve">
IF(
SUM(SUMIF(防護具!$Y$13:$Y$29,AM$17&amp;$C43,防護具!$Q$13:$Q$29),AL45)-VLOOKUP($C43,$C$3:$D$15,2,FALSE)*AL$20&lt;0,0,
SUM(SUMIF(防護具!$Y$13:$Y$29,AM$17&amp;$C43,防護具!$Q$13:$Q$29),AL45)-VLOOKUP($C43,$C$3:$D$15,2,FALSE)*AL$20)</f>
        <v>0</v>
      </c>
      <c r="AN45" s="763">
        <f xml:space="preserve">
IF(
SUM(SUMIF(防護具!$Y$13:$Y$29,AN$17&amp;$C43,防護具!$Q$13:$Q$29),AM45)-VLOOKUP($C43,$C$3:$D$15,2,FALSE)*AM$20&lt;0,0,
SUM(SUMIF(防護具!$Y$13:$Y$29,AN$17&amp;$C43,防護具!$Q$13:$Q$29),AM45)-VLOOKUP($C43,$C$3:$D$15,2,FALSE)*AM$20)</f>
        <v>0</v>
      </c>
      <c r="AO45" s="763">
        <f xml:space="preserve">
IF(
SUM(SUMIF(防護具!$Y$13:$Y$29,AO$17&amp;$C43,防護具!$Q$13:$Q$29),AN45)-VLOOKUP($C43,$C$3:$D$15,2,FALSE)*AN$20&lt;0,0,
SUM(SUMIF(防護具!$Y$13:$Y$29,AO$17&amp;$C43,防護具!$Q$13:$Q$29),AN45)-VLOOKUP($C43,$C$3:$D$15,2,FALSE)*AN$20)</f>
        <v>0</v>
      </c>
      <c r="AP45" s="763">
        <f xml:space="preserve">
IF(
SUM(SUMIF(防護具!$Y$13:$Y$29,AP$17&amp;$C43,防護具!$Q$13:$Q$29),AO45)-VLOOKUP($C43,$C$3:$D$15,2,FALSE)*AO$20&lt;0,0,
SUM(SUMIF(防護具!$Y$13:$Y$29,AP$17&amp;$C43,防護具!$Q$13:$Q$29),AO45)-VLOOKUP($C43,$C$3:$D$15,2,FALSE)*AO$20)</f>
        <v>0</v>
      </c>
      <c r="AQ45" s="763">
        <f xml:space="preserve">
IF(
SUM(SUMIF(防護具!$Y$13:$Y$29,AQ$17&amp;$C43,防護具!$Q$13:$Q$29),AP45)-VLOOKUP($C43,$C$3:$D$15,2,FALSE)*AP$20&lt;0,0,
SUM(SUMIF(防護具!$Y$13:$Y$29,AQ$17&amp;$C43,防護具!$Q$13:$Q$29),AP45)-VLOOKUP($C43,$C$3:$D$15,2,FALSE)*AP$20)</f>
        <v>0</v>
      </c>
      <c r="AR45" s="763">
        <f xml:space="preserve">
IF(
SUM(SUMIF(防護具!$Y$13:$Y$29,AR$17&amp;$C43,防護具!$Q$13:$Q$29),AQ45)-VLOOKUP($C43,$C$3:$D$15,2,FALSE)*AQ$20&lt;0,0,
SUM(SUMIF(防護具!$Y$13:$Y$29,AR$17&amp;$C43,防護具!$Q$13:$Q$29),AQ45)-VLOOKUP($C43,$C$3:$D$15,2,FALSE)*AQ$20)</f>
        <v>0</v>
      </c>
      <c r="AS45" s="763">
        <f xml:space="preserve">
IF(
SUM(SUMIF(防護具!$Y$13:$Y$29,AS$17&amp;$C43,防護具!$Q$13:$Q$29),AR45)-VLOOKUP($C43,$C$3:$D$15,2,FALSE)*AR$20&lt;0,0,
SUM(SUMIF(防護具!$Y$13:$Y$29,AS$17&amp;$C43,防護具!$Q$13:$Q$29),AR45)-VLOOKUP($C43,$C$3:$D$15,2,FALSE)*AR$20)</f>
        <v>0</v>
      </c>
      <c r="AT45" s="763">
        <f xml:space="preserve">
IF(
SUM(SUMIF(防護具!$Y$13:$Y$29,AT$17&amp;$C43,防護具!$Q$13:$Q$29),AS45)-VLOOKUP($C43,$C$3:$D$15,2,FALSE)*AS$20&lt;0,0,
SUM(SUMIF(防護具!$Y$13:$Y$29,AT$17&amp;$C43,防護具!$Q$13:$Q$29),AS45)-VLOOKUP($C43,$C$3:$D$15,2,FALSE)*AS$20)</f>
        <v>0</v>
      </c>
      <c r="AU45" s="763">
        <f xml:space="preserve">
IF(
SUM(SUMIF(防護具!$Y$13:$Y$29,AU$17&amp;$C43,防護具!$Q$13:$Q$29),AT45)-VLOOKUP($C43,$C$3:$D$15,2,FALSE)*AT$20&lt;0,0,
SUM(SUMIF(防護具!$Y$13:$Y$29,AU$17&amp;$C43,防護具!$Q$13:$Q$29),AT45)-VLOOKUP($C43,$C$3:$D$15,2,FALSE)*AT$20)</f>
        <v>0</v>
      </c>
      <c r="AV45" s="763">
        <f xml:space="preserve">
IF(
SUM(SUMIF(防護具!$Y$13:$Y$29,AV$17&amp;$C43,防護具!$Q$13:$Q$29),AU45)-VLOOKUP($C43,$C$3:$D$15,2,FALSE)*AU$20&lt;0,0,
SUM(SUMIF(防護具!$Y$13:$Y$29,AV$17&amp;$C43,防護具!$Q$13:$Q$29),AU45)-VLOOKUP($C43,$C$3:$D$15,2,FALSE)*AU$20)</f>
        <v>0</v>
      </c>
      <c r="AW45" s="763">
        <f xml:space="preserve">
IF(
SUM(SUMIF(防護具!$Y$13:$Y$29,AW$17&amp;$C43,防護具!$Q$13:$Q$29),AV45)-VLOOKUP($C43,$C$3:$D$15,2,FALSE)*AV$20&lt;0,0,
SUM(SUMIF(防護具!$Y$13:$Y$29,AW$17&amp;$C43,防護具!$Q$13:$Q$29),AV45)-VLOOKUP($C43,$C$3:$D$15,2,FALSE)*AV$20)</f>
        <v>0</v>
      </c>
      <c r="AX45" s="763">
        <f xml:space="preserve">
IF(
SUM(SUMIF(防護具!$Y$13:$Y$29,AX$17&amp;$C43,防護具!$Q$13:$Q$29),AW45)-VLOOKUP($C43,$C$3:$D$15,2,FALSE)*AW$20&lt;0,0,
SUM(SUMIF(防護具!$Y$13:$Y$29,AX$17&amp;$C43,防護具!$Q$13:$Q$29),AW45)-VLOOKUP($C43,$C$3:$D$15,2,FALSE)*AW$20)</f>
        <v>0</v>
      </c>
      <c r="AY45" s="763">
        <f xml:space="preserve">
IF(
SUM(SUMIF(防護具!$Y$13:$Y$29,AY$17&amp;$C43,防護具!$Q$13:$Q$29),AX45)-VLOOKUP($C43,$C$3:$D$15,2,FALSE)*AX$20&lt;0,0,
SUM(SUMIF(防護具!$Y$13:$Y$29,AY$17&amp;$C43,防護具!$Q$13:$Q$29),AX45)-VLOOKUP($C43,$C$3:$D$15,2,FALSE)*AX$20)</f>
        <v>0</v>
      </c>
      <c r="AZ45" s="763">
        <f xml:space="preserve">
IF(
SUM(SUMIF(防護具!$Y$13:$Y$29,AZ$17&amp;$C43,防護具!$Q$13:$Q$29),AY45)-VLOOKUP($C43,$C$3:$D$15,2,FALSE)*AY$20&lt;0,0,
SUM(SUMIF(防護具!$Y$13:$Y$29,AZ$17&amp;$C43,防護具!$Q$13:$Q$29),AY45)-VLOOKUP($C43,$C$3:$D$15,2,FALSE)*AY$20)</f>
        <v>0</v>
      </c>
      <c r="BA45" s="763">
        <f xml:space="preserve">
IF(
SUM(SUMIF(防護具!$Y$13:$Y$29,BA$17&amp;$C43,防護具!$Q$13:$Q$29),AZ45)-VLOOKUP($C43,$C$3:$D$15,2,FALSE)*AZ$20&lt;0,0,
SUM(SUMIF(防護具!$Y$13:$Y$29,BA$17&amp;$C43,防護具!$Q$13:$Q$29),AZ45)-VLOOKUP($C43,$C$3:$D$15,2,FALSE)*AZ$20)</f>
        <v>0</v>
      </c>
      <c r="BB45" s="763">
        <f xml:space="preserve">
IF(
SUM(SUMIF(防護具!$Y$13:$Y$29,BB$17&amp;$C43,防護具!$Q$13:$Q$29),BA45)-VLOOKUP($C43,$C$3:$D$15,2,FALSE)*BA$20&lt;0,0,
SUM(SUMIF(防護具!$Y$13:$Y$29,BB$17&amp;$C43,防護具!$Q$13:$Q$29),BA45)-VLOOKUP($C43,$C$3:$D$15,2,FALSE)*BA$20)</f>
        <v>0</v>
      </c>
      <c r="BC45" s="763">
        <f xml:space="preserve">
IF(
SUM(SUMIF(防護具!$Y$13:$Y$29,BC$17&amp;$C43,防護具!$Q$13:$Q$29),BB45)-VLOOKUP($C43,$C$3:$D$15,2,FALSE)*BB$20&lt;0,0,
SUM(SUMIF(防護具!$Y$13:$Y$29,BC$17&amp;$C43,防護具!$Q$13:$Q$29),BB45)-VLOOKUP($C43,$C$3:$D$15,2,FALSE)*BB$20)</f>
        <v>0</v>
      </c>
      <c r="BD45" s="763">
        <f xml:space="preserve">
IF(
SUM(SUMIF(防護具!$Y$13:$Y$29,BD$17&amp;$C43,防護具!$Q$13:$Q$29),BC45)-VLOOKUP($C43,$C$3:$D$15,2,FALSE)*BC$20&lt;0,0,
SUM(SUMIF(防護具!$Y$13:$Y$29,BD$17&amp;$C43,防護具!$Q$13:$Q$29),BC45)-VLOOKUP($C43,$C$3:$D$15,2,FALSE)*BC$20)</f>
        <v>0</v>
      </c>
      <c r="BE45" s="763">
        <f xml:space="preserve">
IF(
SUM(SUMIF(防護具!$Y$13:$Y$29,BE$17&amp;$C43,防護具!$Q$13:$Q$29),BD45)-VLOOKUP($C43,$C$3:$D$15,2,FALSE)*BD$20&lt;0,0,
SUM(SUMIF(防護具!$Y$13:$Y$29,BE$17&amp;$C43,防護具!$Q$13:$Q$29),BD45)-VLOOKUP($C43,$C$3:$D$15,2,FALSE)*BD$20)</f>
        <v>0</v>
      </c>
      <c r="BF45" s="763">
        <f xml:space="preserve">
IF(
SUM(SUMIF(防護具!$Y$13:$Y$29,BF$17&amp;$C43,防護具!$Q$13:$Q$29),BE45)-VLOOKUP($C43,$C$3:$D$15,2,FALSE)*BE$20&lt;0,0,
SUM(SUMIF(防護具!$Y$13:$Y$29,BF$17&amp;$C43,防護具!$Q$13:$Q$29),BE45)-VLOOKUP($C43,$C$3:$D$15,2,FALSE)*BE$20)</f>
        <v>0</v>
      </c>
      <c r="BG45" s="763">
        <f xml:space="preserve">
IF(
SUM(SUMIF(防護具!$Y$13:$Y$29,BG$17&amp;$C43,防護具!$Q$13:$Q$29),BF45)-VLOOKUP($C43,$C$3:$D$15,2,FALSE)*BF$20&lt;0,0,
SUM(SUMIF(防護具!$Y$13:$Y$29,BG$17&amp;$C43,防護具!$Q$13:$Q$29),BF45)-VLOOKUP($C43,$C$3:$D$15,2,FALSE)*BF$20)</f>
        <v>0</v>
      </c>
      <c r="BH45" s="763">
        <f xml:space="preserve">
IF(
SUM(SUMIF(防護具!$Y$13:$Y$29,BH$17&amp;$C43,防護具!$Q$13:$Q$29),BG45)-VLOOKUP($C43,$C$3:$D$15,2,FALSE)*BG$20&lt;0,0,
SUM(SUMIF(防護具!$Y$13:$Y$29,BH$17&amp;$C43,防護具!$Q$13:$Q$29),BG45)-VLOOKUP($C43,$C$3:$D$15,2,FALSE)*BG$20)</f>
        <v>0</v>
      </c>
      <c r="BI45" s="763">
        <f xml:space="preserve">
IF(
SUM(SUMIF(防護具!$Y$13:$Y$29,BI$17&amp;$C43,防護具!$Q$13:$Q$29),BH45)-VLOOKUP($C43,$C$3:$D$15,2,FALSE)*BH$20&lt;0,0,
SUM(SUMIF(防護具!$Y$13:$Y$29,BI$17&amp;$C43,防護具!$Q$13:$Q$29),BH45)-VLOOKUP($C43,$C$3:$D$15,2,FALSE)*BH$20)</f>
        <v>0</v>
      </c>
      <c r="BJ45" s="763">
        <f xml:space="preserve">
IF(
SUM(SUMIF(防護具!$Y$13:$Y$29,BJ$17&amp;$C43,防護具!$Q$13:$Q$29),BI45)-VLOOKUP($C43,$C$3:$D$15,2,FALSE)*BI$20&lt;0,0,
SUM(SUMIF(防護具!$Y$13:$Y$29,BJ$17&amp;$C43,防護具!$Q$13:$Q$29),BI45)-VLOOKUP($C43,$C$3:$D$15,2,FALSE)*BI$20)</f>
        <v>0</v>
      </c>
      <c r="BK45" s="763">
        <f xml:space="preserve">
IF(
SUM(SUMIF(防護具!$Y$13:$Y$29,BK$17&amp;$C43,防護具!$Q$13:$Q$29),BJ45)-VLOOKUP($C43,$C$3:$D$15,2,FALSE)*BJ$20&lt;0,0,
SUM(SUMIF(防護具!$Y$13:$Y$29,BK$17&amp;$C43,防護具!$Q$13:$Q$29),BJ45)-VLOOKUP($C43,$C$3:$D$15,2,FALSE)*BJ$20)</f>
        <v>0</v>
      </c>
      <c r="BL45" s="763">
        <f xml:space="preserve">
IF(
SUM(SUMIF(防護具!$Y$13:$Y$29,BL$17&amp;$C43,防護具!$Q$13:$Q$29),BK45)-VLOOKUP($C43,$C$3:$D$15,2,FALSE)*BK$20&lt;0,0,
SUM(SUMIF(防護具!$Y$13:$Y$29,BL$17&amp;$C43,防護具!$Q$13:$Q$29),BK45)-VLOOKUP($C43,$C$3:$D$15,2,FALSE)*BK$20)</f>
        <v>0</v>
      </c>
      <c r="BM45" s="763">
        <f xml:space="preserve">
IF(
SUM(SUMIF(防護具!$Y$13:$Y$29,BM$17&amp;$C43,防護具!$Q$13:$Q$29),BL45)-VLOOKUP($C43,$C$3:$D$15,2,FALSE)*BL$20&lt;0,0,
SUM(SUMIF(防護具!$Y$13:$Y$29,BM$17&amp;$C43,防護具!$Q$13:$Q$29),BL45)-VLOOKUP($C43,$C$3:$D$15,2,FALSE)*BL$20)</f>
        <v>0</v>
      </c>
      <c r="BN45" s="763">
        <f xml:space="preserve">
IF(
SUM(SUMIF(防護具!$Y$13:$Y$29,BN$17&amp;$C43,防護具!$Q$13:$Q$29),BM45)-VLOOKUP($C43,$C$3:$D$15,2,FALSE)*BM$20&lt;0,0,
SUM(SUMIF(防護具!$Y$13:$Y$29,BN$17&amp;$C43,防護具!$Q$13:$Q$29),BM45)-VLOOKUP($C43,$C$3:$D$15,2,FALSE)*BM$20)</f>
        <v>0</v>
      </c>
      <c r="BO45" s="763">
        <f xml:space="preserve">
IF(
SUM(SUMIF(防護具!$Y$13:$Y$29,BO$17&amp;$C43,防護具!$Q$13:$Q$29),BN45)-VLOOKUP($C43,$C$3:$D$15,2,FALSE)*BN$20&lt;0,0,
SUM(SUMIF(防護具!$Y$13:$Y$29,BO$17&amp;$C43,防護具!$Q$13:$Q$29),BN45)-VLOOKUP($C43,$C$3:$D$15,2,FALSE)*BN$20)</f>
        <v>0</v>
      </c>
      <c r="BP45" s="763">
        <f xml:space="preserve">
IF(
SUM(SUMIF(防護具!$Y$13:$Y$29,BP$17&amp;$C43,防護具!$Q$13:$Q$29),BO45)-VLOOKUP($C43,$C$3:$D$15,2,FALSE)*BO$20&lt;0,0,
SUM(SUMIF(防護具!$Y$13:$Y$29,BP$17&amp;$C43,防護具!$Q$13:$Q$29),BO45)-VLOOKUP($C43,$C$3:$D$15,2,FALSE)*BO$20)</f>
        <v>0</v>
      </c>
      <c r="BQ45" s="763">
        <f xml:space="preserve">
IF(
SUM(SUMIF(防護具!$Y$13:$Y$29,BQ$17&amp;$C43,防護具!$Q$13:$Q$29),BP45)-VLOOKUP($C43,$C$3:$D$15,2,FALSE)*BP$20&lt;0,0,
SUM(SUMIF(防護具!$Y$13:$Y$29,BQ$17&amp;$C43,防護具!$Q$13:$Q$29),BP45)-VLOOKUP($C43,$C$3:$D$15,2,FALSE)*BP$20)</f>
        <v>0</v>
      </c>
      <c r="BR45" s="763">
        <f xml:space="preserve">
IF(
SUM(SUMIF(防護具!$Y$13:$Y$29,BR$17&amp;$C43,防護具!$Q$13:$Q$29),BQ45)-VLOOKUP($C43,$C$3:$D$15,2,FALSE)*BQ$20&lt;0,0,
SUM(SUMIF(防護具!$Y$13:$Y$29,BR$17&amp;$C43,防護具!$Q$13:$Q$29),BQ45)-VLOOKUP($C43,$C$3:$D$15,2,FALSE)*BQ$20)</f>
        <v>0</v>
      </c>
      <c r="BS45" s="763">
        <f xml:space="preserve">
IF(
SUM(SUMIF(防護具!$Y$13:$Y$29,BS$17&amp;$C43,防護具!$Q$13:$Q$29),BR45)-VLOOKUP($C43,$C$3:$D$15,2,FALSE)*BR$20&lt;0,0,
SUM(SUMIF(防護具!$Y$13:$Y$29,BS$17&amp;$C43,防護具!$Q$13:$Q$29),BR45)-VLOOKUP($C43,$C$3:$D$15,2,FALSE)*BR$20)</f>
        <v>0</v>
      </c>
      <c r="BT45" s="763">
        <f xml:space="preserve">
IF(
SUM(SUMIF(防護具!$Y$13:$Y$29,BT$17&amp;$C43,防護具!$Q$13:$Q$29),BS45)-VLOOKUP($C43,$C$3:$D$15,2,FALSE)*BS$20&lt;0,0,
SUM(SUMIF(防護具!$Y$13:$Y$29,BT$17&amp;$C43,防護具!$Q$13:$Q$29),BS45)-VLOOKUP($C43,$C$3:$D$15,2,FALSE)*BS$20)</f>
        <v>0</v>
      </c>
      <c r="BU45" s="763">
        <f xml:space="preserve">
IF(
SUM(SUMIF(防護具!$Y$13:$Y$29,BU$17&amp;$C43,防護具!$Q$13:$Q$29),BT45)-VLOOKUP($C43,$C$3:$D$15,2,FALSE)*BT$20&lt;0,0,
SUM(SUMIF(防護具!$Y$13:$Y$29,BU$17&amp;$C43,防護具!$Q$13:$Q$29),BT45)-VLOOKUP($C43,$C$3:$D$15,2,FALSE)*BT$20)</f>
        <v>0</v>
      </c>
      <c r="BV45" s="763">
        <f xml:space="preserve">
IF(
SUM(SUMIF(防護具!$Y$13:$Y$29,BV$17&amp;$C43,防護具!$Q$13:$Q$29),BU45)-VLOOKUP($C43,$C$3:$D$15,2,FALSE)*BU$20&lt;0,0,
SUM(SUMIF(防護具!$Y$13:$Y$29,BV$17&amp;$C43,防護具!$Q$13:$Q$29),BU45)-VLOOKUP($C43,$C$3:$D$15,2,FALSE)*BU$20)</f>
        <v>0</v>
      </c>
      <c r="BW45" s="763">
        <f xml:space="preserve">
IF(
SUM(SUMIF(防護具!$Y$13:$Y$29,BW$17&amp;$C43,防護具!$Q$13:$Q$29),BV45)-VLOOKUP($C43,$C$3:$D$15,2,FALSE)*BV$20&lt;0,0,
SUM(SUMIF(防護具!$Y$13:$Y$29,BW$17&amp;$C43,防護具!$Q$13:$Q$29),BV45)-VLOOKUP($C43,$C$3:$D$15,2,FALSE)*BV$20)</f>
        <v>0</v>
      </c>
      <c r="BX45" s="763">
        <f xml:space="preserve">
IF(
SUM(SUMIF(防護具!$Y$13:$Y$29,BX$17&amp;$C43,防護具!$Q$13:$Q$29),BW45)-VLOOKUP($C43,$C$3:$D$15,2,FALSE)*BW$20&lt;0,0,
SUM(SUMIF(防護具!$Y$13:$Y$29,BX$17&amp;$C43,防護具!$Q$13:$Q$29),BW45)-VLOOKUP($C43,$C$3:$D$15,2,FALSE)*BW$20)</f>
        <v>0</v>
      </c>
      <c r="BY45" s="763">
        <f xml:space="preserve">
IF(
SUM(SUMIF(防護具!$Y$13:$Y$29,BY$17&amp;$C43,防護具!$Q$13:$Q$29),BX45)-VLOOKUP($C43,$C$3:$D$15,2,FALSE)*BX$20&lt;0,0,
SUM(SUMIF(防護具!$Y$13:$Y$29,BY$17&amp;$C43,防護具!$Q$13:$Q$29),BX45)-VLOOKUP($C43,$C$3:$D$15,2,FALSE)*BX$20)</f>
        <v>0</v>
      </c>
      <c r="BZ45" s="763">
        <f xml:space="preserve">
IF(
SUM(SUMIF(防護具!$Y$13:$Y$29,BZ$17&amp;$C43,防護具!$Q$13:$Q$29),BY45)-VLOOKUP($C43,$C$3:$D$15,2,FALSE)*BY$20&lt;0,0,
SUM(SUMIF(防護具!$Y$13:$Y$29,BZ$17&amp;$C43,防護具!$Q$13:$Q$29),BY45)-VLOOKUP($C43,$C$3:$D$15,2,FALSE)*BY$20)</f>
        <v>0</v>
      </c>
      <c r="CA45" s="763">
        <f xml:space="preserve">
IF(
SUM(SUMIF(防護具!$Y$13:$Y$29,CA$17&amp;$C43,防護具!$Q$13:$Q$29),BZ45)-VLOOKUP($C43,$C$3:$D$15,2,FALSE)*BZ$20&lt;0,0,
SUM(SUMIF(防護具!$Y$13:$Y$29,CA$17&amp;$C43,防護具!$Q$13:$Q$29),BZ45)-VLOOKUP($C43,$C$3:$D$15,2,FALSE)*BZ$20)</f>
        <v>0</v>
      </c>
      <c r="CB45" s="763">
        <f xml:space="preserve">
IF(
SUM(SUMIF(防護具!$Y$13:$Y$29,CB$17&amp;$C43,防護具!$Q$13:$Q$29),CA45)-VLOOKUP($C43,$C$3:$D$15,2,FALSE)*CA$20&lt;0,0,
SUM(SUMIF(防護具!$Y$13:$Y$29,CB$17&amp;$C43,防護具!$Q$13:$Q$29),CA45)-VLOOKUP($C43,$C$3:$D$15,2,FALSE)*CA$20)</f>
        <v>0</v>
      </c>
      <c r="CC45" s="763">
        <f xml:space="preserve">
IF(
SUM(SUMIF(防護具!$Y$13:$Y$29,CC$17&amp;$C43,防護具!$Q$13:$Q$29),CB45)-VLOOKUP($C43,$C$3:$D$15,2,FALSE)*CB$20&lt;0,0,
SUM(SUMIF(防護具!$Y$13:$Y$29,CC$17&amp;$C43,防護具!$Q$13:$Q$29),CB45)-VLOOKUP($C43,$C$3:$D$15,2,FALSE)*CB$20)</f>
        <v>0</v>
      </c>
      <c r="CD45" s="763">
        <f xml:space="preserve">
IF(
SUM(SUMIF(防護具!$Y$13:$Y$29,CD$17&amp;$C43,防護具!$Q$13:$Q$29),CC45)-VLOOKUP($C43,$C$3:$D$15,2,FALSE)*CC$20&lt;0,0,
SUM(SUMIF(防護具!$Y$13:$Y$29,CD$17&amp;$C43,防護具!$Q$13:$Q$29),CC45)-VLOOKUP($C43,$C$3:$D$15,2,FALSE)*CC$20)</f>
        <v>0</v>
      </c>
      <c r="CE45" s="763">
        <f xml:space="preserve">
IF(
SUM(SUMIF(防護具!$Y$13:$Y$29,CE$17&amp;$C43,防護具!$Q$13:$Q$29),CD45)-VLOOKUP($C43,$C$3:$D$15,2,FALSE)*CD$20&lt;0,0,
SUM(SUMIF(防護具!$Y$13:$Y$29,CE$17&amp;$C43,防護具!$Q$13:$Q$29),CD45)-VLOOKUP($C43,$C$3:$D$15,2,FALSE)*CD$20)</f>
        <v>0</v>
      </c>
      <c r="CF45" s="763">
        <f xml:space="preserve">
IF(
SUM(SUMIF(防護具!$Y$13:$Y$29,CF$17&amp;$C43,防護具!$Q$13:$Q$29),CE45)-VLOOKUP($C43,$C$3:$D$15,2,FALSE)*CE$20&lt;0,0,
SUM(SUMIF(防護具!$Y$13:$Y$29,CF$17&amp;$C43,防護具!$Q$13:$Q$29),CE45)-VLOOKUP($C43,$C$3:$D$15,2,FALSE)*CE$20)</f>
        <v>0</v>
      </c>
      <c r="CG45" s="763">
        <f xml:space="preserve">
IF(
SUM(SUMIF(防護具!$Y$13:$Y$29,CG$17&amp;$C43,防護具!$Q$13:$Q$29),CF45)-VLOOKUP($C43,$C$3:$D$15,2,FALSE)*CF$20&lt;0,0,
SUM(SUMIF(防護具!$Y$13:$Y$29,CG$17&amp;$C43,防護具!$Q$13:$Q$29),CF45)-VLOOKUP($C43,$C$3:$D$15,2,FALSE)*CF$20)</f>
        <v>0</v>
      </c>
      <c r="CH45" s="763">
        <f xml:space="preserve">
IF(
SUM(SUMIF(防護具!$Y$13:$Y$29,CH$17&amp;$C43,防護具!$Q$13:$Q$29),CG45)-VLOOKUP($C43,$C$3:$D$15,2,FALSE)*CG$20&lt;0,0,
SUM(SUMIF(防護具!$Y$13:$Y$29,CH$17&amp;$C43,防護具!$Q$13:$Q$29),CG45)-VLOOKUP($C43,$C$3:$D$15,2,FALSE)*CG$20)</f>
        <v>0</v>
      </c>
      <c r="CI45" s="763">
        <f xml:space="preserve">
IF(
SUM(SUMIF(防護具!$Y$13:$Y$29,CI$17&amp;$C43,防護具!$Q$13:$Q$29),CH45)-VLOOKUP($C43,$C$3:$D$15,2,FALSE)*CH$20&lt;0,0,
SUM(SUMIF(防護具!$Y$13:$Y$29,CI$17&amp;$C43,防護具!$Q$13:$Q$29),CH45)-VLOOKUP($C43,$C$3:$D$15,2,FALSE)*CH$20)</f>
        <v>0</v>
      </c>
      <c r="CJ45" s="763">
        <f xml:space="preserve">
IF(
SUM(SUMIF(防護具!$Y$13:$Y$29,CJ$17&amp;$C43,防護具!$Q$13:$Q$29),CI45)-VLOOKUP($C43,$C$3:$D$15,2,FALSE)*CI$20&lt;0,0,
SUM(SUMIF(防護具!$Y$13:$Y$29,CJ$17&amp;$C43,防護具!$Q$13:$Q$29),CI45)-VLOOKUP($C43,$C$3:$D$15,2,FALSE)*CI$20)</f>
        <v>0</v>
      </c>
      <c r="CK45" s="763">
        <f xml:space="preserve">
IF(
SUM(SUMIF(防護具!$Y$13:$Y$29,CK$17&amp;$C43,防護具!$Q$13:$Q$29),CJ45)-VLOOKUP($C43,$C$3:$D$15,2,FALSE)*CJ$20&lt;0,0,
SUM(SUMIF(防護具!$Y$13:$Y$29,CK$17&amp;$C43,防護具!$Q$13:$Q$29),CJ45)-VLOOKUP($C43,$C$3:$D$15,2,FALSE)*CJ$20)</f>
        <v>0</v>
      </c>
      <c r="CL45" s="763">
        <f xml:space="preserve">
IF(
SUM(SUMIF(防護具!$Y$13:$Y$29,CL$17&amp;$C43,防護具!$Q$13:$Q$29),CK45)-VLOOKUP($C43,$C$3:$D$15,2,FALSE)*CK$20&lt;0,0,
SUM(SUMIF(防護具!$Y$13:$Y$29,CL$17&amp;$C43,防護具!$Q$13:$Q$29),CK45)-VLOOKUP($C43,$C$3:$D$15,2,FALSE)*CK$20)</f>
        <v>0</v>
      </c>
      <c r="CM45" s="763">
        <f xml:space="preserve">
IF(
SUM(SUMIF(防護具!$Y$13:$Y$29,CM$17&amp;$C43,防護具!$Q$13:$Q$29),CL45)-VLOOKUP($C43,$C$3:$D$15,2,FALSE)*CL$20&lt;0,0,
SUM(SUMIF(防護具!$Y$13:$Y$29,CM$17&amp;$C43,防護具!$Q$13:$Q$29),CL45)-VLOOKUP($C43,$C$3:$D$15,2,FALSE)*CL$20)</f>
        <v>0</v>
      </c>
      <c r="CN45" s="763">
        <f xml:space="preserve">
IF(
SUM(SUMIF(防護具!$Y$13:$Y$29,CN$17&amp;$C43,防護具!$Q$13:$Q$29),CM45)-VLOOKUP($C43,$C$3:$D$15,2,FALSE)*CM$20&lt;0,0,
SUM(SUMIF(防護具!$Y$13:$Y$29,CN$17&amp;$C43,防護具!$Q$13:$Q$29),CM45)-VLOOKUP($C43,$C$3:$D$15,2,FALSE)*CM$20)</f>
        <v>0</v>
      </c>
      <c r="CO45" s="763">
        <f xml:space="preserve">
IF(
SUM(SUMIF(防護具!$Y$13:$Y$29,CO$17&amp;$C43,防護具!$Q$13:$Q$29),CN45)-VLOOKUP($C43,$C$3:$D$15,2,FALSE)*CN$20&lt;0,0,
SUM(SUMIF(防護具!$Y$13:$Y$29,CO$17&amp;$C43,防護具!$Q$13:$Q$29),CN45)-VLOOKUP($C43,$C$3:$D$15,2,FALSE)*CN$20)</f>
        <v>0</v>
      </c>
      <c r="CP45" s="763">
        <f xml:space="preserve">
IF(
SUM(SUMIF(防護具!$Y$13:$Y$29,CP$17&amp;$C43,防護具!$Q$13:$Q$29),CO45)-VLOOKUP($C43,$C$3:$D$15,2,FALSE)*CO$20&lt;0,0,
SUM(SUMIF(防護具!$Y$13:$Y$29,CP$17&amp;$C43,防護具!$Q$13:$Q$29),CO45)-VLOOKUP($C43,$C$3:$D$15,2,FALSE)*CO$20)</f>
        <v>0</v>
      </c>
      <c r="CQ45" s="763">
        <f xml:space="preserve">
IF(
SUM(SUMIF(防護具!$Y$13:$Y$29,CQ$17&amp;$C43,防護具!$Q$13:$Q$29),CP45)-VLOOKUP($C43,$C$3:$D$15,2,FALSE)*CP$20&lt;0,0,
SUM(SUMIF(防護具!$Y$13:$Y$29,CQ$17&amp;$C43,防護具!$Q$13:$Q$29),CP45)-VLOOKUP($C43,$C$3:$D$15,2,FALSE)*CP$20)</f>
        <v>0</v>
      </c>
      <c r="CR45" s="763">
        <f xml:space="preserve">
IF(
SUM(SUMIF(防護具!$Y$13:$Y$29,CR$17&amp;$C43,防護具!$Q$13:$Q$29),CQ45)-VLOOKUP($C43,$C$3:$D$15,2,FALSE)*CQ$20&lt;0,0,
SUM(SUMIF(防護具!$Y$13:$Y$29,CR$17&amp;$C43,防護具!$Q$13:$Q$29),CQ45)-VLOOKUP($C43,$C$3:$D$15,2,FALSE)*CQ$20)</f>
        <v>0</v>
      </c>
      <c r="CS45" s="763">
        <f xml:space="preserve">
IF(
SUM(SUMIF(防護具!$Y$13:$Y$29,CS$17&amp;$C43,防護具!$Q$13:$Q$29),CR45)-VLOOKUP($C43,$C$3:$D$15,2,FALSE)*CR$20&lt;0,0,
SUM(SUMIF(防護具!$Y$13:$Y$29,CS$17&amp;$C43,防護具!$Q$13:$Q$29),CR45)-VLOOKUP($C43,$C$3:$D$15,2,FALSE)*CR$20)</f>
        <v>0</v>
      </c>
      <c r="CT45" s="763">
        <f xml:space="preserve">
IF(
SUM(SUMIF(防護具!$Y$13:$Y$29,CT$17&amp;$C43,防護具!$Q$13:$Q$29),CS45)-VLOOKUP($C43,$C$3:$D$15,2,FALSE)*CS$20&lt;0,0,
SUM(SUMIF(防護具!$Y$13:$Y$29,CT$17&amp;$C43,防護具!$Q$13:$Q$29),CS45)-VLOOKUP($C43,$C$3:$D$15,2,FALSE)*CS$20)</f>
        <v>0</v>
      </c>
      <c r="CU45" s="763">
        <f xml:space="preserve">
IF(
SUM(SUMIF(防護具!$Y$13:$Y$29,CU$17&amp;$C43,防護具!$Q$13:$Q$29),CT45)-VLOOKUP($C43,$C$3:$D$15,2,FALSE)*CT$20&lt;0,0,
SUM(SUMIF(防護具!$Y$13:$Y$29,CU$17&amp;$C43,防護具!$Q$13:$Q$29),CT45)-VLOOKUP($C43,$C$3:$D$15,2,FALSE)*CT$20)</f>
        <v>0</v>
      </c>
      <c r="CV45" s="763">
        <f xml:space="preserve">
IF(
SUM(SUMIF(防護具!$Y$13:$Y$29,CV$17&amp;$C43,防護具!$Q$13:$Q$29),CU45)-VLOOKUP($C43,$C$3:$D$15,2,FALSE)*CU$20&lt;0,0,
SUM(SUMIF(防護具!$Y$13:$Y$29,CV$17&amp;$C43,防護具!$Q$13:$Q$29),CU45)-VLOOKUP($C43,$C$3:$D$15,2,FALSE)*CU$20)</f>
        <v>0</v>
      </c>
      <c r="CW45" s="763">
        <f xml:space="preserve">
IF(
SUM(SUMIF(防護具!$Y$13:$Y$29,CW$17&amp;$C43,防護具!$Q$13:$Q$29),CV45)-VLOOKUP($C43,$C$3:$D$15,2,FALSE)*CV$20&lt;0,0,
SUM(SUMIF(防護具!$Y$13:$Y$29,CW$17&amp;$C43,防護具!$Q$13:$Q$29),CV45)-VLOOKUP($C43,$C$3:$D$15,2,FALSE)*CV$20)</f>
        <v>0</v>
      </c>
      <c r="CX45" s="763">
        <f xml:space="preserve">
IF(
SUM(SUMIF(防護具!$Y$13:$Y$29,CX$17&amp;$C43,防護具!$Q$13:$Q$29),CW45)-VLOOKUP($C43,$C$3:$D$15,2,FALSE)*CW$20&lt;0,0,
SUM(SUMIF(防護具!$Y$13:$Y$29,CX$17&amp;$C43,防護具!$Q$13:$Q$29),CW45)-VLOOKUP($C43,$C$3:$D$15,2,FALSE)*CW$20)</f>
        <v>0</v>
      </c>
      <c r="CY45" s="763">
        <f xml:space="preserve">
IF(
SUM(SUMIF(防護具!$Y$13:$Y$29,CY$17&amp;$C43,防護具!$Q$13:$Q$29),CX45)-VLOOKUP($C43,$C$3:$D$15,2,FALSE)*CX$20&lt;0,0,
SUM(SUMIF(防護具!$Y$13:$Y$29,CY$17&amp;$C43,防護具!$Q$13:$Q$29),CX45)-VLOOKUP($C43,$C$3:$D$15,2,FALSE)*CX$20)</f>
        <v>0</v>
      </c>
      <c r="CZ45" s="763">
        <f xml:space="preserve">
IF(
SUM(SUMIF(防護具!$Y$13:$Y$29,CZ$17&amp;$C43,防護具!$Q$13:$Q$29),CY45)-VLOOKUP($C43,$C$3:$D$15,2,FALSE)*CY$20&lt;0,0,
SUM(SUMIF(防護具!$Y$13:$Y$29,CZ$17&amp;$C43,防護具!$Q$13:$Q$29),CY45)-VLOOKUP($C43,$C$3:$D$15,2,FALSE)*CY$20)</f>
        <v>0</v>
      </c>
      <c r="DA45" s="763">
        <f xml:space="preserve">
IF(
SUM(SUMIF(防護具!$Y$13:$Y$29,DA$17&amp;$C43,防護具!$Q$13:$Q$29),CZ45)-VLOOKUP($C43,$C$3:$D$15,2,FALSE)*CZ$20&lt;0,0,
SUM(SUMIF(防護具!$Y$13:$Y$29,DA$17&amp;$C43,防護具!$Q$13:$Q$29),CZ45)-VLOOKUP($C43,$C$3:$D$15,2,FALSE)*CZ$20)</f>
        <v>0</v>
      </c>
      <c r="DB45" s="763">
        <f xml:space="preserve">
IF(
SUM(SUMIF(防護具!$Y$13:$Y$29,DB$17&amp;$C43,防護具!$Q$13:$Q$29),DA45)-VLOOKUP($C43,$C$3:$D$15,2,FALSE)*DA$20&lt;0,0,
SUM(SUMIF(防護具!$Y$13:$Y$29,DB$17&amp;$C43,防護具!$Q$13:$Q$29),DA45)-VLOOKUP($C43,$C$3:$D$15,2,FALSE)*DA$20)</f>
        <v>0</v>
      </c>
      <c r="DC45" s="763">
        <f xml:space="preserve">
IF(
SUM(SUMIF(防護具!$Y$13:$Y$29,DC$17&amp;$C43,防護具!$Q$13:$Q$29),DB45)-VLOOKUP($C43,$C$3:$D$15,2,FALSE)*DB$20&lt;0,0,
SUM(SUMIF(防護具!$Y$13:$Y$29,DC$17&amp;$C43,防護具!$Q$13:$Q$29),DB45)-VLOOKUP($C43,$C$3:$D$15,2,FALSE)*DB$20)</f>
        <v>0</v>
      </c>
      <c r="DD45" s="763">
        <f xml:space="preserve">
IF(
SUM(SUMIF(防護具!$Y$13:$Y$29,DD$17&amp;$C43,防護具!$Q$13:$Q$29),DC45)-VLOOKUP($C43,$C$3:$D$15,2,FALSE)*DC$20&lt;0,0,
SUM(SUMIF(防護具!$Y$13:$Y$29,DD$17&amp;$C43,防護具!$Q$13:$Q$29),DC45)-VLOOKUP($C43,$C$3:$D$15,2,FALSE)*DC$20)</f>
        <v>0</v>
      </c>
      <c r="DE45" s="763">
        <f xml:space="preserve">
IF(
SUM(SUMIF(防護具!$Y$13:$Y$29,DE$17&amp;$C43,防護具!$Q$13:$Q$29),DD45)-VLOOKUP($C43,$C$3:$D$15,2,FALSE)*DD$20&lt;0,0,
SUM(SUMIF(防護具!$Y$13:$Y$29,DE$17&amp;$C43,防護具!$Q$13:$Q$29),DD45)-VLOOKUP($C43,$C$3:$D$15,2,FALSE)*DD$20)</f>
        <v>0</v>
      </c>
      <c r="DF45" s="763">
        <f xml:space="preserve">
IF(
SUM(SUMIF(防護具!$Y$13:$Y$29,DF$17&amp;$C43,防護具!$Q$13:$Q$29),DE45)-VLOOKUP($C43,$C$3:$D$15,2,FALSE)*DE$20&lt;0,0,
SUM(SUMIF(防護具!$Y$13:$Y$29,DF$17&amp;$C43,防護具!$Q$13:$Q$29),DE45)-VLOOKUP($C43,$C$3:$D$15,2,FALSE)*DE$20)</f>
        <v>0</v>
      </c>
      <c r="DG45" s="763">
        <f xml:space="preserve">
IF(
SUM(SUMIF(防護具!$Y$13:$Y$29,DG$17&amp;$C43,防護具!$Q$13:$Q$29),DF45)-VLOOKUP($C43,$C$3:$D$15,2,FALSE)*DF$20&lt;0,0,
SUM(SUMIF(防護具!$Y$13:$Y$29,DG$17&amp;$C43,防護具!$Q$13:$Q$29),DF45)-VLOOKUP($C43,$C$3:$D$15,2,FALSE)*DF$20)</f>
        <v>0</v>
      </c>
      <c r="DH45" s="763">
        <f xml:space="preserve">
IF(
SUM(SUMIF(防護具!$Y$13:$Y$29,DH$17&amp;$C43,防護具!$Q$13:$Q$29),DG45)-VLOOKUP($C43,$C$3:$D$15,2,FALSE)*DG$20&lt;0,0,
SUM(SUMIF(防護具!$Y$13:$Y$29,DH$17&amp;$C43,防護具!$Q$13:$Q$29),DG45)-VLOOKUP($C43,$C$3:$D$15,2,FALSE)*DG$20)</f>
        <v>0</v>
      </c>
      <c r="DI45" s="763">
        <f xml:space="preserve">
IF(
SUM(SUMIF(防護具!$Y$13:$Y$29,DI$17&amp;$C43,防護具!$Q$13:$Q$29),DH45)-VLOOKUP($C43,$C$3:$D$15,2,FALSE)*DH$20&lt;0,0,
SUM(SUMIF(防護具!$Y$13:$Y$29,DI$17&amp;$C43,防護具!$Q$13:$Q$29),DH45)-VLOOKUP($C43,$C$3:$D$15,2,FALSE)*DH$20)</f>
        <v>0</v>
      </c>
      <c r="DJ45" s="763">
        <f xml:space="preserve">
IF(
SUM(SUMIF(防護具!$Y$13:$Y$29,DJ$17&amp;$C43,防護具!$Q$13:$Q$29),DI45)-VLOOKUP($C43,$C$3:$D$15,2,FALSE)*DI$20&lt;0,0,
SUM(SUMIF(防護具!$Y$13:$Y$29,DJ$17&amp;$C43,防護具!$Q$13:$Q$29),DI45)-VLOOKUP($C43,$C$3:$D$15,2,FALSE)*DI$20)</f>
        <v>0</v>
      </c>
      <c r="DK45" s="763">
        <f xml:space="preserve">
IF(
SUM(SUMIF(防護具!$Y$13:$Y$29,DK$17&amp;$C43,防護具!$Q$13:$Q$29),DJ45)-VLOOKUP($C43,$C$3:$D$15,2,FALSE)*DJ$20&lt;0,0,
SUM(SUMIF(防護具!$Y$13:$Y$29,DK$17&amp;$C43,防護具!$Q$13:$Q$29),DJ45)-VLOOKUP($C43,$C$3:$D$15,2,FALSE)*DJ$20)</f>
        <v>0</v>
      </c>
      <c r="DL45" s="763">
        <f xml:space="preserve">
IF(
SUM(SUMIF(防護具!$Y$13:$Y$29,DL$17&amp;$C43,防護具!$Q$13:$Q$29),DK45)-VLOOKUP($C43,$C$3:$D$15,2,FALSE)*DK$20&lt;0,0,
SUM(SUMIF(防護具!$Y$13:$Y$29,DL$17&amp;$C43,防護具!$Q$13:$Q$29),DK45)-VLOOKUP($C43,$C$3:$D$15,2,FALSE)*DK$20)</f>
        <v>0</v>
      </c>
      <c r="DM45" s="763">
        <f xml:space="preserve">
IF(
SUM(SUMIF(防護具!$Y$13:$Y$29,DM$17&amp;$C43,防護具!$Q$13:$Q$29),DL45)-VLOOKUP($C43,$C$3:$D$15,2,FALSE)*DL$20&lt;0,0,
SUM(SUMIF(防護具!$Y$13:$Y$29,DM$17&amp;$C43,防護具!$Q$13:$Q$29),DL45)-VLOOKUP($C43,$C$3:$D$15,2,FALSE)*DL$20)</f>
        <v>0</v>
      </c>
      <c r="DN45" s="763">
        <f xml:space="preserve">
IF(
SUM(SUMIF(防護具!$Y$13:$Y$29,DN$17&amp;$C43,防護具!$Q$13:$Q$29),DM45)-VLOOKUP($C43,$C$3:$D$15,2,FALSE)*DM$20&lt;0,0,
SUM(SUMIF(防護具!$Y$13:$Y$29,DN$17&amp;$C43,防護具!$Q$13:$Q$29),DM45)-VLOOKUP($C43,$C$3:$D$15,2,FALSE)*DM$20)</f>
        <v>0</v>
      </c>
      <c r="DO45" s="763">
        <f xml:space="preserve">
IF(
SUM(SUMIF(防護具!$Y$13:$Y$29,DO$17&amp;$C43,防護具!$Q$13:$Q$29),DN45)-VLOOKUP($C43,$C$3:$D$15,2,FALSE)*DN$20&lt;0,0,
SUM(SUMIF(防護具!$Y$13:$Y$29,DO$17&amp;$C43,防護具!$Q$13:$Q$29),DN45)-VLOOKUP($C43,$C$3:$D$15,2,FALSE)*DN$20)</f>
        <v>0</v>
      </c>
      <c r="DP45" s="763">
        <f xml:space="preserve">
IF(
SUM(SUMIF(防護具!$Y$13:$Y$29,DP$17&amp;$C43,防護具!$Q$13:$Q$29),DO45)-VLOOKUP($C43,$C$3:$D$15,2,FALSE)*DO$20&lt;0,0,
SUM(SUMIF(防護具!$Y$13:$Y$29,DP$17&amp;$C43,防護具!$Q$13:$Q$29),DO45)-VLOOKUP($C43,$C$3:$D$15,2,FALSE)*DO$20)</f>
        <v>0</v>
      </c>
      <c r="DQ45" s="763">
        <f xml:space="preserve">
IF(
SUM(SUMIF(防護具!$Y$13:$Y$29,DQ$17&amp;$C43,防護具!$Q$13:$Q$29),DP45)-VLOOKUP($C43,$C$3:$D$15,2,FALSE)*DP$20&lt;0,0,
SUM(SUMIF(防護具!$Y$13:$Y$29,DQ$17&amp;$C43,防護具!$Q$13:$Q$29),DP45)-VLOOKUP($C43,$C$3:$D$15,2,FALSE)*DP$20)</f>
        <v>0</v>
      </c>
      <c r="DR45" s="763">
        <f xml:space="preserve">
IF(
SUM(SUMIF(防護具!$Y$13:$Y$29,DR$17&amp;$C43,防護具!$Q$13:$Q$29),DQ45)-VLOOKUP($C43,$C$3:$D$15,2,FALSE)*DQ$20&lt;0,0,
SUM(SUMIF(防護具!$Y$13:$Y$29,DR$17&amp;$C43,防護具!$Q$13:$Q$29),DQ45)-VLOOKUP($C43,$C$3:$D$15,2,FALSE)*DQ$20)</f>
        <v>0</v>
      </c>
      <c r="DS45" s="763">
        <f xml:space="preserve">
IF(
SUM(SUMIF(防護具!$Y$13:$Y$29,DS$17&amp;$C43,防護具!$Q$13:$Q$29),DR45)-VLOOKUP($C43,$C$3:$D$15,2,FALSE)*DR$20&lt;0,0,
SUM(SUMIF(防護具!$Y$13:$Y$29,DS$17&amp;$C43,防護具!$Q$13:$Q$29),DR45)-VLOOKUP($C43,$C$3:$D$15,2,FALSE)*DR$20)</f>
        <v>0</v>
      </c>
      <c r="DT45" s="763">
        <f xml:space="preserve">
IF(
SUM(SUMIF(防護具!$Y$13:$Y$29,DT$17&amp;$C43,防護具!$Q$13:$Q$29),DS45)-VLOOKUP($C43,$C$3:$D$15,2,FALSE)*DS$20&lt;0,0,
SUM(SUMIF(防護具!$Y$13:$Y$29,DT$17&amp;$C43,防護具!$Q$13:$Q$29),DS45)-VLOOKUP($C43,$C$3:$D$15,2,FALSE)*DS$20)</f>
        <v>0</v>
      </c>
      <c r="DU45" s="763">
        <f xml:space="preserve">
IF(
SUM(SUMIF(防護具!$Y$13:$Y$29,DU$17&amp;$C43,防護具!$Q$13:$Q$29),DT45)-VLOOKUP($C43,$C$3:$D$15,2,FALSE)*DT$20&lt;0,0,
SUM(SUMIF(防護具!$Y$13:$Y$29,DU$17&amp;$C43,防護具!$Q$13:$Q$29),DT45)-VLOOKUP($C43,$C$3:$D$15,2,FALSE)*DT$20)</f>
        <v>0</v>
      </c>
      <c r="DV45" s="763">
        <f xml:space="preserve">
IF(
SUM(SUMIF(防護具!$Y$13:$Y$29,DV$17&amp;$C43,防護具!$Q$13:$Q$29),DU45)-VLOOKUP($C43,$C$3:$D$15,2,FALSE)*DU$20&lt;0,0,
SUM(SUMIF(防護具!$Y$13:$Y$29,DV$17&amp;$C43,防護具!$Q$13:$Q$29),DU45)-VLOOKUP($C43,$C$3:$D$15,2,FALSE)*DU$20)</f>
        <v>0</v>
      </c>
      <c r="DW45" s="763">
        <f xml:space="preserve">
IF(
SUM(SUMIF(防護具!$Y$13:$Y$29,DW$17&amp;$C43,防護具!$Q$13:$Q$29),DV45)-VLOOKUP($C43,$C$3:$D$15,2,FALSE)*DV$20&lt;0,0,
SUM(SUMIF(防護具!$Y$13:$Y$29,DW$17&amp;$C43,防護具!$Q$13:$Q$29),DV45)-VLOOKUP($C43,$C$3:$D$15,2,FALSE)*DV$20)</f>
        <v>0</v>
      </c>
      <c r="DX45" s="763">
        <f xml:space="preserve">
IF(
SUM(SUMIF(防護具!$Y$13:$Y$29,DX$17&amp;$C43,防護具!$Q$13:$Q$29),DW45)-VLOOKUP($C43,$C$3:$D$15,2,FALSE)*DW$20&lt;0,0,
SUM(SUMIF(防護具!$Y$13:$Y$29,DX$17&amp;$C43,防護具!$Q$13:$Q$29),DW45)-VLOOKUP($C43,$C$3:$D$15,2,FALSE)*DW$20)</f>
        <v>0</v>
      </c>
      <c r="DY45" s="763">
        <f xml:space="preserve">
IF(
SUM(SUMIF(防護具!$Y$13:$Y$29,DY$17&amp;$C43,防護具!$Q$13:$Q$29),DX45)-VLOOKUP($C43,$C$3:$D$15,2,FALSE)*DX$20&lt;0,0,
SUM(SUMIF(防護具!$Y$13:$Y$29,DY$17&amp;$C43,防護具!$Q$13:$Q$29),DX45)-VLOOKUP($C43,$C$3:$D$15,2,FALSE)*DX$20)</f>
        <v>0</v>
      </c>
      <c r="DZ45" s="763">
        <f xml:space="preserve">
IF(
SUM(SUMIF(防護具!$Y$13:$Y$29,DZ$17&amp;$C43,防護具!$Q$13:$Q$29),DY45)-VLOOKUP($C43,$C$3:$D$15,2,FALSE)*DY$20&lt;0,0,
SUM(SUMIF(防護具!$Y$13:$Y$29,DZ$17&amp;$C43,防護具!$Q$13:$Q$29),DY45)-VLOOKUP($C43,$C$3:$D$15,2,FALSE)*DY$20)</f>
        <v>0</v>
      </c>
      <c r="EA45" s="763">
        <f xml:space="preserve">
IF(
SUM(SUMIF(防護具!$Y$13:$Y$29,EA$17&amp;$C43,防護具!$Q$13:$Q$29),DZ45)-VLOOKUP($C43,$C$3:$D$15,2,FALSE)*DZ$20&lt;0,0,
SUM(SUMIF(防護具!$Y$13:$Y$29,EA$17&amp;$C43,防護具!$Q$13:$Q$29),DZ45)-VLOOKUP($C43,$C$3:$D$15,2,FALSE)*DZ$20)</f>
        <v>0</v>
      </c>
      <c r="EB45" s="763">
        <f xml:space="preserve">
IF(
SUM(SUMIF(防護具!$Y$13:$Y$29,EB$17&amp;$C43,防護具!$Q$13:$Q$29),EA45)-VLOOKUP($C43,$C$3:$D$15,2,FALSE)*EA$20&lt;0,0,
SUM(SUMIF(防護具!$Y$13:$Y$29,EB$17&amp;$C43,防護具!$Q$13:$Q$29),EA45)-VLOOKUP($C43,$C$3:$D$15,2,FALSE)*EA$20)</f>
        <v>0</v>
      </c>
      <c r="EC45" s="763">
        <f xml:space="preserve">
IF(
SUM(SUMIF(防護具!$Y$13:$Y$29,EC$17&amp;$C43,防護具!$Q$13:$Q$29),EB45)-VLOOKUP($C43,$C$3:$D$15,2,FALSE)*EB$20&lt;0,0,
SUM(SUMIF(防護具!$Y$13:$Y$29,EC$17&amp;$C43,防護具!$Q$13:$Q$29),EB45)-VLOOKUP($C43,$C$3:$D$15,2,FALSE)*EB$20)</f>
        <v>0</v>
      </c>
      <c r="ED45" s="763">
        <f xml:space="preserve">
IF(
SUM(SUMIF(防護具!$Y$13:$Y$29,ED$17&amp;$C43,防護具!$Q$13:$Q$29),EC45)-VLOOKUP($C43,$C$3:$D$15,2,FALSE)*EC$20&lt;0,0,
SUM(SUMIF(防護具!$Y$13:$Y$29,ED$17&amp;$C43,防護具!$Q$13:$Q$29),EC45)-VLOOKUP($C43,$C$3:$D$15,2,FALSE)*EC$20)</f>
        <v>0</v>
      </c>
      <c r="EE45" s="763">
        <f xml:space="preserve">
IF(
SUM(SUMIF(防護具!$Y$13:$Y$29,EE$17&amp;$C43,防護具!$Q$13:$Q$29),ED45)-VLOOKUP($C43,$C$3:$D$15,2,FALSE)*ED$20&lt;0,0,
SUM(SUMIF(防護具!$Y$13:$Y$29,EE$17&amp;$C43,防護具!$Q$13:$Q$29),ED45)-VLOOKUP($C43,$C$3:$D$15,2,FALSE)*ED$20)</f>
        <v>0</v>
      </c>
      <c r="EF45" s="763">
        <f xml:space="preserve">
IF(
SUM(SUMIF(防護具!$Y$13:$Y$29,EF$17&amp;$C43,防護具!$Q$13:$Q$29),EE45)-VLOOKUP($C43,$C$3:$D$15,2,FALSE)*EE$20&lt;0,0,
SUM(SUMIF(防護具!$Y$13:$Y$29,EF$17&amp;$C43,防護具!$Q$13:$Q$29),EE45)-VLOOKUP($C43,$C$3:$D$15,2,FALSE)*EE$20)</f>
        <v>0</v>
      </c>
      <c r="EG45" s="763">
        <f xml:space="preserve">
IF(
SUM(SUMIF(防護具!$Y$13:$Y$29,EG$17&amp;$C43,防護具!$Q$13:$Q$29),EF45)-VLOOKUP($C43,$C$3:$D$15,2,FALSE)*EF$20&lt;0,0,
SUM(SUMIF(防護具!$Y$13:$Y$29,EG$17&amp;$C43,防護具!$Q$13:$Q$29),EF45)-VLOOKUP($C43,$C$3:$D$15,2,FALSE)*EF$20)</f>
        <v>0</v>
      </c>
      <c r="EH45" s="763">
        <f xml:space="preserve">
IF(
SUM(SUMIF(防護具!$Y$13:$Y$29,EH$17&amp;$C43,防護具!$Q$13:$Q$29),EG45)-VLOOKUP($C43,$C$3:$D$15,2,FALSE)*EG$20&lt;0,0,
SUM(SUMIF(防護具!$Y$13:$Y$29,EH$17&amp;$C43,防護具!$Q$13:$Q$29),EG45)-VLOOKUP($C43,$C$3:$D$15,2,FALSE)*EG$20)</f>
        <v>0</v>
      </c>
      <c r="EI45" s="763">
        <f xml:space="preserve">
IF(
SUM(SUMIF(防護具!$Y$13:$Y$29,EI$17&amp;$C43,防護具!$Q$13:$Q$29),EH45)-VLOOKUP($C43,$C$3:$D$15,2,FALSE)*EH$20&lt;0,0,
SUM(SUMIF(防護具!$Y$13:$Y$29,EI$17&amp;$C43,防護具!$Q$13:$Q$29),EH45)-VLOOKUP($C43,$C$3:$D$15,2,FALSE)*EH$20)</f>
        <v>0</v>
      </c>
      <c r="EJ45" s="763">
        <f xml:space="preserve">
IF(
SUM(SUMIF(防護具!$Y$13:$Y$29,EJ$17&amp;$C43,防護具!$Q$13:$Q$29),EI45)-VLOOKUP($C43,$C$3:$D$15,2,FALSE)*EI$20&lt;0,0,
SUM(SUMIF(防護具!$Y$13:$Y$29,EJ$17&amp;$C43,防護具!$Q$13:$Q$29),EI45)-VLOOKUP($C43,$C$3:$D$15,2,FALSE)*EI$20)</f>
        <v>0</v>
      </c>
      <c r="EK45" s="763">
        <f xml:space="preserve">
IF(
SUM(SUMIF(防護具!$Y$13:$Y$29,EK$17&amp;$C43,防護具!$Q$13:$Q$29),EJ45)-VLOOKUP($C43,$C$3:$D$15,2,FALSE)*EJ$20&lt;0,0,
SUM(SUMIF(防護具!$Y$13:$Y$29,EK$17&amp;$C43,防護具!$Q$13:$Q$29),EJ45)-VLOOKUP($C43,$C$3:$D$15,2,FALSE)*EJ$20)</f>
        <v>0</v>
      </c>
      <c r="EL45" s="763">
        <f xml:space="preserve">
IF(
SUM(SUMIF(防護具!$Y$13:$Y$29,EL$17&amp;$C43,防護具!$Q$13:$Q$29),EK45)-VLOOKUP($C43,$C$3:$D$15,2,FALSE)*EK$20&lt;0,0,
SUM(SUMIF(防護具!$Y$13:$Y$29,EL$17&amp;$C43,防護具!$Q$13:$Q$29),EK45)-VLOOKUP($C43,$C$3:$D$15,2,FALSE)*EK$20)</f>
        <v>0</v>
      </c>
      <c r="EM45" s="763">
        <f xml:space="preserve">
IF(
SUM(SUMIF(防護具!$Y$13:$Y$29,EM$17&amp;$C43,防護具!$Q$13:$Q$29),EL45)-VLOOKUP($C43,$C$3:$D$15,2,FALSE)*EL$20&lt;0,0,
SUM(SUMIF(防護具!$Y$13:$Y$29,EM$17&amp;$C43,防護具!$Q$13:$Q$29),EL45)-VLOOKUP($C43,$C$3:$D$15,2,FALSE)*EL$20)</f>
        <v>0</v>
      </c>
      <c r="EN45" s="763">
        <f xml:space="preserve">
IF(
SUM(SUMIF(防護具!$Y$13:$Y$29,EN$17&amp;$C43,防護具!$Q$13:$Q$29),EM45)-VLOOKUP($C43,$C$3:$D$15,2,FALSE)*EM$20&lt;0,0,
SUM(SUMIF(防護具!$Y$13:$Y$29,EN$17&amp;$C43,防護具!$Q$13:$Q$29),EM45)-VLOOKUP($C43,$C$3:$D$15,2,FALSE)*EM$20)</f>
        <v>0</v>
      </c>
      <c r="EO45" s="763">
        <f xml:space="preserve">
IF(
SUM(SUMIF(防護具!$Y$13:$Y$29,EO$17&amp;$C43,防護具!$Q$13:$Q$29),EN45)-VLOOKUP($C43,$C$3:$D$15,2,FALSE)*EN$20&lt;0,0,
SUM(SUMIF(防護具!$Y$13:$Y$29,EO$17&amp;$C43,防護具!$Q$13:$Q$29),EN45)-VLOOKUP($C43,$C$3:$D$15,2,FALSE)*EN$20)</f>
        <v>0</v>
      </c>
      <c r="EP45" s="763">
        <f xml:space="preserve">
IF(
SUM(SUMIF(防護具!$Y$13:$Y$29,EP$17&amp;$C43,防護具!$Q$13:$Q$29),EO45)-VLOOKUP($C43,$C$3:$D$15,2,FALSE)*EO$20&lt;0,0,
SUM(SUMIF(防護具!$Y$13:$Y$29,EP$17&amp;$C43,防護具!$Q$13:$Q$29),EO45)-VLOOKUP($C43,$C$3:$D$15,2,FALSE)*EO$20)</f>
        <v>0</v>
      </c>
      <c r="EQ45" s="763">
        <f xml:space="preserve">
IF(
SUM(SUMIF(防護具!$Y$13:$Y$29,EQ$17&amp;$C43,防護具!$Q$13:$Q$29),EP45)-VLOOKUP($C43,$C$3:$D$15,2,FALSE)*EP$20&lt;0,0,
SUM(SUMIF(防護具!$Y$13:$Y$29,EQ$17&amp;$C43,防護具!$Q$13:$Q$29),EP45)-VLOOKUP($C43,$C$3:$D$15,2,FALSE)*EP$20)</f>
        <v>0</v>
      </c>
      <c r="ER45" s="763">
        <f xml:space="preserve">
IF(
SUM(SUMIF(防護具!$Y$13:$Y$29,ER$17&amp;$C43,防護具!$Q$13:$Q$29),EQ45)-VLOOKUP($C43,$C$3:$D$15,2,FALSE)*EQ$20&lt;0,0,
SUM(SUMIF(防護具!$Y$13:$Y$29,ER$17&amp;$C43,防護具!$Q$13:$Q$29),EQ45)-VLOOKUP($C43,$C$3:$D$15,2,FALSE)*EQ$20)</f>
        <v>0</v>
      </c>
      <c r="ES45" s="763">
        <f xml:space="preserve">
IF(
SUM(SUMIF(防護具!$Y$13:$Y$29,ES$17&amp;$C43,防護具!$Q$13:$Q$29),ER45)-VLOOKUP($C43,$C$3:$D$15,2,FALSE)*ER$20&lt;0,0,
SUM(SUMIF(防護具!$Y$13:$Y$29,ES$17&amp;$C43,防護具!$Q$13:$Q$29),ER45)-VLOOKUP($C43,$C$3:$D$15,2,FALSE)*ER$20)</f>
        <v>0</v>
      </c>
      <c r="ET45" s="763">
        <f xml:space="preserve">
IF(
SUM(SUMIF(防護具!$Y$13:$Y$29,ET$17&amp;$C43,防護具!$Q$13:$Q$29),ES45)-VLOOKUP($C43,$C$3:$D$15,2,FALSE)*ES$20&lt;0,0,
SUM(SUMIF(防護具!$Y$13:$Y$29,ET$17&amp;$C43,防護具!$Q$13:$Q$29),ES45)-VLOOKUP($C43,$C$3:$D$15,2,FALSE)*ES$20)</f>
        <v>0</v>
      </c>
      <c r="EU45" s="763">
        <f xml:space="preserve">
IF(
SUM(SUMIF(防護具!$Y$13:$Y$29,EU$17&amp;$C43,防護具!$Q$13:$Q$29),ET45)-VLOOKUP($C43,$C$3:$D$15,2,FALSE)*ET$20&lt;0,0,
SUM(SUMIF(防護具!$Y$13:$Y$29,EU$17&amp;$C43,防護具!$Q$13:$Q$29),ET45)-VLOOKUP($C43,$C$3:$D$15,2,FALSE)*ET$20)</f>
        <v>0</v>
      </c>
      <c r="EV45" s="763">
        <f xml:space="preserve">
IF(
SUM(SUMIF(防護具!$Y$13:$Y$29,EV$17&amp;$C43,防護具!$Q$13:$Q$29),EU45)-VLOOKUP($C43,$C$3:$D$15,2,FALSE)*EU$20&lt;0,0,
SUM(SUMIF(防護具!$Y$13:$Y$29,EV$17&amp;$C43,防護具!$Q$13:$Q$29),EU45)-VLOOKUP($C43,$C$3:$D$15,2,FALSE)*EU$20)</f>
        <v>0</v>
      </c>
      <c r="EW45" s="763">
        <f xml:space="preserve">
IF(
SUM(SUMIF(防護具!$Y$13:$Y$29,EW$17&amp;$C43,防護具!$Q$13:$Q$29),EV45)-VLOOKUP($C43,$C$3:$D$15,2,FALSE)*EV$20&lt;0,0,
SUM(SUMIF(防護具!$Y$13:$Y$29,EW$17&amp;$C43,防護具!$Q$13:$Q$29),EV45)-VLOOKUP($C43,$C$3:$D$15,2,FALSE)*EV$20)</f>
        <v>0</v>
      </c>
      <c r="EX45" s="763">
        <f xml:space="preserve">
IF(
SUM(SUMIF(防護具!$Y$13:$Y$29,EX$17&amp;$C43,防護具!$Q$13:$Q$29),EW45)-VLOOKUP($C43,$C$3:$D$15,2,FALSE)*EW$20&lt;0,0,
SUM(SUMIF(防護具!$Y$13:$Y$29,EX$17&amp;$C43,防護具!$Q$13:$Q$29),EW45)-VLOOKUP($C43,$C$3:$D$15,2,FALSE)*EW$20)</f>
        <v>0</v>
      </c>
      <c r="EY45" s="763">
        <f xml:space="preserve">
IF(
SUM(SUMIF(防護具!$Y$13:$Y$29,EY$17&amp;$C43,防護具!$Q$13:$Q$29),EX45)-VLOOKUP($C43,$C$3:$D$15,2,FALSE)*EX$20&lt;0,0,
SUM(SUMIF(防護具!$Y$13:$Y$29,EY$17&amp;$C43,防護具!$Q$13:$Q$29),EX45)-VLOOKUP($C43,$C$3:$D$15,2,FALSE)*EX$20)</f>
        <v>0</v>
      </c>
      <c r="EZ45" s="763">
        <f xml:space="preserve">
IF(
SUM(SUMIF(防護具!$Y$13:$Y$29,EZ$17&amp;$C43,防護具!$Q$13:$Q$29),EY45)-VLOOKUP($C43,$C$3:$D$15,2,FALSE)*EY$20&lt;0,0,
SUM(SUMIF(防護具!$Y$13:$Y$29,EZ$17&amp;$C43,防護具!$Q$13:$Q$29),EY45)-VLOOKUP($C43,$C$3:$D$15,2,FALSE)*EY$20)</f>
        <v>0</v>
      </c>
      <c r="FA45" s="763">
        <f xml:space="preserve">
IF(
SUM(SUMIF(防護具!$Y$13:$Y$29,FA$17&amp;$C43,防護具!$Q$13:$Q$29),EZ45)-VLOOKUP($C43,$C$3:$D$15,2,FALSE)*EZ$20&lt;0,0,
SUM(SUMIF(防護具!$Y$13:$Y$29,FA$17&amp;$C43,防護具!$Q$13:$Q$29),EZ45)-VLOOKUP($C43,$C$3:$D$15,2,FALSE)*EZ$20)</f>
        <v>0</v>
      </c>
      <c r="FB45" s="763">
        <f xml:space="preserve">
IF(
SUM(SUMIF(防護具!$Y$13:$Y$29,FB$17&amp;$C43,防護具!$Q$13:$Q$29),FA45)-VLOOKUP($C43,$C$3:$D$15,2,FALSE)*FA$20&lt;0,0,
SUM(SUMIF(防護具!$Y$13:$Y$29,FB$17&amp;$C43,防護具!$Q$13:$Q$29),FA45)-VLOOKUP($C43,$C$3:$D$15,2,FALSE)*FA$20)</f>
        <v>0</v>
      </c>
      <c r="FC45" s="763">
        <f xml:space="preserve">
IF(
SUM(SUMIF(防護具!$Y$13:$Y$29,FC$17&amp;$C43,防護具!$Q$13:$Q$29),FB45)-VLOOKUP($C43,$C$3:$D$15,2,FALSE)*FB$20&lt;0,0,
SUM(SUMIF(防護具!$Y$13:$Y$29,FC$17&amp;$C43,防護具!$Q$13:$Q$29),FB45)-VLOOKUP($C43,$C$3:$D$15,2,FALSE)*FB$20)</f>
        <v>0</v>
      </c>
      <c r="FD45" s="763">
        <f xml:space="preserve">
IF(
SUM(SUMIF(防護具!$Y$13:$Y$29,FD$17&amp;$C43,防護具!$Q$13:$Q$29),FC45)-VLOOKUP($C43,$C$3:$D$15,2,FALSE)*FC$20&lt;0,0,
SUM(SUMIF(防護具!$Y$13:$Y$29,FD$17&amp;$C43,防護具!$Q$13:$Q$29),FC45)-VLOOKUP($C43,$C$3:$D$15,2,FALSE)*FC$20)</f>
        <v>0</v>
      </c>
      <c r="FE45" s="763">
        <f xml:space="preserve">
IF(
SUM(SUMIF(防護具!$Y$13:$Y$29,FE$17&amp;$C43,防護具!$Q$13:$Q$29),FD45)-VLOOKUP($C43,$C$3:$D$15,2,FALSE)*FD$20&lt;0,0,
SUM(SUMIF(防護具!$Y$13:$Y$29,FE$17&amp;$C43,防護具!$Q$13:$Q$29),FD45)-VLOOKUP($C43,$C$3:$D$15,2,FALSE)*FD$20)</f>
        <v>0</v>
      </c>
      <c r="FF45" s="763">
        <f xml:space="preserve">
IF(
SUM(SUMIF(防護具!$Y$13:$Y$29,FF$17&amp;$C43,防護具!$Q$13:$Q$29),FE45)-VLOOKUP($C43,$C$3:$D$15,2,FALSE)*FE$20&lt;0,0,
SUM(SUMIF(防護具!$Y$13:$Y$29,FF$17&amp;$C43,防護具!$Q$13:$Q$29),FE45)-VLOOKUP($C43,$C$3:$D$15,2,FALSE)*FE$20)</f>
        <v>0</v>
      </c>
      <c r="FG45" s="763">
        <f xml:space="preserve">
IF(
SUM(SUMIF(防護具!$Y$13:$Y$29,FG$17&amp;$C43,防護具!$Q$13:$Q$29),FF45)-VLOOKUP($C43,$C$3:$D$15,2,FALSE)*FF$20&lt;0,0,
SUM(SUMIF(防護具!$Y$13:$Y$29,FG$17&amp;$C43,防護具!$Q$13:$Q$29),FF45)-VLOOKUP($C43,$C$3:$D$15,2,FALSE)*FF$20)</f>
        <v>0</v>
      </c>
      <c r="FH45" s="763">
        <f xml:space="preserve">
IF(
SUM(SUMIF(防護具!$Y$13:$Y$29,FH$17&amp;$C43,防護具!$Q$13:$Q$29),FG45)-VLOOKUP($C43,$C$3:$D$15,2,FALSE)*FG$20&lt;0,0,
SUM(SUMIF(防護具!$Y$13:$Y$29,FH$17&amp;$C43,防護具!$Q$13:$Q$29),FG45)-VLOOKUP($C43,$C$3:$D$15,2,FALSE)*FG$20)</f>
        <v>0</v>
      </c>
      <c r="FI45" s="763">
        <f xml:space="preserve">
IF(
SUM(SUMIF(防護具!$Y$13:$Y$29,FI$17&amp;$C43,防護具!$Q$13:$Q$29),FH45)-VLOOKUP($C43,$C$3:$D$15,2,FALSE)*FH$20&lt;0,0,
SUM(SUMIF(防護具!$Y$13:$Y$29,FI$17&amp;$C43,防護具!$Q$13:$Q$29),FH45)-VLOOKUP($C43,$C$3:$D$15,2,FALSE)*FH$20)</f>
        <v>0</v>
      </c>
      <c r="FJ45" s="763">
        <f xml:space="preserve">
IF(
SUM(SUMIF(防護具!$Y$13:$Y$29,FJ$17&amp;$C43,防護具!$Q$13:$Q$29),FI45)-VLOOKUP($C43,$C$3:$D$15,2,FALSE)*FI$20&lt;0,0,
SUM(SUMIF(防護具!$Y$13:$Y$29,FJ$17&amp;$C43,防護具!$Q$13:$Q$29),FI45)-VLOOKUP($C43,$C$3:$D$15,2,FALSE)*FI$20)</f>
        <v>0</v>
      </c>
      <c r="FK45" s="763">
        <f xml:space="preserve">
IF(
SUM(SUMIF(防護具!$Y$13:$Y$29,FK$17&amp;$C43,防護具!$Q$13:$Q$29),FJ45)-VLOOKUP($C43,$C$3:$D$15,2,FALSE)*FJ$20&lt;0,0,
SUM(SUMIF(防護具!$Y$13:$Y$29,FK$17&amp;$C43,防護具!$Q$13:$Q$29),FJ45)-VLOOKUP($C43,$C$3:$D$15,2,FALSE)*FJ$20)</f>
        <v>0</v>
      </c>
      <c r="FL45" s="763">
        <f xml:space="preserve">
IF(
SUM(SUMIF(防護具!$Y$13:$Y$29,FL$17&amp;$C43,防護具!$Q$13:$Q$29),FK45)-VLOOKUP($C43,$C$3:$D$15,2,FALSE)*FK$20&lt;0,0,
SUM(SUMIF(防護具!$Y$13:$Y$29,FL$17&amp;$C43,防護具!$Q$13:$Q$29),FK45)-VLOOKUP($C43,$C$3:$D$15,2,FALSE)*FK$20)</f>
        <v>0</v>
      </c>
      <c r="FM45" s="763">
        <f xml:space="preserve">
IF(
SUM(SUMIF(防護具!$Y$13:$Y$29,FM$17&amp;$C43,防護具!$Q$13:$Q$29),FL45)-VLOOKUP($C43,$C$3:$D$15,2,FALSE)*FL$20&lt;0,0,
SUM(SUMIF(防護具!$Y$13:$Y$29,FM$17&amp;$C43,防護具!$Q$13:$Q$29),FL45)-VLOOKUP($C43,$C$3:$D$15,2,FALSE)*FL$20)</f>
        <v>0</v>
      </c>
      <c r="FN45" s="763">
        <f xml:space="preserve">
IF(
SUM(SUMIF(防護具!$Y$13:$Y$29,FN$17&amp;$C43,防護具!$Q$13:$Q$29),FM45)-VLOOKUP($C43,$C$3:$D$15,2,FALSE)*FM$20&lt;0,0,
SUM(SUMIF(防護具!$Y$13:$Y$29,FN$17&amp;$C43,防護具!$Q$13:$Q$29),FM45)-VLOOKUP($C43,$C$3:$D$15,2,FALSE)*FM$20)</f>
        <v>0</v>
      </c>
      <c r="FO45" s="763">
        <f xml:space="preserve">
IF(
SUM(SUMIF(防護具!$Y$13:$Y$29,FO$17&amp;$C43,防護具!$Q$13:$Q$29),FN45)-VLOOKUP($C43,$C$3:$D$15,2,FALSE)*FN$20&lt;0,0,
SUM(SUMIF(防護具!$Y$13:$Y$29,FO$17&amp;$C43,防護具!$Q$13:$Q$29),FN45)-VLOOKUP($C43,$C$3:$D$15,2,FALSE)*FN$20)</f>
        <v>0</v>
      </c>
      <c r="FP45" s="763">
        <f xml:space="preserve">
IF(
SUM(SUMIF(防護具!$Y$13:$Y$29,FP$17&amp;$C43,防護具!$Q$13:$Q$29),FO45)-VLOOKUP($C43,$C$3:$D$15,2,FALSE)*FO$20&lt;0,0,
SUM(SUMIF(防護具!$Y$13:$Y$29,FP$17&amp;$C43,防護具!$Q$13:$Q$29),FO45)-VLOOKUP($C43,$C$3:$D$15,2,FALSE)*FO$20)</f>
        <v>0</v>
      </c>
      <c r="FQ45" s="763">
        <f xml:space="preserve">
IF(
SUM(SUMIF(防護具!$Y$13:$Y$29,FQ$17&amp;$C43,防護具!$Q$13:$Q$29),FP45)-VLOOKUP($C43,$C$3:$D$15,2,FALSE)*FP$20&lt;0,0,
SUM(SUMIF(防護具!$Y$13:$Y$29,FQ$17&amp;$C43,防護具!$Q$13:$Q$29),FP45)-VLOOKUP($C43,$C$3:$D$15,2,FALSE)*FP$20)</f>
        <v>0</v>
      </c>
      <c r="FR45" s="763">
        <f xml:space="preserve">
IF(
SUM(SUMIF(防護具!$Y$13:$Y$29,FR$17&amp;$C43,防護具!$Q$13:$Q$29),FQ45)-VLOOKUP($C43,$C$3:$D$15,2,FALSE)*FQ$20&lt;0,0,
SUM(SUMIF(防護具!$Y$13:$Y$29,FR$17&amp;$C43,防護具!$Q$13:$Q$29),FQ45)-VLOOKUP($C43,$C$3:$D$15,2,FALSE)*FQ$20)</f>
        <v>0</v>
      </c>
      <c r="FS45" s="763">
        <f xml:space="preserve">
IF(
SUM(SUMIF(防護具!$Y$13:$Y$29,FS$17&amp;$C43,防護具!$Q$13:$Q$29),FR45)-VLOOKUP($C43,$C$3:$D$15,2,FALSE)*FR$20&lt;0,0,
SUM(SUMIF(防護具!$Y$13:$Y$29,FS$17&amp;$C43,防護具!$Q$13:$Q$29),FR45)-VLOOKUP($C43,$C$3:$D$15,2,FALSE)*FR$20)</f>
        <v>0</v>
      </c>
      <c r="FT45" s="763">
        <f xml:space="preserve">
IF(
SUM(SUMIF(防護具!$Y$13:$Y$29,FT$17&amp;$C43,防護具!$Q$13:$Q$29),FS45)-VLOOKUP($C43,$C$3:$D$15,2,FALSE)*FS$20&lt;0,0,
SUM(SUMIF(防護具!$Y$13:$Y$29,FT$17&amp;$C43,防護具!$Q$13:$Q$29),FS45)-VLOOKUP($C43,$C$3:$D$15,2,FALSE)*FS$20)</f>
        <v>0</v>
      </c>
      <c r="FU45" s="763">
        <f xml:space="preserve">
IF(
SUM(SUMIF(防護具!$Y$13:$Y$29,FU$17&amp;$C43,防護具!$Q$13:$Q$29),FT45)-VLOOKUP($C43,$C$3:$D$15,2,FALSE)*FT$20&lt;0,0,
SUM(SUMIF(防護具!$Y$13:$Y$29,FU$17&amp;$C43,防護具!$Q$13:$Q$29),FT45)-VLOOKUP($C43,$C$3:$D$15,2,FALSE)*FT$20)</f>
        <v>0</v>
      </c>
      <c r="FV45" s="763">
        <f xml:space="preserve">
IF(
SUM(SUMIF(防護具!$Y$13:$Y$29,FV$17&amp;$C43,防護具!$Q$13:$Q$29),FU45)-VLOOKUP($C43,$C$3:$D$15,2,FALSE)*FU$20&lt;0,0,
SUM(SUMIF(防護具!$Y$13:$Y$29,FV$17&amp;$C43,防護具!$Q$13:$Q$29),FU45)-VLOOKUP($C43,$C$3:$D$15,2,FALSE)*FU$20)</f>
        <v>0</v>
      </c>
      <c r="FW45" s="763">
        <f xml:space="preserve">
IF(
SUM(SUMIF(防護具!$Y$13:$Y$29,FW$17&amp;$C43,防護具!$Q$13:$Q$29),FV45)-VLOOKUP($C43,$C$3:$D$15,2,FALSE)*FV$20&lt;0,0,
SUM(SUMIF(防護具!$Y$13:$Y$29,FW$17&amp;$C43,防護具!$Q$13:$Q$29),FV45)-VLOOKUP($C43,$C$3:$D$15,2,FALSE)*FV$20)</f>
        <v>0</v>
      </c>
      <c r="FX45" s="763">
        <f xml:space="preserve">
IF(
SUM(SUMIF(防護具!$Y$13:$Y$29,FX$17&amp;$C43,防護具!$Q$13:$Q$29),FW45)-VLOOKUP($C43,$C$3:$D$15,2,FALSE)*FW$20&lt;0,0,
SUM(SUMIF(防護具!$Y$13:$Y$29,FX$17&amp;$C43,防護具!$Q$13:$Q$29),FW45)-VLOOKUP($C43,$C$3:$D$15,2,FALSE)*FW$20)</f>
        <v>0</v>
      </c>
      <c r="FY45" s="763">
        <f xml:space="preserve">
IF(
SUM(SUMIF(防護具!$Y$13:$Y$29,FY$17&amp;$C43,防護具!$Q$13:$Q$29),FX45)-VLOOKUP($C43,$C$3:$D$15,2,FALSE)*FX$20&lt;0,0,
SUM(SUMIF(防護具!$Y$13:$Y$29,FY$17&amp;$C43,防護具!$Q$13:$Q$29),FX45)-VLOOKUP($C43,$C$3:$D$15,2,FALSE)*FX$20)</f>
        <v>0</v>
      </c>
      <c r="FZ45" s="763">
        <f xml:space="preserve">
IF(
SUM(SUMIF(防護具!$Y$13:$Y$29,FZ$17&amp;$C43,防護具!$Q$13:$Q$29),FY45)-VLOOKUP($C43,$C$3:$D$15,2,FALSE)*FY$20&lt;0,0,
SUM(SUMIF(防護具!$Y$13:$Y$29,FZ$17&amp;$C43,防護具!$Q$13:$Q$29),FY45)-VLOOKUP($C43,$C$3:$D$15,2,FALSE)*FY$20)</f>
        <v>0</v>
      </c>
      <c r="GA45" s="763">
        <f xml:space="preserve">
IF(
SUM(SUMIF(防護具!$Y$13:$Y$29,GA$17&amp;$C43,防護具!$Q$13:$Q$29),FZ45)-VLOOKUP($C43,$C$3:$D$15,2,FALSE)*FZ$20&lt;0,0,
SUM(SUMIF(防護具!$Y$13:$Y$29,GA$17&amp;$C43,防護具!$Q$13:$Q$29),FZ45)-VLOOKUP($C43,$C$3:$D$15,2,FALSE)*FZ$20)</f>
        <v>0</v>
      </c>
      <c r="GB45" s="763">
        <f xml:space="preserve">
IF(
SUM(SUMIF(防護具!$Y$13:$Y$29,GB$17&amp;$C43,防護具!$Q$13:$Q$29),GA45)-VLOOKUP($C43,$C$3:$D$15,2,FALSE)*GA$20&lt;0,0,
SUM(SUMIF(防護具!$Y$13:$Y$29,GB$17&amp;$C43,防護具!$Q$13:$Q$29),GA45)-VLOOKUP($C43,$C$3:$D$15,2,FALSE)*GA$20)</f>
        <v>0</v>
      </c>
      <c r="GC45" s="763">
        <f xml:space="preserve">
IF(
SUM(SUMIF(防護具!$Y$13:$Y$29,GC$17&amp;$C43,防護具!$Q$13:$Q$29),GB45)-VLOOKUP($C43,$C$3:$D$15,2,FALSE)*GB$20&lt;0,0,
SUM(SUMIF(防護具!$Y$13:$Y$29,GC$17&amp;$C43,防護具!$Q$13:$Q$29),GB45)-VLOOKUP($C43,$C$3:$D$15,2,FALSE)*GB$20)</f>
        <v>0</v>
      </c>
      <c r="GD45" s="763">
        <f xml:space="preserve">
IF(
SUM(SUMIF(防護具!$Y$13:$Y$29,GD$17&amp;$C43,防護具!$Q$13:$Q$29),GC45)-VLOOKUP($C43,$C$3:$D$15,2,FALSE)*GC$20&lt;0,0,
SUM(SUMIF(防護具!$Y$13:$Y$29,GD$17&amp;$C43,防護具!$Q$13:$Q$29),GC45)-VLOOKUP($C43,$C$3:$D$15,2,FALSE)*GC$20)</f>
        <v>0</v>
      </c>
      <c r="GE45" s="763">
        <f xml:space="preserve">
IF(
SUM(SUMIF(防護具!$Y$13:$Y$29,GE$17&amp;$C43,防護具!$Q$13:$Q$29),GD45)-VLOOKUP($C43,$C$3:$D$15,2,FALSE)*GD$20&lt;0,0,
SUM(SUMIF(防護具!$Y$13:$Y$29,GE$17&amp;$C43,防護具!$Q$13:$Q$29),GD45)-VLOOKUP($C43,$C$3:$D$15,2,FALSE)*GD$20)</f>
        <v>0</v>
      </c>
      <c r="GF45" s="763">
        <f xml:space="preserve">
IF(
SUM(SUMIF(防護具!$Y$13:$Y$29,GF$17&amp;$C43,防護具!$Q$13:$Q$29),GE45)-VLOOKUP($C43,$C$3:$D$15,2,FALSE)*GE$20&lt;0,0,
SUM(SUMIF(防護具!$Y$13:$Y$29,GF$17&amp;$C43,防護具!$Q$13:$Q$29),GE45)-VLOOKUP($C43,$C$3:$D$15,2,FALSE)*GE$20)</f>
        <v>0</v>
      </c>
      <c r="GG45" s="763">
        <f xml:space="preserve">
IF(
SUM(SUMIF(防護具!$Y$13:$Y$29,GG$17&amp;$C43,防護具!$Q$13:$Q$29),GF45)-VLOOKUP($C43,$C$3:$D$15,2,FALSE)*GF$20&lt;0,0,
SUM(SUMIF(防護具!$Y$13:$Y$29,GG$17&amp;$C43,防護具!$Q$13:$Q$29),GF45)-VLOOKUP($C43,$C$3:$D$15,2,FALSE)*GF$20)</f>
        <v>0</v>
      </c>
      <c r="GH45" s="763">
        <f xml:space="preserve">
IF(
SUM(SUMIF(防護具!$Y$13:$Y$29,GH$17&amp;$C43,防護具!$Q$13:$Q$29),GG45)-VLOOKUP($C43,$C$3:$D$15,2,FALSE)*GG$20&lt;0,0,
SUM(SUMIF(防護具!$Y$13:$Y$29,GH$17&amp;$C43,防護具!$Q$13:$Q$29),GG45)-VLOOKUP($C43,$C$3:$D$15,2,FALSE)*GG$20)</f>
        <v>0</v>
      </c>
      <c r="GI45" s="763">
        <f xml:space="preserve">
IF(
SUM(SUMIF(防護具!$Y$13:$Y$29,GI$17&amp;$C43,防護具!$Q$13:$Q$29),GH45)-VLOOKUP($C43,$C$3:$D$15,2,FALSE)*GH$20&lt;0,0,
SUM(SUMIF(防護具!$Y$13:$Y$29,GI$17&amp;$C43,防護具!$Q$13:$Q$29),GH45)-VLOOKUP($C43,$C$3:$D$15,2,FALSE)*GH$20)</f>
        <v>0</v>
      </c>
      <c r="GJ45" s="763">
        <f xml:space="preserve">
IF(
SUM(SUMIF(防護具!$Y$13:$Y$29,GJ$17&amp;$C43,防護具!$Q$13:$Q$29),GI45)-VLOOKUP($C43,$C$3:$D$15,2,FALSE)*GI$20&lt;0,0,
SUM(SUMIF(防護具!$Y$13:$Y$29,GJ$17&amp;$C43,防護具!$Q$13:$Q$29),GI45)-VLOOKUP($C43,$C$3:$D$15,2,FALSE)*GI$20)</f>
        <v>0</v>
      </c>
    </row>
    <row r="46" spans="2:192" s="632" customFormat="1">
      <c r="B46" s="633"/>
      <c r="C46" s="625" t="s">
        <v>1298</v>
      </c>
      <c r="D46" s="701" t="s">
        <v>1423</v>
      </c>
      <c r="E46" s="706"/>
      <c r="F46" s="653"/>
      <c r="G46" s="762">
        <f xml:space="preserve">
MIN(G47,
IF((VLOOKUP($C46,$C$3:$D$15,2,FALSE)*G$20-G48)&lt;0,0,VLOOKUP($C46,$C$3:$D$15,2,FALSE)*G$20-G48))</f>
        <v>0</v>
      </c>
      <c r="H46" s="762">
        <f xml:space="preserve">
IF(G48&gt;=VLOOKUP($C46,$C$3:$D$15,2,FALSE)*H$20,0,
IF(AND(G48&lt;VLOOKUP($C46,$C$3:$D$15,2,FALSE)*H$20,H47&lt;=VLOOKUP($C46,$C$3:$D$15,2,FALSE)*H$20),IF(H47-G48&lt;0,0,H47-G48),
IF(AND(G48&lt;VLOOKUP($C46,$C$3:$D$15,2,FALSE)*H$20,H47&gt;VLOOKUP($C46,$C$3:$D$15,2,FALSE)*H$20),VLOOKUP($C46,$C$3:$D$15,2,FALSE)*H$20-G48)))</f>
        <v>0</v>
      </c>
      <c r="I46" s="762">
        <f t="shared" ref="I46:P46" si="1536" xml:space="preserve">
IF(H48&gt;=VLOOKUP($C46,$C$3:$D$15,2,FALSE)*I$20,0,
IF(AND(H48&lt;VLOOKUP($C46,$C$3:$D$15,2,FALSE)*I$20,I47&lt;=VLOOKUP($C46,$C$3:$D$15,2,FALSE)*I$20),IF(I47-H48&lt;0,0,I47-H48),
IF(AND(H48&lt;VLOOKUP($C46,$C$3:$D$15,2,FALSE)*I$20,I47&gt;VLOOKUP($C46,$C$3:$D$15,2,FALSE)*I$20),VLOOKUP($C46,$C$3:$D$15,2,FALSE)*I$20-H48)))</f>
        <v>0</v>
      </c>
      <c r="J46" s="762">
        <f t="shared" si="1536"/>
        <v>0</v>
      </c>
      <c r="K46" s="762">
        <f t="shared" si="1536"/>
        <v>0</v>
      </c>
      <c r="L46" s="762">
        <f t="shared" si="1536"/>
        <v>0</v>
      </c>
      <c r="M46" s="762">
        <f t="shared" si="1536"/>
        <v>0</v>
      </c>
      <c r="N46" s="762">
        <f t="shared" si="1536"/>
        <v>0</v>
      </c>
      <c r="O46" s="762">
        <f t="shared" si="1536"/>
        <v>0</v>
      </c>
      <c r="P46" s="762">
        <f t="shared" si="1536"/>
        <v>0</v>
      </c>
      <c r="Q46" s="762">
        <f t="shared" ref="Q46" si="1537" xml:space="preserve">
IF(P48&gt;=VLOOKUP($C46,$C$3:$D$15,2,FALSE)*Q$20,0,
IF(AND(P48&lt;VLOOKUP($C46,$C$3:$D$15,2,FALSE)*Q$20,Q47&lt;=VLOOKUP($C46,$C$3:$D$15,2,FALSE)*Q$20),IF(Q47-P48&lt;0,0,Q47-P48),
IF(AND(P48&lt;VLOOKUP($C46,$C$3:$D$15,2,FALSE)*Q$20,Q47&gt;VLOOKUP($C46,$C$3:$D$15,2,FALSE)*Q$20),VLOOKUP($C46,$C$3:$D$15,2,FALSE)*Q$20-P48)))</f>
        <v>0</v>
      </c>
      <c r="R46" s="762">
        <f t="shared" ref="R46" si="1538" xml:space="preserve">
IF(Q48&gt;=VLOOKUP($C46,$C$3:$D$15,2,FALSE)*R$20,0,
IF(AND(Q48&lt;VLOOKUP($C46,$C$3:$D$15,2,FALSE)*R$20,R47&lt;=VLOOKUP($C46,$C$3:$D$15,2,FALSE)*R$20),IF(R47-Q48&lt;0,0,R47-Q48),
IF(AND(Q48&lt;VLOOKUP($C46,$C$3:$D$15,2,FALSE)*R$20,R47&gt;VLOOKUP($C46,$C$3:$D$15,2,FALSE)*R$20),VLOOKUP($C46,$C$3:$D$15,2,FALSE)*R$20-Q48)))</f>
        <v>0</v>
      </c>
      <c r="S46" s="762">
        <f t="shared" ref="S46" si="1539" xml:space="preserve">
IF(R48&gt;=VLOOKUP($C46,$C$3:$D$15,2,FALSE)*S$20,0,
IF(AND(R48&lt;VLOOKUP($C46,$C$3:$D$15,2,FALSE)*S$20,S47&lt;=VLOOKUP($C46,$C$3:$D$15,2,FALSE)*S$20),IF(S47-R48&lt;0,0,S47-R48),
IF(AND(R48&lt;VLOOKUP($C46,$C$3:$D$15,2,FALSE)*S$20,S47&gt;VLOOKUP($C46,$C$3:$D$15,2,FALSE)*S$20),VLOOKUP($C46,$C$3:$D$15,2,FALSE)*S$20-R48)))</f>
        <v>0</v>
      </c>
      <c r="T46" s="762">
        <f t="shared" ref="T46" si="1540" xml:space="preserve">
IF(S48&gt;=VLOOKUP($C46,$C$3:$D$15,2,FALSE)*T$20,0,
IF(AND(S48&lt;VLOOKUP($C46,$C$3:$D$15,2,FALSE)*T$20,T47&lt;=VLOOKUP($C46,$C$3:$D$15,2,FALSE)*T$20),IF(T47-S48&lt;0,0,T47-S48),
IF(AND(S48&lt;VLOOKUP($C46,$C$3:$D$15,2,FALSE)*T$20,T47&gt;VLOOKUP($C46,$C$3:$D$15,2,FALSE)*T$20),VLOOKUP($C46,$C$3:$D$15,2,FALSE)*T$20-S48)))</f>
        <v>0</v>
      </c>
      <c r="U46" s="762">
        <f t="shared" ref="U46" si="1541" xml:space="preserve">
IF(T48&gt;=VLOOKUP($C46,$C$3:$D$15,2,FALSE)*U$20,0,
IF(AND(T48&lt;VLOOKUP($C46,$C$3:$D$15,2,FALSE)*U$20,U47&lt;=VLOOKUP($C46,$C$3:$D$15,2,FALSE)*U$20),IF(U47-T48&lt;0,0,U47-T48),
IF(AND(T48&lt;VLOOKUP($C46,$C$3:$D$15,2,FALSE)*U$20,U47&gt;VLOOKUP($C46,$C$3:$D$15,2,FALSE)*U$20),VLOOKUP($C46,$C$3:$D$15,2,FALSE)*U$20-T48)))</f>
        <v>0</v>
      </c>
      <c r="V46" s="762">
        <f t="shared" ref="V46" si="1542" xml:space="preserve">
IF(U48&gt;=VLOOKUP($C46,$C$3:$D$15,2,FALSE)*V$20,0,
IF(AND(U48&lt;VLOOKUP($C46,$C$3:$D$15,2,FALSE)*V$20,V47&lt;=VLOOKUP($C46,$C$3:$D$15,2,FALSE)*V$20),IF(V47-U48&lt;0,0,V47-U48),
IF(AND(U48&lt;VLOOKUP($C46,$C$3:$D$15,2,FALSE)*V$20,V47&gt;VLOOKUP($C46,$C$3:$D$15,2,FALSE)*V$20),VLOOKUP($C46,$C$3:$D$15,2,FALSE)*V$20-U48)))</f>
        <v>0</v>
      </c>
      <c r="W46" s="762">
        <f t="shared" ref="W46" si="1543" xml:space="preserve">
IF(V48&gt;=VLOOKUP($C46,$C$3:$D$15,2,FALSE)*W$20,0,
IF(AND(V48&lt;VLOOKUP($C46,$C$3:$D$15,2,FALSE)*W$20,W47&lt;=VLOOKUP($C46,$C$3:$D$15,2,FALSE)*W$20),IF(W47-V48&lt;0,0,W47-V48),
IF(AND(V48&lt;VLOOKUP($C46,$C$3:$D$15,2,FALSE)*W$20,W47&gt;VLOOKUP($C46,$C$3:$D$15,2,FALSE)*W$20),VLOOKUP($C46,$C$3:$D$15,2,FALSE)*W$20-V48)))</f>
        <v>0</v>
      </c>
      <c r="X46" s="762">
        <f t="shared" ref="X46" si="1544" xml:space="preserve">
IF(W48&gt;=VLOOKUP($C46,$C$3:$D$15,2,FALSE)*X$20,0,
IF(AND(W48&lt;VLOOKUP($C46,$C$3:$D$15,2,FALSE)*X$20,X47&lt;=VLOOKUP($C46,$C$3:$D$15,2,FALSE)*X$20),IF(X47-W48&lt;0,0,X47-W48),
IF(AND(W48&lt;VLOOKUP($C46,$C$3:$D$15,2,FALSE)*X$20,X47&gt;VLOOKUP($C46,$C$3:$D$15,2,FALSE)*X$20),VLOOKUP($C46,$C$3:$D$15,2,FALSE)*X$20-W48)))</f>
        <v>0</v>
      </c>
      <c r="Y46" s="762">
        <f t="shared" ref="Y46" si="1545" xml:space="preserve">
IF(X48&gt;=VLOOKUP($C46,$C$3:$D$15,2,FALSE)*Y$20,0,
IF(AND(X48&lt;VLOOKUP($C46,$C$3:$D$15,2,FALSE)*Y$20,Y47&lt;=VLOOKUP($C46,$C$3:$D$15,2,FALSE)*Y$20),IF(Y47-X48&lt;0,0,Y47-X48),
IF(AND(X48&lt;VLOOKUP($C46,$C$3:$D$15,2,FALSE)*Y$20,Y47&gt;VLOOKUP($C46,$C$3:$D$15,2,FALSE)*Y$20),VLOOKUP($C46,$C$3:$D$15,2,FALSE)*Y$20-X48)))</f>
        <v>0</v>
      </c>
      <c r="Z46" s="762">
        <f t="shared" ref="Z46" si="1546" xml:space="preserve">
IF(Y48&gt;=VLOOKUP($C46,$C$3:$D$15,2,FALSE)*Z$20,0,
IF(AND(Y48&lt;VLOOKUP($C46,$C$3:$D$15,2,FALSE)*Z$20,Z47&lt;=VLOOKUP($C46,$C$3:$D$15,2,FALSE)*Z$20),IF(Z47-Y48&lt;0,0,Z47-Y48),
IF(AND(Y48&lt;VLOOKUP($C46,$C$3:$D$15,2,FALSE)*Z$20,Z47&gt;VLOOKUP($C46,$C$3:$D$15,2,FALSE)*Z$20),VLOOKUP($C46,$C$3:$D$15,2,FALSE)*Z$20-Y48)))</f>
        <v>0</v>
      </c>
      <c r="AA46" s="762">
        <f t="shared" ref="AA46" si="1547" xml:space="preserve">
IF(Z48&gt;=VLOOKUP($C46,$C$3:$D$15,2,FALSE)*AA$20,0,
IF(AND(Z48&lt;VLOOKUP($C46,$C$3:$D$15,2,FALSE)*AA$20,AA47&lt;=VLOOKUP($C46,$C$3:$D$15,2,FALSE)*AA$20),IF(AA47-Z48&lt;0,0,AA47-Z48),
IF(AND(Z48&lt;VLOOKUP($C46,$C$3:$D$15,2,FALSE)*AA$20,AA47&gt;VLOOKUP($C46,$C$3:$D$15,2,FALSE)*AA$20),VLOOKUP($C46,$C$3:$D$15,2,FALSE)*AA$20-Z48)))</f>
        <v>0</v>
      </c>
      <c r="AB46" s="762">
        <f t="shared" ref="AB46" si="1548" xml:space="preserve">
IF(AA48&gt;=VLOOKUP($C46,$C$3:$D$15,2,FALSE)*AB$20,0,
IF(AND(AA48&lt;VLOOKUP($C46,$C$3:$D$15,2,FALSE)*AB$20,AB47&lt;=VLOOKUP($C46,$C$3:$D$15,2,FALSE)*AB$20),IF(AB47-AA48&lt;0,0,AB47-AA48),
IF(AND(AA48&lt;VLOOKUP($C46,$C$3:$D$15,2,FALSE)*AB$20,AB47&gt;VLOOKUP($C46,$C$3:$D$15,2,FALSE)*AB$20),VLOOKUP($C46,$C$3:$D$15,2,FALSE)*AB$20-AA48)))</f>
        <v>0</v>
      </c>
      <c r="AC46" s="762">
        <f t="shared" ref="AC46" si="1549" xml:space="preserve">
IF(AB48&gt;=VLOOKUP($C46,$C$3:$D$15,2,FALSE)*AC$20,0,
IF(AND(AB48&lt;VLOOKUP($C46,$C$3:$D$15,2,FALSE)*AC$20,AC47&lt;=VLOOKUP($C46,$C$3:$D$15,2,FALSE)*AC$20),IF(AC47-AB48&lt;0,0,AC47-AB48),
IF(AND(AB48&lt;VLOOKUP($C46,$C$3:$D$15,2,FALSE)*AC$20,AC47&gt;VLOOKUP($C46,$C$3:$D$15,2,FALSE)*AC$20),VLOOKUP($C46,$C$3:$D$15,2,FALSE)*AC$20-AB48)))</f>
        <v>0</v>
      </c>
      <c r="AD46" s="762">
        <f t="shared" ref="AD46" si="1550" xml:space="preserve">
IF(AC48&gt;=VLOOKUP($C46,$C$3:$D$15,2,FALSE)*AD$20,0,
IF(AND(AC48&lt;VLOOKUP($C46,$C$3:$D$15,2,FALSE)*AD$20,AD47&lt;=VLOOKUP($C46,$C$3:$D$15,2,FALSE)*AD$20),IF(AD47-AC48&lt;0,0,AD47-AC48),
IF(AND(AC48&lt;VLOOKUP($C46,$C$3:$D$15,2,FALSE)*AD$20,AD47&gt;VLOOKUP($C46,$C$3:$D$15,2,FALSE)*AD$20),VLOOKUP($C46,$C$3:$D$15,2,FALSE)*AD$20-AC48)))</f>
        <v>0</v>
      </c>
      <c r="AE46" s="762">
        <f t="shared" ref="AE46" si="1551" xml:space="preserve">
IF(AD48&gt;=VLOOKUP($C46,$C$3:$D$15,2,FALSE)*AE$20,0,
IF(AND(AD48&lt;VLOOKUP($C46,$C$3:$D$15,2,FALSE)*AE$20,AE47&lt;=VLOOKUP($C46,$C$3:$D$15,2,FALSE)*AE$20),IF(AE47-AD48&lt;0,0,AE47-AD48),
IF(AND(AD48&lt;VLOOKUP($C46,$C$3:$D$15,2,FALSE)*AE$20,AE47&gt;VLOOKUP($C46,$C$3:$D$15,2,FALSE)*AE$20),VLOOKUP($C46,$C$3:$D$15,2,FALSE)*AE$20-AD48)))</f>
        <v>0</v>
      </c>
      <c r="AF46" s="762">
        <f t="shared" ref="AF46" si="1552" xml:space="preserve">
IF(AE48&gt;=VLOOKUP($C46,$C$3:$D$15,2,FALSE)*AF$20,0,
IF(AND(AE48&lt;VLOOKUP($C46,$C$3:$D$15,2,FALSE)*AF$20,AF47&lt;=VLOOKUP($C46,$C$3:$D$15,2,FALSE)*AF$20),IF(AF47-AE48&lt;0,0,AF47-AE48),
IF(AND(AE48&lt;VLOOKUP($C46,$C$3:$D$15,2,FALSE)*AF$20,AF47&gt;VLOOKUP($C46,$C$3:$D$15,2,FALSE)*AF$20),VLOOKUP($C46,$C$3:$D$15,2,FALSE)*AF$20-AE48)))</f>
        <v>0</v>
      </c>
      <c r="AG46" s="762">
        <f t="shared" ref="AG46" si="1553" xml:space="preserve">
IF(AF48&gt;=VLOOKUP($C46,$C$3:$D$15,2,FALSE)*AG$20,0,
IF(AND(AF48&lt;VLOOKUP($C46,$C$3:$D$15,2,FALSE)*AG$20,AG47&lt;=VLOOKUP($C46,$C$3:$D$15,2,FALSE)*AG$20),IF(AG47-AF48&lt;0,0,AG47-AF48),
IF(AND(AF48&lt;VLOOKUP($C46,$C$3:$D$15,2,FALSE)*AG$20,AG47&gt;VLOOKUP($C46,$C$3:$D$15,2,FALSE)*AG$20),VLOOKUP($C46,$C$3:$D$15,2,FALSE)*AG$20-AF48)))</f>
        <v>0</v>
      </c>
      <c r="AH46" s="762">
        <f t="shared" ref="AH46" si="1554" xml:space="preserve">
IF(AG48&gt;=VLOOKUP($C46,$C$3:$D$15,2,FALSE)*AH$20,0,
IF(AND(AG48&lt;VLOOKUP($C46,$C$3:$D$15,2,FALSE)*AH$20,AH47&lt;=VLOOKUP($C46,$C$3:$D$15,2,FALSE)*AH$20),IF(AH47-AG48&lt;0,0,AH47-AG48),
IF(AND(AG48&lt;VLOOKUP($C46,$C$3:$D$15,2,FALSE)*AH$20,AH47&gt;VLOOKUP($C46,$C$3:$D$15,2,FALSE)*AH$20),VLOOKUP($C46,$C$3:$D$15,2,FALSE)*AH$20-AG48)))</f>
        <v>0</v>
      </c>
      <c r="AI46" s="762">
        <f t="shared" ref="AI46" si="1555" xml:space="preserve">
IF(AH48&gt;=VLOOKUP($C46,$C$3:$D$15,2,FALSE)*AI$20,0,
IF(AND(AH48&lt;VLOOKUP($C46,$C$3:$D$15,2,FALSE)*AI$20,AI47&lt;=VLOOKUP($C46,$C$3:$D$15,2,FALSE)*AI$20),IF(AI47-AH48&lt;0,0,AI47-AH48),
IF(AND(AH48&lt;VLOOKUP($C46,$C$3:$D$15,2,FALSE)*AI$20,AI47&gt;VLOOKUP($C46,$C$3:$D$15,2,FALSE)*AI$20),VLOOKUP($C46,$C$3:$D$15,2,FALSE)*AI$20-AH48)))</f>
        <v>0</v>
      </c>
      <c r="AJ46" s="762">
        <f t="shared" ref="AJ46" si="1556" xml:space="preserve">
IF(AI48&gt;=VLOOKUP($C46,$C$3:$D$15,2,FALSE)*AJ$20,0,
IF(AND(AI48&lt;VLOOKUP($C46,$C$3:$D$15,2,FALSE)*AJ$20,AJ47&lt;=VLOOKUP($C46,$C$3:$D$15,2,FALSE)*AJ$20),IF(AJ47-AI48&lt;0,0,AJ47-AI48),
IF(AND(AI48&lt;VLOOKUP($C46,$C$3:$D$15,2,FALSE)*AJ$20,AJ47&gt;VLOOKUP($C46,$C$3:$D$15,2,FALSE)*AJ$20),VLOOKUP($C46,$C$3:$D$15,2,FALSE)*AJ$20-AI48)))</f>
        <v>0</v>
      </c>
      <c r="AK46" s="762">
        <f t="shared" ref="AK46" si="1557" xml:space="preserve">
IF(AJ48&gt;=VLOOKUP($C46,$C$3:$D$15,2,FALSE)*AK$20,0,
IF(AND(AJ48&lt;VLOOKUP($C46,$C$3:$D$15,2,FALSE)*AK$20,AK47&lt;=VLOOKUP($C46,$C$3:$D$15,2,FALSE)*AK$20),IF(AK47-AJ48&lt;0,0,AK47-AJ48),
IF(AND(AJ48&lt;VLOOKUP($C46,$C$3:$D$15,2,FALSE)*AK$20,AK47&gt;VLOOKUP($C46,$C$3:$D$15,2,FALSE)*AK$20),VLOOKUP($C46,$C$3:$D$15,2,FALSE)*AK$20-AJ48)))</f>
        <v>0</v>
      </c>
      <c r="AL46" s="762">
        <f t="shared" ref="AL46" si="1558" xml:space="preserve">
IF(AK48&gt;=VLOOKUP($C46,$C$3:$D$15,2,FALSE)*AL$20,0,
IF(AND(AK48&lt;VLOOKUP($C46,$C$3:$D$15,2,FALSE)*AL$20,AL47&lt;=VLOOKUP($C46,$C$3:$D$15,2,FALSE)*AL$20),IF(AL47-AK48&lt;0,0,AL47-AK48),
IF(AND(AK48&lt;VLOOKUP($C46,$C$3:$D$15,2,FALSE)*AL$20,AL47&gt;VLOOKUP($C46,$C$3:$D$15,2,FALSE)*AL$20),VLOOKUP($C46,$C$3:$D$15,2,FALSE)*AL$20-AK48)))</f>
        <v>0</v>
      </c>
      <c r="AM46" s="762">
        <f t="shared" ref="AM46" si="1559" xml:space="preserve">
IF(AL48&gt;=VLOOKUP($C46,$C$3:$D$15,2,FALSE)*AM$20,0,
IF(AND(AL48&lt;VLOOKUP($C46,$C$3:$D$15,2,FALSE)*AM$20,AM47&lt;=VLOOKUP($C46,$C$3:$D$15,2,FALSE)*AM$20),IF(AM47-AL48&lt;0,0,AM47-AL48),
IF(AND(AL48&lt;VLOOKUP($C46,$C$3:$D$15,2,FALSE)*AM$20,AM47&gt;VLOOKUP($C46,$C$3:$D$15,2,FALSE)*AM$20),VLOOKUP($C46,$C$3:$D$15,2,FALSE)*AM$20-AL48)))</f>
        <v>0</v>
      </c>
      <c r="AN46" s="762">
        <f t="shared" ref="AN46" si="1560" xml:space="preserve">
IF(AM48&gt;=VLOOKUP($C46,$C$3:$D$15,2,FALSE)*AN$20,0,
IF(AND(AM48&lt;VLOOKUP($C46,$C$3:$D$15,2,FALSE)*AN$20,AN47&lt;=VLOOKUP($C46,$C$3:$D$15,2,FALSE)*AN$20),IF(AN47-AM48&lt;0,0,AN47-AM48),
IF(AND(AM48&lt;VLOOKUP($C46,$C$3:$D$15,2,FALSE)*AN$20,AN47&gt;VLOOKUP($C46,$C$3:$D$15,2,FALSE)*AN$20),VLOOKUP($C46,$C$3:$D$15,2,FALSE)*AN$20-AM48)))</f>
        <v>0</v>
      </c>
      <c r="AO46" s="762">
        <f t="shared" ref="AO46" si="1561" xml:space="preserve">
IF(AN48&gt;=VLOOKUP($C46,$C$3:$D$15,2,FALSE)*AO$20,0,
IF(AND(AN48&lt;VLOOKUP($C46,$C$3:$D$15,2,FALSE)*AO$20,AO47&lt;=VLOOKUP($C46,$C$3:$D$15,2,FALSE)*AO$20),IF(AO47-AN48&lt;0,0,AO47-AN48),
IF(AND(AN48&lt;VLOOKUP($C46,$C$3:$D$15,2,FALSE)*AO$20,AO47&gt;VLOOKUP($C46,$C$3:$D$15,2,FALSE)*AO$20),VLOOKUP($C46,$C$3:$D$15,2,FALSE)*AO$20-AN48)))</f>
        <v>0</v>
      </c>
      <c r="AP46" s="762">
        <f t="shared" ref="AP46" si="1562" xml:space="preserve">
IF(AO48&gt;=VLOOKUP($C46,$C$3:$D$15,2,FALSE)*AP$20,0,
IF(AND(AO48&lt;VLOOKUP($C46,$C$3:$D$15,2,FALSE)*AP$20,AP47&lt;=VLOOKUP($C46,$C$3:$D$15,2,FALSE)*AP$20),IF(AP47-AO48&lt;0,0,AP47-AO48),
IF(AND(AO48&lt;VLOOKUP($C46,$C$3:$D$15,2,FALSE)*AP$20,AP47&gt;VLOOKUP($C46,$C$3:$D$15,2,FALSE)*AP$20),VLOOKUP($C46,$C$3:$D$15,2,FALSE)*AP$20-AO48)))</f>
        <v>0</v>
      </c>
      <c r="AQ46" s="762">
        <f t="shared" ref="AQ46" si="1563" xml:space="preserve">
IF(AP48&gt;=VLOOKUP($C46,$C$3:$D$15,2,FALSE)*AQ$20,0,
IF(AND(AP48&lt;VLOOKUP($C46,$C$3:$D$15,2,FALSE)*AQ$20,AQ47&lt;=VLOOKUP($C46,$C$3:$D$15,2,FALSE)*AQ$20),IF(AQ47-AP48&lt;0,0,AQ47-AP48),
IF(AND(AP48&lt;VLOOKUP($C46,$C$3:$D$15,2,FALSE)*AQ$20,AQ47&gt;VLOOKUP($C46,$C$3:$D$15,2,FALSE)*AQ$20),VLOOKUP($C46,$C$3:$D$15,2,FALSE)*AQ$20-AP48)))</f>
        <v>0</v>
      </c>
      <c r="AR46" s="762">
        <f t="shared" ref="AR46" si="1564" xml:space="preserve">
IF(AQ48&gt;=VLOOKUP($C46,$C$3:$D$15,2,FALSE)*AR$20,0,
IF(AND(AQ48&lt;VLOOKUP($C46,$C$3:$D$15,2,FALSE)*AR$20,AR47&lt;=VLOOKUP($C46,$C$3:$D$15,2,FALSE)*AR$20),IF(AR47-AQ48&lt;0,0,AR47-AQ48),
IF(AND(AQ48&lt;VLOOKUP($C46,$C$3:$D$15,2,FALSE)*AR$20,AR47&gt;VLOOKUP($C46,$C$3:$D$15,2,FALSE)*AR$20),VLOOKUP($C46,$C$3:$D$15,2,FALSE)*AR$20-AQ48)))</f>
        <v>0</v>
      </c>
      <c r="AS46" s="762">
        <f t="shared" ref="AS46" si="1565" xml:space="preserve">
IF(AR48&gt;=VLOOKUP($C46,$C$3:$D$15,2,FALSE)*AS$20,0,
IF(AND(AR48&lt;VLOOKUP($C46,$C$3:$D$15,2,FALSE)*AS$20,AS47&lt;=VLOOKUP($C46,$C$3:$D$15,2,FALSE)*AS$20),IF(AS47-AR48&lt;0,0,AS47-AR48),
IF(AND(AR48&lt;VLOOKUP($C46,$C$3:$D$15,2,FALSE)*AS$20,AS47&gt;VLOOKUP($C46,$C$3:$D$15,2,FALSE)*AS$20),VLOOKUP($C46,$C$3:$D$15,2,FALSE)*AS$20-AR48)))</f>
        <v>0</v>
      </c>
      <c r="AT46" s="762">
        <f t="shared" ref="AT46" si="1566" xml:space="preserve">
IF(AS48&gt;=VLOOKUP($C46,$C$3:$D$15,2,FALSE)*AT$20,0,
IF(AND(AS48&lt;VLOOKUP($C46,$C$3:$D$15,2,FALSE)*AT$20,AT47&lt;=VLOOKUP($C46,$C$3:$D$15,2,FALSE)*AT$20),IF(AT47-AS48&lt;0,0,AT47-AS48),
IF(AND(AS48&lt;VLOOKUP($C46,$C$3:$D$15,2,FALSE)*AT$20,AT47&gt;VLOOKUP($C46,$C$3:$D$15,2,FALSE)*AT$20),VLOOKUP($C46,$C$3:$D$15,2,FALSE)*AT$20-AS48)))</f>
        <v>0</v>
      </c>
      <c r="AU46" s="762">
        <f t="shared" ref="AU46" si="1567" xml:space="preserve">
IF(AT48&gt;=VLOOKUP($C46,$C$3:$D$15,2,FALSE)*AU$20,0,
IF(AND(AT48&lt;VLOOKUP($C46,$C$3:$D$15,2,FALSE)*AU$20,AU47&lt;=VLOOKUP($C46,$C$3:$D$15,2,FALSE)*AU$20),IF(AU47-AT48&lt;0,0,AU47-AT48),
IF(AND(AT48&lt;VLOOKUP($C46,$C$3:$D$15,2,FALSE)*AU$20,AU47&gt;VLOOKUP($C46,$C$3:$D$15,2,FALSE)*AU$20),VLOOKUP($C46,$C$3:$D$15,2,FALSE)*AU$20-AT48)))</f>
        <v>0</v>
      </c>
      <c r="AV46" s="762">
        <f t="shared" ref="AV46" si="1568" xml:space="preserve">
IF(AU48&gt;=VLOOKUP($C46,$C$3:$D$15,2,FALSE)*AV$20,0,
IF(AND(AU48&lt;VLOOKUP($C46,$C$3:$D$15,2,FALSE)*AV$20,AV47&lt;=VLOOKUP($C46,$C$3:$D$15,2,FALSE)*AV$20),IF(AV47-AU48&lt;0,0,AV47-AU48),
IF(AND(AU48&lt;VLOOKUP($C46,$C$3:$D$15,2,FALSE)*AV$20,AV47&gt;VLOOKUP($C46,$C$3:$D$15,2,FALSE)*AV$20),VLOOKUP($C46,$C$3:$D$15,2,FALSE)*AV$20-AU48)))</f>
        <v>0</v>
      </c>
      <c r="AW46" s="762">
        <f t="shared" ref="AW46" si="1569" xml:space="preserve">
IF(AV48&gt;=VLOOKUP($C46,$C$3:$D$15,2,FALSE)*AW$20,0,
IF(AND(AV48&lt;VLOOKUP($C46,$C$3:$D$15,2,FALSE)*AW$20,AW47&lt;=VLOOKUP($C46,$C$3:$D$15,2,FALSE)*AW$20),IF(AW47-AV48&lt;0,0,AW47-AV48),
IF(AND(AV48&lt;VLOOKUP($C46,$C$3:$D$15,2,FALSE)*AW$20,AW47&gt;VLOOKUP($C46,$C$3:$D$15,2,FALSE)*AW$20),VLOOKUP($C46,$C$3:$D$15,2,FALSE)*AW$20-AV48)))</f>
        <v>0</v>
      </c>
      <c r="AX46" s="762">
        <f t="shared" ref="AX46" si="1570" xml:space="preserve">
IF(AW48&gt;=VLOOKUP($C46,$C$3:$D$15,2,FALSE)*AX$20,0,
IF(AND(AW48&lt;VLOOKUP($C46,$C$3:$D$15,2,FALSE)*AX$20,AX47&lt;=VLOOKUP($C46,$C$3:$D$15,2,FALSE)*AX$20),IF(AX47-AW48&lt;0,0,AX47-AW48),
IF(AND(AW48&lt;VLOOKUP($C46,$C$3:$D$15,2,FALSE)*AX$20,AX47&gt;VLOOKUP($C46,$C$3:$D$15,2,FALSE)*AX$20),VLOOKUP($C46,$C$3:$D$15,2,FALSE)*AX$20-AW48)))</f>
        <v>0</v>
      </c>
      <c r="AY46" s="762">
        <f t="shared" ref="AY46" si="1571" xml:space="preserve">
IF(AX48&gt;=VLOOKUP($C46,$C$3:$D$15,2,FALSE)*AY$20,0,
IF(AND(AX48&lt;VLOOKUP($C46,$C$3:$D$15,2,FALSE)*AY$20,AY47&lt;=VLOOKUP($C46,$C$3:$D$15,2,FALSE)*AY$20),IF(AY47-AX48&lt;0,0,AY47-AX48),
IF(AND(AX48&lt;VLOOKUP($C46,$C$3:$D$15,2,FALSE)*AY$20,AY47&gt;VLOOKUP($C46,$C$3:$D$15,2,FALSE)*AY$20),VLOOKUP($C46,$C$3:$D$15,2,FALSE)*AY$20-AX48)))</f>
        <v>0</v>
      </c>
      <c r="AZ46" s="762">
        <f t="shared" ref="AZ46" si="1572" xml:space="preserve">
IF(AY48&gt;=VLOOKUP($C46,$C$3:$D$15,2,FALSE)*AZ$20,0,
IF(AND(AY48&lt;VLOOKUP($C46,$C$3:$D$15,2,FALSE)*AZ$20,AZ47&lt;=VLOOKUP($C46,$C$3:$D$15,2,FALSE)*AZ$20),IF(AZ47-AY48&lt;0,0,AZ47-AY48),
IF(AND(AY48&lt;VLOOKUP($C46,$C$3:$D$15,2,FALSE)*AZ$20,AZ47&gt;VLOOKUP($C46,$C$3:$D$15,2,FALSE)*AZ$20),VLOOKUP($C46,$C$3:$D$15,2,FALSE)*AZ$20-AY48)))</f>
        <v>0</v>
      </c>
      <c r="BA46" s="762">
        <f t="shared" ref="BA46" si="1573" xml:space="preserve">
IF(AZ48&gt;=VLOOKUP($C46,$C$3:$D$15,2,FALSE)*BA$20,0,
IF(AND(AZ48&lt;VLOOKUP($C46,$C$3:$D$15,2,FALSE)*BA$20,BA47&lt;=VLOOKUP($C46,$C$3:$D$15,2,FALSE)*BA$20),IF(BA47-AZ48&lt;0,0,BA47-AZ48),
IF(AND(AZ48&lt;VLOOKUP($C46,$C$3:$D$15,2,FALSE)*BA$20,BA47&gt;VLOOKUP($C46,$C$3:$D$15,2,FALSE)*BA$20),VLOOKUP($C46,$C$3:$D$15,2,FALSE)*BA$20-AZ48)))</f>
        <v>0</v>
      </c>
      <c r="BB46" s="762">
        <f t="shared" ref="BB46" si="1574" xml:space="preserve">
IF(BA48&gt;=VLOOKUP($C46,$C$3:$D$15,2,FALSE)*BB$20,0,
IF(AND(BA48&lt;VLOOKUP($C46,$C$3:$D$15,2,FALSE)*BB$20,BB47&lt;=VLOOKUP($C46,$C$3:$D$15,2,FALSE)*BB$20),IF(BB47-BA48&lt;0,0,BB47-BA48),
IF(AND(BA48&lt;VLOOKUP($C46,$C$3:$D$15,2,FALSE)*BB$20,BB47&gt;VLOOKUP($C46,$C$3:$D$15,2,FALSE)*BB$20),VLOOKUP($C46,$C$3:$D$15,2,FALSE)*BB$20-BA48)))</f>
        <v>0</v>
      </c>
      <c r="BC46" s="762">
        <f t="shared" ref="BC46" si="1575" xml:space="preserve">
IF(BB48&gt;=VLOOKUP($C46,$C$3:$D$15,2,FALSE)*BC$20,0,
IF(AND(BB48&lt;VLOOKUP($C46,$C$3:$D$15,2,FALSE)*BC$20,BC47&lt;=VLOOKUP($C46,$C$3:$D$15,2,FALSE)*BC$20),IF(BC47-BB48&lt;0,0,BC47-BB48),
IF(AND(BB48&lt;VLOOKUP($C46,$C$3:$D$15,2,FALSE)*BC$20,BC47&gt;VLOOKUP($C46,$C$3:$D$15,2,FALSE)*BC$20),VLOOKUP($C46,$C$3:$D$15,2,FALSE)*BC$20-BB48)))</f>
        <v>0</v>
      </c>
      <c r="BD46" s="762">
        <f t="shared" ref="BD46" si="1576" xml:space="preserve">
IF(BC48&gt;=VLOOKUP($C46,$C$3:$D$15,2,FALSE)*BD$20,0,
IF(AND(BC48&lt;VLOOKUP($C46,$C$3:$D$15,2,FALSE)*BD$20,BD47&lt;=VLOOKUP($C46,$C$3:$D$15,2,FALSE)*BD$20),IF(BD47-BC48&lt;0,0,BD47-BC48),
IF(AND(BC48&lt;VLOOKUP($C46,$C$3:$D$15,2,FALSE)*BD$20,BD47&gt;VLOOKUP($C46,$C$3:$D$15,2,FALSE)*BD$20),VLOOKUP($C46,$C$3:$D$15,2,FALSE)*BD$20-BC48)))</f>
        <v>0</v>
      </c>
      <c r="BE46" s="762">
        <f t="shared" ref="BE46" si="1577" xml:space="preserve">
IF(BD48&gt;=VLOOKUP($C46,$C$3:$D$15,2,FALSE)*BE$20,0,
IF(AND(BD48&lt;VLOOKUP($C46,$C$3:$D$15,2,FALSE)*BE$20,BE47&lt;=VLOOKUP($C46,$C$3:$D$15,2,FALSE)*BE$20),IF(BE47-BD48&lt;0,0,BE47-BD48),
IF(AND(BD48&lt;VLOOKUP($C46,$C$3:$D$15,2,FALSE)*BE$20,BE47&gt;VLOOKUP($C46,$C$3:$D$15,2,FALSE)*BE$20),VLOOKUP($C46,$C$3:$D$15,2,FALSE)*BE$20-BD48)))</f>
        <v>0</v>
      </c>
      <c r="BF46" s="762">
        <f t="shared" ref="BF46" si="1578" xml:space="preserve">
IF(BE48&gt;=VLOOKUP($C46,$C$3:$D$15,2,FALSE)*BF$20,0,
IF(AND(BE48&lt;VLOOKUP($C46,$C$3:$D$15,2,FALSE)*BF$20,BF47&lt;=VLOOKUP($C46,$C$3:$D$15,2,FALSE)*BF$20),IF(BF47-BE48&lt;0,0,BF47-BE48),
IF(AND(BE48&lt;VLOOKUP($C46,$C$3:$D$15,2,FALSE)*BF$20,BF47&gt;VLOOKUP($C46,$C$3:$D$15,2,FALSE)*BF$20),VLOOKUP($C46,$C$3:$D$15,2,FALSE)*BF$20-BE48)))</f>
        <v>0</v>
      </c>
      <c r="BG46" s="762">
        <f t="shared" ref="BG46" si="1579" xml:space="preserve">
IF(BF48&gt;=VLOOKUP($C46,$C$3:$D$15,2,FALSE)*BG$20,0,
IF(AND(BF48&lt;VLOOKUP($C46,$C$3:$D$15,2,FALSE)*BG$20,BG47&lt;=VLOOKUP($C46,$C$3:$D$15,2,FALSE)*BG$20),IF(BG47-BF48&lt;0,0,BG47-BF48),
IF(AND(BF48&lt;VLOOKUP($C46,$C$3:$D$15,2,FALSE)*BG$20,BG47&gt;VLOOKUP($C46,$C$3:$D$15,2,FALSE)*BG$20),VLOOKUP($C46,$C$3:$D$15,2,FALSE)*BG$20-BF48)))</f>
        <v>0</v>
      </c>
      <c r="BH46" s="762">
        <f t="shared" ref="BH46" si="1580" xml:space="preserve">
IF(BG48&gt;=VLOOKUP($C46,$C$3:$D$15,2,FALSE)*BH$20,0,
IF(AND(BG48&lt;VLOOKUP($C46,$C$3:$D$15,2,FALSE)*BH$20,BH47&lt;=VLOOKUP($C46,$C$3:$D$15,2,FALSE)*BH$20),IF(BH47-BG48&lt;0,0,BH47-BG48),
IF(AND(BG48&lt;VLOOKUP($C46,$C$3:$D$15,2,FALSE)*BH$20,BH47&gt;VLOOKUP($C46,$C$3:$D$15,2,FALSE)*BH$20),VLOOKUP($C46,$C$3:$D$15,2,FALSE)*BH$20-BG48)))</f>
        <v>0</v>
      </c>
      <c r="BI46" s="762">
        <f t="shared" ref="BI46" si="1581" xml:space="preserve">
IF(BH48&gt;=VLOOKUP($C46,$C$3:$D$15,2,FALSE)*BI$20,0,
IF(AND(BH48&lt;VLOOKUP($C46,$C$3:$D$15,2,FALSE)*BI$20,BI47&lt;=VLOOKUP($C46,$C$3:$D$15,2,FALSE)*BI$20),IF(BI47-BH48&lt;0,0,BI47-BH48),
IF(AND(BH48&lt;VLOOKUP($C46,$C$3:$D$15,2,FALSE)*BI$20,BI47&gt;VLOOKUP($C46,$C$3:$D$15,2,FALSE)*BI$20),VLOOKUP($C46,$C$3:$D$15,2,FALSE)*BI$20-BH48)))</f>
        <v>0</v>
      </c>
      <c r="BJ46" s="762">
        <f t="shared" ref="BJ46" si="1582" xml:space="preserve">
IF(BI48&gt;=VLOOKUP($C46,$C$3:$D$15,2,FALSE)*BJ$20,0,
IF(AND(BI48&lt;VLOOKUP($C46,$C$3:$D$15,2,FALSE)*BJ$20,BJ47&lt;=VLOOKUP($C46,$C$3:$D$15,2,FALSE)*BJ$20),IF(BJ47-BI48&lt;0,0,BJ47-BI48),
IF(AND(BI48&lt;VLOOKUP($C46,$C$3:$D$15,2,FALSE)*BJ$20,BJ47&gt;VLOOKUP($C46,$C$3:$D$15,2,FALSE)*BJ$20),VLOOKUP($C46,$C$3:$D$15,2,FALSE)*BJ$20-BI48)))</f>
        <v>0</v>
      </c>
      <c r="BK46" s="762">
        <f t="shared" ref="BK46" si="1583" xml:space="preserve">
IF(BJ48&gt;=VLOOKUP($C46,$C$3:$D$15,2,FALSE)*BK$20,0,
IF(AND(BJ48&lt;VLOOKUP($C46,$C$3:$D$15,2,FALSE)*BK$20,BK47&lt;=VLOOKUP($C46,$C$3:$D$15,2,FALSE)*BK$20),IF(BK47-BJ48&lt;0,0,BK47-BJ48),
IF(AND(BJ48&lt;VLOOKUP($C46,$C$3:$D$15,2,FALSE)*BK$20,BK47&gt;VLOOKUP($C46,$C$3:$D$15,2,FALSE)*BK$20),VLOOKUP($C46,$C$3:$D$15,2,FALSE)*BK$20-BJ48)))</f>
        <v>0</v>
      </c>
      <c r="BL46" s="762">
        <f t="shared" ref="BL46" si="1584" xml:space="preserve">
IF(BK48&gt;=VLOOKUP($C46,$C$3:$D$15,2,FALSE)*BL$20,0,
IF(AND(BK48&lt;VLOOKUP($C46,$C$3:$D$15,2,FALSE)*BL$20,BL47&lt;=VLOOKUP($C46,$C$3:$D$15,2,FALSE)*BL$20),IF(BL47-BK48&lt;0,0,BL47-BK48),
IF(AND(BK48&lt;VLOOKUP($C46,$C$3:$D$15,2,FALSE)*BL$20,BL47&gt;VLOOKUP($C46,$C$3:$D$15,2,FALSE)*BL$20),VLOOKUP($C46,$C$3:$D$15,2,FALSE)*BL$20-BK48)))</f>
        <v>0</v>
      </c>
      <c r="BM46" s="762">
        <f t="shared" ref="BM46" si="1585" xml:space="preserve">
IF(BL48&gt;=VLOOKUP($C46,$C$3:$D$15,2,FALSE)*BM$20,0,
IF(AND(BL48&lt;VLOOKUP($C46,$C$3:$D$15,2,FALSE)*BM$20,BM47&lt;=VLOOKUP($C46,$C$3:$D$15,2,FALSE)*BM$20),IF(BM47-BL48&lt;0,0,BM47-BL48),
IF(AND(BL48&lt;VLOOKUP($C46,$C$3:$D$15,2,FALSE)*BM$20,BM47&gt;VLOOKUP($C46,$C$3:$D$15,2,FALSE)*BM$20),VLOOKUP($C46,$C$3:$D$15,2,FALSE)*BM$20-BL48)))</f>
        <v>0</v>
      </c>
      <c r="BN46" s="762">
        <f t="shared" ref="BN46" si="1586" xml:space="preserve">
IF(BM48&gt;=VLOOKUP($C46,$C$3:$D$15,2,FALSE)*BN$20,0,
IF(AND(BM48&lt;VLOOKUP($C46,$C$3:$D$15,2,FALSE)*BN$20,BN47&lt;=VLOOKUP($C46,$C$3:$D$15,2,FALSE)*BN$20),IF(BN47-BM48&lt;0,0,BN47-BM48),
IF(AND(BM48&lt;VLOOKUP($C46,$C$3:$D$15,2,FALSE)*BN$20,BN47&gt;VLOOKUP($C46,$C$3:$D$15,2,FALSE)*BN$20),VLOOKUP($C46,$C$3:$D$15,2,FALSE)*BN$20-BM48)))</f>
        <v>0</v>
      </c>
      <c r="BO46" s="762">
        <f t="shared" ref="BO46" si="1587" xml:space="preserve">
IF(BN48&gt;=VLOOKUP($C46,$C$3:$D$15,2,FALSE)*BO$20,0,
IF(AND(BN48&lt;VLOOKUP($C46,$C$3:$D$15,2,FALSE)*BO$20,BO47&lt;=VLOOKUP($C46,$C$3:$D$15,2,FALSE)*BO$20),IF(BO47-BN48&lt;0,0,BO47-BN48),
IF(AND(BN48&lt;VLOOKUP($C46,$C$3:$D$15,2,FALSE)*BO$20,BO47&gt;VLOOKUP($C46,$C$3:$D$15,2,FALSE)*BO$20),VLOOKUP($C46,$C$3:$D$15,2,FALSE)*BO$20-BN48)))</f>
        <v>0</v>
      </c>
      <c r="BP46" s="762">
        <f t="shared" ref="BP46" si="1588" xml:space="preserve">
IF(BO48&gt;=VLOOKUP($C46,$C$3:$D$15,2,FALSE)*BP$20,0,
IF(AND(BO48&lt;VLOOKUP($C46,$C$3:$D$15,2,FALSE)*BP$20,BP47&lt;=VLOOKUP($C46,$C$3:$D$15,2,FALSE)*BP$20),IF(BP47-BO48&lt;0,0,BP47-BO48),
IF(AND(BO48&lt;VLOOKUP($C46,$C$3:$D$15,2,FALSE)*BP$20,BP47&gt;VLOOKUP($C46,$C$3:$D$15,2,FALSE)*BP$20),VLOOKUP($C46,$C$3:$D$15,2,FALSE)*BP$20-BO48)))</f>
        <v>0</v>
      </c>
      <c r="BQ46" s="762">
        <f t="shared" ref="BQ46" si="1589" xml:space="preserve">
IF(BP48&gt;=VLOOKUP($C46,$C$3:$D$15,2,FALSE)*BQ$20,0,
IF(AND(BP48&lt;VLOOKUP($C46,$C$3:$D$15,2,FALSE)*BQ$20,BQ47&lt;=VLOOKUP($C46,$C$3:$D$15,2,FALSE)*BQ$20),IF(BQ47-BP48&lt;0,0,BQ47-BP48),
IF(AND(BP48&lt;VLOOKUP($C46,$C$3:$D$15,2,FALSE)*BQ$20,BQ47&gt;VLOOKUP($C46,$C$3:$D$15,2,FALSE)*BQ$20),VLOOKUP($C46,$C$3:$D$15,2,FALSE)*BQ$20-BP48)))</f>
        <v>0</v>
      </c>
      <c r="BR46" s="762">
        <f t="shared" ref="BR46" si="1590" xml:space="preserve">
IF(BQ48&gt;=VLOOKUP($C46,$C$3:$D$15,2,FALSE)*BR$20,0,
IF(AND(BQ48&lt;VLOOKUP($C46,$C$3:$D$15,2,FALSE)*BR$20,BR47&lt;=VLOOKUP($C46,$C$3:$D$15,2,FALSE)*BR$20),IF(BR47-BQ48&lt;0,0,BR47-BQ48),
IF(AND(BQ48&lt;VLOOKUP($C46,$C$3:$D$15,2,FALSE)*BR$20,BR47&gt;VLOOKUP($C46,$C$3:$D$15,2,FALSE)*BR$20),VLOOKUP($C46,$C$3:$D$15,2,FALSE)*BR$20-BQ48)))</f>
        <v>0</v>
      </c>
      <c r="BS46" s="762">
        <f t="shared" ref="BS46" si="1591" xml:space="preserve">
IF(BR48&gt;=VLOOKUP($C46,$C$3:$D$15,2,FALSE)*BS$20,0,
IF(AND(BR48&lt;VLOOKUP($C46,$C$3:$D$15,2,FALSE)*BS$20,BS47&lt;=VLOOKUP($C46,$C$3:$D$15,2,FALSE)*BS$20),IF(BS47-BR48&lt;0,0,BS47-BR48),
IF(AND(BR48&lt;VLOOKUP($C46,$C$3:$D$15,2,FALSE)*BS$20,BS47&gt;VLOOKUP($C46,$C$3:$D$15,2,FALSE)*BS$20),VLOOKUP($C46,$C$3:$D$15,2,FALSE)*BS$20-BR48)))</f>
        <v>0</v>
      </c>
      <c r="BT46" s="762">
        <f t="shared" ref="BT46" si="1592" xml:space="preserve">
IF(BS48&gt;=VLOOKUP($C46,$C$3:$D$15,2,FALSE)*BT$20,0,
IF(AND(BS48&lt;VLOOKUP($C46,$C$3:$D$15,2,FALSE)*BT$20,BT47&lt;=VLOOKUP($C46,$C$3:$D$15,2,FALSE)*BT$20),IF(BT47-BS48&lt;0,0,BT47-BS48),
IF(AND(BS48&lt;VLOOKUP($C46,$C$3:$D$15,2,FALSE)*BT$20,BT47&gt;VLOOKUP($C46,$C$3:$D$15,2,FALSE)*BT$20),VLOOKUP($C46,$C$3:$D$15,2,FALSE)*BT$20-BS48)))</f>
        <v>0</v>
      </c>
      <c r="BU46" s="762">
        <f t="shared" ref="BU46" si="1593" xml:space="preserve">
IF(BT48&gt;=VLOOKUP($C46,$C$3:$D$15,2,FALSE)*BU$20,0,
IF(AND(BT48&lt;VLOOKUP($C46,$C$3:$D$15,2,FALSE)*BU$20,BU47&lt;=VLOOKUP($C46,$C$3:$D$15,2,FALSE)*BU$20),IF(BU47-BT48&lt;0,0,BU47-BT48),
IF(AND(BT48&lt;VLOOKUP($C46,$C$3:$D$15,2,FALSE)*BU$20,BU47&gt;VLOOKUP($C46,$C$3:$D$15,2,FALSE)*BU$20),VLOOKUP($C46,$C$3:$D$15,2,FALSE)*BU$20-BT48)))</f>
        <v>0</v>
      </c>
      <c r="BV46" s="762">
        <f t="shared" ref="BV46" si="1594" xml:space="preserve">
IF(BU48&gt;=VLOOKUP($C46,$C$3:$D$15,2,FALSE)*BV$20,0,
IF(AND(BU48&lt;VLOOKUP($C46,$C$3:$D$15,2,FALSE)*BV$20,BV47&lt;=VLOOKUP($C46,$C$3:$D$15,2,FALSE)*BV$20),IF(BV47-BU48&lt;0,0,BV47-BU48),
IF(AND(BU48&lt;VLOOKUP($C46,$C$3:$D$15,2,FALSE)*BV$20,BV47&gt;VLOOKUP($C46,$C$3:$D$15,2,FALSE)*BV$20),VLOOKUP($C46,$C$3:$D$15,2,FALSE)*BV$20-BU48)))</f>
        <v>0</v>
      </c>
      <c r="BW46" s="762">
        <f t="shared" ref="BW46" si="1595" xml:space="preserve">
IF(BV48&gt;=VLOOKUP($C46,$C$3:$D$15,2,FALSE)*BW$20,0,
IF(AND(BV48&lt;VLOOKUP($C46,$C$3:$D$15,2,FALSE)*BW$20,BW47&lt;=VLOOKUP($C46,$C$3:$D$15,2,FALSE)*BW$20),IF(BW47-BV48&lt;0,0,BW47-BV48),
IF(AND(BV48&lt;VLOOKUP($C46,$C$3:$D$15,2,FALSE)*BW$20,BW47&gt;VLOOKUP($C46,$C$3:$D$15,2,FALSE)*BW$20),VLOOKUP($C46,$C$3:$D$15,2,FALSE)*BW$20-BV48)))</f>
        <v>0</v>
      </c>
      <c r="BX46" s="762">
        <f t="shared" ref="BX46" si="1596" xml:space="preserve">
IF(BW48&gt;=VLOOKUP($C46,$C$3:$D$15,2,FALSE)*BX$20,0,
IF(AND(BW48&lt;VLOOKUP($C46,$C$3:$D$15,2,FALSE)*BX$20,BX47&lt;=VLOOKUP($C46,$C$3:$D$15,2,FALSE)*BX$20),IF(BX47-BW48&lt;0,0,BX47-BW48),
IF(AND(BW48&lt;VLOOKUP($C46,$C$3:$D$15,2,FALSE)*BX$20,BX47&gt;VLOOKUP($C46,$C$3:$D$15,2,FALSE)*BX$20),VLOOKUP($C46,$C$3:$D$15,2,FALSE)*BX$20-BW48)))</f>
        <v>0</v>
      </c>
      <c r="BY46" s="762">
        <f t="shared" ref="BY46" si="1597" xml:space="preserve">
IF(BX48&gt;=VLOOKUP($C46,$C$3:$D$15,2,FALSE)*BY$20,0,
IF(AND(BX48&lt;VLOOKUP($C46,$C$3:$D$15,2,FALSE)*BY$20,BY47&lt;=VLOOKUP($C46,$C$3:$D$15,2,FALSE)*BY$20),IF(BY47-BX48&lt;0,0,BY47-BX48),
IF(AND(BX48&lt;VLOOKUP($C46,$C$3:$D$15,2,FALSE)*BY$20,BY47&gt;VLOOKUP($C46,$C$3:$D$15,2,FALSE)*BY$20),VLOOKUP($C46,$C$3:$D$15,2,FALSE)*BY$20-BX48)))</f>
        <v>0</v>
      </c>
      <c r="BZ46" s="762">
        <f t="shared" ref="BZ46" si="1598" xml:space="preserve">
IF(BY48&gt;=VLOOKUP($C46,$C$3:$D$15,2,FALSE)*BZ$20,0,
IF(AND(BY48&lt;VLOOKUP($C46,$C$3:$D$15,2,FALSE)*BZ$20,BZ47&lt;=VLOOKUP($C46,$C$3:$D$15,2,FALSE)*BZ$20),IF(BZ47-BY48&lt;0,0,BZ47-BY48),
IF(AND(BY48&lt;VLOOKUP($C46,$C$3:$D$15,2,FALSE)*BZ$20,BZ47&gt;VLOOKUP($C46,$C$3:$D$15,2,FALSE)*BZ$20),VLOOKUP($C46,$C$3:$D$15,2,FALSE)*BZ$20-BY48)))</f>
        <v>0</v>
      </c>
      <c r="CA46" s="762">
        <f t="shared" ref="CA46" si="1599" xml:space="preserve">
IF(BZ48&gt;=VLOOKUP($C46,$C$3:$D$15,2,FALSE)*CA$20,0,
IF(AND(BZ48&lt;VLOOKUP($C46,$C$3:$D$15,2,FALSE)*CA$20,CA47&lt;=VLOOKUP($C46,$C$3:$D$15,2,FALSE)*CA$20),IF(CA47-BZ48&lt;0,0,CA47-BZ48),
IF(AND(BZ48&lt;VLOOKUP($C46,$C$3:$D$15,2,FALSE)*CA$20,CA47&gt;VLOOKUP($C46,$C$3:$D$15,2,FALSE)*CA$20),VLOOKUP($C46,$C$3:$D$15,2,FALSE)*CA$20-BZ48)))</f>
        <v>0</v>
      </c>
      <c r="CB46" s="762">
        <f t="shared" ref="CB46" si="1600" xml:space="preserve">
IF(CA48&gt;=VLOOKUP($C46,$C$3:$D$15,2,FALSE)*CB$20,0,
IF(AND(CA48&lt;VLOOKUP($C46,$C$3:$D$15,2,FALSE)*CB$20,CB47&lt;=VLOOKUP($C46,$C$3:$D$15,2,FALSE)*CB$20),IF(CB47-CA48&lt;0,0,CB47-CA48),
IF(AND(CA48&lt;VLOOKUP($C46,$C$3:$D$15,2,FALSE)*CB$20,CB47&gt;VLOOKUP($C46,$C$3:$D$15,2,FALSE)*CB$20),VLOOKUP($C46,$C$3:$D$15,2,FALSE)*CB$20-CA48)))</f>
        <v>0</v>
      </c>
      <c r="CC46" s="762">
        <f t="shared" ref="CC46" si="1601" xml:space="preserve">
IF(CB48&gt;=VLOOKUP($C46,$C$3:$D$15,2,FALSE)*CC$20,0,
IF(AND(CB48&lt;VLOOKUP($C46,$C$3:$D$15,2,FALSE)*CC$20,CC47&lt;=VLOOKUP($C46,$C$3:$D$15,2,FALSE)*CC$20),IF(CC47-CB48&lt;0,0,CC47-CB48),
IF(AND(CB48&lt;VLOOKUP($C46,$C$3:$D$15,2,FALSE)*CC$20,CC47&gt;VLOOKUP($C46,$C$3:$D$15,2,FALSE)*CC$20),VLOOKUP($C46,$C$3:$D$15,2,FALSE)*CC$20-CB48)))</f>
        <v>0</v>
      </c>
      <c r="CD46" s="762">
        <f t="shared" ref="CD46" si="1602" xml:space="preserve">
IF(CC48&gt;=VLOOKUP($C46,$C$3:$D$15,2,FALSE)*CD$20,0,
IF(AND(CC48&lt;VLOOKUP($C46,$C$3:$D$15,2,FALSE)*CD$20,CD47&lt;=VLOOKUP($C46,$C$3:$D$15,2,FALSE)*CD$20),IF(CD47-CC48&lt;0,0,CD47-CC48),
IF(AND(CC48&lt;VLOOKUP($C46,$C$3:$D$15,2,FALSE)*CD$20,CD47&gt;VLOOKUP($C46,$C$3:$D$15,2,FALSE)*CD$20),VLOOKUP($C46,$C$3:$D$15,2,FALSE)*CD$20-CC48)))</f>
        <v>0</v>
      </c>
      <c r="CE46" s="762">
        <f t="shared" ref="CE46" si="1603" xml:space="preserve">
IF(CD48&gt;=VLOOKUP($C46,$C$3:$D$15,2,FALSE)*CE$20,0,
IF(AND(CD48&lt;VLOOKUP($C46,$C$3:$D$15,2,FALSE)*CE$20,CE47&lt;=VLOOKUP($C46,$C$3:$D$15,2,FALSE)*CE$20),IF(CE47-CD48&lt;0,0,CE47-CD48),
IF(AND(CD48&lt;VLOOKUP($C46,$C$3:$D$15,2,FALSE)*CE$20,CE47&gt;VLOOKUP($C46,$C$3:$D$15,2,FALSE)*CE$20),VLOOKUP($C46,$C$3:$D$15,2,FALSE)*CE$20-CD48)))</f>
        <v>0</v>
      </c>
      <c r="CF46" s="762">
        <f t="shared" ref="CF46" si="1604" xml:space="preserve">
IF(CE48&gt;=VLOOKUP($C46,$C$3:$D$15,2,FALSE)*CF$20,0,
IF(AND(CE48&lt;VLOOKUP($C46,$C$3:$D$15,2,FALSE)*CF$20,CF47&lt;=VLOOKUP($C46,$C$3:$D$15,2,FALSE)*CF$20),IF(CF47-CE48&lt;0,0,CF47-CE48),
IF(AND(CE48&lt;VLOOKUP($C46,$C$3:$D$15,2,FALSE)*CF$20,CF47&gt;VLOOKUP($C46,$C$3:$D$15,2,FALSE)*CF$20),VLOOKUP($C46,$C$3:$D$15,2,FALSE)*CF$20-CE48)))</f>
        <v>0</v>
      </c>
      <c r="CG46" s="762">
        <f t="shared" ref="CG46" si="1605" xml:space="preserve">
IF(CF48&gt;=VLOOKUP($C46,$C$3:$D$15,2,FALSE)*CG$20,0,
IF(AND(CF48&lt;VLOOKUP($C46,$C$3:$D$15,2,FALSE)*CG$20,CG47&lt;=VLOOKUP($C46,$C$3:$D$15,2,FALSE)*CG$20),IF(CG47-CF48&lt;0,0,CG47-CF48),
IF(AND(CF48&lt;VLOOKUP($C46,$C$3:$D$15,2,FALSE)*CG$20,CG47&gt;VLOOKUP($C46,$C$3:$D$15,2,FALSE)*CG$20),VLOOKUP($C46,$C$3:$D$15,2,FALSE)*CG$20-CF48)))</f>
        <v>0</v>
      </c>
      <c r="CH46" s="762">
        <f t="shared" ref="CH46" si="1606" xml:space="preserve">
IF(CG48&gt;=VLOOKUP($C46,$C$3:$D$15,2,FALSE)*CH$20,0,
IF(AND(CG48&lt;VLOOKUP($C46,$C$3:$D$15,2,FALSE)*CH$20,CH47&lt;=VLOOKUP($C46,$C$3:$D$15,2,FALSE)*CH$20),IF(CH47-CG48&lt;0,0,CH47-CG48),
IF(AND(CG48&lt;VLOOKUP($C46,$C$3:$D$15,2,FALSE)*CH$20,CH47&gt;VLOOKUP($C46,$C$3:$D$15,2,FALSE)*CH$20),VLOOKUP($C46,$C$3:$D$15,2,FALSE)*CH$20-CG48)))</f>
        <v>0</v>
      </c>
      <c r="CI46" s="762">
        <f t="shared" ref="CI46" si="1607" xml:space="preserve">
IF(CH48&gt;=VLOOKUP($C46,$C$3:$D$15,2,FALSE)*CI$20,0,
IF(AND(CH48&lt;VLOOKUP($C46,$C$3:$D$15,2,FALSE)*CI$20,CI47&lt;=VLOOKUP($C46,$C$3:$D$15,2,FALSE)*CI$20),IF(CI47-CH48&lt;0,0,CI47-CH48),
IF(AND(CH48&lt;VLOOKUP($C46,$C$3:$D$15,2,FALSE)*CI$20,CI47&gt;VLOOKUP($C46,$C$3:$D$15,2,FALSE)*CI$20),VLOOKUP($C46,$C$3:$D$15,2,FALSE)*CI$20-CH48)))</f>
        <v>0</v>
      </c>
      <c r="CJ46" s="762">
        <f t="shared" ref="CJ46" si="1608" xml:space="preserve">
IF(CI48&gt;=VLOOKUP($C46,$C$3:$D$15,2,FALSE)*CJ$20,0,
IF(AND(CI48&lt;VLOOKUP($C46,$C$3:$D$15,2,FALSE)*CJ$20,CJ47&lt;=VLOOKUP($C46,$C$3:$D$15,2,FALSE)*CJ$20),IF(CJ47-CI48&lt;0,0,CJ47-CI48),
IF(AND(CI48&lt;VLOOKUP($C46,$C$3:$D$15,2,FALSE)*CJ$20,CJ47&gt;VLOOKUP($C46,$C$3:$D$15,2,FALSE)*CJ$20),VLOOKUP($C46,$C$3:$D$15,2,FALSE)*CJ$20-CI48)))</f>
        <v>0</v>
      </c>
      <c r="CK46" s="762">
        <f t="shared" ref="CK46" si="1609" xml:space="preserve">
IF(CJ48&gt;=VLOOKUP($C46,$C$3:$D$15,2,FALSE)*CK$20,0,
IF(AND(CJ48&lt;VLOOKUP($C46,$C$3:$D$15,2,FALSE)*CK$20,CK47&lt;=VLOOKUP($C46,$C$3:$D$15,2,FALSE)*CK$20),IF(CK47-CJ48&lt;0,0,CK47-CJ48),
IF(AND(CJ48&lt;VLOOKUP($C46,$C$3:$D$15,2,FALSE)*CK$20,CK47&gt;VLOOKUP($C46,$C$3:$D$15,2,FALSE)*CK$20),VLOOKUP($C46,$C$3:$D$15,2,FALSE)*CK$20-CJ48)))</f>
        <v>0</v>
      </c>
      <c r="CL46" s="762">
        <f t="shared" ref="CL46" si="1610" xml:space="preserve">
IF(CK48&gt;=VLOOKUP($C46,$C$3:$D$15,2,FALSE)*CL$20,0,
IF(AND(CK48&lt;VLOOKUP($C46,$C$3:$D$15,2,FALSE)*CL$20,CL47&lt;=VLOOKUP($C46,$C$3:$D$15,2,FALSE)*CL$20),IF(CL47-CK48&lt;0,0,CL47-CK48),
IF(AND(CK48&lt;VLOOKUP($C46,$C$3:$D$15,2,FALSE)*CL$20,CL47&gt;VLOOKUP($C46,$C$3:$D$15,2,FALSE)*CL$20),VLOOKUP($C46,$C$3:$D$15,2,FALSE)*CL$20-CK48)))</f>
        <v>0</v>
      </c>
      <c r="CM46" s="762">
        <f t="shared" ref="CM46" si="1611" xml:space="preserve">
IF(CL48&gt;=VLOOKUP($C46,$C$3:$D$15,2,FALSE)*CM$20,0,
IF(AND(CL48&lt;VLOOKUP($C46,$C$3:$D$15,2,FALSE)*CM$20,CM47&lt;=VLOOKUP($C46,$C$3:$D$15,2,FALSE)*CM$20),IF(CM47-CL48&lt;0,0,CM47-CL48),
IF(AND(CL48&lt;VLOOKUP($C46,$C$3:$D$15,2,FALSE)*CM$20,CM47&gt;VLOOKUP($C46,$C$3:$D$15,2,FALSE)*CM$20),VLOOKUP($C46,$C$3:$D$15,2,FALSE)*CM$20-CL48)))</f>
        <v>0</v>
      </c>
      <c r="CN46" s="762">
        <f t="shared" ref="CN46" si="1612" xml:space="preserve">
IF(CM48&gt;=VLOOKUP($C46,$C$3:$D$15,2,FALSE)*CN$20,0,
IF(AND(CM48&lt;VLOOKUP($C46,$C$3:$D$15,2,FALSE)*CN$20,CN47&lt;=VLOOKUP($C46,$C$3:$D$15,2,FALSE)*CN$20),IF(CN47-CM48&lt;0,0,CN47-CM48),
IF(AND(CM48&lt;VLOOKUP($C46,$C$3:$D$15,2,FALSE)*CN$20,CN47&gt;VLOOKUP($C46,$C$3:$D$15,2,FALSE)*CN$20),VLOOKUP($C46,$C$3:$D$15,2,FALSE)*CN$20-CM48)))</f>
        <v>0</v>
      </c>
      <c r="CO46" s="762">
        <f t="shared" ref="CO46" si="1613" xml:space="preserve">
IF(CN48&gt;=VLOOKUP($C46,$C$3:$D$15,2,FALSE)*CO$20,0,
IF(AND(CN48&lt;VLOOKUP($C46,$C$3:$D$15,2,FALSE)*CO$20,CO47&lt;=VLOOKUP($C46,$C$3:$D$15,2,FALSE)*CO$20),IF(CO47-CN48&lt;0,0,CO47-CN48),
IF(AND(CN48&lt;VLOOKUP($C46,$C$3:$D$15,2,FALSE)*CO$20,CO47&gt;VLOOKUP($C46,$C$3:$D$15,2,FALSE)*CO$20),VLOOKUP($C46,$C$3:$D$15,2,FALSE)*CO$20-CN48)))</f>
        <v>0</v>
      </c>
      <c r="CP46" s="762">
        <f t="shared" ref="CP46" si="1614" xml:space="preserve">
IF(CO48&gt;=VLOOKUP($C46,$C$3:$D$15,2,FALSE)*CP$20,0,
IF(AND(CO48&lt;VLOOKUP($C46,$C$3:$D$15,2,FALSE)*CP$20,CP47&lt;=VLOOKUP($C46,$C$3:$D$15,2,FALSE)*CP$20),IF(CP47-CO48&lt;0,0,CP47-CO48),
IF(AND(CO48&lt;VLOOKUP($C46,$C$3:$D$15,2,FALSE)*CP$20,CP47&gt;VLOOKUP($C46,$C$3:$D$15,2,FALSE)*CP$20),VLOOKUP($C46,$C$3:$D$15,2,FALSE)*CP$20-CO48)))</f>
        <v>0</v>
      </c>
      <c r="CQ46" s="762">
        <f t="shared" ref="CQ46" si="1615" xml:space="preserve">
IF(CP48&gt;=VLOOKUP($C46,$C$3:$D$15,2,FALSE)*CQ$20,0,
IF(AND(CP48&lt;VLOOKUP($C46,$C$3:$D$15,2,FALSE)*CQ$20,CQ47&lt;=VLOOKUP($C46,$C$3:$D$15,2,FALSE)*CQ$20),IF(CQ47-CP48&lt;0,0,CQ47-CP48),
IF(AND(CP48&lt;VLOOKUP($C46,$C$3:$D$15,2,FALSE)*CQ$20,CQ47&gt;VLOOKUP($C46,$C$3:$D$15,2,FALSE)*CQ$20),VLOOKUP($C46,$C$3:$D$15,2,FALSE)*CQ$20-CP48)))</f>
        <v>0</v>
      </c>
      <c r="CR46" s="762">
        <f t="shared" ref="CR46" si="1616" xml:space="preserve">
IF(CQ48&gt;=VLOOKUP($C46,$C$3:$D$15,2,FALSE)*CR$20,0,
IF(AND(CQ48&lt;VLOOKUP($C46,$C$3:$D$15,2,FALSE)*CR$20,CR47&lt;=VLOOKUP($C46,$C$3:$D$15,2,FALSE)*CR$20),IF(CR47-CQ48&lt;0,0,CR47-CQ48),
IF(AND(CQ48&lt;VLOOKUP($C46,$C$3:$D$15,2,FALSE)*CR$20,CR47&gt;VLOOKUP($C46,$C$3:$D$15,2,FALSE)*CR$20),VLOOKUP($C46,$C$3:$D$15,2,FALSE)*CR$20-CQ48)))</f>
        <v>0</v>
      </c>
      <c r="CS46" s="762">
        <f t="shared" ref="CS46" si="1617" xml:space="preserve">
IF(CR48&gt;=VLOOKUP($C46,$C$3:$D$15,2,FALSE)*CS$20,0,
IF(AND(CR48&lt;VLOOKUP($C46,$C$3:$D$15,2,FALSE)*CS$20,CS47&lt;=VLOOKUP($C46,$C$3:$D$15,2,FALSE)*CS$20),IF(CS47-CR48&lt;0,0,CS47-CR48),
IF(AND(CR48&lt;VLOOKUP($C46,$C$3:$D$15,2,FALSE)*CS$20,CS47&gt;VLOOKUP($C46,$C$3:$D$15,2,FALSE)*CS$20),VLOOKUP($C46,$C$3:$D$15,2,FALSE)*CS$20-CR48)))</f>
        <v>0</v>
      </c>
      <c r="CT46" s="762">
        <f t="shared" ref="CT46" si="1618" xml:space="preserve">
IF(CS48&gt;=VLOOKUP($C46,$C$3:$D$15,2,FALSE)*CT$20,0,
IF(AND(CS48&lt;VLOOKUP($C46,$C$3:$D$15,2,FALSE)*CT$20,CT47&lt;=VLOOKUP($C46,$C$3:$D$15,2,FALSE)*CT$20),IF(CT47-CS48&lt;0,0,CT47-CS48),
IF(AND(CS48&lt;VLOOKUP($C46,$C$3:$D$15,2,FALSE)*CT$20,CT47&gt;VLOOKUP($C46,$C$3:$D$15,2,FALSE)*CT$20),VLOOKUP($C46,$C$3:$D$15,2,FALSE)*CT$20-CS48)))</f>
        <v>0</v>
      </c>
      <c r="CU46" s="762">
        <f t="shared" ref="CU46" si="1619" xml:space="preserve">
IF(CT48&gt;=VLOOKUP($C46,$C$3:$D$15,2,FALSE)*CU$20,0,
IF(AND(CT48&lt;VLOOKUP($C46,$C$3:$D$15,2,FALSE)*CU$20,CU47&lt;=VLOOKUP($C46,$C$3:$D$15,2,FALSE)*CU$20),IF(CU47-CT48&lt;0,0,CU47-CT48),
IF(AND(CT48&lt;VLOOKUP($C46,$C$3:$D$15,2,FALSE)*CU$20,CU47&gt;VLOOKUP($C46,$C$3:$D$15,2,FALSE)*CU$20),VLOOKUP($C46,$C$3:$D$15,2,FALSE)*CU$20-CT48)))</f>
        <v>0</v>
      </c>
      <c r="CV46" s="762">
        <f t="shared" ref="CV46" si="1620" xml:space="preserve">
IF(CU48&gt;=VLOOKUP($C46,$C$3:$D$15,2,FALSE)*CV$20,0,
IF(AND(CU48&lt;VLOOKUP($C46,$C$3:$D$15,2,FALSE)*CV$20,CV47&lt;=VLOOKUP($C46,$C$3:$D$15,2,FALSE)*CV$20),IF(CV47-CU48&lt;0,0,CV47-CU48),
IF(AND(CU48&lt;VLOOKUP($C46,$C$3:$D$15,2,FALSE)*CV$20,CV47&gt;VLOOKUP($C46,$C$3:$D$15,2,FALSE)*CV$20),VLOOKUP($C46,$C$3:$D$15,2,FALSE)*CV$20-CU48)))</f>
        <v>0</v>
      </c>
      <c r="CW46" s="762">
        <f t="shared" ref="CW46" si="1621" xml:space="preserve">
IF(CV48&gt;=VLOOKUP($C46,$C$3:$D$15,2,FALSE)*CW$20,0,
IF(AND(CV48&lt;VLOOKUP($C46,$C$3:$D$15,2,FALSE)*CW$20,CW47&lt;=VLOOKUP($C46,$C$3:$D$15,2,FALSE)*CW$20),IF(CW47-CV48&lt;0,0,CW47-CV48),
IF(AND(CV48&lt;VLOOKUP($C46,$C$3:$D$15,2,FALSE)*CW$20,CW47&gt;VLOOKUP($C46,$C$3:$D$15,2,FALSE)*CW$20),VLOOKUP($C46,$C$3:$D$15,2,FALSE)*CW$20-CV48)))</f>
        <v>0</v>
      </c>
      <c r="CX46" s="762">
        <f t="shared" ref="CX46" si="1622" xml:space="preserve">
IF(CW48&gt;=VLOOKUP($C46,$C$3:$D$15,2,FALSE)*CX$20,0,
IF(AND(CW48&lt;VLOOKUP($C46,$C$3:$D$15,2,FALSE)*CX$20,CX47&lt;=VLOOKUP($C46,$C$3:$D$15,2,FALSE)*CX$20),IF(CX47-CW48&lt;0,0,CX47-CW48),
IF(AND(CW48&lt;VLOOKUP($C46,$C$3:$D$15,2,FALSE)*CX$20,CX47&gt;VLOOKUP($C46,$C$3:$D$15,2,FALSE)*CX$20),VLOOKUP($C46,$C$3:$D$15,2,FALSE)*CX$20-CW48)))</f>
        <v>0</v>
      </c>
      <c r="CY46" s="762">
        <f t="shared" ref="CY46" si="1623" xml:space="preserve">
IF(CX48&gt;=VLOOKUP($C46,$C$3:$D$15,2,FALSE)*CY$20,0,
IF(AND(CX48&lt;VLOOKUP($C46,$C$3:$D$15,2,FALSE)*CY$20,CY47&lt;=VLOOKUP($C46,$C$3:$D$15,2,FALSE)*CY$20),IF(CY47-CX48&lt;0,0,CY47-CX48),
IF(AND(CX48&lt;VLOOKUP($C46,$C$3:$D$15,2,FALSE)*CY$20,CY47&gt;VLOOKUP($C46,$C$3:$D$15,2,FALSE)*CY$20),VLOOKUP($C46,$C$3:$D$15,2,FALSE)*CY$20-CX48)))</f>
        <v>0</v>
      </c>
      <c r="CZ46" s="762">
        <f t="shared" ref="CZ46" si="1624" xml:space="preserve">
IF(CY48&gt;=VLOOKUP($C46,$C$3:$D$15,2,FALSE)*CZ$20,0,
IF(AND(CY48&lt;VLOOKUP($C46,$C$3:$D$15,2,FALSE)*CZ$20,CZ47&lt;=VLOOKUP($C46,$C$3:$D$15,2,FALSE)*CZ$20),IF(CZ47-CY48&lt;0,0,CZ47-CY48),
IF(AND(CY48&lt;VLOOKUP($C46,$C$3:$D$15,2,FALSE)*CZ$20,CZ47&gt;VLOOKUP($C46,$C$3:$D$15,2,FALSE)*CZ$20),VLOOKUP($C46,$C$3:$D$15,2,FALSE)*CZ$20-CY48)))</f>
        <v>0</v>
      </c>
      <c r="DA46" s="762">
        <f t="shared" ref="DA46" si="1625" xml:space="preserve">
IF(CZ48&gt;=VLOOKUP($C46,$C$3:$D$15,2,FALSE)*DA$20,0,
IF(AND(CZ48&lt;VLOOKUP($C46,$C$3:$D$15,2,FALSE)*DA$20,DA47&lt;=VLOOKUP($C46,$C$3:$D$15,2,FALSE)*DA$20),IF(DA47-CZ48&lt;0,0,DA47-CZ48),
IF(AND(CZ48&lt;VLOOKUP($C46,$C$3:$D$15,2,FALSE)*DA$20,DA47&gt;VLOOKUP($C46,$C$3:$D$15,2,FALSE)*DA$20),VLOOKUP($C46,$C$3:$D$15,2,FALSE)*DA$20-CZ48)))</f>
        <v>0</v>
      </c>
      <c r="DB46" s="762">
        <f t="shared" ref="DB46" si="1626" xml:space="preserve">
IF(DA48&gt;=VLOOKUP($C46,$C$3:$D$15,2,FALSE)*DB$20,0,
IF(AND(DA48&lt;VLOOKUP($C46,$C$3:$D$15,2,FALSE)*DB$20,DB47&lt;=VLOOKUP($C46,$C$3:$D$15,2,FALSE)*DB$20),IF(DB47-DA48&lt;0,0,DB47-DA48),
IF(AND(DA48&lt;VLOOKUP($C46,$C$3:$D$15,2,FALSE)*DB$20,DB47&gt;VLOOKUP($C46,$C$3:$D$15,2,FALSE)*DB$20),VLOOKUP($C46,$C$3:$D$15,2,FALSE)*DB$20-DA48)))</f>
        <v>0</v>
      </c>
      <c r="DC46" s="762">
        <f t="shared" ref="DC46" si="1627" xml:space="preserve">
IF(DB48&gt;=VLOOKUP($C46,$C$3:$D$15,2,FALSE)*DC$20,0,
IF(AND(DB48&lt;VLOOKUP($C46,$C$3:$D$15,2,FALSE)*DC$20,DC47&lt;=VLOOKUP($C46,$C$3:$D$15,2,FALSE)*DC$20),IF(DC47-DB48&lt;0,0,DC47-DB48),
IF(AND(DB48&lt;VLOOKUP($C46,$C$3:$D$15,2,FALSE)*DC$20,DC47&gt;VLOOKUP($C46,$C$3:$D$15,2,FALSE)*DC$20),VLOOKUP($C46,$C$3:$D$15,2,FALSE)*DC$20-DB48)))</f>
        <v>0</v>
      </c>
      <c r="DD46" s="762">
        <f t="shared" ref="DD46" si="1628" xml:space="preserve">
IF(DC48&gt;=VLOOKUP($C46,$C$3:$D$15,2,FALSE)*DD$20,0,
IF(AND(DC48&lt;VLOOKUP($C46,$C$3:$D$15,2,FALSE)*DD$20,DD47&lt;=VLOOKUP($C46,$C$3:$D$15,2,FALSE)*DD$20),IF(DD47-DC48&lt;0,0,DD47-DC48),
IF(AND(DC48&lt;VLOOKUP($C46,$C$3:$D$15,2,FALSE)*DD$20,DD47&gt;VLOOKUP($C46,$C$3:$D$15,2,FALSE)*DD$20),VLOOKUP($C46,$C$3:$D$15,2,FALSE)*DD$20-DC48)))</f>
        <v>0</v>
      </c>
      <c r="DE46" s="762">
        <f t="shared" ref="DE46" si="1629" xml:space="preserve">
IF(DD48&gt;=VLOOKUP($C46,$C$3:$D$15,2,FALSE)*DE$20,0,
IF(AND(DD48&lt;VLOOKUP($C46,$C$3:$D$15,2,FALSE)*DE$20,DE47&lt;=VLOOKUP($C46,$C$3:$D$15,2,FALSE)*DE$20),IF(DE47-DD48&lt;0,0,DE47-DD48),
IF(AND(DD48&lt;VLOOKUP($C46,$C$3:$D$15,2,FALSE)*DE$20,DE47&gt;VLOOKUP($C46,$C$3:$D$15,2,FALSE)*DE$20),VLOOKUP($C46,$C$3:$D$15,2,FALSE)*DE$20-DD48)))</f>
        <v>0</v>
      </c>
      <c r="DF46" s="762">
        <f t="shared" ref="DF46" si="1630" xml:space="preserve">
IF(DE48&gt;=VLOOKUP($C46,$C$3:$D$15,2,FALSE)*DF$20,0,
IF(AND(DE48&lt;VLOOKUP($C46,$C$3:$D$15,2,FALSE)*DF$20,DF47&lt;=VLOOKUP($C46,$C$3:$D$15,2,FALSE)*DF$20),IF(DF47-DE48&lt;0,0,DF47-DE48),
IF(AND(DE48&lt;VLOOKUP($C46,$C$3:$D$15,2,FALSE)*DF$20,DF47&gt;VLOOKUP($C46,$C$3:$D$15,2,FALSE)*DF$20),VLOOKUP($C46,$C$3:$D$15,2,FALSE)*DF$20-DE48)))</f>
        <v>0</v>
      </c>
      <c r="DG46" s="762">
        <f t="shared" ref="DG46" si="1631" xml:space="preserve">
IF(DF48&gt;=VLOOKUP($C46,$C$3:$D$15,2,FALSE)*DG$20,0,
IF(AND(DF48&lt;VLOOKUP($C46,$C$3:$D$15,2,FALSE)*DG$20,DG47&lt;=VLOOKUP($C46,$C$3:$D$15,2,FALSE)*DG$20),IF(DG47-DF48&lt;0,0,DG47-DF48),
IF(AND(DF48&lt;VLOOKUP($C46,$C$3:$D$15,2,FALSE)*DG$20,DG47&gt;VLOOKUP($C46,$C$3:$D$15,2,FALSE)*DG$20),VLOOKUP($C46,$C$3:$D$15,2,FALSE)*DG$20-DF48)))</f>
        <v>0</v>
      </c>
      <c r="DH46" s="762">
        <f t="shared" ref="DH46" si="1632" xml:space="preserve">
IF(DG48&gt;=VLOOKUP($C46,$C$3:$D$15,2,FALSE)*DH$20,0,
IF(AND(DG48&lt;VLOOKUP($C46,$C$3:$D$15,2,FALSE)*DH$20,DH47&lt;=VLOOKUP($C46,$C$3:$D$15,2,FALSE)*DH$20),IF(DH47-DG48&lt;0,0,DH47-DG48),
IF(AND(DG48&lt;VLOOKUP($C46,$C$3:$D$15,2,FALSE)*DH$20,DH47&gt;VLOOKUP($C46,$C$3:$D$15,2,FALSE)*DH$20),VLOOKUP($C46,$C$3:$D$15,2,FALSE)*DH$20-DG48)))</f>
        <v>0</v>
      </c>
      <c r="DI46" s="762">
        <f t="shared" ref="DI46" si="1633" xml:space="preserve">
IF(DH48&gt;=VLOOKUP($C46,$C$3:$D$15,2,FALSE)*DI$20,0,
IF(AND(DH48&lt;VLOOKUP($C46,$C$3:$D$15,2,FALSE)*DI$20,DI47&lt;=VLOOKUP($C46,$C$3:$D$15,2,FALSE)*DI$20),IF(DI47-DH48&lt;0,0,DI47-DH48),
IF(AND(DH48&lt;VLOOKUP($C46,$C$3:$D$15,2,FALSE)*DI$20,DI47&gt;VLOOKUP($C46,$C$3:$D$15,2,FALSE)*DI$20),VLOOKUP($C46,$C$3:$D$15,2,FALSE)*DI$20-DH48)))</f>
        <v>0</v>
      </c>
      <c r="DJ46" s="762">
        <f t="shared" ref="DJ46" si="1634" xml:space="preserve">
IF(DI48&gt;=VLOOKUP($C46,$C$3:$D$15,2,FALSE)*DJ$20,0,
IF(AND(DI48&lt;VLOOKUP($C46,$C$3:$D$15,2,FALSE)*DJ$20,DJ47&lt;=VLOOKUP($C46,$C$3:$D$15,2,FALSE)*DJ$20),IF(DJ47-DI48&lt;0,0,DJ47-DI48),
IF(AND(DI48&lt;VLOOKUP($C46,$C$3:$D$15,2,FALSE)*DJ$20,DJ47&gt;VLOOKUP($C46,$C$3:$D$15,2,FALSE)*DJ$20),VLOOKUP($C46,$C$3:$D$15,2,FALSE)*DJ$20-DI48)))</f>
        <v>0</v>
      </c>
      <c r="DK46" s="762">
        <f t="shared" ref="DK46" si="1635" xml:space="preserve">
IF(DJ48&gt;=VLOOKUP($C46,$C$3:$D$15,2,FALSE)*DK$20,0,
IF(AND(DJ48&lt;VLOOKUP($C46,$C$3:$D$15,2,FALSE)*DK$20,DK47&lt;=VLOOKUP($C46,$C$3:$D$15,2,FALSE)*DK$20),IF(DK47-DJ48&lt;0,0,DK47-DJ48),
IF(AND(DJ48&lt;VLOOKUP($C46,$C$3:$D$15,2,FALSE)*DK$20,DK47&gt;VLOOKUP($C46,$C$3:$D$15,2,FALSE)*DK$20),VLOOKUP($C46,$C$3:$D$15,2,FALSE)*DK$20-DJ48)))</f>
        <v>0</v>
      </c>
      <c r="DL46" s="762">
        <f t="shared" ref="DL46" si="1636" xml:space="preserve">
IF(DK48&gt;=VLOOKUP($C46,$C$3:$D$15,2,FALSE)*DL$20,0,
IF(AND(DK48&lt;VLOOKUP($C46,$C$3:$D$15,2,FALSE)*DL$20,DL47&lt;=VLOOKUP($C46,$C$3:$D$15,2,FALSE)*DL$20),IF(DL47-DK48&lt;0,0,DL47-DK48),
IF(AND(DK48&lt;VLOOKUP($C46,$C$3:$D$15,2,FALSE)*DL$20,DL47&gt;VLOOKUP($C46,$C$3:$D$15,2,FALSE)*DL$20),VLOOKUP($C46,$C$3:$D$15,2,FALSE)*DL$20-DK48)))</f>
        <v>0</v>
      </c>
      <c r="DM46" s="762">
        <f t="shared" ref="DM46" si="1637" xml:space="preserve">
IF(DL48&gt;=VLOOKUP($C46,$C$3:$D$15,2,FALSE)*DM$20,0,
IF(AND(DL48&lt;VLOOKUP($C46,$C$3:$D$15,2,FALSE)*DM$20,DM47&lt;=VLOOKUP($C46,$C$3:$D$15,2,FALSE)*DM$20),IF(DM47-DL48&lt;0,0,DM47-DL48),
IF(AND(DL48&lt;VLOOKUP($C46,$C$3:$D$15,2,FALSE)*DM$20,DM47&gt;VLOOKUP($C46,$C$3:$D$15,2,FALSE)*DM$20),VLOOKUP($C46,$C$3:$D$15,2,FALSE)*DM$20-DL48)))</f>
        <v>0</v>
      </c>
      <c r="DN46" s="762">
        <f t="shared" ref="DN46" si="1638" xml:space="preserve">
IF(DM48&gt;=VLOOKUP($C46,$C$3:$D$15,2,FALSE)*DN$20,0,
IF(AND(DM48&lt;VLOOKUP($C46,$C$3:$D$15,2,FALSE)*DN$20,DN47&lt;=VLOOKUP($C46,$C$3:$D$15,2,FALSE)*DN$20),IF(DN47-DM48&lt;0,0,DN47-DM48),
IF(AND(DM48&lt;VLOOKUP($C46,$C$3:$D$15,2,FALSE)*DN$20,DN47&gt;VLOOKUP($C46,$C$3:$D$15,2,FALSE)*DN$20),VLOOKUP($C46,$C$3:$D$15,2,FALSE)*DN$20-DM48)))</f>
        <v>0</v>
      </c>
      <c r="DO46" s="762">
        <f t="shared" ref="DO46" si="1639" xml:space="preserve">
IF(DN48&gt;=VLOOKUP($C46,$C$3:$D$15,2,FALSE)*DO$20,0,
IF(AND(DN48&lt;VLOOKUP($C46,$C$3:$D$15,2,FALSE)*DO$20,DO47&lt;=VLOOKUP($C46,$C$3:$D$15,2,FALSE)*DO$20),IF(DO47-DN48&lt;0,0,DO47-DN48),
IF(AND(DN48&lt;VLOOKUP($C46,$C$3:$D$15,2,FALSE)*DO$20,DO47&gt;VLOOKUP($C46,$C$3:$D$15,2,FALSE)*DO$20),VLOOKUP($C46,$C$3:$D$15,2,FALSE)*DO$20-DN48)))</f>
        <v>0</v>
      </c>
      <c r="DP46" s="762">
        <f t="shared" ref="DP46" si="1640" xml:space="preserve">
IF(DO48&gt;=VLOOKUP($C46,$C$3:$D$15,2,FALSE)*DP$20,0,
IF(AND(DO48&lt;VLOOKUP($C46,$C$3:$D$15,2,FALSE)*DP$20,DP47&lt;=VLOOKUP($C46,$C$3:$D$15,2,FALSE)*DP$20),IF(DP47-DO48&lt;0,0,DP47-DO48),
IF(AND(DO48&lt;VLOOKUP($C46,$C$3:$D$15,2,FALSE)*DP$20,DP47&gt;VLOOKUP($C46,$C$3:$D$15,2,FALSE)*DP$20),VLOOKUP($C46,$C$3:$D$15,2,FALSE)*DP$20-DO48)))</f>
        <v>0</v>
      </c>
      <c r="DQ46" s="762">
        <f t="shared" ref="DQ46" si="1641" xml:space="preserve">
IF(DP48&gt;=VLOOKUP($C46,$C$3:$D$15,2,FALSE)*DQ$20,0,
IF(AND(DP48&lt;VLOOKUP($C46,$C$3:$D$15,2,FALSE)*DQ$20,DQ47&lt;=VLOOKUP($C46,$C$3:$D$15,2,FALSE)*DQ$20),IF(DQ47-DP48&lt;0,0,DQ47-DP48),
IF(AND(DP48&lt;VLOOKUP($C46,$C$3:$D$15,2,FALSE)*DQ$20,DQ47&gt;VLOOKUP($C46,$C$3:$D$15,2,FALSE)*DQ$20),VLOOKUP($C46,$C$3:$D$15,2,FALSE)*DQ$20-DP48)))</f>
        <v>0</v>
      </c>
      <c r="DR46" s="762">
        <f t="shared" ref="DR46" si="1642" xml:space="preserve">
IF(DQ48&gt;=VLOOKUP($C46,$C$3:$D$15,2,FALSE)*DR$20,0,
IF(AND(DQ48&lt;VLOOKUP($C46,$C$3:$D$15,2,FALSE)*DR$20,DR47&lt;=VLOOKUP($C46,$C$3:$D$15,2,FALSE)*DR$20),IF(DR47-DQ48&lt;0,0,DR47-DQ48),
IF(AND(DQ48&lt;VLOOKUP($C46,$C$3:$D$15,2,FALSE)*DR$20,DR47&gt;VLOOKUP($C46,$C$3:$D$15,2,FALSE)*DR$20),VLOOKUP($C46,$C$3:$D$15,2,FALSE)*DR$20-DQ48)))</f>
        <v>0</v>
      </c>
      <c r="DS46" s="762">
        <f t="shared" ref="DS46" si="1643" xml:space="preserve">
IF(DR48&gt;=VLOOKUP($C46,$C$3:$D$15,2,FALSE)*DS$20,0,
IF(AND(DR48&lt;VLOOKUP($C46,$C$3:$D$15,2,FALSE)*DS$20,DS47&lt;=VLOOKUP($C46,$C$3:$D$15,2,FALSE)*DS$20),IF(DS47-DR48&lt;0,0,DS47-DR48),
IF(AND(DR48&lt;VLOOKUP($C46,$C$3:$D$15,2,FALSE)*DS$20,DS47&gt;VLOOKUP($C46,$C$3:$D$15,2,FALSE)*DS$20),VLOOKUP($C46,$C$3:$D$15,2,FALSE)*DS$20-DR48)))</f>
        <v>0</v>
      </c>
      <c r="DT46" s="762">
        <f t="shared" ref="DT46" si="1644" xml:space="preserve">
IF(DS48&gt;=VLOOKUP($C46,$C$3:$D$15,2,FALSE)*DT$20,0,
IF(AND(DS48&lt;VLOOKUP($C46,$C$3:$D$15,2,FALSE)*DT$20,DT47&lt;=VLOOKUP($C46,$C$3:$D$15,2,FALSE)*DT$20),IF(DT47-DS48&lt;0,0,DT47-DS48),
IF(AND(DS48&lt;VLOOKUP($C46,$C$3:$D$15,2,FALSE)*DT$20,DT47&gt;VLOOKUP($C46,$C$3:$D$15,2,FALSE)*DT$20),VLOOKUP($C46,$C$3:$D$15,2,FALSE)*DT$20-DS48)))</f>
        <v>0</v>
      </c>
      <c r="DU46" s="762">
        <f t="shared" ref="DU46" si="1645" xml:space="preserve">
IF(DT48&gt;=VLOOKUP($C46,$C$3:$D$15,2,FALSE)*DU$20,0,
IF(AND(DT48&lt;VLOOKUP($C46,$C$3:$D$15,2,FALSE)*DU$20,DU47&lt;=VLOOKUP($C46,$C$3:$D$15,2,FALSE)*DU$20),IF(DU47-DT48&lt;0,0,DU47-DT48),
IF(AND(DT48&lt;VLOOKUP($C46,$C$3:$D$15,2,FALSE)*DU$20,DU47&gt;VLOOKUP($C46,$C$3:$D$15,2,FALSE)*DU$20),VLOOKUP($C46,$C$3:$D$15,2,FALSE)*DU$20-DT48)))</f>
        <v>0</v>
      </c>
      <c r="DV46" s="762">
        <f t="shared" ref="DV46" si="1646" xml:space="preserve">
IF(DU48&gt;=VLOOKUP($C46,$C$3:$D$15,2,FALSE)*DV$20,0,
IF(AND(DU48&lt;VLOOKUP($C46,$C$3:$D$15,2,FALSE)*DV$20,DV47&lt;=VLOOKUP($C46,$C$3:$D$15,2,FALSE)*DV$20),IF(DV47-DU48&lt;0,0,DV47-DU48),
IF(AND(DU48&lt;VLOOKUP($C46,$C$3:$D$15,2,FALSE)*DV$20,DV47&gt;VLOOKUP($C46,$C$3:$D$15,2,FALSE)*DV$20),VLOOKUP($C46,$C$3:$D$15,2,FALSE)*DV$20-DU48)))</f>
        <v>0</v>
      </c>
      <c r="DW46" s="762">
        <f t="shared" ref="DW46" si="1647" xml:space="preserve">
IF(DV48&gt;=VLOOKUP($C46,$C$3:$D$15,2,FALSE)*DW$20,0,
IF(AND(DV48&lt;VLOOKUP($C46,$C$3:$D$15,2,FALSE)*DW$20,DW47&lt;=VLOOKUP($C46,$C$3:$D$15,2,FALSE)*DW$20),IF(DW47-DV48&lt;0,0,DW47-DV48),
IF(AND(DV48&lt;VLOOKUP($C46,$C$3:$D$15,2,FALSE)*DW$20,DW47&gt;VLOOKUP($C46,$C$3:$D$15,2,FALSE)*DW$20),VLOOKUP($C46,$C$3:$D$15,2,FALSE)*DW$20-DV48)))</f>
        <v>0</v>
      </c>
      <c r="DX46" s="762">
        <f t="shared" ref="DX46" si="1648" xml:space="preserve">
IF(DW48&gt;=VLOOKUP($C46,$C$3:$D$15,2,FALSE)*DX$20,0,
IF(AND(DW48&lt;VLOOKUP($C46,$C$3:$D$15,2,FALSE)*DX$20,DX47&lt;=VLOOKUP($C46,$C$3:$D$15,2,FALSE)*DX$20),IF(DX47-DW48&lt;0,0,DX47-DW48),
IF(AND(DW48&lt;VLOOKUP($C46,$C$3:$D$15,2,FALSE)*DX$20,DX47&gt;VLOOKUP($C46,$C$3:$D$15,2,FALSE)*DX$20),VLOOKUP($C46,$C$3:$D$15,2,FALSE)*DX$20-DW48)))</f>
        <v>0</v>
      </c>
      <c r="DY46" s="762">
        <f t="shared" ref="DY46" si="1649" xml:space="preserve">
IF(DX48&gt;=VLOOKUP($C46,$C$3:$D$15,2,FALSE)*DY$20,0,
IF(AND(DX48&lt;VLOOKUP($C46,$C$3:$D$15,2,FALSE)*DY$20,DY47&lt;=VLOOKUP($C46,$C$3:$D$15,2,FALSE)*DY$20),IF(DY47-DX48&lt;0,0,DY47-DX48),
IF(AND(DX48&lt;VLOOKUP($C46,$C$3:$D$15,2,FALSE)*DY$20,DY47&gt;VLOOKUP($C46,$C$3:$D$15,2,FALSE)*DY$20),VLOOKUP($C46,$C$3:$D$15,2,FALSE)*DY$20-DX48)))</f>
        <v>0</v>
      </c>
      <c r="DZ46" s="762">
        <f t="shared" ref="DZ46" si="1650" xml:space="preserve">
IF(DY48&gt;=VLOOKUP($C46,$C$3:$D$15,2,FALSE)*DZ$20,0,
IF(AND(DY48&lt;VLOOKUP($C46,$C$3:$D$15,2,FALSE)*DZ$20,DZ47&lt;=VLOOKUP($C46,$C$3:$D$15,2,FALSE)*DZ$20),IF(DZ47-DY48&lt;0,0,DZ47-DY48),
IF(AND(DY48&lt;VLOOKUP($C46,$C$3:$D$15,2,FALSE)*DZ$20,DZ47&gt;VLOOKUP($C46,$C$3:$D$15,2,FALSE)*DZ$20),VLOOKUP($C46,$C$3:$D$15,2,FALSE)*DZ$20-DY48)))</f>
        <v>0</v>
      </c>
      <c r="EA46" s="762">
        <f t="shared" ref="EA46" si="1651" xml:space="preserve">
IF(DZ48&gt;=VLOOKUP($C46,$C$3:$D$15,2,FALSE)*EA$20,0,
IF(AND(DZ48&lt;VLOOKUP($C46,$C$3:$D$15,2,FALSE)*EA$20,EA47&lt;=VLOOKUP($C46,$C$3:$D$15,2,FALSE)*EA$20),IF(EA47-DZ48&lt;0,0,EA47-DZ48),
IF(AND(DZ48&lt;VLOOKUP($C46,$C$3:$D$15,2,FALSE)*EA$20,EA47&gt;VLOOKUP($C46,$C$3:$D$15,2,FALSE)*EA$20),VLOOKUP($C46,$C$3:$D$15,2,FALSE)*EA$20-DZ48)))</f>
        <v>0</v>
      </c>
      <c r="EB46" s="762">
        <f t="shared" ref="EB46" si="1652" xml:space="preserve">
IF(EA48&gt;=VLOOKUP($C46,$C$3:$D$15,2,FALSE)*EB$20,0,
IF(AND(EA48&lt;VLOOKUP($C46,$C$3:$D$15,2,FALSE)*EB$20,EB47&lt;=VLOOKUP($C46,$C$3:$D$15,2,FALSE)*EB$20),IF(EB47-EA48&lt;0,0,EB47-EA48),
IF(AND(EA48&lt;VLOOKUP($C46,$C$3:$D$15,2,FALSE)*EB$20,EB47&gt;VLOOKUP($C46,$C$3:$D$15,2,FALSE)*EB$20),VLOOKUP($C46,$C$3:$D$15,2,FALSE)*EB$20-EA48)))</f>
        <v>0</v>
      </c>
      <c r="EC46" s="762">
        <f t="shared" ref="EC46" si="1653" xml:space="preserve">
IF(EB48&gt;=VLOOKUP($C46,$C$3:$D$15,2,FALSE)*EC$20,0,
IF(AND(EB48&lt;VLOOKUP($C46,$C$3:$D$15,2,FALSE)*EC$20,EC47&lt;=VLOOKUP($C46,$C$3:$D$15,2,FALSE)*EC$20),IF(EC47-EB48&lt;0,0,EC47-EB48),
IF(AND(EB48&lt;VLOOKUP($C46,$C$3:$D$15,2,FALSE)*EC$20,EC47&gt;VLOOKUP($C46,$C$3:$D$15,2,FALSE)*EC$20),VLOOKUP($C46,$C$3:$D$15,2,FALSE)*EC$20-EB48)))</f>
        <v>0</v>
      </c>
      <c r="ED46" s="762">
        <f t="shared" ref="ED46" si="1654" xml:space="preserve">
IF(EC48&gt;=VLOOKUP($C46,$C$3:$D$15,2,FALSE)*ED$20,0,
IF(AND(EC48&lt;VLOOKUP($C46,$C$3:$D$15,2,FALSE)*ED$20,ED47&lt;=VLOOKUP($C46,$C$3:$D$15,2,FALSE)*ED$20),IF(ED47-EC48&lt;0,0,ED47-EC48),
IF(AND(EC48&lt;VLOOKUP($C46,$C$3:$D$15,2,FALSE)*ED$20,ED47&gt;VLOOKUP($C46,$C$3:$D$15,2,FALSE)*ED$20),VLOOKUP($C46,$C$3:$D$15,2,FALSE)*ED$20-EC48)))</f>
        <v>0</v>
      </c>
      <c r="EE46" s="762">
        <f t="shared" ref="EE46" si="1655" xml:space="preserve">
IF(ED48&gt;=VLOOKUP($C46,$C$3:$D$15,2,FALSE)*EE$20,0,
IF(AND(ED48&lt;VLOOKUP($C46,$C$3:$D$15,2,FALSE)*EE$20,EE47&lt;=VLOOKUP($C46,$C$3:$D$15,2,FALSE)*EE$20),IF(EE47-ED48&lt;0,0,EE47-ED48),
IF(AND(ED48&lt;VLOOKUP($C46,$C$3:$D$15,2,FALSE)*EE$20,EE47&gt;VLOOKUP($C46,$C$3:$D$15,2,FALSE)*EE$20),VLOOKUP($C46,$C$3:$D$15,2,FALSE)*EE$20-ED48)))</f>
        <v>0</v>
      </c>
      <c r="EF46" s="762">
        <f t="shared" ref="EF46" si="1656" xml:space="preserve">
IF(EE48&gt;=VLOOKUP($C46,$C$3:$D$15,2,FALSE)*EF$20,0,
IF(AND(EE48&lt;VLOOKUP($C46,$C$3:$D$15,2,FALSE)*EF$20,EF47&lt;=VLOOKUP($C46,$C$3:$D$15,2,FALSE)*EF$20),IF(EF47-EE48&lt;0,0,EF47-EE48),
IF(AND(EE48&lt;VLOOKUP($C46,$C$3:$D$15,2,FALSE)*EF$20,EF47&gt;VLOOKUP($C46,$C$3:$D$15,2,FALSE)*EF$20),VLOOKUP($C46,$C$3:$D$15,2,FALSE)*EF$20-EE48)))</f>
        <v>0</v>
      </c>
      <c r="EG46" s="762">
        <f t="shared" ref="EG46" si="1657" xml:space="preserve">
IF(EF48&gt;=VLOOKUP($C46,$C$3:$D$15,2,FALSE)*EG$20,0,
IF(AND(EF48&lt;VLOOKUP($C46,$C$3:$D$15,2,FALSE)*EG$20,EG47&lt;=VLOOKUP($C46,$C$3:$D$15,2,FALSE)*EG$20),IF(EG47-EF48&lt;0,0,EG47-EF48),
IF(AND(EF48&lt;VLOOKUP($C46,$C$3:$D$15,2,FALSE)*EG$20,EG47&gt;VLOOKUP($C46,$C$3:$D$15,2,FALSE)*EG$20),VLOOKUP($C46,$C$3:$D$15,2,FALSE)*EG$20-EF48)))</f>
        <v>0</v>
      </c>
      <c r="EH46" s="762">
        <f t="shared" ref="EH46" si="1658" xml:space="preserve">
IF(EG48&gt;=VLOOKUP($C46,$C$3:$D$15,2,FALSE)*EH$20,0,
IF(AND(EG48&lt;VLOOKUP($C46,$C$3:$D$15,2,FALSE)*EH$20,EH47&lt;=VLOOKUP($C46,$C$3:$D$15,2,FALSE)*EH$20),IF(EH47-EG48&lt;0,0,EH47-EG48),
IF(AND(EG48&lt;VLOOKUP($C46,$C$3:$D$15,2,FALSE)*EH$20,EH47&gt;VLOOKUP($C46,$C$3:$D$15,2,FALSE)*EH$20),VLOOKUP($C46,$C$3:$D$15,2,FALSE)*EH$20-EG48)))</f>
        <v>0</v>
      </c>
      <c r="EI46" s="762">
        <f t="shared" ref="EI46" si="1659" xml:space="preserve">
IF(EH48&gt;=VLOOKUP($C46,$C$3:$D$15,2,FALSE)*EI$20,0,
IF(AND(EH48&lt;VLOOKUP($C46,$C$3:$D$15,2,FALSE)*EI$20,EI47&lt;=VLOOKUP($C46,$C$3:$D$15,2,FALSE)*EI$20),IF(EI47-EH48&lt;0,0,EI47-EH48),
IF(AND(EH48&lt;VLOOKUP($C46,$C$3:$D$15,2,FALSE)*EI$20,EI47&gt;VLOOKUP($C46,$C$3:$D$15,2,FALSE)*EI$20),VLOOKUP($C46,$C$3:$D$15,2,FALSE)*EI$20-EH48)))</f>
        <v>0</v>
      </c>
      <c r="EJ46" s="762">
        <f t="shared" ref="EJ46" si="1660" xml:space="preserve">
IF(EI48&gt;=VLOOKUP($C46,$C$3:$D$15,2,FALSE)*EJ$20,0,
IF(AND(EI48&lt;VLOOKUP($C46,$C$3:$D$15,2,FALSE)*EJ$20,EJ47&lt;=VLOOKUP($C46,$C$3:$D$15,2,FALSE)*EJ$20),IF(EJ47-EI48&lt;0,0,EJ47-EI48),
IF(AND(EI48&lt;VLOOKUP($C46,$C$3:$D$15,2,FALSE)*EJ$20,EJ47&gt;VLOOKUP($C46,$C$3:$D$15,2,FALSE)*EJ$20),VLOOKUP($C46,$C$3:$D$15,2,FALSE)*EJ$20-EI48)))</f>
        <v>0</v>
      </c>
      <c r="EK46" s="762">
        <f t="shared" ref="EK46" si="1661" xml:space="preserve">
IF(EJ48&gt;=VLOOKUP($C46,$C$3:$D$15,2,FALSE)*EK$20,0,
IF(AND(EJ48&lt;VLOOKUP($C46,$C$3:$D$15,2,FALSE)*EK$20,EK47&lt;=VLOOKUP($C46,$C$3:$D$15,2,FALSE)*EK$20),IF(EK47-EJ48&lt;0,0,EK47-EJ48),
IF(AND(EJ48&lt;VLOOKUP($C46,$C$3:$D$15,2,FALSE)*EK$20,EK47&gt;VLOOKUP($C46,$C$3:$D$15,2,FALSE)*EK$20),VLOOKUP($C46,$C$3:$D$15,2,FALSE)*EK$20-EJ48)))</f>
        <v>0</v>
      </c>
      <c r="EL46" s="762">
        <f t="shared" ref="EL46" si="1662" xml:space="preserve">
IF(EK48&gt;=VLOOKUP($C46,$C$3:$D$15,2,FALSE)*EL$20,0,
IF(AND(EK48&lt;VLOOKUP($C46,$C$3:$D$15,2,FALSE)*EL$20,EL47&lt;=VLOOKUP($C46,$C$3:$D$15,2,FALSE)*EL$20),IF(EL47-EK48&lt;0,0,EL47-EK48),
IF(AND(EK48&lt;VLOOKUP($C46,$C$3:$D$15,2,FALSE)*EL$20,EL47&gt;VLOOKUP($C46,$C$3:$D$15,2,FALSE)*EL$20),VLOOKUP($C46,$C$3:$D$15,2,FALSE)*EL$20-EK48)))</f>
        <v>0</v>
      </c>
      <c r="EM46" s="762">
        <f t="shared" ref="EM46" si="1663" xml:space="preserve">
IF(EL48&gt;=VLOOKUP($C46,$C$3:$D$15,2,FALSE)*EM$20,0,
IF(AND(EL48&lt;VLOOKUP($C46,$C$3:$D$15,2,FALSE)*EM$20,EM47&lt;=VLOOKUP($C46,$C$3:$D$15,2,FALSE)*EM$20),IF(EM47-EL48&lt;0,0,EM47-EL48),
IF(AND(EL48&lt;VLOOKUP($C46,$C$3:$D$15,2,FALSE)*EM$20,EM47&gt;VLOOKUP($C46,$C$3:$D$15,2,FALSE)*EM$20),VLOOKUP($C46,$C$3:$D$15,2,FALSE)*EM$20-EL48)))</f>
        <v>0</v>
      </c>
      <c r="EN46" s="762">
        <f t="shared" ref="EN46" si="1664" xml:space="preserve">
IF(EM48&gt;=VLOOKUP($C46,$C$3:$D$15,2,FALSE)*EN$20,0,
IF(AND(EM48&lt;VLOOKUP($C46,$C$3:$D$15,2,FALSE)*EN$20,EN47&lt;=VLOOKUP($C46,$C$3:$D$15,2,FALSE)*EN$20),IF(EN47-EM48&lt;0,0,EN47-EM48),
IF(AND(EM48&lt;VLOOKUP($C46,$C$3:$D$15,2,FALSE)*EN$20,EN47&gt;VLOOKUP($C46,$C$3:$D$15,2,FALSE)*EN$20),VLOOKUP($C46,$C$3:$D$15,2,FALSE)*EN$20-EM48)))</f>
        <v>0</v>
      </c>
      <c r="EO46" s="762">
        <f t="shared" ref="EO46" si="1665" xml:space="preserve">
IF(EN48&gt;=VLOOKUP($C46,$C$3:$D$15,2,FALSE)*EO$20,0,
IF(AND(EN48&lt;VLOOKUP($C46,$C$3:$D$15,2,FALSE)*EO$20,EO47&lt;=VLOOKUP($C46,$C$3:$D$15,2,FALSE)*EO$20),IF(EO47-EN48&lt;0,0,EO47-EN48),
IF(AND(EN48&lt;VLOOKUP($C46,$C$3:$D$15,2,FALSE)*EO$20,EO47&gt;VLOOKUP($C46,$C$3:$D$15,2,FALSE)*EO$20),VLOOKUP($C46,$C$3:$D$15,2,FALSE)*EO$20-EN48)))</f>
        <v>0</v>
      </c>
      <c r="EP46" s="762">
        <f t="shared" ref="EP46" si="1666" xml:space="preserve">
IF(EO48&gt;=VLOOKUP($C46,$C$3:$D$15,2,FALSE)*EP$20,0,
IF(AND(EO48&lt;VLOOKUP($C46,$C$3:$D$15,2,FALSE)*EP$20,EP47&lt;=VLOOKUP($C46,$C$3:$D$15,2,FALSE)*EP$20),IF(EP47-EO48&lt;0,0,EP47-EO48),
IF(AND(EO48&lt;VLOOKUP($C46,$C$3:$D$15,2,FALSE)*EP$20,EP47&gt;VLOOKUP($C46,$C$3:$D$15,2,FALSE)*EP$20),VLOOKUP($C46,$C$3:$D$15,2,FALSE)*EP$20-EO48)))</f>
        <v>0</v>
      </c>
      <c r="EQ46" s="762">
        <f t="shared" ref="EQ46" si="1667" xml:space="preserve">
IF(EP48&gt;=VLOOKUP($C46,$C$3:$D$15,2,FALSE)*EQ$20,0,
IF(AND(EP48&lt;VLOOKUP($C46,$C$3:$D$15,2,FALSE)*EQ$20,EQ47&lt;=VLOOKUP($C46,$C$3:$D$15,2,FALSE)*EQ$20),IF(EQ47-EP48&lt;0,0,EQ47-EP48),
IF(AND(EP48&lt;VLOOKUP($C46,$C$3:$D$15,2,FALSE)*EQ$20,EQ47&gt;VLOOKUP($C46,$C$3:$D$15,2,FALSE)*EQ$20),VLOOKUP($C46,$C$3:$D$15,2,FALSE)*EQ$20-EP48)))</f>
        <v>0</v>
      </c>
      <c r="ER46" s="762">
        <f t="shared" ref="ER46" si="1668" xml:space="preserve">
IF(EQ48&gt;=VLOOKUP($C46,$C$3:$D$15,2,FALSE)*ER$20,0,
IF(AND(EQ48&lt;VLOOKUP($C46,$C$3:$D$15,2,FALSE)*ER$20,ER47&lt;=VLOOKUP($C46,$C$3:$D$15,2,FALSE)*ER$20),IF(ER47-EQ48&lt;0,0,ER47-EQ48),
IF(AND(EQ48&lt;VLOOKUP($C46,$C$3:$D$15,2,FALSE)*ER$20,ER47&gt;VLOOKUP($C46,$C$3:$D$15,2,FALSE)*ER$20),VLOOKUP($C46,$C$3:$D$15,2,FALSE)*ER$20-EQ48)))</f>
        <v>0</v>
      </c>
      <c r="ES46" s="762">
        <f t="shared" ref="ES46" si="1669" xml:space="preserve">
IF(ER48&gt;=VLOOKUP($C46,$C$3:$D$15,2,FALSE)*ES$20,0,
IF(AND(ER48&lt;VLOOKUP($C46,$C$3:$D$15,2,FALSE)*ES$20,ES47&lt;=VLOOKUP($C46,$C$3:$D$15,2,FALSE)*ES$20),IF(ES47-ER48&lt;0,0,ES47-ER48),
IF(AND(ER48&lt;VLOOKUP($C46,$C$3:$D$15,2,FALSE)*ES$20,ES47&gt;VLOOKUP($C46,$C$3:$D$15,2,FALSE)*ES$20),VLOOKUP($C46,$C$3:$D$15,2,FALSE)*ES$20-ER48)))</f>
        <v>0</v>
      </c>
      <c r="ET46" s="762">
        <f t="shared" ref="ET46" si="1670" xml:space="preserve">
IF(ES48&gt;=VLOOKUP($C46,$C$3:$D$15,2,FALSE)*ET$20,0,
IF(AND(ES48&lt;VLOOKUP($C46,$C$3:$D$15,2,FALSE)*ET$20,ET47&lt;=VLOOKUP($C46,$C$3:$D$15,2,FALSE)*ET$20),IF(ET47-ES48&lt;0,0,ET47-ES48),
IF(AND(ES48&lt;VLOOKUP($C46,$C$3:$D$15,2,FALSE)*ET$20,ET47&gt;VLOOKUP($C46,$C$3:$D$15,2,FALSE)*ET$20),VLOOKUP($C46,$C$3:$D$15,2,FALSE)*ET$20-ES48)))</f>
        <v>0</v>
      </c>
      <c r="EU46" s="762">
        <f t="shared" ref="EU46" si="1671" xml:space="preserve">
IF(ET48&gt;=VLOOKUP($C46,$C$3:$D$15,2,FALSE)*EU$20,0,
IF(AND(ET48&lt;VLOOKUP($C46,$C$3:$D$15,2,FALSE)*EU$20,EU47&lt;=VLOOKUP($C46,$C$3:$D$15,2,FALSE)*EU$20),IF(EU47-ET48&lt;0,0,EU47-ET48),
IF(AND(ET48&lt;VLOOKUP($C46,$C$3:$D$15,2,FALSE)*EU$20,EU47&gt;VLOOKUP($C46,$C$3:$D$15,2,FALSE)*EU$20),VLOOKUP($C46,$C$3:$D$15,2,FALSE)*EU$20-ET48)))</f>
        <v>0</v>
      </c>
      <c r="EV46" s="762">
        <f t="shared" ref="EV46" si="1672" xml:space="preserve">
IF(EU48&gt;=VLOOKUP($C46,$C$3:$D$15,2,FALSE)*EV$20,0,
IF(AND(EU48&lt;VLOOKUP($C46,$C$3:$D$15,2,FALSE)*EV$20,EV47&lt;=VLOOKUP($C46,$C$3:$D$15,2,FALSE)*EV$20),IF(EV47-EU48&lt;0,0,EV47-EU48),
IF(AND(EU48&lt;VLOOKUP($C46,$C$3:$D$15,2,FALSE)*EV$20,EV47&gt;VLOOKUP($C46,$C$3:$D$15,2,FALSE)*EV$20),VLOOKUP($C46,$C$3:$D$15,2,FALSE)*EV$20-EU48)))</f>
        <v>0</v>
      </c>
      <c r="EW46" s="762">
        <f t="shared" ref="EW46" si="1673" xml:space="preserve">
IF(EV48&gt;=VLOOKUP($C46,$C$3:$D$15,2,FALSE)*EW$20,0,
IF(AND(EV48&lt;VLOOKUP($C46,$C$3:$D$15,2,FALSE)*EW$20,EW47&lt;=VLOOKUP($C46,$C$3:$D$15,2,FALSE)*EW$20),IF(EW47-EV48&lt;0,0,EW47-EV48),
IF(AND(EV48&lt;VLOOKUP($C46,$C$3:$D$15,2,FALSE)*EW$20,EW47&gt;VLOOKUP($C46,$C$3:$D$15,2,FALSE)*EW$20),VLOOKUP($C46,$C$3:$D$15,2,FALSE)*EW$20-EV48)))</f>
        <v>0</v>
      </c>
      <c r="EX46" s="762">
        <f t="shared" ref="EX46" si="1674" xml:space="preserve">
IF(EW48&gt;=VLOOKUP($C46,$C$3:$D$15,2,FALSE)*EX$20,0,
IF(AND(EW48&lt;VLOOKUP($C46,$C$3:$D$15,2,FALSE)*EX$20,EX47&lt;=VLOOKUP($C46,$C$3:$D$15,2,FALSE)*EX$20),IF(EX47-EW48&lt;0,0,EX47-EW48),
IF(AND(EW48&lt;VLOOKUP($C46,$C$3:$D$15,2,FALSE)*EX$20,EX47&gt;VLOOKUP($C46,$C$3:$D$15,2,FALSE)*EX$20),VLOOKUP($C46,$C$3:$D$15,2,FALSE)*EX$20-EW48)))</f>
        <v>0</v>
      </c>
      <c r="EY46" s="762">
        <f t="shared" ref="EY46" si="1675" xml:space="preserve">
IF(EX48&gt;=VLOOKUP($C46,$C$3:$D$15,2,FALSE)*EY$20,0,
IF(AND(EX48&lt;VLOOKUP($C46,$C$3:$D$15,2,FALSE)*EY$20,EY47&lt;=VLOOKUP($C46,$C$3:$D$15,2,FALSE)*EY$20),IF(EY47-EX48&lt;0,0,EY47-EX48),
IF(AND(EX48&lt;VLOOKUP($C46,$C$3:$D$15,2,FALSE)*EY$20,EY47&gt;VLOOKUP($C46,$C$3:$D$15,2,FALSE)*EY$20),VLOOKUP($C46,$C$3:$D$15,2,FALSE)*EY$20-EX48)))</f>
        <v>0</v>
      </c>
      <c r="EZ46" s="762">
        <f t="shared" ref="EZ46" si="1676" xml:space="preserve">
IF(EY48&gt;=VLOOKUP($C46,$C$3:$D$15,2,FALSE)*EZ$20,0,
IF(AND(EY48&lt;VLOOKUP($C46,$C$3:$D$15,2,FALSE)*EZ$20,EZ47&lt;=VLOOKUP($C46,$C$3:$D$15,2,FALSE)*EZ$20),IF(EZ47-EY48&lt;0,0,EZ47-EY48),
IF(AND(EY48&lt;VLOOKUP($C46,$C$3:$D$15,2,FALSE)*EZ$20,EZ47&gt;VLOOKUP($C46,$C$3:$D$15,2,FALSE)*EZ$20),VLOOKUP($C46,$C$3:$D$15,2,FALSE)*EZ$20-EY48)))</f>
        <v>0</v>
      </c>
      <c r="FA46" s="762">
        <f t="shared" ref="FA46" si="1677" xml:space="preserve">
IF(EZ48&gt;=VLOOKUP($C46,$C$3:$D$15,2,FALSE)*FA$20,0,
IF(AND(EZ48&lt;VLOOKUP($C46,$C$3:$D$15,2,FALSE)*FA$20,FA47&lt;=VLOOKUP($C46,$C$3:$D$15,2,FALSE)*FA$20),IF(FA47-EZ48&lt;0,0,FA47-EZ48),
IF(AND(EZ48&lt;VLOOKUP($C46,$C$3:$D$15,2,FALSE)*FA$20,FA47&gt;VLOOKUP($C46,$C$3:$D$15,2,FALSE)*FA$20),VLOOKUP($C46,$C$3:$D$15,2,FALSE)*FA$20-EZ48)))</f>
        <v>0</v>
      </c>
      <c r="FB46" s="762">
        <f t="shared" ref="FB46" si="1678" xml:space="preserve">
IF(FA48&gt;=VLOOKUP($C46,$C$3:$D$15,2,FALSE)*FB$20,0,
IF(AND(FA48&lt;VLOOKUP($C46,$C$3:$D$15,2,FALSE)*FB$20,FB47&lt;=VLOOKUP($C46,$C$3:$D$15,2,FALSE)*FB$20),IF(FB47-FA48&lt;0,0,FB47-FA48),
IF(AND(FA48&lt;VLOOKUP($C46,$C$3:$D$15,2,FALSE)*FB$20,FB47&gt;VLOOKUP($C46,$C$3:$D$15,2,FALSE)*FB$20),VLOOKUP($C46,$C$3:$D$15,2,FALSE)*FB$20-FA48)))</f>
        <v>0</v>
      </c>
      <c r="FC46" s="762">
        <f t="shared" ref="FC46" si="1679" xml:space="preserve">
IF(FB48&gt;=VLOOKUP($C46,$C$3:$D$15,2,FALSE)*FC$20,0,
IF(AND(FB48&lt;VLOOKUP($C46,$C$3:$D$15,2,FALSE)*FC$20,FC47&lt;=VLOOKUP($C46,$C$3:$D$15,2,FALSE)*FC$20),IF(FC47-FB48&lt;0,0,FC47-FB48),
IF(AND(FB48&lt;VLOOKUP($C46,$C$3:$D$15,2,FALSE)*FC$20,FC47&gt;VLOOKUP($C46,$C$3:$D$15,2,FALSE)*FC$20),VLOOKUP($C46,$C$3:$D$15,2,FALSE)*FC$20-FB48)))</f>
        <v>0</v>
      </c>
      <c r="FD46" s="762">
        <f t="shared" ref="FD46" si="1680" xml:space="preserve">
IF(FC48&gt;=VLOOKUP($C46,$C$3:$D$15,2,FALSE)*FD$20,0,
IF(AND(FC48&lt;VLOOKUP($C46,$C$3:$D$15,2,FALSE)*FD$20,FD47&lt;=VLOOKUP($C46,$C$3:$D$15,2,FALSE)*FD$20),IF(FD47-FC48&lt;0,0,FD47-FC48),
IF(AND(FC48&lt;VLOOKUP($C46,$C$3:$D$15,2,FALSE)*FD$20,FD47&gt;VLOOKUP($C46,$C$3:$D$15,2,FALSE)*FD$20),VLOOKUP($C46,$C$3:$D$15,2,FALSE)*FD$20-FC48)))</f>
        <v>0</v>
      </c>
      <c r="FE46" s="762">
        <f t="shared" ref="FE46" si="1681" xml:space="preserve">
IF(FD48&gt;=VLOOKUP($C46,$C$3:$D$15,2,FALSE)*FE$20,0,
IF(AND(FD48&lt;VLOOKUP($C46,$C$3:$D$15,2,FALSE)*FE$20,FE47&lt;=VLOOKUP($C46,$C$3:$D$15,2,FALSE)*FE$20),IF(FE47-FD48&lt;0,0,FE47-FD48),
IF(AND(FD48&lt;VLOOKUP($C46,$C$3:$D$15,2,FALSE)*FE$20,FE47&gt;VLOOKUP($C46,$C$3:$D$15,2,FALSE)*FE$20),VLOOKUP($C46,$C$3:$D$15,2,FALSE)*FE$20-FD48)))</f>
        <v>0</v>
      </c>
      <c r="FF46" s="762">
        <f t="shared" ref="FF46" si="1682" xml:space="preserve">
IF(FE48&gt;=VLOOKUP($C46,$C$3:$D$15,2,FALSE)*FF$20,0,
IF(AND(FE48&lt;VLOOKUP($C46,$C$3:$D$15,2,FALSE)*FF$20,FF47&lt;=VLOOKUP($C46,$C$3:$D$15,2,FALSE)*FF$20),IF(FF47-FE48&lt;0,0,FF47-FE48),
IF(AND(FE48&lt;VLOOKUP($C46,$C$3:$D$15,2,FALSE)*FF$20,FF47&gt;VLOOKUP($C46,$C$3:$D$15,2,FALSE)*FF$20),VLOOKUP($C46,$C$3:$D$15,2,FALSE)*FF$20-FE48)))</f>
        <v>0</v>
      </c>
      <c r="FG46" s="762">
        <f t="shared" ref="FG46" si="1683" xml:space="preserve">
IF(FF48&gt;=VLOOKUP($C46,$C$3:$D$15,2,FALSE)*FG$20,0,
IF(AND(FF48&lt;VLOOKUP($C46,$C$3:$D$15,2,FALSE)*FG$20,FG47&lt;=VLOOKUP($C46,$C$3:$D$15,2,FALSE)*FG$20),IF(FG47-FF48&lt;0,0,FG47-FF48),
IF(AND(FF48&lt;VLOOKUP($C46,$C$3:$D$15,2,FALSE)*FG$20,FG47&gt;VLOOKUP($C46,$C$3:$D$15,2,FALSE)*FG$20),VLOOKUP($C46,$C$3:$D$15,2,FALSE)*FG$20-FF48)))</f>
        <v>0</v>
      </c>
      <c r="FH46" s="762">
        <f t="shared" ref="FH46" si="1684" xml:space="preserve">
IF(FG48&gt;=VLOOKUP($C46,$C$3:$D$15,2,FALSE)*FH$20,0,
IF(AND(FG48&lt;VLOOKUP($C46,$C$3:$D$15,2,FALSE)*FH$20,FH47&lt;=VLOOKUP($C46,$C$3:$D$15,2,FALSE)*FH$20),IF(FH47-FG48&lt;0,0,FH47-FG48),
IF(AND(FG48&lt;VLOOKUP($C46,$C$3:$D$15,2,FALSE)*FH$20,FH47&gt;VLOOKUP($C46,$C$3:$D$15,2,FALSE)*FH$20),VLOOKUP($C46,$C$3:$D$15,2,FALSE)*FH$20-FG48)))</f>
        <v>0</v>
      </c>
      <c r="FI46" s="762">
        <f t="shared" ref="FI46" si="1685" xml:space="preserve">
IF(FH48&gt;=VLOOKUP($C46,$C$3:$D$15,2,FALSE)*FI$20,0,
IF(AND(FH48&lt;VLOOKUP($C46,$C$3:$D$15,2,FALSE)*FI$20,FI47&lt;=VLOOKUP($C46,$C$3:$D$15,2,FALSE)*FI$20),IF(FI47-FH48&lt;0,0,FI47-FH48),
IF(AND(FH48&lt;VLOOKUP($C46,$C$3:$D$15,2,FALSE)*FI$20,FI47&gt;VLOOKUP($C46,$C$3:$D$15,2,FALSE)*FI$20),VLOOKUP($C46,$C$3:$D$15,2,FALSE)*FI$20-FH48)))</f>
        <v>0</v>
      </c>
      <c r="FJ46" s="762">
        <f t="shared" ref="FJ46" si="1686" xml:space="preserve">
IF(FI48&gt;=VLOOKUP($C46,$C$3:$D$15,2,FALSE)*FJ$20,0,
IF(AND(FI48&lt;VLOOKUP($C46,$C$3:$D$15,2,FALSE)*FJ$20,FJ47&lt;=VLOOKUP($C46,$C$3:$D$15,2,FALSE)*FJ$20),IF(FJ47-FI48&lt;0,0,FJ47-FI48),
IF(AND(FI48&lt;VLOOKUP($C46,$C$3:$D$15,2,FALSE)*FJ$20,FJ47&gt;VLOOKUP($C46,$C$3:$D$15,2,FALSE)*FJ$20),VLOOKUP($C46,$C$3:$D$15,2,FALSE)*FJ$20-FI48)))</f>
        <v>0</v>
      </c>
      <c r="FK46" s="762">
        <f t="shared" ref="FK46" si="1687" xml:space="preserve">
IF(FJ48&gt;=VLOOKUP($C46,$C$3:$D$15,2,FALSE)*FK$20,0,
IF(AND(FJ48&lt;VLOOKUP($C46,$C$3:$D$15,2,FALSE)*FK$20,FK47&lt;=VLOOKUP($C46,$C$3:$D$15,2,FALSE)*FK$20),IF(FK47-FJ48&lt;0,0,FK47-FJ48),
IF(AND(FJ48&lt;VLOOKUP($C46,$C$3:$D$15,2,FALSE)*FK$20,FK47&gt;VLOOKUP($C46,$C$3:$D$15,2,FALSE)*FK$20),VLOOKUP($C46,$C$3:$D$15,2,FALSE)*FK$20-FJ48)))</f>
        <v>0</v>
      </c>
      <c r="FL46" s="762">
        <f t="shared" ref="FL46" si="1688" xml:space="preserve">
IF(FK48&gt;=VLOOKUP($C46,$C$3:$D$15,2,FALSE)*FL$20,0,
IF(AND(FK48&lt;VLOOKUP($C46,$C$3:$D$15,2,FALSE)*FL$20,FL47&lt;=VLOOKUP($C46,$C$3:$D$15,2,FALSE)*FL$20),IF(FL47-FK48&lt;0,0,FL47-FK48),
IF(AND(FK48&lt;VLOOKUP($C46,$C$3:$D$15,2,FALSE)*FL$20,FL47&gt;VLOOKUP($C46,$C$3:$D$15,2,FALSE)*FL$20),VLOOKUP($C46,$C$3:$D$15,2,FALSE)*FL$20-FK48)))</f>
        <v>0</v>
      </c>
      <c r="FM46" s="762">
        <f t="shared" ref="FM46" si="1689" xml:space="preserve">
IF(FL48&gt;=VLOOKUP($C46,$C$3:$D$15,2,FALSE)*FM$20,0,
IF(AND(FL48&lt;VLOOKUP($C46,$C$3:$D$15,2,FALSE)*FM$20,FM47&lt;=VLOOKUP($C46,$C$3:$D$15,2,FALSE)*FM$20),IF(FM47-FL48&lt;0,0,FM47-FL48),
IF(AND(FL48&lt;VLOOKUP($C46,$C$3:$D$15,2,FALSE)*FM$20,FM47&gt;VLOOKUP($C46,$C$3:$D$15,2,FALSE)*FM$20),VLOOKUP($C46,$C$3:$D$15,2,FALSE)*FM$20-FL48)))</f>
        <v>0</v>
      </c>
      <c r="FN46" s="762">
        <f t="shared" ref="FN46" si="1690" xml:space="preserve">
IF(FM48&gt;=VLOOKUP($C46,$C$3:$D$15,2,FALSE)*FN$20,0,
IF(AND(FM48&lt;VLOOKUP($C46,$C$3:$D$15,2,FALSE)*FN$20,FN47&lt;=VLOOKUP($C46,$C$3:$D$15,2,FALSE)*FN$20),IF(FN47-FM48&lt;0,0,FN47-FM48),
IF(AND(FM48&lt;VLOOKUP($C46,$C$3:$D$15,2,FALSE)*FN$20,FN47&gt;VLOOKUP($C46,$C$3:$D$15,2,FALSE)*FN$20),VLOOKUP($C46,$C$3:$D$15,2,FALSE)*FN$20-FM48)))</f>
        <v>0</v>
      </c>
      <c r="FO46" s="762">
        <f t="shared" ref="FO46" si="1691" xml:space="preserve">
IF(FN48&gt;=VLOOKUP($C46,$C$3:$D$15,2,FALSE)*FO$20,0,
IF(AND(FN48&lt;VLOOKUP($C46,$C$3:$D$15,2,FALSE)*FO$20,FO47&lt;=VLOOKUP($C46,$C$3:$D$15,2,FALSE)*FO$20),IF(FO47-FN48&lt;0,0,FO47-FN48),
IF(AND(FN48&lt;VLOOKUP($C46,$C$3:$D$15,2,FALSE)*FO$20,FO47&gt;VLOOKUP($C46,$C$3:$D$15,2,FALSE)*FO$20),VLOOKUP($C46,$C$3:$D$15,2,FALSE)*FO$20-FN48)))</f>
        <v>0</v>
      </c>
      <c r="FP46" s="762">
        <f t="shared" ref="FP46" si="1692" xml:space="preserve">
IF(FO48&gt;=VLOOKUP($C46,$C$3:$D$15,2,FALSE)*FP$20,0,
IF(AND(FO48&lt;VLOOKUP($C46,$C$3:$D$15,2,FALSE)*FP$20,FP47&lt;=VLOOKUP($C46,$C$3:$D$15,2,FALSE)*FP$20),IF(FP47-FO48&lt;0,0,FP47-FO48),
IF(AND(FO48&lt;VLOOKUP($C46,$C$3:$D$15,2,FALSE)*FP$20,FP47&gt;VLOOKUP($C46,$C$3:$D$15,2,FALSE)*FP$20),VLOOKUP($C46,$C$3:$D$15,2,FALSE)*FP$20-FO48)))</f>
        <v>0</v>
      </c>
      <c r="FQ46" s="762">
        <f t="shared" ref="FQ46" si="1693" xml:space="preserve">
IF(FP48&gt;=VLOOKUP($C46,$C$3:$D$15,2,FALSE)*FQ$20,0,
IF(AND(FP48&lt;VLOOKUP($C46,$C$3:$D$15,2,FALSE)*FQ$20,FQ47&lt;=VLOOKUP($C46,$C$3:$D$15,2,FALSE)*FQ$20),IF(FQ47-FP48&lt;0,0,FQ47-FP48),
IF(AND(FP48&lt;VLOOKUP($C46,$C$3:$D$15,2,FALSE)*FQ$20,FQ47&gt;VLOOKUP($C46,$C$3:$D$15,2,FALSE)*FQ$20),VLOOKUP($C46,$C$3:$D$15,2,FALSE)*FQ$20-FP48)))</f>
        <v>0</v>
      </c>
      <c r="FR46" s="762">
        <f t="shared" ref="FR46" si="1694" xml:space="preserve">
IF(FQ48&gt;=VLOOKUP($C46,$C$3:$D$15,2,FALSE)*FR$20,0,
IF(AND(FQ48&lt;VLOOKUP($C46,$C$3:$D$15,2,FALSE)*FR$20,FR47&lt;=VLOOKUP($C46,$C$3:$D$15,2,FALSE)*FR$20),IF(FR47-FQ48&lt;0,0,FR47-FQ48),
IF(AND(FQ48&lt;VLOOKUP($C46,$C$3:$D$15,2,FALSE)*FR$20,FR47&gt;VLOOKUP($C46,$C$3:$D$15,2,FALSE)*FR$20),VLOOKUP($C46,$C$3:$D$15,2,FALSE)*FR$20-FQ48)))</f>
        <v>0</v>
      </c>
      <c r="FS46" s="762">
        <f t="shared" ref="FS46" si="1695" xml:space="preserve">
IF(FR48&gt;=VLOOKUP($C46,$C$3:$D$15,2,FALSE)*FS$20,0,
IF(AND(FR48&lt;VLOOKUP($C46,$C$3:$D$15,2,FALSE)*FS$20,FS47&lt;=VLOOKUP($C46,$C$3:$D$15,2,FALSE)*FS$20),IF(FS47-FR48&lt;0,0,FS47-FR48),
IF(AND(FR48&lt;VLOOKUP($C46,$C$3:$D$15,2,FALSE)*FS$20,FS47&gt;VLOOKUP($C46,$C$3:$D$15,2,FALSE)*FS$20),VLOOKUP($C46,$C$3:$D$15,2,FALSE)*FS$20-FR48)))</f>
        <v>0</v>
      </c>
      <c r="FT46" s="762">
        <f t="shared" ref="FT46" si="1696" xml:space="preserve">
IF(FS48&gt;=VLOOKUP($C46,$C$3:$D$15,2,FALSE)*FT$20,0,
IF(AND(FS48&lt;VLOOKUP($C46,$C$3:$D$15,2,FALSE)*FT$20,FT47&lt;=VLOOKUP($C46,$C$3:$D$15,2,FALSE)*FT$20),IF(FT47-FS48&lt;0,0,FT47-FS48),
IF(AND(FS48&lt;VLOOKUP($C46,$C$3:$D$15,2,FALSE)*FT$20,FT47&gt;VLOOKUP($C46,$C$3:$D$15,2,FALSE)*FT$20),VLOOKUP($C46,$C$3:$D$15,2,FALSE)*FT$20-FS48)))</f>
        <v>0</v>
      </c>
      <c r="FU46" s="762">
        <f t="shared" ref="FU46" si="1697" xml:space="preserve">
IF(FT48&gt;=VLOOKUP($C46,$C$3:$D$15,2,FALSE)*FU$20,0,
IF(AND(FT48&lt;VLOOKUP($C46,$C$3:$D$15,2,FALSE)*FU$20,FU47&lt;=VLOOKUP($C46,$C$3:$D$15,2,FALSE)*FU$20),IF(FU47-FT48&lt;0,0,FU47-FT48),
IF(AND(FT48&lt;VLOOKUP($C46,$C$3:$D$15,2,FALSE)*FU$20,FU47&gt;VLOOKUP($C46,$C$3:$D$15,2,FALSE)*FU$20),VLOOKUP($C46,$C$3:$D$15,2,FALSE)*FU$20-FT48)))</f>
        <v>0</v>
      </c>
      <c r="FV46" s="762">
        <f t="shared" ref="FV46" si="1698" xml:space="preserve">
IF(FU48&gt;=VLOOKUP($C46,$C$3:$D$15,2,FALSE)*FV$20,0,
IF(AND(FU48&lt;VLOOKUP($C46,$C$3:$D$15,2,FALSE)*FV$20,FV47&lt;=VLOOKUP($C46,$C$3:$D$15,2,FALSE)*FV$20),IF(FV47-FU48&lt;0,0,FV47-FU48),
IF(AND(FU48&lt;VLOOKUP($C46,$C$3:$D$15,2,FALSE)*FV$20,FV47&gt;VLOOKUP($C46,$C$3:$D$15,2,FALSE)*FV$20),VLOOKUP($C46,$C$3:$D$15,2,FALSE)*FV$20-FU48)))</f>
        <v>0</v>
      </c>
      <c r="FW46" s="762">
        <f t="shared" ref="FW46" si="1699" xml:space="preserve">
IF(FV48&gt;=VLOOKUP($C46,$C$3:$D$15,2,FALSE)*FW$20,0,
IF(AND(FV48&lt;VLOOKUP($C46,$C$3:$D$15,2,FALSE)*FW$20,FW47&lt;=VLOOKUP($C46,$C$3:$D$15,2,FALSE)*FW$20),IF(FW47-FV48&lt;0,0,FW47-FV48),
IF(AND(FV48&lt;VLOOKUP($C46,$C$3:$D$15,2,FALSE)*FW$20,FW47&gt;VLOOKUP($C46,$C$3:$D$15,2,FALSE)*FW$20),VLOOKUP($C46,$C$3:$D$15,2,FALSE)*FW$20-FV48)))</f>
        <v>0</v>
      </c>
      <c r="FX46" s="762">
        <f t="shared" ref="FX46" si="1700" xml:space="preserve">
IF(FW48&gt;=VLOOKUP($C46,$C$3:$D$15,2,FALSE)*FX$20,0,
IF(AND(FW48&lt;VLOOKUP($C46,$C$3:$D$15,2,FALSE)*FX$20,FX47&lt;=VLOOKUP($C46,$C$3:$D$15,2,FALSE)*FX$20),IF(FX47-FW48&lt;0,0,FX47-FW48),
IF(AND(FW48&lt;VLOOKUP($C46,$C$3:$D$15,2,FALSE)*FX$20,FX47&gt;VLOOKUP($C46,$C$3:$D$15,2,FALSE)*FX$20),VLOOKUP($C46,$C$3:$D$15,2,FALSE)*FX$20-FW48)))</f>
        <v>0</v>
      </c>
      <c r="FY46" s="762">
        <f t="shared" ref="FY46" si="1701" xml:space="preserve">
IF(FX48&gt;=VLOOKUP($C46,$C$3:$D$15,2,FALSE)*FY$20,0,
IF(AND(FX48&lt;VLOOKUP($C46,$C$3:$D$15,2,FALSE)*FY$20,FY47&lt;=VLOOKUP($C46,$C$3:$D$15,2,FALSE)*FY$20),IF(FY47-FX48&lt;0,0,FY47-FX48),
IF(AND(FX48&lt;VLOOKUP($C46,$C$3:$D$15,2,FALSE)*FY$20,FY47&gt;VLOOKUP($C46,$C$3:$D$15,2,FALSE)*FY$20),VLOOKUP($C46,$C$3:$D$15,2,FALSE)*FY$20-FX48)))</f>
        <v>0</v>
      </c>
      <c r="FZ46" s="762">
        <f t="shared" ref="FZ46" si="1702" xml:space="preserve">
IF(FY48&gt;=VLOOKUP($C46,$C$3:$D$15,2,FALSE)*FZ$20,0,
IF(AND(FY48&lt;VLOOKUP($C46,$C$3:$D$15,2,FALSE)*FZ$20,FZ47&lt;=VLOOKUP($C46,$C$3:$D$15,2,FALSE)*FZ$20),IF(FZ47-FY48&lt;0,0,FZ47-FY48),
IF(AND(FY48&lt;VLOOKUP($C46,$C$3:$D$15,2,FALSE)*FZ$20,FZ47&gt;VLOOKUP($C46,$C$3:$D$15,2,FALSE)*FZ$20),VLOOKUP($C46,$C$3:$D$15,2,FALSE)*FZ$20-FY48)))</f>
        <v>0</v>
      </c>
      <c r="GA46" s="762">
        <f t="shared" ref="GA46" si="1703" xml:space="preserve">
IF(FZ48&gt;=VLOOKUP($C46,$C$3:$D$15,2,FALSE)*GA$20,0,
IF(AND(FZ48&lt;VLOOKUP($C46,$C$3:$D$15,2,FALSE)*GA$20,GA47&lt;=VLOOKUP($C46,$C$3:$D$15,2,FALSE)*GA$20),IF(GA47-FZ48&lt;0,0,GA47-FZ48),
IF(AND(FZ48&lt;VLOOKUP($C46,$C$3:$D$15,2,FALSE)*GA$20,GA47&gt;VLOOKUP($C46,$C$3:$D$15,2,FALSE)*GA$20),VLOOKUP($C46,$C$3:$D$15,2,FALSE)*GA$20-FZ48)))</f>
        <v>0</v>
      </c>
      <c r="GB46" s="762">
        <f t="shared" ref="GB46" si="1704" xml:space="preserve">
IF(GA48&gt;=VLOOKUP($C46,$C$3:$D$15,2,FALSE)*GB$20,0,
IF(AND(GA48&lt;VLOOKUP($C46,$C$3:$D$15,2,FALSE)*GB$20,GB47&lt;=VLOOKUP($C46,$C$3:$D$15,2,FALSE)*GB$20),IF(GB47-GA48&lt;0,0,GB47-GA48),
IF(AND(GA48&lt;VLOOKUP($C46,$C$3:$D$15,2,FALSE)*GB$20,GB47&gt;VLOOKUP($C46,$C$3:$D$15,2,FALSE)*GB$20),VLOOKUP($C46,$C$3:$D$15,2,FALSE)*GB$20-GA48)))</f>
        <v>0</v>
      </c>
      <c r="GC46" s="762">
        <f t="shared" ref="GC46" si="1705" xml:space="preserve">
IF(GB48&gt;=VLOOKUP($C46,$C$3:$D$15,2,FALSE)*GC$20,0,
IF(AND(GB48&lt;VLOOKUP($C46,$C$3:$D$15,2,FALSE)*GC$20,GC47&lt;=VLOOKUP($C46,$C$3:$D$15,2,FALSE)*GC$20),IF(GC47-GB48&lt;0,0,GC47-GB48),
IF(AND(GB48&lt;VLOOKUP($C46,$C$3:$D$15,2,FALSE)*GC$20,GC47&gt;VLOOKUP($C46,$C$3:$D$15,2,FALSE)*GC$20),VLOOKUP($C46,$C$3:$D$15,2,FALSE)*GC$20-GB48)))</f>
        <v>0</v>
      </c>
      <c r="GD46" s="762">
        <f t="shared" ref="GD46" si="1706" xml:space="preserve">
IF(GC48&gt;=VLOOKUP($C46,$C$3:$D$15,2,FALSE)*GD$20,0,
IF(AND(GC48&lt;VLOOKUP($C46,$C$3:$D$15,2,FALSE)*GD$20,GD47&lt;=VLOOKUP($C46,$C$3:$D$15,2,FALSE)*GD$20),IF(GD47-GC48&lt;0,0,GD47-GC48),
IF(AND(GC48&lt;VLOOKUP($C46,$C$3:$D$15,2,FALSE)*GD$20,GD47&gt;VLOOKUP($C46,$C$3:$D$15,2,FALSE)*GD$20),VLOOKUP($C46,$C$3:$D$15,2,FALSE)*GD$20-GC48)))</f>
        <v>0</v>
      </c>
      <c r="GE46" s="762">
        <f t="shared" ref="GE46" si="1707" xml:space="preserve">
IF(GD48&gt;=VLOOKUP($C46,$C$3:$D$15,2,FALSE)*GE$20,0,
IF(AND(GD48&lt;VLOOKUP($C46,$C$3:$D$15,2,FALSE)*GE$20,GE47&lt;=VLOOKUP($C46,$C$3:$D$15,2,FALSE)*GE$20),IF(GE47-GD48&lt;0,0,GE47-GD48),
IF(AND(GD48&lt;VLOOKUP($C46,$C$3:$D$15,2,FALSE)*GE$20,GE47&gt;VLOOKUP($C46,$C$3:$D$15,2,FALSE)*GE$20),VLOOKUP($C46,$C$3:$D$15,2,FALSE)*GE$20-GD48)))</f>
        <v>0</v>
      </c>
      <c r="GF46" s="762">
        <f t="shared" ref="GF46" si="1708" xml:space="preserve">
IF(GE48&gt;=VLOOKUP($C46,$C$3:$D$15,2,FALSE)*GF$20,0,
IF(AND(GE48&lt;VLOOKUP($C46,$C$3:$D$15,2,FALSE)*GF$20,GF47&lt;=VLOOKUP($C46,$C$3:$D$15,2,FALSE)*GF$20),IF(GF47-GE48&lt;0,0,GF47-GE48),
IF(AND(GE48&lt;VLOOKUP($C46,$C$3:$D$15,2,FALSE)*GF$20,GF47&gt;VLOOKUP($C46,$C$3:$D$15,2,FALSE)*GF$20),VLOOKUP($C46,$C$3:$D$15,2,FALSE)*GF$20-GE48)))</f>
        <v>0</v>
      </c>
      <c r="GG46" s="762">
        <f t="shared" ref="GG46" si="1709" xml:space="preserve">
IF(GF48&gt;=VLOOKUP($C46,$C$3:$D$15,2,FALSE)*GG$20,0,
IF(AND(GF48&lt;VLOOKUP($C46,$C$3:$D$15,2,FALSE)*GG$20,GG47&lt;=VLOOKUP($C46,$C$3:$D$15,2,FALSE)*GG$20),IF(GG47-GF48&lt;0,0,GG47-GF48),
IF(AND(GF48&lt;VLOOKUP($C46,$C$3:$D$15,2,FALSE)*GG$20,GG47&gt;VLOOKUP($C46,$C$3:$D$15,2,FALSE)*GG$20),VLOOKUP($C46,$C$3:$D$15,2,FALSE)*GG$20-GF48)))</f>
        <v>0</v>
      </c>
      <c r="GH46" s="762">
        <f t="shared" ref="GH46" si="1710" xml:space="preserve">
IF(GG48&gt;=VLOOKUP($C46,$C$3:$D$15,2,FALSE)*GH$20,0,
IF(AND(GG48&lt;VLOOKUP($C46,$C$3:$D$15,2,FALSE)*GH$20,GH47&lt;=VLOOKUP($C46,$C$3:$D$15,2,FALSE)*GH$20),IF(GH47-GG48&lt;0,0,GH47-GG48),
IF(AND(GG48&lt;VLOOKUP($C46,$C$3:$D$15,2,FALSE)*GH$20,GH47&gt;VLOOKUP($C46,$C$3:$D$15,2,FALSE)*GH$20),VLOOKUP($C46,$C$3:$D$15,2,FALSE)*GH$20-GG48)))</f>
        <v>0</v>
      </c>
      <c r="GI46" s="762">
        <f t="shared" ref="GI46" si="1711" xml:space="preserve">
IF(GH48&gt;=VLOOKUP($C46,$C$3:$D$15,2,FALSE)*GI$20,0,
IF(AND(GH48&lt;VLOOKUP($C46,$C$3:$D$15,2,FALSE)*GI$20,GI47&lt;=VLOOKUP($C46,$C$3:$D$15,2,FALSE)*GI$20),IF(GI47-GH48&lt;0,0,GI47-GH48),
IF(AND(GH48&lt;VLOOKUP($C46,$C$3:$D$15,2,FALSE)*GI$20,GI47&gt;VLOOKUP($C46,$C$3:$D$15,2,FALSE)*GI$20),VLOOKUP($C46,$C$3:$D$15,2,FALSE)*GI$20-GH48)))</f>
        <v>0</v>
      </c>
      <c r="GJ46" s="762">
        <f t="shared" ref="GJ46" si="1712" xml:space="preserve">
IF(GI48&gt;=VLOOKUP($C46,$C$3:$D$15,2,FALSE)*GJ$20,0,
IF(AND(GI48&lt;VLOOKUP($C46,$C$3:$D$15,2,FALSE)*GJ$20,GJ47&lt;=VLOOKUP($C46,$C$3:$D$15,2,FALSE)*GJ$20),IF(GJ47-GI48&lt;0,0,GJ47-GI48),
IF(AND(GI48&lt;VLOOKUP($C46,$C$3:$D$15,2,FALSE)*GJ$20,GJ47&gt;VLOOKUP($C46,$C$3:$D$15,2,FALSE)*GJ$20),VLOOKUP($C46,$C$3:$D$15,2,FALSE)*GJ$20-GI48)))</f>
        <v>0</v>
      </c>
    </row>
    <row r="47" spans="2:192" s="632" customFormat="1">
      <c r="B47" s="633"/>
      <c r="C47" s="625"/>
      <c r="D47" s="701" t="s">
        <v>1424</v>
      </c>
      <c r="E47" s="706"/>
      <c r="F47" s="653"/>
      <c r="G47" s="762">
        <f>SUMIF(防護具!$Y$30:$Y$212,G$17&amp;$C46,防護具!$Q$30:$Q$212)</f>
        <v>0</v>
      </c>
      <c r="H47" s="762">
        <f>IFERROR(
SUM(G47,SUMIF(防護具!$Y$30:$Y$212,H$17&amp;$C46,防護具!$Q$30:$Q$212))-G46,0)</f>
        <v>0</v>
      </c>
      <c r="I47" s="762">
        <f>IFERROR(
SUM(H47,SUMIF(防護具!$Y$30:$Y$212,I$17&amp;$C46,防護具!$Q$30:$Q$212))-H46,0)</f>
        <v>0</v>
      </c>
      <c r="J47" s="762">
        <f>IFERROR(
SUM(I47,SUMIF(防護具!$Y$30:$Y$212,J$17&amp;$C46,防護具!$Q$30:$Q$212))-I46,0)</f>
        <v>0</v>
      </c>
      <c r="K47" s="762">
        <f>IFERROR(
SUM(J47,SUMIF(防護具!$Y$30:$Y$212,K$17&amp;$C46,防護具!$Q$30:$Q$212))-J46,0)</f>
        <v>0</v>
      </c>
      <c r="L47" s="762">
        <f>IFERROR(
SUM(K47,SUMIF(防護具!$Y$30:$Y$212,L$17&amp;$C46,防護具!$Q$30:$Q$212))-K46,0)</f>
        <v>0</v>
      </c>
      <c r="M47" s="762">
        <f>IFERROR(
SUM(L47,SUMIF(防護具!$Y$30:$Y$212,M$17&amp;$C46,防護具!$Q$30:$Q$212))-L46,0)</f>
        <v>0</v>
      </c>
      <c r="N47" s="762">
        <f>IFERROR(
SUM(M47,SUMIF(防護具!$Y$30:$Y$212,N$17&amp;$C46,防護具!$Q$30:$Q$212))-M46,0)</f>
        <v>0</v>
      </c>
      <c r="O47" s="762">
        <f>IFERROR(
SUM(N47,SUMIF(防護具!$Y$30:$Y$212,O$17&amp;$C46,防護具!$Q$30:$Q$212))-N46,0)</f>
        <v>0</v>
      </c>
      <c r="P47" s="762">
        <f>IFERROR(
SUM(O47,SUMIF(防護具!$Y$30:$Y$212,P$17&amp;$C46,防護具!$Q$30:$Q$212))-O46,0)</f>
        <v>0</v>
      </c>
      <c r="Q47" s="762">
        <f>IFERROR(
SUM(P47,SUMIF(防護具!$Y$30:$Y$212,Q$17&amp;$C46,防護具!$Q$30:$Q$212))-P46,0)</f>
        <v>0</v>
      </c>
      <c r="R47" s="762">
        <f>IFERROR(
SUM(Q47,SUMIF(防護具!$Y$30:$Y$212,R$17&amp;$C46,防護具!$Q$30:$Q$212))-Q46,0)</f>
        <v>0</v>
      </c>
      <c r="S47" s="762">
        <f>IFERROR(
SUM(R47,SUMIF(防護具!$Y$30:$Y$212,S$17&amp;$C46,防護具!$Q$30:$Q$212))-R46,0)</f>
        <v>0</v>
      </c>
      <c r="T47" s="762">
        <f>IFERROR(
SUM(S47,SUMIF(防護具!$Y$30:$Y$212,T$17&amp;$C46,防護具!$Q$30:$Q$212))-S46,0)</f>
        <v>0</v>
      </c>
      <c r="U47" s="762">
        <f>IFERROR(
SUM(T47,SUMIF(防護具!$Y$30:$Y$212,U$17&amp;$C46,防護具!$Q$30:$Q$212))-T46,0)</f>
        <v>0</v>
      </c>
      <c r="V47" s="762">
        <f>IFERROR(
SUM(U47,SUMIF(防護具!$Y$30:$Y$212,V$17&amp;$C46,防護具!$Q$30:$Q$212))-U46,0)</f>
        <v>0</v>
      </c>
      <c r="W47" s="762">
        <f>IFERROR(
SUM(V47,SUMIF(防護具!$Y$30:$Y$212,W$17&amp;$C46,防護具!$Q$30:$Q$212))-V46,0)</f>
        <v>0</v>
      </c>
      <c r="X47" s="762">
        <f>IFERROR(
SUM(W47,SUMIF(防護具!$Y$30:$Y$212,X$17&amp;$C46,防護具!$Q$30:$Q$212))-W46,0)</f>
        <v>0</v>
      </c>
      <c r="Y47" s="762">
        <f>IFERROR(
SUM(X47,SUMIF(防護具!$Y$30:$Y$212,Y$17&amp;$C46,防護具!$Q$30:$Q$212))-X46,0)</f>
        <v>0</v>
      </c>
      <c r="Z47" s="762">
        <f>IFERROR(
SUM(Y47,SUMIF(防護具!$Y$30:$Y$212,Z$17&amp;$C46,防護具!$Q$30:$Q$212))-Y46,0)</f>
        <v>0</v>
      </c>
      <c r="AA47" s="762">
        <f>IFERROR(
SUM(Z47,SUMIF(防護具!$Y$30:$Y$212,AA$17&amp;$C46,防護具!$Q$30:$Q$212))-Z46,0)</f>
        <v>0</v>
      </c>
      <c r="AB47" s="762">
        <f>IFERROR(
SUM(AA47,SUMIF(防護具!$Y$30:$Y$212,AB$17&amp;$C46,防護具!$Q$30:$Q$212))-AA46,0)</f>
        <v>0</v>
      </c>
      <c r="AC47" s="762">
        <f>IFERROR(
SUM(AB47,SUMIF(防護具!$Y$30:$Y$212,AC$17&amp;$C46,防護具!$Q$30:$Q$212))-AB46,0)</f>
        <v>0</v>
      </c>
      <c r="AD47" s="762">
        <f>IFERROR(
SUM(AC47,SUMIF(防護具!$Y$30:$Y$212,AD$17&amp;$C46,防護具!$Q$30:$Q$212))-AC46,0)</f>
        <v>0</v>
      </c>
      <c r="AE47" s="762">
        <f>IFERROR(
SUM(AD47,SUMIF(防護具!$Y$30:$Y$212,AE$17&amp;$C46,防護具!$Q$30:$Q$212))-AD46,0)</f>
        <v>0</v>
      </c>
      <c r="AF47" s="762">
        <f>IFERROR(
SUM(AE47,SUMIF(防護具!$Y$30:$Y$212,AF$17&amp;$C46,防護具!$Q$30:$Q$212))-AE46,0)</f>
        <v>0</v>
      </c>
      <c r="AG47" s="762">
        <f>IFERROR(
SUM(AF47,SUMIF(防護具!$Y$30:$Y$212,AG$17&amp;$C46,防護具!$Q$30:$Q$212))-AF46,0)</f>
        <v>0</v>
      </c>
      <c r="AH47" s="762">
        <f>IFERROR(
SUM(AG47,SUMIF(防護具!$Y$30:$Y$212,AH$17&amp;$C46,防護具!$Q$30:$Q$212))-AG46,0)</f>
        <v>0</v>
      </c>
      <c r="AI47" s="762">
        <f>IFERROR(
SUM(AH47,SUMIF(防護具!$Y$30:$Y$212,AI$17&amp;$C46,防護具!$Q$30:$Q$212))-AH46,0)</f>
        <v>0</v>
      </c>
      <c r="AJ47" s="762">
        <f>IFERROR(
SUM(AI47,SUMIF(防護具!$Y$30:$Y$212,AJ$17&amp;$C46,防護具!$Q$30:$Q$212))-AI46,0)</f>
        <v>0</v>
      </c>
      <c r="AK47" s="762">
        <f>IFERROR(
SUM(AJ47,SUMIF(防護具!$Y$30:$Y$212,AK$17&amp;$C46,防護具!$Q$30:$Q$212))-AJ46,0)</f>
        <v>0</v>
      </c>
      <c r="AL47" s="762">
        <f>IFERROR(
SUM(AK47,SUMIF(防護具!$Y$30:$Y$212,AL$17&amp;$C46,防護具!$Q$30:$Q$212))-AK46,0)</f>
        <v>0</v>
      </c>
      <c r="AM47" s="762">
        <f>IFERROR(
SUM(AL47,SUMIF(防護具!$Y$30:$Y$212,AM$17&amp;$C46,防護具!$Q$30:$Q$212))-AL46,0)</f>
        <v>0</v>
      </c>
      <c r="AN47" s="762">
        <f>IFERROR(
SUM(AM47,SUMIF(防護具!$Y$30:$Y$212,AN$17&amp;$C46,防護具!$Q$30:$Q$212))-AM46,0)</f>
        <v>0</v>
      </c>
      <c r="AO47" s="762">
        <f>IFERROR(
SUM(AN47,SUMIF(防護具!$Y$30:$Y$212,AO$17&amp;$C46,防護具!$Q$30:$Q$212))-AN46,0)</f>
        <v>0</v>
      </c>
      <c r="AP47" s="762">
        <f>IFERROR(
SUM(AO47,SUMIF(防護具!$Y$30:$Y$212,AP$17&amp;$C46,防護具!$Q$30:$Q$212))-AO46,0)</f>
        <v>0</v>
      </c>
      <c r="AQ47" s="762">
        <f>IFERROR(
SUM(AP47,SUMIF(防護具!$Y$30:$Y$212,AQ$17&amp;$C46,防護具!$Q$30:$Q$212))-AP46,0)</f>
        <v>0</v>
      </c>
      <c r="AR47" s="762">
        <f>IFERROR(
SUM(AQ47,SUMIF(防護具!$Y$30:$Y$212,AR$17&amp;$C46,防護具!$Q$30:$Q$212))-AQ46,0)</f>
        <v>0</v>
      </c>
      <c r="AS47" s="762">
        <f>IFERROR(
SUM(AR47,SUMIF(防護具!$Y$30:$Y$212,AS$17&amp;$C46,防護具!$Q$30:$Q$212))-AR46,0)</f>
        <v>0</v>
      </c>
      <c r="AT47" s="762">
        <f>IFERROR(
SUM(AS47,SUMIF(防護具!$Y$30:$Y$212,AT$17&amp;$C46,防護具!$Q$30:$Q$212))-AS46,0)</f>
        <v>0</v>
      </c>
      <c r="AU47" s="762">
        <f>IFERROR(
SUM(AT47,SUMIF(防護具!$Y$30:$Y$212,AU$17&amp;$C46,防護具!$Q$30:$Q$212))-AT46,0)</f>
        <v>0</v>
      </c>
      <c r="AV47" s="762">
        <f>IFERROR(
SUM(AU47,SUMIF(防護具!$Y$30:$Y$212,AV$17&amp;$C46,防護具!$Q$30:$Q$212))-AU46,0)</f>
        <v>0</v>
      </c>
      <c r="AW47" s="762">
        <f>IFERROR(
SUM(AV47,SUMIF(防護具!$Y$30:$Y$212,AW$17&amp;$C46,防護具!$Q$30:$Q$212))-AV46,0)</f>
        <v>0</v>
      </c>
      <c r="AX47" s="762">
        <f>IFERROR(
SUM(AW47,SUMIF(防護具!$Y$30:$Y$212,AX$17&amp;$C46,防護具!$Q$30:$Q$212))-AW46,0)</f>
        <v>0</v>
      </c>
      <c r="AY47" s="762">
        <f>IFERROR(
SUM(AX47,SUMIF(防護具!$Y$30:$Y$212,AY$17&amp;$C46,防護具!$Q$30:$Q$212))-AX46,0)</f>
        <v>0</v>
      </c>
      <c r="AZ47" s="762">
        <f>IFERROR(
SUM(AY47,SUMIF(防護具!$Y$30:$Y$212,AZ$17&amp;$C46,防護具!$Q$30:$Q$212))-AY46,0)</f>
        <v>0</v>
      </c>
      <c r="BA47" s="762">
        <f>IFERROR(
SUM(AZ47,SUMIF(防護具!$Y$30:$Y$212,BA$17&amp;$C46,防護具!$Q$30:$Q$212))-AZ46,0)</f>
        <v>0</v>
      </c>
      <c r="BB47" s="762">
        <f>IFERROR(
SUM(BA47,SUMIF(防護具!$Y$30:$Y$212,BB$17&amp;$C46,防護具!$Q$30:$Q$212))-BA46,0)</f>
        <v>0</v>
      </c>
      <c r="BC47" s="762">
        <f>IFERROR(
SUM(BB47,SUMIF(防護具!$Y$30:$Y$212,BC$17&amp;$C46,防護具!$Q$30:$Q$212))-BB46,0)</f>
        <v>0</v>
      </c>
      <c r="BD47" s="762">
        <f>IFERROR(
SUM(BC47,SUMIF(防護具!$Y$30:$Y$212,BD$17&amp;$C46,防護具!$Q$30:$Q$212))-BC46,0)</f>
        <v>0</v>
      </c>
      <c r="BE47" s="762">
        <f>IFERROR(
SUM(BD47,SUMIF(防護具!$Y$30:$Y$212,BE$17&amp;$C46,防護具!$Q$30:$Q$212))-BD46,0)</f>
        <v>0</v>
      </c>
      <c r="BF47" s="762">
        <f>IFERROR(
SUM(BE47,SUMIF(防護具!$Y$30:$Y$212,BF$17&amp;$C46,防護具!$Q$30:$Q$212))-BE46,0)</f>
        <v>0</v>
      </c>
      <c r="BG47" s="762">
        <f>IFERROR(
SUM(BF47,SUMIF(防護具!$Y$30:$Y$212,BG$17&amp;$C46,防護具!$Q$30:$Q$212))-BF46,0)</f>
        <v>0</v>
      </c>
      <c r="BH47" s="762">
        <f>IFERROR(
SUM(BG47,SUMIF(防護具!$Y$30:$Y$212,BH$17&amp;$C46,防護具!$Q$30:$Q$212))-BG46,0)</f>
        <v>0</v>
      </c>
      <c r="BI47" s="762">
        <f>IFERROR(
SUM(BH47,SUMIF(防護具!$Y$30:$Y$212,BI$17&amp;$C46,防護具!$Q$30:$Q$212))-BH46,0)</f>
        <v>0</v>
      </c>
      <c r="BJ47" s="762">
        <f>IFERROR(
SUM(BI47,SUMIF(防護具!$Y$30:$Y$212,BJ$17&amp;$C46,防護具!$Q$30:$Q$212))-BI46,0)</f>
        <v>0</v>
      </c>
      <c r="BK47" s="762">
        <f>IFERROR(
SUM(BJ47,SUMIF(防護具!$Y$30:$Y$212,BK$17&amp;$C46,防護具!$Q$30:$Q$212))-BJ46,0)</f>
        <v>0</v>
      </c>
      <c r="BL47" s="762">
        <f>IFERROR(
SUM(BK47,SUMIF(防護具!$Y$30:$Y$212,BL$17&amp;$C46,防護具!$Q$30:$Q$212))-BK46,0)</f>
        <v>0</v>
      </c>
      <c r="BM47" s="762">
        <f>IFERROR(
SUM(BL47,SUMIF(防護具!$Y$30:$Y$212,BM$17&amp;$C46,防護具!$Q$30:$Q$212))-BL46,0)</f>
        <v>0</v>
      </c>
      <c r="BN47" s="762">
        <f>IFERROR(
SUM(BM47,SUMIF(防護具!$Y$30:$Y$212,BN$17&amp;$C46,防護具!$Q$30:$Q$212))-BM46,0)</f>
        <v>0</v>
      </c>
      <c r="BO47" s="762">
        <f>IFERROR(
SUM(BN47,SUMIF(防護具!$Y$30:$Y$212,BO$17&amp;$C46,防護具!$Q$30:$Q$212))-BN46,0)</f>
        <v>0</v>
      </c>
      <c r="BP47" s="762">
        <f>IFERROR(
SUM(BO47,SUMIF(防護具!$Y$30:$Y$212,BP$17&amp;$C46,防護具!$Q$30:$Q$212))-BO46,0)</f>
        <v>0</v>
      </c>
      <c r="BQ47" s="762">
        <f>IFERROR(
SUM(BP47,SUMIF(防護具!$Y$30:$Y$212,BQ$17&amp;$C46,防護具!$Q$30:$Q$212))-BP46,0)</f>
        <v>0</v>
      </c>
      <c r="BR47" s="762">
        <f>IFERROR(
SUM(BQ47,SUMIF(防護具!$Y$30:$Y$212,BR$17&amp;$C46,防護具!$Q$30:$Q$212))-BQ46,0)</f>
        <v>0</v>
      </c>
      <c r="BS47" s="762">
        <f>IFERROR(
SUM(BR47,SUMIF(防護具!$Y$30:$Y$212,BS$17&amp;$C46,防護具!$Q$30:$Q$212))-BR46,0)</f>
        <v>0</v>
      </c>
      <c r="BT47" s="762">
        <f>IFERROR(
SUM(BS47,SUMIF(防護具!$Y$30:$Y$212,BT$17&amp;$C46,防護具!$Q$30:$Q$212))-BS46,0)</f>
        <v>0</v>
      </c>
      <c r="BU47" s="762">
        <f>IFERROR(
SUM(BT47,SUMIF(防護具!$Y$30:$Y$212,BU$17&amp;$C46,防護具!$Q$30:$Q$212))-BT46,0)</f>
        <v>0</v>
      </c>
      <c r="BV47" s="762">
        <f>IFERROR(
SUM(BU47,SUMIF(防護具!$Y$30:$Y$212,BV$17&amp;$C46,防護具!$Q$30:$Q$212))-BU46,0)</f>
        <v>0</v>
      </c>
      <c r="BW47" s="762">
        <f>IFERROR(
SUM(BV47,SUMIF(防護具!$Y$30:$Y$212,BW$17&amp;$C46,防護具!$Q$30:$Q$212))-BV46,0)</f>
        <v>0</v>
      </c>
      <c r="BX47" s="762">
        <f>IFERROR(
SUM(BW47,SUMIF(防護具!$Y$30:$Y$212,BX$17&amp;$C46,防護具!$Q$30:$Q$212))-BW46,0)</f>
        <v>0</v>
      </c>
      <c r="BY47" s="762">
        <f>IFERROR(
SUM(BX47,SUMIF(防護具!$Y$30:$Y$212,BY$17&amp;$C46,防護具!$Q$30:$Q$212))-BX46,0)</f>
        <v>0</v>
      </c>
      <c r="BZ47" s="762">
        <f>IFERROR(
SUM(BY47,SUMIF(防護具!$Y$30:$Y$212,BZ$17&amp;$C46,防護具!$Q$30:$Q$212))-BY46,0)</f>
        <v>0</v>
      </c>
      <c r="CA47" s="762">
        <f>IFERROR(
SUM(BZ47,SUMIF(防護具!$Y$30:$Y$212,CA$17&amp;$C46,防護具!$Q$30:$Q$212))-BZ46,0)</f>
        <v>0</v>
      </c>
      <c r="CB47" s="762">
        <f>IFERROR(
SUM(CA47,SUMIF(防護具!$Y$30:$Y$212,CB$17&amp;$C46,防護具!$Q$30:$Q$212))-CA46,0)</f>
        <v>0</v>
      </c>
      <c r="CC47" s="762">
        <f>IFERROR(
SUM(CB47,SUMIF(防護具!$Y$30:$Y$212,CC$17&amp;$C46,防護具!$Q$30:$Q$212))-CB46,0)</f>
        <v>0</v>
      </c>
      <c r="CD47" s="762">
        <f>IFERROR(
SUM(CC47,SUMIF(防護具!$Y$30:$Y$212,CD$17&amp;$C46,防護具!$Q$30:$Q$212))-CC46,0)</f>
        <v>0</v>
      </c>
      <c r="CE47" s="762">
        <f>IFERROR(
SUM(CD47,SUMIF(防護具!$Y$30:$Y$212,CE$17&amp;$C46,防護具!$Q$30:$Q$212))-CD46,0)</f>
        <v>0</v>
      </c>
      <c r="CF47" s="762">
        <f>IFERROR(
SUM(CE47,SUMIF(防護具!$Y$30:$Y$212,CF$17&amp;$C46,防護具!$Q$30:$Q$212))-CE46,0)</f>
        <v>0</v>
      </c>
      <c r="CG47" s="762">
        <f>IFERROR(
SUM(CF47,SUMIF(防護具!$Y$30:$Y$212,CG$17&amp;$C46,防護具!$Q$30:$Q$212))-CF46,0)</f>
        <v>0</v>
      </c>
      <c r="CH47" s="762">
        <f>IFERROR(
SUM(CG47,SUMIF(防護具!$Y$30:$Y$212,CH$17&amp;$C46,防護具!$Q$30:$Q$212))-CG46,0)</f>
        <v>0</v>
      </c>
      <c r="CI47" s="762">
        <f>IFERROR(
SUM(CH47,SUMIF(防護具!$Y$30:$Y$212,CI$17&amp;$C46,防護具!$Q$30:$Q$212))-CH46,0)</f>
        <v>0</v>
      </c>
      <c r="CJ47" s="762">
        <f>IFERROR(
SUM(CI47,SUMIF(防護具!$Y$30:$Y$212,CJ$17&amp;$C46,防護具!$Q$30:$Q$212))-CI46,0)</f>
        <v>0</v>
      </c>
      <c r="CK47" s="762">
        <f>IFERROR(
SUM(CJ47,SUMIF(防護具!$Y$30:$Y$212,CK$17&amp;$C46,防護具!$Q$30:$Q$212))-CJ46,0)</f>
        <v>0</v>
      </c>
      <c r="CL47" s="762">
        <f>IFERROR(
SUM(CK47,SUMIF(防護具!$Y$30:$Y$212,CL$17&amp;$C46,防護具!$Q$30:$Q$212))-CK46,0)</f>
        <v>0</v>
      </c>
      <c r="CM47" s="762">
        <f>IFERROR(
SUM(CL47,SUMIF(防護具!$Y$30:$Y$212,CM$17&amp;$C46,防護具!$Q$30:$Q$212))-CL46,0)</f>
        <v>0</v>
      </c>
      <c r="CN47" s="762">
        <f>IFERROR(
SUM(CM47,SUMIF(防護具!$Y$30:$Y$212,CN$17&amp;$C46,防護具!$Q$30:$Q$212))-CM46,0)</f>
        <v>0</v>
      </c>
      <c r="CO47" s="762">
        <f>IFERROR(
SUM(CN47,SUMIF(防護具!$Y$30:$Y$212,CO$17&amp;$C46,防護具!$Q$30:$Q$212))-CN46,0)</f>
        <v>0</v>
      </c>
      <c r="CP47" s="762">
        <f>IFERROR(
SUM(CO47,SUMIF(防護具!$Y$30:$Y$212,CP$17&amp;$C46,防護具!$Q$30:$Q$212))-CO46,0)</f>
        <v>0</v>
      </c>
      <c r="CQ47" s="762">
        <f>IFERROR(
SUM(CP47,SUMIF(防護具!$Y$30:$Y$212,CQ$17&amp;$C46,防護具!$Q$30:$Q$212))-CP46,0)</f>
        <v>0</v>
      </c>
      <c r="CR47" s="762">
        <f>IFERROR(
SUM(CQ47,SUMIF(防護具!$Y$30:$Y$212,CR$17&amp;$C46,防護具!$Q$30:$Q$212))-CQ46,0)</f>
        <v>0</v>
      </c>
      <c r="CS47" s="762">
        <f>IFERROR(
SUM(CR47,SUMIF(防護具!$Y$30:$Y$212,CS$17&amp;$C46,防護具!$Q$30:$Q$212))-CR46,0)</f>
        <v>0</v>
      </c>
      <c r="CT47" s="762">
        <f>IFERROR(
SUM(CS47,SUMIF(防護具!$Y$30:$Y$212,CT$17&amp;$C46,防護具!$Q$30:$Q$212))-CS46,0)</f>
        <v>0</v>
      </c>
      <c r="CU47" s="762">
        <f>IFERROR(
SUM(CT47,SUMIF(防護具!$Y$30:$Y$212,CU$17&amp;$C46,防護具!$Q$30:$Q$212))-CT46,0)</f>
        <v>0</v>
      </c>
      <c r="CV47" s="762">
        <f>IFERROR(
SUM(CU47,SUMIF(防護具!$Y$30:$Y$212,CV$17&amp;$C46,防護具!$Q$30:$Q$212))-CU46,0)</f>
        <v>0</v>
      </c>
      <c r="CW47" s="762">
        <f>IFERROR(
SUM(CV47,SUMIF(防護具!$Y$30:$Y$212,CW$17&amp;$C46,防護具!$Q$30:$Q$212))-CV46,0)</f>
        <v>0</v>
      </c>
      <c r="CX47" s="762">
        <f>IFERROR(
SUM(CW47,SUMIF(防護具!$Y$30:$Y$212,CX$17&amp;$C46,防護具!$Q$30:$Q$212))-CW46,0)</f>
        <v>0</v>
      </c>
      <c r="CY47" s="762">
        <f>IFERROR(
SUM(CX47,SUMIF(防護具!$Y$30:$Y$212,CY$17&amp;$C46,防護具!$Q$30:$Q$212))-CX46,0)</f>
        <v>0</v>
      </c>
      <c r="CZ47" s="762">
        <f>IFERROR(
SUM(CY47,SUMIF(防護具!$Y$30:$Y$212,CZ$17&amp;$C46,防護具!$Q$30:$Q$212))-CY46,0)</f>
        <v>0</v>
      </c>
      <c r="DA47" s="762">
        <f>IFERROR(
SUM(CZ47,SUMIF(防護具!$Y$30:$Y$212,DA$17&amp;$C46,防護具!$Q$30:$Q$212))-CZ46,0)</f>
        <v>0</v>
      </c>
      <c r="DB47" s="762">
        <f>IFERROR(
SUM(DA47,SUMIF(防護具!$Y$30:$Y$212,DB$17&amp;$C46,防護具!$Q$30:$Q$212))-DA46,0)</f>
        <v>0</v>
      </c>
      <c r="DC47" s="762">
        <f>IFERROR(
SUM(DB47,SUMIF(防護具!$Y$30:$Y$212,DC$17&amp;$C46,防護具!$Q$30:$Q$212))-DB46,0)</f>
        <v>0</v>
      </c>
      <c r="DD47" s="762">
        <f>IFERROR(
SUM(DC47,SUMIF(防護具!$Y$30:$Y$212,DD$17&amp;$C46,防護具!$Q$30:$Q$212))-DC46,0)</f>
        <v>0</v>
      </c>
      <c r="DE47" s="762">
        <f>IFERROR(
SUM(DD47,SUMIF(防護具!$Y$30:$Y$212,DE$17&amp;$C46,防護具!$Q$30:$Q$212))-DD46,0)</f>
        <v>0</v>
      </c>
      <c r="DF47" s="762">
        <f>IFERROR(
SUM(DE47,SUMIF(防護具!$Y$30:$Y$212,DF$17&amp;$C46,防護具!$Q$30:$Q$212))-DE46,0)</f>
        <v>0</v>
      </c>
      <c r="DG47" s="762">
        <f>IFERROR(
SUM(DF47,SUMIF(防護具!$Y$30:$Y$212,DG$17&amp;$C46,防護具!$Q$30:$Q$212))-DF46,0)</f>
        <v>0</v>
      </c>
      <c r="DH47" s="762">
        <f>IFERROR(
SUM(DG47,SUMIF(防護具!$Y$30:$Y$212,DH$17&amp;$C46,防護具!$Q$30:$Q$212))-DG46,0)</f>
        <v>0</v>
      </c>
      <c r="DI47" s="762">
        <f>IFERROR(
SUM(DH47,SUMIF(防護具!$Y$30:$Y$212,DI$17&amp;$C46,防護具!$Q$30:$Q$212))-DH46,0)</f>
        <v>0</v>
      </c>
      <c r="DJ47" s="762">
        <f>IFERROR(
SUM(DI47,SUMIF(防護具!$Y$30:$Y$212,DJ$17&amp;$C46,防護具!$Q$30:$Q$212))-DI46,0)</f>
        <v>0</v>
      </c>
      <c r="DK47" s="762">
        <f>IFERROR(
SUM(DJ47,SUMIF(防護具!$Y$30:$Y$212,DK$17&amp;$C46,防護具!$Q$30:$Q$212))-DJ46,0)</f>
        <v>0</v>
      </c>
      <c r="DL47" s="762">
        <f>IFERROR(
SUM(DK47,SUMIF(防護具!$Y$30:$Y$212,DL$17&amp;$C46,防護具!$Q$30:$Q$212))-DK46,0)</f>
        <v>0</v>
      </c>
      <c r="DM47" s="762">
        <f>IFERROR(
SUM(DL47,SUMIF(防護具!$Y$30:$Y$212,DM$17&amp;$C46,防護具!$Q$30:$Q$212))-DL46,0)</f>
        <v>0</v>
      </c>
      <c r="DN47" s="762">
        <f>IFERROR(
SUM(DM47,SUMIF(防護具!$Y$30:$Y$212,DN$17&amp;$C46,防護具!$Q$30:$Q$212))-DM46,0)</f>
        <v>0</v>
      </c>
      <c r="DO47" s="762">
        <f>IFERROR(
SUM(DN47,SUMIF(防護具!$Y$30:$Y$212,DO$17&amp;$C46,防護具!$Q$30:$Q$212))-DN46,0)</f>
        <v>0</v>
      </c>
      <c r="DP47" s="762">
        <f>IFERROR(
SUM(DO47,SUMIF(防護具!$Y$30:$Y$212,DP$17&amp;$C46,防護具!$Q$30:$Q$212))-DO46,0)</f>
        <v>0</v>
      </c>
      <c r="DQ47" s="762">
        <f>IFERROR(
SUM(DP47,SUMIF(防護具!$Y$30:$Y$212,DQ$17&amp;$C46,防護具!$Q$30:$Q$212))-DP46,0)</f>
        <v>0</v>
      </c>
      <c r="DR47" s="762">
        <f>IFERROR(
SUM(DQ47,SUMIF(防護具!$Y$30:$Y$212,DR$17&amp;$C46,防護具!$Q$30:$Q$212))-DQ46,0)</f>
        <v>0</v>
      </c>
      <c r="DS47" s="762">
        <f>IFERROR(
SUM(DR47,SUMIF(防護具!$Y$30:$Y$212,DS$17&amp;$C46,防護具!$Q$30:$Q$212))-DR46,0)</f>
        <v>0</v>
      </c>
      <c r="DT47" s="762">
        <f>IFERROR(
SUM(DS47,SUMIF(防護具!$Y$30:$Y$212,DT$17&amp;$C46,防護具!$Q$30:$Q$212))-DS46,0)</f>
        <v>0</v>
      </c>
      <c r="DU47" s="762">
        <f>IFERROR(
SUM(DT47,SUMIF(防護具!$Y$30:$Y$212,DU$17&amp;$C46,防護具!$Q$30:$Q$212))-DT46,0)</f>
        <v>0</v>
      </c>
      <c r="DV47" s="762">
        <f>IFERROR(
SUM(DU47,SUMIF(防護具!$Y$30:$Y$212,DV$17&amp;$C46,防護具!$Q$30:$Q$212))-DU46,0)</f>
        <v>0</v>
      </c>
      <c r="DW47" s="762">
        <f>IFERROR(
SUM(DV47,SUMIF(防護具!$Y$30:$Y$212,DW$17&amp;$C46,防護具!$Q$30:$Q$212))-DV46,0)</f>
        <v>0</v>
      </c>
      <c r="DX47" s="762">
        <f>IFERROR(
SUM(DW47,SUMIF(防護具!$Y$30:$Y$212,DX$17&amp;$C46,防護具!$Q$30:$Q$212))-DW46,0)</f>
        <v>0</v>
      </c>
      <c r="DY47" s="762">
        <f>IFERROR(
SUM(DX47,SUMIF(防護具!$Y$30:$Y$212,DY$17&amp;$C46,防護具!$Q$30:$Q$212))-DX46,0)</f>
        <v>0</v>
      </c>
      <c r="DZ47" s="762">
        <f>IFERROR(
SUM(DY47,SUMIF(防護具!$Y$30:$Y$212,DZ$17&amp;$C46,防護具!$Q$30:$Q$212))-DY46,0)</f>
        <v>0</v>
      </c>
      <c r="EA47" s="762">
        <f>IFERROR(
SUM(DZ47,SUMIF(防護具!$Y$30:$Y$212,EA$17&amp;$C46,防護具!$Q$30:$Q$212))-DZ46,0)</f>
        <v>0</v>
      </c>
      <c r="EB47" s="762">
        <f>IFERROR(
SUM(EA47,SUMIF(防護具!$Y$30:$Y$212,EB$17&amp;$C46,防護具!$Q$30:$Q$212))-EA46,0)</f>
        <v>0</v>
      </c>
      <c r="EC47" s="762">
        <f>IFERROR(
SUM(EB47,SUMIF(防護具!$Y$30:$Y$212,EC$17&amp;$C46,防護具!$Q$30:$Q$212))-EB46,0)</f>
        <v>0</v>
      </c>
      <c r="ED47" s="762">
        <f>IFERROR(
SUM(EC47,SUMIF(防護具!$Y$30:$Y$212,ED$17&amp;$C46,防護具!$Q$30:$Q$212))-EC46,0)</f>
        <v>0</v>
      </c>
      <c r="EE47" s="762">
        <f>IFERROR(
SUM(ED47,SUMIF(防護具!$Y$30:$Y$212,EE$17&amp;$C46,防護具!$Q$30:$Q$212))-ED46,0)</f>
        <v>0</v>
      </c>
      <c r="EF47" s="762">
        <f>IFERROR(
SUM(EE47,SUMIF(防護具!$Y$30:$Y$212,EF$17&amp;$C46,防護具!$Q$30:$Q$212))-EE46,0)</f>
        <v>0</v>
      </c>
      <c r="EG47" s="762">
        <f>IFERROR(
SUM(EF47,SUMIF(防護具!$Y$30:$Y$212,EG$17&amp;$C46,防護具!$Q$30:$Q$212))-EF46,0)</f>
        <v>0</v>
      </c>
      <c r="EH47" s="762">
        <f>IFERROR(
SUM(EG47,SUMIF(防護具!$Y$30:$Y$212,EH$17&amp;$C46,防護具!$Q$30:$Q$212))-EG46,0)</f>
        <v>0</v>
      </c>
      <c r="EI47" s="762">
        <f>IFERROR(
SUM(EH47,SUMIF(防護具!$Y$30:$Y$212,EI$17&amp;$C46,防護具!$Q$30:$Q$212))-EH46,0)</f>
        <v>0</v>
      </c>
      <c r="EJ47" s="762">
        <f>IFERROR(
SUM(EI47,SUMIF(防護具!$Y$30:$Y$212,EJ$17&amp;$C46,防護具!$Q$30:$Q$212))-EI46,0)</f>
        <v>0</v>
      </c>
      <c r="EK47" s="762">
        <f>IFERROR(
SUM(EJ47,SUMIF(防護具!$Y$30:$Y$212,EK$17&amp;$C46,防護具!$Q$30:$Q$212))-EJ46,0)</f>
        <v>0</v>
      </c>
      <c r="EL47" s="762">
        <f>IFERROR(
SUM(EK47,SUMIF(防護具!$Y$30:$Y$212,EL$17&amp;$C46,防護具!$Q$30:$Q$212))-EK46,0)</f>
        <v>0</v>
      </c>
      <c r="EM47" s="762">
        <f>IFERROR(
SUM(EL47,SUMIF(防護具!$Y$30:$Y$212,EM$17&amp;$C46,防護具!$Q$30:$Q$212))-EL46,0)</f>
        <v>0</v>
      </c>
      <c r="EN47" s="762">
        <f>IFERROR(
SUM(EM47,SUMIF(防護具!$Y$30:$Y$212,EN$17&amp;$C46,防護具!$Q$30:$Q$212))-EM46,0)</f>
        <v>0</v>
      </c>
      <c r="EO47" s="762">
        <f>IFERROR(
SUM(EN47,SUMIF(防護具!$Y$30:$Y$212,EO$17&amp;$C46,防護具!$Q$30:$Q$212))-EN46,0)</f>
        <v>0</v>
      </c>
      <c r="EP47" s="762">
        <f>IFERROR(
SUM(EO47,SUMIF(防護具!$Y$30:$Y$212,EP$17&amp;$C46,防護具!$Q$30:$Q$212))-EO46,0)</f>
        <v>0</v>
      </c>
      <c r="EQ47" s="762">
        <f>IFERROR(
SUM(EP47,SUMIF(防護具!$Y$30:$Y$212,EQ$17&amp;$C46,防護具!$Q$30:$Q$212))-EP46,0)</f>
        <v>0</v>
      </c>
      <c r="ER47" s="762">
        <f>IFERROR(
SUM(EQ47,SUMIF(防護具!$Y$30:$Y$212,ER$17&amp;$C46,防護具!$Q$30:$Q$212))-EQ46,0)</f>
        <v>0</v>
      </c>
      <c r="ES47" s="762">
        <f>IFERROR(
SUM(ER47,SUMIF(防護具!$Y$30:$Y$212,ES$17&amp;$C46,防護具!$Q$30:$Q$212))-ER46,0)</f>
        <v>0</v>
      </c>
      <c r="ET47" s="762">
        <f>IFERROR(
SUM(ES47,SUMIF(防護具!$Y$30:$Y$212,ET$17&amp;$C46,防護具!$Q$30:$Q$212))-ES46,0)</f>
        <v>0</v>
      </c>
      <c r="EU47" s="762">
        <f>IFERROR(
SUM(ET47,SUMIF(防護具!$Y$30:$Y$212,EU$17&amp;$C46,防護具!$Q$30:$Q$212))-ET46,0)</f>
        <v>0</v>
      </c>
      <c r="EV47" s="762">
        <f>IFERROR(
SUM(EU47,SUMIF(防護具!$Y$30:$Y$212,EV$17&amp;$C46,防護具!$Q$30:$Q$212))-EU46,0)</f>
        <v>0</v>
      </c>
      <c r="EW47" s="762">
        <f>IFERROR(
SUM(EV47,SUMIF(防護具!$Y$30:$Y$212,EW$17&amp;$C46,防護具!$Q$30:$Q$212))-EV46,0)</f>
        <v>0</v>
      </c>
      <c r="EX47" s="762">
        <f>IFERROR(
SUM(EW47,SUMIF(防護具!$Y$30:$Y$212,EX$17&amp;$C46,防護具!$Q$30:$Q$212))-EW46,0)</f>
        <v>0</v>
      </c>
      <c r="EY47" s="762">
        <f>IFERROR(
SUM(EX47,SUMIF(防護具!$Y$30:$Y$212,EY$17&amp;$C46,防護具!$Q$30:$Q$212))-EX46,0)</f>
        <v>0</v>
      </c>
      <c r="EZ47" s="762">
        <f>IFERROR(
SUM(EY47,SUMIF(防護具!$Y$30:$Y$212,EZ$17&amp;$C46,防護具!$Q$30:$Q$212))-EY46,0)</f>
        <v>0</v>
      </c>
      <c r="FA47" s="762">
        <f>IFERROR(
SUM(EZ47,SUMIF(防護具!$Y$30:$Y$212,FA$17&amp;$C46,防護具!$Q$30:$Q$212))-EZ46,0)</f>
        <v>0</v>
      </c>
      <c r="FB47" s="762">
        <f>IFERROR(
SUM(FA47,SUMIF(防護具!$Y$30:$Y$212,FB$17&amp;$C46,防護具!$Q$30:$Q$212))-FA46,0)</f>
        <v>0</v>
      </c>
      <c r="FC47" s="762">
        <f>IFERROR(
SUM(FB47,SUMIF(防護具!$Y$30:$Y$212,FC$17&amp;$C46,防護具!$Q$30:$Q$212))-FB46,0)</f>
        <v>0</v>
      </c>
      <c r="FD47" s="762">
        <f>IFERROR(
SUM(FC47,SUMIF(防護具!$Y$30:$Y$212,FD$17&amp;$C46,防護具!$Q$30:$Q$212))-FC46,0)</f>
        <v>0</v>
      </c>
      <c r="FE47" s="762">
        <f>IFERROR(
SUM(FD47,SUMIF(防護具!$Y$30:$Y$212,FE$17&amp;$C46,防護具!$Q$30:$Q$212))-FD46,0)</f>
        <v>0</v>
      </c>
      <c r="FF47" s="762">
        <f>IFERROR(
SUM(FE47,SUMIF(防護具!$Y$30:$Y$212,FF$17&amp;$C46,防護具!$Q$30:$Q$212))-FE46,0)</f>
        <v>0</v>
      </c>
      <c r="FG47" s="762">
        <f>IFERROR(
SUM(FF47,SUMIF(防護具!$Y$30:$Y$212,FG$17&amp;$C46,防護具!$Q$30:$Q$212))-FF46,0)</f>
        <v>0</v>
      </c>
      <c r="FH47" s="762">
        <f>IFERROR(
SUM(FG47,SUMIF(防護具!$Y$30:$Y$212,FH$17&amp;$C46,防護具!$Q$30:$Q$212))-FG46,0)</f>
        <v>0</v>
      </c>
      <c r="FI47" s="762">
        <f>IFERROR(
SUM(FH47,SUMIF(防護具!$Y$30:$Y$212,FI$17&amp;$C46,防護具!$Q$30:$Q$212))-FH46,0)</f>
        <v>0</v>
      </c>
      <c r="FJ47" s="762">
        <f>IFERROR(
SUM(FI47,SUMIF(防護具!$Y$30:$Y$212,FJ$17&amp;$C46,防護具!$Q$30:$Q$212))-FI46,0)</f>
        <v>0</v>
      </c>
      <c r="FK47" s="762">
        <f>IFERROR(
SUM(FJ47,SUMIF(防護具!$Y$30:$Y$212,FK$17&amp;$C46,防護具!$Q$30:$Q$212))-FJ46,0)</f>
        <v>0</v>
      </c>
      <c r="FL47" s="762">
        <f>IFERROR(
SUM(FK47,SUMIF(防護具!$Y$30:$Y$212,FL$17&amp;$C46,防護具!$Q$30:$Q$212))-FK46,0)</f>
        <v>0</v>
      </c>
      <c r="FM47" s="762">
        <f>IFERROR(
SUM(FL47,SUMIF(防護具!$Y$30:$Y$212,FM$17&amp;$C46,防護具!$Q$30:$Q$212))-FL46,0)</f>
        <v>0</v>
      </c>
      <c r="FN47" s="762">
        <f>IFERROR(
SUM(FM47,SUMIF(防護具!$Y$30:$Y$212,FN$17&amp;$C46,防護具!$Q$30:$Q$212))-FM46,0)</f>
        <v>0</v>
      </c>
      <c r="FO47" s="762">
        <f>IFERROR(
SUM(FN47,SUMIF(防護具!$Y$30:$Y$212,FO$17&amp;$C46,防護具!$Q$30:$Q$212))-FN46,0)</f>
        <v>0</v>
      </c>
      <c r="FP47" s="762">
        <f>IFERROR(
SUM(FO47,SUMIF(防護具!$Y$30:$Y$212,FP$17&amp;$C46,防護具!$Q$30:$Q$212))-FO46,0)</f>
        <v>0</v>
      </c>
      <c r="FQ47" s="762">
        <f>IFERROR(
SUM(FP47,SUMIF(防護具!$Y$30:$Y$212,FQ$17&amp;$C46,防護具!$Q$30:$Q$212))-FP46,0)</f>
        <v>0</v>
      </c>
      <c r="FR47" s="762">
        <f>IFERROR(
SUM(FQ47,SUMIF(防護具!$Y$30:$Y$212,FR$17&amp;$C46,防護具!$Q$30:$Q$212))-FQ46,0)</f>
        <v>0</v>
      </c>
      <c r="FS47" s="762">
        <f>IFERROR(
SUM(FR47,SUMIF(防護具!$Y$30:$Y$212,FS$17&amp;$C46,防護具!$Q$30:$Q$212))-FR46,0)</f>
        <v>0</v>
      </c>
      <c r="FT47" s="762">
        <f>IFERROR(
SUM(FS47,SUMIF(防護具!$Y$30:$Y$212,FT$17&amp;$C46,防護具!$Q$30:$Q$212))-FS46,0)</f>
        <v>0</v>
      </c>
      <c r="FU47" s="762">
        <f>IFERROR(
SUM(FT47,SUMIF(防護具!$Y$30:$Y$212,FU$17&amp;$C46,防護具!$Q$30:$Q$212))-FT46,0)</f>
        <v>0</v>
      </c>
      <c r="FV47" s="762">
        <f>IFERROR(
SUM(FU47,SUMIF(防護具!$Y$30:$Y$212,FV$17&amp;$C46,防護具!$Q$30:$Q$212))-FU46,0)</f>
        <v>0</v>
      </c>
      <c r="FW47" s="762">
        <f>IFERROR(
SUM(FV47,SUMIF(防護具!$Y$30:$Y$212,FW$17&amp;$C46,防護具!$Q$30:$Q$212))-FV46,0)</f>
        <v>0</v>
      </c>
      <c r="FX47" s="762">
        <f>IFERROR(
SUM(FW47,SUMIF(防護具!$Y$30:$Y$212,FX$17&amp;$C46,防護具!$Q$30:$Q$212))-FW46,0)</f>
        <v>0</v>
      </c>
      <c r="FY47" s="762">
        <f>IFERROR(
SUM(FX47,SUMIF(防護具!$Y$30:$Y$212,FY$17&amp;$C46,防護具!$Q$30:$Q$212))-FX46,0)</f>
        <v>0</v>
      </c>
      <c r="FZ47" s="762">
        <f>IFERROR(
SUM(FY47,SUMIF(防護具!$Y$30:$Y$212,FZ$17&amp;$C46,防護具!$Q$30:$Q$212))-FY46,0)</f>
        <v>0</v>
      </c>
      <c r="GA47" s="762">
        <f>IFERROR(
SUM(FZ47,SUMIF(防護具!$Y$30:$Y$212,GA$17&amp;$C46,防護具!$Q$30:$Q$212))-FZ46,0)</f>
        <v>0</v>
      </c>
      <c r="GB47" s="762">
        <f>IFERROR(
SUM(GA47,SUMIF(防護具!$Y$30:$Y$212,GB$17&amp;$C46,防護具!$Q$30:$Q$212))-GA46,0)</f>
        <v>0</v>
      </c>
      <c r="GC47" s="762">
        <f>IFERROR(
SUM(GB47,SUMIF(防護具!$Y$30:$Y$212,GC$17&amp;$C46,防護具!$Q$30:$Q$212))-GB46,0)</f>
        <v>0</v>
      </c>
      <c r="GD47" s="762">
        <f>IFERROR(
SUM(GC47,SUMIF(防護具!$Y$30:$Y$212,GD$17&amp;$C46,防護具!$Q$30:$Q$212))-GC46,0)</f>
        <v>0</v>
      </c>
      <c r="GE47" s="762">
        <f>IFERROR(
SUM(GD47,SUMIF(防護具!$Y$30:$Y$212,GE$17&amp;$C46,防護具!$Q$30:$Q$212))-GD46,0)</f>
        <v>0</v>
      </c>
      <c r="GF47" s="762">
        <f>IFERROR(
SUM(GE47,SUMIF(防護具!$Y$30:$Y$212,GF$17&amp;$C46,防護具!$Q$30:$Q$212))-GE46,0)</f>
        <v>0</v>
      </c>
      <c r="GG47" s="762">
        <f>IFERROR(
SUM(GF47,SUMIF(防護具!$Y$30:$Y$212,GG$17&amp;$C46,防護具!$Q$30:$Q$212))-GF46,0)</f>
        <v>0</v>
      </c>
      <c r="GH47" s="762">
        <f>IFERROR(
SUM(GG47,SUMIF(防護具!$Y$30:$Y$212,GH$17&amp;$C46,防護具!$Q$30:$Q$212))-GG46,0)</f>
        <v>0</v>
      </c>
      <c r="GI47" s="762">
        <f>IFERROR(
SUM(GH47,SUMIF(防護具!$Y$30:$Y$212,GI$17&amp;$C46,防護具!$Q$30:$Q$212))-GH46,0)</f>
        <v>0</v>
      </c>
      <c r="GJ47" s="762">
        <f>IFERROR(
SUM(GI47,SUMIF(防護具!$Y$30:$Y$212,GJ$17&amp;$C46,防護具!$Q$30:$Q$212))-GI46,0)</f>
        <v>0</v>
      </c>
    </row>
    <row r="48" spans="2:192" s="632" customFormat="1">
      <c r="B48" s="633"/>
      <c r="C48" s="625"/>
      <c r="D48" s="701" t="s">
        <v>1425</v>
      </c>
      <c r="E48" s="706"/>
      <c r="F48" s="653"/>
      <c r="G48" s="762">
        <f xml:space="preserve">
IF(
SUM(SUMIF(防護具!$Y$13:$Y$29,G$17&amp;$C46,防護具!$Q$13:$Q$29),F48)-VLOOKUP($C46,$C$3:$D$15,2,FALSE)*F44&lt;0,0,
SUM(SUMIF(防護具!$Y$13:$Y$29,G$17&amp;$C46,防護具!$Q$13:$Q$29),F48)-VLOOKUP($C46,$C$3:$D$15,2,FALSE)*F44)</f>
        <v>0</v>
      </c>
      <c r="H48" s="762">
        <f xml:space="preserve">
IF(
SUM(SUMIF(防護具!$Y$13:$Y$29,H$17&amp;$C46,防護具!$Q$13:$Q$29),G48)-VLOOKUP($C46,$C$3:$D$15,2,FALSE)*G44&lt;0,0,
SUM(SUMIF(防護具!$Y$13:$Y$29,H$17&amp;$C46,防護具!$Q$13:$Q$29),G48)-VLOOKUP($C46,$C$3:$D$15,2,FALSE)*G44)</f>
        <v>0</v>
      </c>
      <c r="I48" s="762">
        <f xml:space="preserve">
IF(
SUM(SUMIF(防護具!$Y$13:$Y$29,I$17&amp;$C46,防護具!$Q$13:$Q$29),H48)-VLOOKUP($C46,$C$3:$D$15,2,FALSE)*H44&lt;0,0,
SUM(SUMIF(防護具!$Y$13:$Y$29,I$17&amp;$C46,防護具!$Q$13:$Q$29),H48)-VLOOKUP($C46,$C$3:$D$15,2,FALSE)*H44)</f>
        <v>0</v>
      </c>
      <c r="J48" s="762">
        <f xml:space="preserve">
IF(
SUM(SUMIF(防護具!$Y$13:$Y$29,J$17&amp;$C46,防護具!$Q$13:$Q$29),I48)-VLOOKUP($C46,$C$3:$D$15,2,FALSE)*I44&lt;0,0,
SUM(SUMIF(防護具!$Y$13:$Y$29,J$17&amp;$C46,防護具!$Q$13:$Q$29),I48)-VLOOKUP($C46,$C$3:$D$15,2,FALSE)*I44)</f>
        <v>0</v>
      </c>
      <c r="K48" s="762">
        <f xml:space="preserve">
IF(
SUM(SUMIF(防護具!$Y$13:$Y$29,K$17&amp;$C46,防護具!$Q$13:$Q$29),J48)-VLOOKUP($C46,$C$3:$D$15,2,FALSE)*J44&lt;0,0,
SUM(SUMIF(防護具!$Y$13:$Y$29,K$17&amp;$C46,防護具!$Q$13:$Q$29),J48)-VLOOKUP($C46,$C$3:$D$15,2,FALSE)*J44)</f>
        <v>0</v>
      </c>
      <c r="L48" s="762">
        <f xml:space="preserve">
IF(
SUM(SUMIF(防護具!$Y$13:$Y$29,L$17&amp;$C46,防護具!$Q$13:$Q$29),K48)-VLOOKUP($C46,$C$3:$D$15,2,FALSE)*K44&lt;0,0,
SUM(SUMIF(防護具!$Y$13:$Y$29,L$17&amp;$C46,防護具!$Q$13:$Q$29),K48)-VLOOKUP($C46,$C$3:$D$15,2,FALSE)*K44)</f>
        <v>0</v>
      </c>
      <c r="M48" s="762">
        <f xml:space="preserve">
IF(
SUM(SUMIF(防護具!$Y$13:$Y$29,M$17&amp;$C46,防護具!$Q$13:$Q$29),L48)-VLOOKUP($C46,$C$3:$D$15,2,FALSE)*L44&lt;0,0,
SUM(SUMIF(防護具!$Y$13:$Y$29,M$17&amp;$C46,防護具!$Q$13:$Q$29),L48)-VLOOKUP($C46,$C$3:$D$15,2,FALSE)*L44)</f>
        <v>0</v>
      </c>
      <c r="N48" s="762">
        <f xml:space="preserve">
IF(
SUM(SUMIF(防護具!$Y$13:$Y$29,N$17&amp;$C46,防護具!$Q$13:$Q$29),M48)-VLOOKUP($C46,$C$3:$D$15,2,FALSE)*M44&lt;0,0,
SUM(SUMIF(防護具!$Y$13:$Y$29,N$17&amp;$C46,防護具!$Q$13:$Q$29),M48)-VLOOKUP($C46,$C$3:$D$15,2,FALSE)*M44)</f>
        <v>0</v>
      </c>
      <c r="O48" s="762">
        <f xml:space="preserve">
IF(
SUM(SUMIF(防護具!$Y$13:$Y$29,O$17&amp;$C46,防護具!$Q$13:$Q$29),N48)-VLOOKUP($C46,$C$3:$D$15,2,FALSE)*N44&lt;0,0,
SUM(SUMIF(防護具!$Y$13:$Y$29,O$17&amp;$C46,防護具!$Q$13:$Q$29),N48)-VLOOKUP($C46,$C$3:$D$15,2,FALSE)*N44)</f>
        <v>0</v>
      </c>
      <c r="P48" s="762">
        <f xml:space="preserve">
IF(
SUM(SUMIF(防護具!$Y$13:$Y$29,P$17&amp;$C46,防護具!$Q$13:$Q$29),O48)-VLOOKUP($C46,$C$3:$D$15,2,FALSE)*O44&lt;0,0,
SUM(SUMIF(防護具!$Y$13:$Y$29,P$17&amp;$C46,防護具!$Q$13:$Q$29),O48)-VLOOKUP($C46,$C$3:$D$15,2,FALSE)*O44)</f>
        <v>0</v>
      </c>
      <c r="Q48" s="762">
        <f xml:space="preserve">
IF(
SUM(SUMIF(防護具!$Y$13:$Y$29,Q$17&amp;$C46,防護具!$Q$13:$Q$29),P48)-VLOOKUP($C46,$C$3:$D$15,2,FALSE)*P$20&lt;0,0,
SUM(SUMIF(防護具!$Y$13:$Y$29,Q$17&amp;$C46,防護具!$Q$13:$Q$29),P48)-VLOOKUP($C46,$C$3:$D$15,2,FALSE)*P$20)</f>
        <v>0</v>
      </c>
      <c r="R48" s="762">
        <f xml:space="preserve">
IF(
SUM(SUMIF(防護具!$Y$13:$Y$29,R$17&amp;$C46,防護具!$Q$13:$Q$29),Q48)-VLOOKUP($C46,$C$3:$D$15,2,FALSE)*Q$20&lt;0,0,
SUM(SUMIF(防護具!$Y$13:$Y$29,R$17&amp;$C46,防護具!$Q$13:$Q$29),Q48)-VLOOKUP($C46,$C$3:$D$15,2,FALSE)*Q$20)</f>
        <v>0</v>
      </c>
      <c r="S48" s="762">
        <f xml:space="preserve">
IF(
SUM(SUMIF(防護具!$Y$13:$Y$29,S$17&amp;$C46,防護具!$Q$13:$Q$29),R48)-VLOOKUP($C46,$C$3:$D$15,2,FALSE)*R$20&lt;0,0,
SUM(SUMIF(防護具!$Y$13:$Y$29,S$17&amp;$C46,防護具!$Q$13:$Q$29),R48)-VLOOKUP($C46,$C$3:$D$15,2,FALSE)*R$20)</f>
        <v>0</v>
      </c>
      <c r="T48" s="762">
        <f xml:space="preserve">
IF(
SUM(SUMIF(防護具!$Y$13:$Y$29,T$17&amp;$C46,防護具!$Q$13:$Q$29),S48)-VLOOKUP($C46,$C$3:$D$15,2,FALSE)*S$20&lt;0,0,
SUM(SUMIF(防護具!$Y$13:$Y$29,T$17&amp;$C46,防護具!$Q$13:$Q$29),S48)-VLOOKUP($C46,$C$3:$D$15,2,FALSE)*S$20)</f>
        <v>0</v>
      </c>
      <c r="U48" s="762">
        <f xml:space="preserve">
IF(
SUM(SUMIF(防護具!$Y$13:$Y$29,U$17&amp;$C46,防護具!$Q$13:$Q$29),T48)-VLOOKUP($C46,$C$3:$D$15,2,FALSE)*T$20&lt;0,0,
SUM(SUMIF(防護具!$Y$13:$Y$29,U$17&amp;$C46,防護具!$Q$13:$Q$29),T48)-VLOOKUP($C46,$C$3:$D$15,2,FALSE)*T$20)</f>
        <v>0</v>
      </c>
      <c r="V48" s="762">
        <f xml:space="preserve">
IF(
SUM(SUMIF(防護具!$Y$13:$Y$29,V$17&amp;$C46,防護具!$Q$13:$Q$29),U48)-VLOOKUP($C46,$C$3:$D$15,2,FALSE)*U$20&lt;0,0,
SUM(SUMIF(防護具!$Y$13:$Y$29,V$17&amp;$C46,防護具!$Q$13:$Q$29),U48)-VLOOKUP($C46,$C$3:$D$15,2,FALSE)*U$20)</f>
        <v>0</v>
      </c>
      <c r="W48" s="762">
        <f xml:space="preserve">
IF(
SUM(SUMIF(防護具!$Y$13:$Y$29,W$17&amp;$C46,防護具!$Q$13:$Q$29),V48)-VLOOKUP($C46,$C$3:$D$15,2,FALSE)*V$20&lt;0,0,
SUM(SUMIF(防護具!$Y$13:$Y$29,W$17&amp;$C46,防護具!$Q$13:$Q$29),V48)-VLOOKUP($C46,$C$3:$D$15,2,FALSE)*V$20)</f>
        <v>0</v>
      </c>
      <c r="X48" s="762">
        <f xml:space="preserve">
IF(
SUM(SUMIF(防護具!$Y$13:$Y$29,X$17&amp;$C46,防護具!$Q$13:$Q$29),W48)-VLOOKUP($C46,$C$3:$D$15,2,FALSE)*W$20&lt;0,0,
SUM(SUMIF(防護具!$Y$13:$Y$29,X$17&amp;$C46,防護具!$Q$13:$Q$29),W48)-VLOOKUP($C46,$C$3:$D$15,2,FALSE)*W$20)</f>
        <v>0</v>
      </c>
      <c r="Y48" s="762">
        <f xml:space="preserve">
IF(
SUM(SUMIF(防護具!$Y$13:$Y$29,Y$17&amp;$C46,防護具!$Q$13:$Q$29),X48)-VLOOKUP($C46,$C$3:$D$15,2,FALSE)*X$20&lt;0,0,
SUM(SUMIF(防護具!$Y$13:$Y$29,Y$17&amp;$C46,防護具!$Q$13:$Q$29),X48)-VLOOKUP($C46,$C$3:$D$15,2,FALSE)*X$20)</f>
        <v>0</v>
      </c>
      <c r="Z48" s="762">
        <f xml:space="preserve">
IF(
SUM(SUMIF(防護具!$Y$13:$Y$29,Z$17&amp;$C46,防護具!$Q$13:$Q$29),Y48)-VLOOKUP($C46,$C$3:$D$15,2,FALSE)*Y$20&lt;0,0,
SUM(SUMIF(防護具!$Y$13:$Y$29,Z$17&amp;$C46,防護具!$Q$13:$Q$29),Y48)-VLOOKUP($C46,$C$3:$D$15,2,FALSE)*Y$20)</f>
        <v>0</v>
      </c>
      <c r="AA48" s="762">
        <f xml:space="preserve">
IF(
SUM(SUMIF(防護具!$Y$13:$Y$29,AA$17&amp;$C46,防護具!$Q$13:$Q$29),Z48)-VLOOKUP($C46,$C$3:$D$15,2,FALSE)*Z$20&lt;0,0,
SUM(SUMIF(防護具!$Y$13:$Y$29,AA$17&amp;$C46,防護具!$Q$13:$Q$29),Z48)-VLOOKUP($C46,$C$3:$D$15,2,FALSE)*Z$20)</f>
        <v>0</v>
      </c>
      <c r="AB48" s="762">
        <f xml:space="preserve">
IF(
SUM(SUMIF(防護具!$Y$13:$Y$29,AB$17&amp;$C46,防護具!$Q$13:$Q$29),AA48)-VLOOKUP($C46,$C$3:$D$15,2,FALSE)*AA$20&lt;0,0,
SUM(SUMIF(防護具!$Y$13:$Y$29,AB$17&amp;$C46,防護具!$Q$13:$Q$29),AA48)-VLOOKUP($C46,$C$3:$D$15,2,FALSE)*AA$20)</f>
        <v>0</v>
      </c>
      <c r="AC48" s="762">
        <f xml:space="preserve">
IF(
SUM(SUMIF(防護具!$Y$13:$Y$29,AC$17&amp;$C46,防護具!$Q$13:$Q$29),AB48)-VLOOKUP($C46,$C$3:$D$15,2,FALSE)*AB$20&lt;0,0,
SUM(SUMIF(防護具!$Y$13:$Y$29,AC$17&amp;$C46,防護具!$Q$13:$Q$29),AB48)-VLOOKUP($C46,$C$3:$D$15,2,FALSE)*AB$20)</f>
        <v>0</v>
      </c>
      <c r="AD48" s="762">
        <f xml:space="preserve">
IF(
SUM(SUMIF(防護具!$Y$13:$Y$29,AD$17&amp;$C46,防護具!$Q$13:$Q$29),AC48)-VLOOKUP($C46,$C$3:$D$15,2,FALSE)*AC$20&lt;0,0,
SUM(SUMIF(防護具!$Y$13:$Y$29,AD$17&amp;$C46,防護具!$Q$13:$Q$29),AC48)-VLOOKUP($C46,$C$3:$D$15,2,FALSE)*AC$20)</f>
        <v>0</v>
      </c>
      <c r="AE48" s="762">
        <f xml:space="preserve">
IF(
SUM(SUMIF(防護具!$Y$13:$Y$29,AE$17&amp;$C46,防護具!$Q$13:$Q$29),AD48)-VLOOKUP($C46,$C$3:$D$15,2,FALSE)*AD$20&lt;0,0,
SUM(SUMIF(防護具!$Y$13:$Y$29,AE$17&amp;$C46,防護具!$Q$13:$Q$29),AD48)-VLOOKUP($C46,$C$3:$D$15,2,FALSE)*AD$20)</f>
        <v>0</v>
      </c>
      <c r="AF48" s="762">
        <f xml:space="preserve">
IF(
SUM(SUMIF(防護具!$Y$13:$Y$29,AF$17&amp;$C46,防護具!$Q$13:$Q$29),AE48)-VLOOKUP($C46,$C$3:$D$15,2,FALSE)*AE$20&lt;0,0,
SUM(SUMIF(防護具!$Y$13:$Y$29,AF$17&amp;$C46,防護具!$Q$13:$Q$29),AE48)-VLOOKUP($C46,$C$3:$D$15,2,FALSE)*AE$20)</f>
        <v>0</v>
      </c>
      <c r="AG48" s="762">
        <f xml:space="preserve">
IF(
SUM(SUMIF(防護具!$Y$13:$Y$29,AG$17&amp;$C46,防護具!$Q$13:$Q$29),AF48)-VLOOKUP($C46,$C$3:$D$15,2,FALSE)*AF$20&lt;0,0,
SUM(SUMIF(防護具!$Y$13:$Y$29,AG$17&amp;$C46,防護具!$Q$13:$Q$29),AF48)-VLOOKUP($C46,$C$3:$D$15,2,FALSE)*AF$20)</f>
        <v>0</v>
      </c>
      <c r="AH48" s="762">
        <f xml:space="preserve">
IF(
SUM(SUMIF(防護具!$Y$13:$Y$29,AH$17&amp;$C46,防護具!$Q$13:$Q$29),AG48)-VLOOKUP($C46,$C$3:$D$15,2,FALSE)*AG$20&lt;0,0,
SUM(SUMIF(防護具!$Y$13:$Y$29,AH$17&amp;$C46,防護具!$Q$13:$Q$29),AG48)-VLOOKUP($C46,$C$3:$D$15,2,FALSE)*AG$20)</f>
        <v>0</v>
      </c>
      <c r="AI48" s="762">
        <f xml:space="preserve">
IF(
SUM(SUMIF(防護具!$Y$13:$Y$29,AI$17&amp;$C46,防護具!$Q$13:$Q$29),AH48)-VLOOKUP($C46,$C$3:$D$15,2,FALSE)*AH$20&lt;0,0,
SUM(SUMIF(防護具!$Y$13:$Y$29,AI$17&amp;$C46,防護具!$Q$13:$Q$29),AH48)-VLOOKUP($C46,$C$3:$D$15,2,FALSE)*AH$20)</f>
        <v>0</v>
      </c>
      <c r="AJ48" s="762">
        <f xml:space="preserve">
IF(
SUM(SUMIF(防護具!$Y$13:$Y$29,AJ$17&amp;$C46,防護具!$Q$13:$Q$29),AI48)-VLOOKUP($C46,$C$3:$D$15,2,FALSE)*AI$20&lt;0,0,
SUM(SUMIF(防護具!$Y$13:$Y$29,AJ$17&amp;$C46,防護具!$Q$13:$Q$29),AI48)-VLOOKUP($C46,$C$3:$D$15,2,FALSE)*AI$20)</f>
        <v>0</v>
      </c>
      <c r="AK48" s="762">
        <f xml:space="preserve">
IF(
SUM(SUMIF(防護具!$Y$13:$Y$29,AK$17&amp;$C46,防護具!$Q$13:$Q$29),AJ48)-VLOOKUP($C46,$C$3:$D$15,2,FALSE)*AJ$20&lt;0,0,
SUM(SUMIF(防護具!$Y$13:$Y$29,AK$17&amp;$C46,防護具!$Q$13:$Q$29),AJ48)-VLOOKUP($C46,$C$3:$D$15,2,FALSE)*AJ$20)</f>
        <v>0</v>
      </c>
      <c r="AL48" s="762">
        <f xml:space="preserve">
IF(
SUM(SUMIF(防護具!$Y$13:$Y$29,AL$17&amp;$C46,防護具!$Q$13:$Q$29),AK48)-VLOOKUP($C46,$C$3:$D$15,2,FALSE)*AK$20&lt;0,0,
SUM(SUMIF(防護具!$Y$13:$Y$29,AL$17&amp;$C46,防護具!$Q$13:$Q$29),AK48)-VLOOKUP($C46,$C$3:$D$15,2,FALSE)*AK$20)</f>
        <v>0</v>
      </c>
      <c r="AM48" s="762">
        <f xml:space="preserve">
IF(
SUM(SUMIF(防護具!$Y$13:$Y$29,AM$17&amp;$C46,防護具!$Q$13:$Q$29),AL48)-VLOOKUP($C46,$C$3:$D$15,2,FALSE)*AL$20&lt;0,0,
SUM(SUMIF(防護具!$Y$13:$Y$29,AM$17&amp;$C46,防護具!$Q$13:$Q$29),AL48)-VLOOKUP($C46,$C$3:$D$15,2,FALSE)*AL$20)</f>
        <v>0</v>
      </c>
      <c r="AN48" s="762">
        <f xml:space="preserve">
IF(
SUM(SUMIF(防護具!$Y$13:$Y$29,AN$17&amp;$C46,防護具!$Q$13:$Q$29),AM48)-VLOOKUP($C46,$C$3:$D$15,2,FALSE)*AM$20&lt;0,0,
SUM(SUMIF(防護具!$Y$13:$Y$29,AN$17&amp;$C46,防護具!$Q$13:$Q$29),AM48)-VLOOKUP($C46,$C$3:$D$15,2,FALSE)*AM$20)</f>
        <v>0</v>
      </c>
      <c r="AO48" s="762">
        <f xml:space="preserve">
IF(
SUM(SUMIF(防護具!$Y$13:$Y$29,AO$17&amp;$C46,防護具!$Q$13:$Q$29),AN48)-VLOOKUP($C46,$C$3:$D$15,2,FALSE)*AN$20&lt;0,0,
SUM(SUMIF(防護具!$Y$13:$Y$29,AO$17&amp;$C46,防護具!$Q$13:$Q$29),AN48)-VLOOKUP($C46,$C$3:$D$15,2,FALSE)*AN$20)</f>
        <v>0</v>
      </c>
      <c r="AP48" s="762">
        <f xml:space="preserve">
IF(
SUM(SUMIF(防護具!$Y$13:$Y$29,AP$17&amp;$C46,防護具!$Q$13:$Q$29),AO48)-VLOOKUP($C46,$C$3:$D$15,2,FALSE)*AO$20&lt;0,0,
SUM(SUMIF(防護具!$Y$13:$Y$29,AP$17&amp;$C46,防護具!$Q$13:$Q$29),AO48)-VLOOKUP($C46,$C$3:$D$15,2,FALSE)*AO$20)</f>
        <v>0</v>
      </c>
      <c r="AQ48" s="762">
        <f xml:space="preserve">
IF(
SUM(SUMIF(防護具!$Y$13:$Y$29,AQ$17&amp;$C46,防護具!$Q$13:$Q$29),AP48)-VLOOKUP($C46,$C$3:$D$15,2,FALSE)*AP$20&lt;0,0,
SUM(SUMIF(防護具!$Y$13:$Y$29,AQ$17&amp;$C46,防護具!$Q$13:$Q$29),AP48)-VLOOKUP($C46,$C$3:$D$15,2,FALSE)*AP$20)</f>
        <v>0</v>
      </c>
      <c r="AR48" s="762">
        <f xml:space="preserve">
IF(
SUM(SUMIF(防護具!$Y$13:$Y$29,AR$17&amp;$C46,防護具!$Q$13:$Q$29),AQ48)-VLOOKUP($C46,$C$3:$D$15,2,FALSE)*AQ$20&lt;0,0,
SUM(SUMIF(防護具!$Y$13:$Y$29,AR$17&amp;$C46,防護具!$Q$13:$Q$29),AQ48)-VLOOKUP($C46,$C$3:$D$15,2,FALSE)*AQ$20)</f>
        <v>0</v>
      </c>
      <c r="AS48" s="762">
        <f xml:space="preserve">
IF(
SUM(SUMIF(防護具!$Y$13:$Y$29,AS$17&amp;$C46,防護具!$Q$13:$Q$29),AR48)-VLOOKUP($C46,$C$3:$D$15,2,FALSE)*AR$20&lt;0,0,
SUM(SUMIF(防護具!$Y$13:$Y$29,AS$17&amp;$C46,防護具!$Q$13:$Q$29),AR48)-VLOOKUP($C46,$C$3:$D$15,2,FALSE)*AR$20)</f>
        <v>0</v>
      </c>
      <c r="AT48" s="762">
        <f xml:space="preserve">
IF(
SUM(SUMIF(防護具!$Y$13:$Y$29,AT$17&amp;$C46,防護具!$Q$13:$Q$29),AS48)-VLOOKUP($C46,$C$3:$D$15,2,FALSE)*AS$20&lt;0,0,
SUM(SUMIF(防護具!$Y$13:$Y$29,AT$17&amp;$C46,防護具!$Q$13:$Q$29),AS48)-VLOOKUP($C46,$C$3:$D$15,2,FALSE)*AS$20)</f>
        <v>0</v>
      </c>
      <c r="AU48" s="762">
        <f xml:space="preserve">
IF(
SUM(SUMIF(防護具!$Y$13:$Y$29,AU$17&amp;$C46,防護具!$Q$13:$Q$29),AT48)-VLOOKUP($C46,$C$3:$D$15,2,FALSE)*AT$20&lt;0,0,
SUM(SUMIF(防護具!$Y$13:$Y$29,AU$17&amp;$C46,防護具!$Q$13:$Q$29),AT48)-VLOOKUP($C46,$C$3:$D$15,2,FALSE)*AT$20)</f>
        <v>0</v>
      </c>
      <c r="AV48" s="762">
        <f xml:space="preserve">
IF(
SUM(SUMIF(防護具!$Y$13:$Y$29,AV$17&amp;$C46,防護具!$Q$13:$Q$29),AU48)-VLOOKUP($C46,$C$3:$D$15,2,FALSE)*AU$20&lt;0,0,
SUM(SUMIF(防護具!$Y$13:$Y$29,AV$17&amp;$C46,防護具!$Q$13:$Q$29),AU48)-VLOOKUP($C46,$C$3:$D$15,2,FALSE)*AU$20)</f>
        <v>0</v>
      </c>
      <c r="AW48" s="762">
        <f xml:space="preserve">
IF(
SUM(SUMIF(防護具!$Y$13:$Y$29,AW$17&amp;$C46,防護具!$Q$13:$Q$29),AV48)-VLOOKUP($C46,$C$3:$D$15,2,FALSE)*AV$20&lt;0,0,
SUM(SUMIF(防護具!$Y$13:$Y$29,AW$17&amp;$C46,防護具!$Q$13:$Q$29),AV48)-VLOOKUP($C46,$C$3:$D$15,2,FALSE)*AV$20)</f>
        <v>0</v>
      </c>
      <c r="AX48" s="762">
        <f xml:space="preserve">
IF(
SUM(SUMIF(防護具!$Y$13:$Y$29,AX$17&amp;$C46,防護具!$Q$13:$Q$29),AW48)-VLOOKUP($C46,$C$3:$D$15,2,FALSE)*AW$20&lt;0,0,
SUM(SUMIF(防護具!$Y$13:$Y$29,AX$17&amp;$C46,防護具!$Q$13:$Q$29),AW48)-VLOOKUP($C46,$C$3:$D$15,2,FALSE)*AW$20)</f>
        <v>0</v>
      </c>
      <c r="AY48" s="762">
        <f xml:space="preserve">
IF(
SUM(SUMIF(防護具!$Y$13:$Y$29,AY$17&amp;$C46,防護具!$Q$13:$Q$29),AX48)-VLOOKUP($C46,$C$3:$D$15,2,FALSE)*AX$20&lt;0,0,
SUM(SUMIF(防護具!$Y$13:$Y$29,AY$17&amp;$C46,防護具!$Q$13:$Q$29),AX48)-VLOOKUP($C46,$C$3:$D$15,2,FALSE)*AX$20)</f>
        <v>0</v>
      </c>
      <c r="AZ48" s="762">
        <f xml:space="preserve">
IF(
SUM(SUMIF(防護具!$Y$13:$Y$29,AZ$17&amp;$C46,防護具!$Q$13:$Q$29),AY48)-VLOOKUP($C46,$C$3:$D$15,2,FALSE)*AY$20&lt;0,0,
SUM(SUMIF(防護具!$Y$13:$Y$29,AZ$17&amp;$C46,防護具!$Q$13:$Q$29),AY48)-VLOOKUP($C46,$C$3:$D$15,2,FALSE)*AY$20)</f>
        <v>0</v>
      </c>
      <c r="BA48" s="762">
        <f xml:space="preserve">
IF(
SUM(SUMIF(防護具!$Y$13:$Y$29,BA$17&amp;$C46,防護具!$Q$13:$Q$29),AZ48)-VLOOKUP($C46,$C$3:$D$15,2,FALSE)*AZ$20&lt;0,0,
SUM(SUMIF(防護具!$Y$13:$Y$29,BA$17&amp;$C46,防護具!$Q$13:$Q$29),AZ48)-VLOOKUP($C46,$C$3:$D$15,2,FALSE)*AZ$20)</f>
        <v>0</v>
      </c>
      <c r="BB48" s="762">
        <f xml:space="preserve">
IF(
SUM(SUMIF(防護具!$Y$13:$Y$29,BB$17&amp;$C46,防護具!$Q$13:$Q$29),BA48)-VLOOKUP($C46,$C$3:$D$15,2,FALSE)*BA$20&lt;0,0,
SUM(SUMIF(防護具!$Y$13:$Y$29,BB$17&amp;$C46,防護具!$Q$13:$Q$29),BA48)-VLOOKUP($C46,$C$3:$D$15,2,FALSE)*BA$20)</f>
        <v>0</v>
      </c>
      <c r="BC48" s="762">
        <f xml:space="preserve">
IF(
SUM(SUMIF(防護具!$Y$13:$Y$29,BC$17&amp;$C46,防護具!$Q$13:$Q$29),BB48)-VLOOKUP($C46,$C$3:$D$15,2,FALSE)*BB$20&lt;0,0,
SUM(SUMIF(防護具!$Y$13:$Y$29,BC$17&amp;$C46,防護具!$Q$13:$Q$29),BB48)-VLOOKUP($C46,$C$3:$D$15,2,FALSE)*BB$20)</f>
        <v>0</v>
      </c>
      <c r="BD48" s="762">
        <f xml:space="preserve">
IF(
SUM(SUMIF(防護具!$Y$13:$Y$29,BD$17&amp;$C46,防護具!$Q$13:$Q$29),BC48)-VLOOKUP($C46,$C$3:$D$15,2,FALSE)*BC$20&lt;0,0,
SUM(SUMIF(防護具!$Y$13:$Y$29,BD$17&amp;$C46,防護具!$Q$13:$Q$29),BC48)-VLOOKUP($C46,$C$3:$D$15,2,FALSE)*BC$20)</f>
        <v>0</v>
      </c>
      <c r="BE48" s="762">
        <f xml:space="preserve">
IF(
SUM(SUMIF(防護具!$Y$13:$Y$29,BE$17&amp;$C46,防護具!$Q$13:$Q$29),BD48)-VLOOKUP($C46,$C$3:$D$15,2,FALSE)*BD$20&lt;0,0,
SUM(SUMIF(防護具!$Y$13:$Y$29,BE$17&amp;$C46,防護具!$Q$13:$Q$29),BD48)-VLOOKUP($C46,$C$3:$D$15,2,FALSE)*BD$20)</f>
        <v>0</v>
      </c>
      <c r="BF48" s="762">
        <f xml:space="preserve">
IF(
SUM(SUMIF(防護具!$Y$13:$Y$29,BF$17&amp;$C46,防護具!$Q$13:$Q$29),BE48)-VLOOKUP($C46,$C$3:$D$15,2,FALSE)*BE$20&lt;0,0,
SUM(SUMIF(防護具!$Y$13:$Y$29,BF$17&amp;$C46,防護具!$Q$13:$Q$29),BE48)-VLOOKUP($C46,$C$3:$D$15,2,FALSE)*BE$20)</f>
        <v>0</v>
      </c>
      <c r="BG48" s="762">
        <f xml:space="preserve">
IF(
SUM(SUMIF(防護具!$Y$13:$Y$29,BG$17&amp;$C46,防護具!$Q$13:$Q$29),BF48)-VLOOKUP($C46,$C$3:$D$15,2,FALSE)*BF$20&lt;0,0,
SUM(SUMIF(防護具!$Y$13:$Y$29,BG$17&amp;$C46,防護具!$Q$13:$Q$29),BF48)-VLOOKUP($C46,$C$3:$D$15,2,FALSE)*BF$20)</f>
        <v>0</v>
      </c>
      <c r="BH48" s="762">
        <f xml:space="preserve">
IF(
SUM(SUMIF(防護具!$Y$13:$Y$29,BH$17&amp;$C46,防護具!$Q$13:$Q$29),BG48)-VLOOKUP($C46,$C$3:$D$15,2,FALSE)*BG$20&lt;0,0,
SUM(SUMIF(防護具!$Y$13:$Y$29,BH$17&amp;$C46,防護具!$Q$13:$Q$29),BG48)-VLOOKUP($C46,$C$3:$D$15,2,FALSE)*BG$20)</f>
        <v>0</v>
      </c>
      <c r="BI48" s="762">
        <f xml:space="preserve">
IF(
SUM(SUMIF(防護具!$Y$13:$Y$29,BI$17&amp;$C46,防護具!$Q$13:$Q$29),BH48)-VLOOKUP($C46,$C$3:$D$15,2,FALSE)*BH$20&lt;0,0,
SUM(SUMIF(防護具!$Y$13:$Y$29,BI$17&amp;$C46,防護具!$Q$13:$Q$29),BH48)-VLOOKUP($C46,$C$3:$D$15,2,FALSE)*BH$20)</f>
        <v>0</v>
      </c>
      <c r="BJ48" s="762">
        <f xml:space="preserve">
IF(
SUM(SUMIF(防護具!$Y$13:$Y$29,BJ$17&amp;$C46,防護具!$Q$13:$Q$29),BI48)-VLOOKUP($C46,$C$3:$D$15,2,FALSE)*BI$20&lt;0,0,
SUM(SUMIF(防護具!$Y$13:$Y$29,BJ$17&amp;$C46,防護具!$Q$13:$Q$29),BI48)-VLOOKUP($C46,$C$3:$D$15,2,FALSE)*BI$20)</f>
        <v>0</v>
      </c>
      <c r="BK48" s="762">
        <f xml:space="preserve">
IF(
SUM(SUMIF(防護具!$Y$13:$Y$29,BK$17&amp;$C46,防護具!$Q$13:$Q$29),BJ48)-VLOOKUP($C46,$C$3:$D$15,2,FALSE)*BJ$20&lt;0,0,
SUM(SUMIF(防護具!$Y$13:$Y$29,BK$17&amp;$C46,防護具!$Q$13:$Q$29),BJ48)-VLOOKUP($C46,$C$3:$D$15,2,FALSE)*BJ$20)</f>
        <v>0</v>
      </c>
      <c r="BL48" s="762">
        <f xml:space="preserve">
IF(
SUM(SUMIF(防護具!$Y$13:$Y$29,BL$17&amp;$C46,防護具!$Q$13:$Q$29),BK48)-VLOOKUP($C46,$C$3:$D$15,2,FALSE)*BK$20&lt;0,0,
SUM(SUMIF(防護具!$Y$13:$Y$29,BL$17&amp;$C46,防護具!$Q$13:$Q$29),BK48)-VLOOKUP($C46,$C$3:$D$15,2,FALSE)*BK$20)</f>
        <v>0</v>
      </c>
      <c r="BM48" s="762">
        <f xml:space="preserve">
IF(
SUM(SUMIF(防護具!$Y$13:$Y$29,BM$17&amp;$C46,防護具!$Q$13:$Q$29),BL48)-VLOOKUP($C46,$C$3:$D$15,2,FALSE)*BL$20&lt;0,0,
SUM(SUMIF(防護具!$Y$13:$Y$29,BM$17&amp;$C46,防護具!$Q$13:$Q$29),BL48)-VLOOKUP($C46,$C$3:$D$15,2,FALSE)*BL$20)</f>
        <v>0</v>
      </c>
      <c r="BN48" s="762">
        <f xml:space="preserve">
IF(
SUM(SUMIF(防護具!$Y$13:$Y$29,BN$17&amp;$C46,防護具!$Q$13:$Q$29),BM48)-VLOOKUP($C46,$C$3:$D$15,2,FALSE)*BM$20&lt;0,0,
SUM(SUMIF(防護具!$Y$13:$Y$29,BN$17&amp;$C46,防護具!$Q$13:$Q$29),BM48)-VLOOKUP($C46,$C$3:$D$15,2,FALSE)*BM$20)</f>
        <v>0</v>
      </c>
      <c r="BO48" s="762">
        <f xml:space="preserve">
IF(
SUM(SUMIF(防護具!$Y$13:$Y$29,BO$17&amp;$C46,防護具!$Q$13:$Q$29),BN48)-VLOOKUP($C46,$C$3:$D$15,2,FALSE)*BN$20&lt;0,0,
SUM(SUMIF(防護具!$Y$13:$Y$29,BO$17&amp;$C46,防護具!$Q$13:$Q$29),BN48)-VLOOKUP($C46,$C$3:$D$15,2,FALSE)*BN$20)</f>
        <v>0</v>
      </c>
      <c r="BP48" s="762">
        <f xml:space="preserve">
IF(
SUM(SUMIF(防護具!$Y$13:$Y$29,BP$17&amp;$C46,防護具!$Q$13:$Q$29),BO48)-VLOOKUP($C46,$C$3:$D$15,2,FALSE)*BO$20&lt;0,0,
SUM(SUMIF(防護具!$Y$13:$Y$29,BP$17&amp;$C46,防護具!$Q$13:$Q$29),BO48)-VLOOKUP($C46,$C$3:$D$15,2,FALSE)*BO$20)</f>
        <v>0</v>
      </c>
      <c r="BQ48" s="762">
        <f xml:space="preserve">
IF(
SUM(SUMIF(防護具!$Y$13:$Y$29,BQ$17&amp;$C46,防護具!$Q$13:$Q$29),BP48)-VLOOKUP($C46,$C$3:$D$15,2,FALSE)*BP$20&lt;0,0,
SUM(SUMIF(防護具!$Y$13:$Y$29,BQ$17&amp;$C46,防護具!$Q$13:$Q$29),BP48)-VLOOKUP($C46,$C$3:$D$15,2,FALSE)*BP$20)</f>
        <v>0</v>
      </c>
      <c r="BR48" s="762">
        <f xml:space="preserve">
IF(
SUM(SUMIF(防護具!$Y$13:$Y$29,BR$17&amp;$C46,防護具!$Q$13:$Q$29),BQ48)-VLOOKUP($C46,$C$3:$D$15,2,FALSE)*BQ$20&lt;0,0,
SUM(SUMIF(防護具!$Y$13:$Y$29,BR$17&amp;$C46,防護具!$Q$13:$Q$29),BQ48)-VLOOKUP($C46,$C$3:$D$15,2,FALSE)*BQ$20)</f>
        <v>0</v>
      </c>
      <c r="BS48" s="762">
        <f xml:space="preserve">
IF(
SUM(SUMIF(防護具!$Y$13:$Y$29,BS$17&amp;$C46,防護具!$Q$13:$Q$29),BR48)-VLOOKUP($C46,$C$3:$D$15,2,FALSE)*BR$20&lt;0,0,
SUM(SUMIF(防護具!$Y$13:$Y$29,BS$17&amp;$C46,防護具!$Q$13:$Q$29),BR48)-VLOOKUP($C46,$C$3:$D$15,2,FALSE)*BR$20)</f>
        <v>0</v>
      </c>
      <c r="BT48" s="762">
        <f xml:space="preserve">
IF(
SUM(SUMIF(防護具!$Y$13:$Y$29,BT$17&amp;$C46,防護具!$Q$13:$Q$29),BS48)-VLOOKUP($C46,$C$3:$D$15,2,FALSE)*BS$20&lt;0,0,
SUM(SUMIF(防護具!$Y$13:$Y$29,BT$17&amp;$C46,防護具!$Q$13:$Q$29),BS48)-VLOOKUP($C46,$C$3:$D$15,2,FALSE)*BS$20)</f>
        <v>0</v>
      </c>
      <c r="BU48" s="762">
        <f xml:space="preserve">
IF(
SUM(SUMIF(防護具!$Y$13:$Y$29,BU$17&amp;$C46,防護具!$Q$13:$Q$29),BT48)-VLOOKUP($C46,$C$3:$D$15,2,FALSE)*BT$20&lt;0,0,
SUM(SUMIF(防護具!$Y$13:$Y$29,BU$17&amp;$C46,防護具!$Q$13:$Q$29),BT48)-VLOOKUP($C46,$C$3:$D$15,2,FALSE)*BT$20)</f>
        <v>0</v>
      </c>
      <c r="BV48" s="762">
        <f xml:space="preserve">
IF(
SUM(SUMIF(防護具!$Y$13:$Y$29,BV$17&amp;$C46,防護具!$Q$13:$Q$29),BU48)-VLOOKUP($C46,$C$3:$D$15,2,FALSE)*BU$20&lt;0,0,
SUM(SUMIF(防護具!$Y$13:$Y$29,BV$17&amp;$C46,防護具!$Q$13:$Q$29),BU48)-VLOOKUP($C46,$C$3:$D$15,2,FALSE)*BU$20)</f>
        <v>0</v>
      </c>
      <c r="BW48" s="762">
        <f xml:space="preserve">
IF(
SUM(SUMIF(防護具!$Y$13:$Y$29,BW$17&amp;$C46,防護具!$Q$13:$Q$29),BV48)-VLOOKUP($C46,$C$3:$D$15,2,FALSE)*BV$20&lt;0,0,
SUM(SUMIF(防護具!$Y$13:$Y$29,BW$17&amp;$C46,防護具!$Q$13:$Q$29),BV48)-VLOOKUP($C46,$C$3:$D$15,2,FALSE)*BV$20)</f>
        <v>0</v>
      </c>
      <c r="BX48" s="762">
        <f xml:space="preserve">
IF(
SUM(SUMIF(防護具!$Y$13:$Y$29,BX$17&amp;$C46,防護具!$Q$13:$Q$29),BW48)-VLOOKUP($C46,$C$3:$D$15,2,FALSE)*BW$20&lt;0,0,
SUM(SUMIF(防護具!$Y$13:$Y$29,BX$17&amp;$C46,防護具!$Q$13:$Q$29),BW48)-VLOOKUP($C46,$C$3:$D$15,2,FALSE)*BW$20)</f>
        <v>0</v>
      </c>
      <c r="BY48" s="762">
        <f xml:space="preserve">
IF(
SUM(SUMIF(防護具!$Y$13:$Y$29,BY$17&amp;$C46,防護具!$Q$13:$Q$29),BX48)-VLOOKUP($C46,$C$3:$D$15,2,FALSE)*BX$20&lt;0,0,
SUM(SUMIF(防護具!$Y$13:$Y$29,BY$17&amp;$C46,防護具!$Q$13:$Q$29),BX48)-VLOOKUP($C46,$C$3:$D$15,2,FALSE)*BX$20)</f>
        <v>0</v>
      </c>
      <c r="BZ48" s="762">
        <f xml:space="preserve">
IF(
SUM(SUMIF(防護具!$Y$13:$Y$29,BZ$17&amp;$C46,防護具!$Q$13:$Q$29),BY48)-VLOOKUP($C46,$C$3:$D$15,2,FALSE)*BY$20&lt;0,0,
SUM(SUMIF(防護具!$Y$13:$Y$29,BZ$17&amp;$C46,防護具!$Q$13:$Q$29),BY48)-VLOOKUP($C46,$C$3:$D$15,2,FALSE)*BY$20)</f>
        <v>0</v>
      </c>
      <c r="CA48" s="762">
        <f xml:space="preserve">
IF(
SUM(SUMIF(防護具!$Y$13:$Y$29,CA$17&amp;$C46,防護具!$Q$13:$Q$29),BZ48)-VLOOKUP($C46,$C$3:$D$15,2,FALSE)*BZ$20&lt;0,0,
SUM(SUMIF(防護具!$Y$13:$Y$29,CA$17&amp;$C46,防護具!$Q$13:$Q$29),BZ48)-VLOOKUP($C46,$C$3:$D$15,2,FALSE)*BZ$20)</f>
        <v>0</v>
      </c>
      <c r="CB48" s="762">
        <f xml:space="preserve">
IF(
SUM(SUMIF(防護具!$Y$13:$Y$29,CB$17&amp;$C46,防護具!$Q$13:$Q$29),CA48)-VLOOKUP($C46,$C$3:$D$15,2,FALSE)*CA$20&lt;0,0,
SUM(SUMIF(防護具!$Y$13:$Y$29,CB$17&amp;$C46,防護具!$Q$13:$Q$29),CA48)-VLOOKUP($C46,$C$3:$D$15,2,FALSE)*CA$20)</f>
        <v>0</v>
      </c>
      <c r="CC48" s="762">
        <f xml:space="preserve">
IF(
SUM(SUMIF(防護具!$Y$13:$Y$29,CC$17&amp;$C46,防護具!$Q$13:$Q$29),CB48)-VLOOKUP($C46,$C$3:$D$15,2,FALSE)*CB$20&lt;0,0,
SUM(SUMIF(防護具!$Y$13:$Y$29,CC$17&amp;$C46,防護具!$Q$13:$Q$29),CB48)-VLOOKUP($C46,$C$3:$D$15,2,FALSE)*CB$20)</f>
        <v>0</v>
      </c>
      <c r="CD48" s="762">
        <f xml:space="preserve">
IF(
SUM(SUMIF(防護具!$Y$13:$Y$29,CD$17&amp;$C46,防護具!$Q$13:$Q$29),CC48)-VLOOKUP($C46,$C$3:$D$15,2,FALSE)*CC$20&lt;0,0,
SUM(SUMIF(防護具!$Y$13:$Y$29,CD$17&amp;$C46,防護具!$Q$13:$Q$29),CC48)-VLOOKUP($C46,$C$3:$D$15,2,FALSE)*CC$20)</f>
        <v>0</v>
      </c>
      <c r="CE48" s="762">
        <f xml:space="preserve">
IF(
SUM(SUMIF(防護具!$Y$13:$Y$29,CE$17&amp;$C46,防護具!$Q$13:$Q$29),CD48)-VLOOKUP($C46,$C$3:$D$15,2,FALSE)*CD$20&lt;0,0,
SUM(SUMIF(防護具!$Y$13:$Y$29,CE$17&amp;$C46,防護具!$Q$13:$Q$29),CD48)-VLOOKUP($C46,$C$3:$D$15,2,FALSE)*CD$20)</f>
        <v>0</v>
      </c>
      <c r="CF48" s="762">
        <f xml:space="preserve">
IF(
SUM(SUMIF(防護具!$Y$13:$Y$29,CF$17&amp;$C46,防護具!$Q$13:$Q$29),CE48)-VLOOKUP($C46,$C$3:$D$15,2,FALSE)*CE$20&lt;0,0,
SUM(SUMIF(防護具!$Y$13:$Y$29,CF$17&amp;$C46,防護具!$Q$13:$Q$29),CE48)-VLOOKUP($C46,$C$3:$D$15,2,FALSE)*CE$20)</f>
        <v>0</v>
      </c>
      <c r="CG48" s="762">
        <f xml:space="preserve">
IF(
SUM(SUMIF(防護具!$Y$13:$Y$29,CG$17&amp;$C46,防護具!$Q$13:$Q$29),CF48)-VLOOKUP($C46,$C$3:$D$15,2,FALSE)*CF$20&lt;0,0,
SUM(SUMIF(防護具!$Y$13:$Y$29,CG$17&amp;$C46,防護具!$Q$13:$Q$29),CF48)-VLOOKUP($C46,$C$3:$D$15,2,FALSE)*CF$20)</f>
        <v>0</v>
      </c>
      <c r="CH48" s="762">
        <f xml:space="preserve">
IF(
SUM(SUMIF(防護具!$Y$13:$Y$29,CH$17&amp;$C46,防護具!$Q$13:$Q$29),CG48)-VLOOKUP($C46,$C$3:$D$15,2,FALSE)*CG$20&lt;0,0,
SUM(SUMIF(防護具!$Y$13:$Y$29,CH$17&amp;$C46,防護具!$Q$13:$Q$29),CG48)-VLOOKUP($C46,$C$3:$D$15,2,FALSE)*CG$20)</f>
        <v>0</v>
      </c>
      <c r="CI48" s="762">
        <f xml:space="preserve">
IF(
SUM(SUMIF(防護具!$Y$13:$Y$29,CI$17&amp;$C46,防護具!$Q$13:$Q$29),CH48)-VLOOKUP($C46,$C$3:$D$15,2,FALSE)*CH$20&lt;0,0,
SUM(SUMIF(防護具!$Y$13:$Y$29,CI$17&amp;$C46,防護具!$Q$13:$Q$29),CH48)-VLOOKUP($C46,$C$3:$D$15,2,FALSE)*CH$20)</f>
        <v>0</v>
      </c>
      <c r="CJ48" s="762">
        <f xml:space="preserve">
IF(
SUM(SUMIF(防護具!$Y$13:$Y$29,CJ$17&amp;$C46,防護具!$Q$13:$Q$29),CI48)-VLOOKUP($C46,$C$3:$D$15,2,FALSE)*CI$20&lt;0,0,
SUM(SUMIF(防護具!$Y$13:$Y$29,CJ$17&amp;$C46,防護具!$Q$13:$Q$29),CI48)-VLOOKUP($C46,$C$3:$D$15,2,FALSE)*CI$20)</f>
        <v>0</v>
      </c>
      <c r="CK48" s="762">
        <f xml:space="preserve">
IF(
SUM(SUMIF(防護具!$Y$13:$Y$29,CK$17&amp;$C46,防護具!$Q$13:$Q$29),CJ48)-VLOOKUP($C46,$C$3:$D$15,2,FALSE)*CJ$20&lt;0,0,
SUM(SUMIF(防護具!$Y$13:$Y$29,CK$17&amp;$C46,防護具!$Q$13:$Q$29),CJ48)-VLOOKUP($C46,$C$3:$D$15,2,FALSE)*CJ$20)</f>
        <v>0</v>
      </c>
      <c r="CL48" s="762">
        <f xml:space="preserve">
IF(
SUM(SUMIF(防護具!$Y$13:$Y$29,CL$17&amp;$C46,防護具!$Q$13:$Q$29),CK48)-VLOOKUP($C46,$C$3:$D$15,2,FALSE)*CK$20&lt;0,0,
SUM(SUMIF(防護具!$Y$13:$Y$29,CL$17&amp;$C46,防護具!$Q$13:$Q$29),CK48)-VLOOKUP($C46,$C$3:$D$15,2,FALSE)*CK$20)</f>
        <v>0</v>
      </c>
      <c r="CM48" s="762">
        <f xml:space="preserve">
IF(
SUM(SUMIF(防護具!$Y$13:$Y$29,CM$17&amp;$C46,防護具!$Q$13:$Q$29),CL48)-VLOOKUP($C46,$C$3:$D$15,2,FALSE)*CL$20&lt;0,0,
SUM(SUMIF(防護具!$Y$13:$Y$29,CM$17&amp;$C46,防護具!$Q$13:$Q$29),CL48)-VLOOKUP($C46,$C$3:$D$15,2,FALSE)*CL$20)</f>
        <v>0</v>
      </c>
      <c r="CN48" s="762">
        <f xml:space="preserve">
IF(
SUM(SUMIF(防護具!$Y$13:$Y$29,CN$17&amp;$C46,防護具!$Q$13:$Q$29),CM48)-VLOOKUP($C46,$C$3:$D$15,2,FALSE)*CM$20&lt;0,0,
SUM(SUMIF(防護具!$Y$13:$Y$29,CN$17&amp;$C46,防護具!$Q$13:$Q$29),CM48)-VLOOKUP($C46,$C$3:$D$15,2,FALSE)*CM$20)</f>
        <v>0</v>
      </c>
      <c r="CO48" s="762">
        <f xml:space="preserve">
IF(
SUM(SUMIF(防護具!$Y$13:$Y$29,CO$17&amp;$C46,防護具!$Q$13:$Q$29),CN48)-VLOOKUP($C46,$C$3:$D$15,2,FALSE)*CN$20&lt;0,0,
SUM(SUMIF(防護具!$Y$13:$Y$29,CO$17&amp;$C46,防護具!$Q$13:$Q$29),CN48)-VLOOKUP($C46,$C$3:$D$15,2,FALSE)*CN$20)</f>
        <v>0</v>
      </c>
      <c r="CP48" s="762">
        <f xml:space="preserve">
IF(
SUM(SUMIF(防護具!$Y$13:$Y$29,CP$17&amp;$C46,防護具!$Q$13:$Q$29),CO48)-VLOOKUP($C46,$C$3:$D$15,2,FALSE)*CO$20&lt;0,0,
SUM(SUMIF(防護具!$Y$13:$Y$29,CP$17&amp;$C46,防護具!$Q$13:$Q$29),CO48)-VLOOKUP($C46,$C$3:$D$15,2,FALSE)*CO$20)</f>
        <v>0</v>
      </c>
      <c r="CQ48" s="762">
        <f xml:space="preserve">
IF(
SUM(SUMIF(防護具!$Y$13:$Y$29,CQ$17&amp;$C46,防護具!$Q$13:$Q$29),CP48)-VLOOKUP($C46,$C$3:$D$15,2,FALSE)*CP$20&lt;0,0,
SUM(SUMIF(防護具!$Y$13:$Y$29,CQ$17&amp;$C46,防護具!$Q$13:$Q$29),CP48)-VLOOKUP($C46,$C$3:$D$15,2,FALSE)*CP$20)</f>
        <v>0</v>
      </c>
      <c r="CR48" s="762">
        <f xml:space="preserve">
IF(
SUM(SUMIF(防護具!$Y$13:$Y$29,CR$17&amp;$C46,防護具!$Q$13:$Q$29),CQ48)-VLOOKUP($C46,$C$3:$D$15,2,FALSE)*CQ$20&lt;0,0,
SUM(SUMIF(防護具!$Y$13:$Y$29,CR$17&amp;$C46,防護具!$Q$13:$Q$29),CQ48)-VLOOKUP($C46,$C$3:$D$15,2,FALSE)*CQ$20)</f>
        <v>0</v>
      </c>
      <c r="CS48" s="762">
        <f xml:space="preserve">
IF(
SUM(SUMIF(防護具!$Y$13:$Y$29,CS$17&amp;$C46,防護具!$Q$13:$Q$29),CR48)-VLOOKUP($C46,$C$3:$D$15,2,FALSE)*CR$20&lt;0,0,
SUM(SUMIF(防護具!$Y$13:$Y$29,CS$17&amp;$C46,防護具!$Q$13:$Q$29),CR48)-VLOOKUP($C46,$C$3:$D$15,2,FALSE)*CR$20)</f>
        <v>0</v>
      </c>
      <c r="CT48" s="762">
        <f xml:space="preserve">
IF(
SUM(SUMIF(防護具!$Y$13:$Y$29,CT$17&amp;$C46,防護具!$Q$13:$Q$29),CS48)-VLOOKUP($C46,$C$3:$D$15,2,FALSE)*CS$20&lt;0,0,
SUM(SUMIF(防護具!$Y$13:$Y$29,CT$17&amp;$C46,防護具!$Q$13:$Q$29),CS48)-VLOOKUP($C46,$C$3:$D$15,2,FALSE)*CS$20)</f>
        <v>0</v>
      </c>
      <c r="CU48" s="762">
        <f xml:space="preserve">
IF(
SUM(SUMIF(防護具!$Y$13:$Y$29,CU$17&amp;$C46,防護具!$Q$13:$Q$29),CT48)-VLOOKUP($C46,$C$3:$D$15,2,FALSE)*CT$20&lt;0,0,
SUM(SUMIF(防護具!$Y$13:$Y$29,CU$17&amp;$C46,防護具!$Q$13:$Q$29),CT48)-VLOOKUP($C46,$C$3:$D$15,2,FALSE)*CT$20)</f>
        <v>0</v>
      </c>
      <c r="CV48" s="762">
        <f xml:space="preserve">
IF(
SUM(SUMIF(防護具!$Y$13:$Y$29,CV$17&amp;$C46,防護具!$Q$13:$Q$29),CU48)-VLOOKUP($C46,$C$3:$D$15,2,FALSE)*CU$20&lt;0,0,
SUM(SUMIF(防護具!$Y$13:$Y$29,CV$17&amp;$C46,防護具!$Q$13:$Q$29),CU48)-VLOOKUP($C46,$C$3:$D$15,2,FALSE)*CU$20)</f>
        <v>0</v>
      </c>
      <c r="CW48" s="762">
        <f xml:space="preserve">
IF(
SUM(SUMIF(防護具!$Y$13:$Y$29,CW$17&amp;$C46,防護具!$Q$13:$Q$29),CV48)-VLOOKUP($C46,$C$3:$D$15,2,FALSE)*CV$20&lt;0,0,
SUM(SUMIF(防護具!$Y$13:$Y$29,CW$17&amp;$C46,防護具!$Q$13:$Q$29),CV48)-VLOOKUP($C46,$C$3:$D$15,2,FALSE)*CV$20)</f>
        <v>0</v>
      </c>
      <c r="CX48" s="762">
        <f xml:space="preserve">
IF(
SUM(SUMIF(防護具!$Y$13:$Y$29,CX$17&amp;$C46,防護具!$Q$13:$Q$29),CW48)-VLOOKUP($C46,$C$3:$D$15,2,FALSE)*CW$20&lt;0,0,
SUM(SUMIF(防護具!$Y$13:$Y$29,CX$17&amp;$C46,防護具!$Q$13:$Q$29),CW48)-VLOOKUP($C46,$C$3:$D$15,2,FALSE)*CW$20)</f>
        <v>0</v>
      </c>
      <c r="CY48" s="762">
        <f xml:space="preserve">
IF(
SUM(SUMIF(防護具!$Y$13:$Y$29,CY$17&amp;$C46,防護具!$Q$13:$Q$29),CX48)-VLOOKUP($C46,$C$3:$D$15,2,FALSE)*CX$20&lt;0,0,
SUM(SUMIF(防護具!$Y$13:$Y$29,CY$17&amp;$C46,防護具!$Q$13:$Q$29),CX48)-VLOOKUP($C46,$C$3:$D$15,2,FALSE)*CX$20)</f>
        <v>0</v>
      </c>
      <c r="CZ48" s="762">
        <f xml:space="preserve">
IF(
SUM(SUMIF(防護具!$Y$13:$Y$29,CZ$17&amp;$C46,防護具!$Q$13:$Q$29),CY48)-VLOOKUP($C46,$C$3:$D$15,2,FALSE)*CY$20&lt;0,0,
SUM(SUMIF(防護具!$Y$13:$Y$29,CZ$17&amp;$C46,防護具!$Q$13:$Q$29),CY48)-VLOOKUP($C46,$C$3:$D$15,2,FALSE)*CY$20)</f>
        <v>0</v>
      </c>
      <c r="DA48" s="762">
        <f xml:space="preserve">
IF(
SUM(SUMIF(防護具!$Y$13:$Y$29,DA$17&amp;$C46,防護具!$Q$13:$Q$29),CZ48)-VLOOKUP($C46,$C$3:$D$15,2,FALSE)*CZ$20&lt;0,0,
SUM(SUMIF(防護具!$Y$13:$Y$29,DA$17&amp;$C46,防護具!$Q$13:$Q$29),CZ48)-VLOOKUP($C46,$C$3:$D$15,2,FALSE)*CZ$20)</f>
        <v>0</v>
      </c>
      <c r="DB48" s="762">
        <f xml:space="preserve">
IF(
SUM(SUMIF(防護具!$Y$13:$Y$29,DB$17&amp;$C46,防護具!$Q$13:$Q$29),DA48)-VLOOKUP($C46,$C$3:$D$15,2,FALSE)*DA$20&lt;0,0,
SUM(SUMIF(防護具!$Y$13:$Y$29,DB$17&amp;$C46,防護具!$Q$13:$Q$29),DA48)-VLOOKUP($C46,$C$3:$D$15,2,FALSE)*DA$20)</f>
        <v>0</v>
      </c>
      <c r="DC48" s="762">
        <f xml:space="preserve">
IF(
SUM(SUMIF(防護具!$Y$13:$Y$29,DC$17&amp;$C46,防護具!$Q$13:$Q$29),DB48)-VLOOKUP($C46,$C$3:$D$15,2,FALSE)*DB$20&lt;0,0,
SUM(SUMIF(防護具!$Y$13:$Y$29,DC$17&amp;$C46,防護具!$Q$13:$Q$29),DB48)-VLOOKUP($C46,$C$3:$D$15,2,FALSE)*DB$20)</f>
        <v>0</v>
      </c>
      <c r="DD48" s="762">
        <f xml:space="preserve">
IF(
SUM(SUMIF(防護具!$Y$13:$Y$29,DD$17&amp;$C46,防護具!$Q$13:$Q$29),DC48)-VLOOKUP($C46,$C$3:$D$15,2,FALSE)*DC$20&lt;0,0,
SUM(SUMIF(防護具!$Y$13:$Y$29,DD$17&amp;$C46,防護具!$Q$13:$Q$29),DC48)-VLOOKUP($C46,$C$3:$D$15,2,FALSE)*DC$20)</f>
        <v>0</v>
      </c>
      <c r="DE48" s="762">
        <f xml:space="preserve">
IF(
SUM(SUMIF(防護具!$Y$13:$Y$29,DE$17&amp;$C46,防護具!$Q$13:$Q$29),DD48)-VLOOKUP($C46,$C$3:$D$15,2,FALSE)*DD$20&lt;0,0,
SUM(SUMIF(防護具!$Y$13:$Y$29,DE$17&amp;$C46,防護具!$Q$13:$Q$29),DD48)-VLOOKUP($C46,$C$3:$D$15,2,FALSE)*DD$20)</f>
        <v>0</v>
      </c>
      <c r="DF48" s="762">
        <f xml:space="preserve">
IF(
SUM(SUMIF(防護具!$Y$13:$Y$29,DF$17&amp;$C46,防護具!$Q$13:$Q$29),DE48)-VLOOKUP($C46,$C$3:$D$15,2,FALSE)*DE$20&lt;0,0,
SUM(SUMIF(防護具!$Y$13:$Y$29,DF$17&amp;$C46,防護具!$Q$13:$Q$29),DE48)-VLOOKUP($C46,$C$3:$D$15,2,FALSE)*DE$20)</f>
        <v>0</v>
      </c>
      <c r="DG48" s="762">
        <f xml:space="preserve">
IF(
SUM(SUMIF(防護具!$Y$13:$Y$29,DG$17&amp;$C46,防護具!$Q$13:$Q$29),DF48)-VLOOKUP($C46,$C$3:$D$15,2,FALSE)*DF$20&lt;0,0,
SUM(SUMIF(防護具!$Y$13:$Y$29,DG$17&amp;$C46,防護具!$Q$13:$Q$29),DF48)-VLOOKUP($C46,$C$3:$D$15,2,FALSE)*DF$20)</f>
        <v>0</v>
      </c>
      <c r="DH48" s="762">
        <f xml:space="preserve">
IF(
SUM(SUMIF(防護具!$Y$13:$Y$29,DH$17&amp;$C46,防護具!$Q$13:$Q$29),DG48)-VLOOKUP($C46,$C$3:$D$15,2,FALSE)*DG$20&lt;0,0,
SUM(SUMIF(防護具!$Y$13:$Y$29,DH$17&amp;$C46,防護具!$Q$13:$Q$29),DG48)-VLOOKUP($C46,$C$3:$D$15,2,FALSE)*DG$20)</f>
        <v>0</v>
      </c>
      <c r="DI48" s="762">
        <f xml:space="preserve">
IF(
SUM(SUMIF(防護具!$Y$13:$Y$29,DI$17&amp;$C46,防護具!$Q$13:$Q$29),DH48)-VLOOKUP($C46,$C$3:$D$15,2,FALSE)*DH$20&lt;0,0,
SUM(SUMIF(防護具!$Y$13:$Y$29,DI$17&amp;$C46,防護具!$Q$13:$Q$29),DH48)-VLOOKUP($C46,$C$3:$D$15,2,FALSE)*DH$20)</f>
        <v>0</v>
      </c>
      <c r="DJ48" s="762">
        <f xml:space="preserve">
IF(
SUM(SUMIF(防護具!$Y$13:$Y$29,DJ$17&amp;$C46,防護具!$Q$13:$Q$29),DI48)-VLOOKUP($C46,$C$3:$D$15,2,FALSE)*DI$20&lt;0,0,
SUM(SUMIF(防護具!$Y$13:$Y$29,DJ$17&amp;$C46,防護具!$Q$13:$Q$29),DI48)-VLOOKUP($C46,$C$3:$D$15,2,FALSE)*DI$20)</f>
        <v>0</v>
      </c>
      <c r="DK48" s="762">
        <f xml:space="preserve">
IF(
SUM(SUMIF(防護具!$Y$13:$Y$29,DK$17&amp;$C46,防護具!$Q$13:$Q$29),DJ48)-VLOOKUP($C46,$C$3:$D$15,2,FALSE)*DJ$20&lt;0,0,
SUM(SUMIF(防護具!$Y$13:$Y$29,DK$17&amp;$C46,防護具!$Q$13:$Q$29),DJ48)-VLOOKUP($C46,$C$3:$D$15,2,FALSE)*DJ$20)</f>
        <v>0</v>
      </c>
      <c r="DL48" s="762">
        <f xml:space="preserve">
IF(
SUM(SUMIF(防護具!$Y$13:$Y$29,DL$17&amp;$C46,防護具!$Q$13:$Q$29),DK48)-VLOOKUP($C46,$C$3:$D$15,2,FALSE)*DK$20&lt;0,0,
SUM(SUMIF(防護具!$Y$13:$Y$29,DL$17&amp;$C46,防護具!$Q$13:$Q$29),DK48)-VLOOKUP($C46,$C$3:$D$15,2,FALSE)*DK$20)</f>
        <v>0</v>
      </c>
      <c r="DM48" s="762">
        <f xml:space="preserve">
IF(
SUM(SUMIF(防護具!$Y$13:$Y$29,DM$17&amp;$C46,防護具!$Q$13:$Q$29),DL48)-VLOOKUP($C46,$C$3:$D$15,2,FALSE)*DL$20&lt;0,0,
SUM(SUMIF(防護具!$Y$13:$Y$29,DM$17&amp;$C46,防護具!$Q$13:$Q$29),DL48)-VLOOKUP($C46,$C$3:$D$15,2,FALSE)*DL$20)</f>
        <v>0</v>
      </c>
      <c r="DN48" s="762">
        <f xml:space="preserve">
IF(
SUM(SUMIF(防護具!$Y$13:$Y$29,DN$17&amp;$C46,防護具!$Q$13:$Q$29),DM48)-VLOOKUP($C46,$C$3:$D$15,2,FALSE)*DM$20&lt;0,0,
SUM(SUMIF(防護具!$Y$13:$Y$29,DN$17&amp;$C46,防護具!$Q$13:$Q$29),DM48)-VLOOKUP($C46,$C$3:$D$15,2,FALSE)*DM$20)</f>
        <v>0</v>
      </c>
      <c r="DO48" s="762">
        <f xml:space="preserve">
IF(
SUM(SUMIF(防護具!$Y$13:$Y$29,DO$17&amp;$C46,防護具!$Q$13:$Q$29),DN48)-VLOOKUP($C46,$C$3:$D$15,2,FALSE)*DN$20&lt;0,0,
SUM(SUMIF(防護具!$Y$13:$Y$29,DO$17&amp;$C46,防護具!$Q$13:$Q$29),DN48)-VLOOKUP($C46,$C$3:$D$15,2,FALSE)*DN$20)</f>
        <v>0</v>
      </c>
      <c r="DP48" s="762">
        <f xml:space="preserve">
IF(
SUM(SUMIF(防護具!$Y$13:$Y$29,DP$17&amp;$C46,防護具!$Q$13:$Q$29),DO48)-VLOOKUP($C46,$C$3:$D$15,2,FALSE)*DO$20&lt;0,0,
SUM(SUMIF(防護具!$Y$13:$Y$29,DP$17&amp;$C46,防護具!$Q$13:$Q$29),DO48)-VLOOKUP($C46,$C$3:$D$15,2,FALSE)*DO$20)</f>
        <v>0</v>
      </c>
      <c r="DQ48" s="762">
        <f xml:space="preserve">
IF(
SUM(SUMIF(防護具!$Y$13:$Y$29,DQ$17&amp;$C46,防護具!$Q$13:$Q$29),DP48)-VLOOKUP($C46,$C$3:$D$15,2,FALSE)*DP$20&lt;0,0,
SUM(SUMIF(防護具!$Y$13:$Y$29,DQ$17&amp;$C46,防護具!$Q$13:$Q$29),DP48)-VLOOKUP($C46,$C$3:$D$15,2,FALSE)*DP$20)</f>
        <v>0</v>
      </c>
      <c r="DR48" s="762">
        <f xml:space="preserve">
IF(
SUM(SUMIF(防護具!$Y$13:$Y$29,DR$17&amp;$C46,防護具!$Q$13:$Q$29),DQ48)-VLOOKUP($C46,$C$3:$D$15,2,FALSE)*DQ$20&lt;0,0,
SUM(SUMIF(防護具!$Y$13:$Y$29,DR$17&amp;$C46,防護具!$Q$13:$Q$29),DQ48)-VLOOKUP($C46,$C$3:$D$15,2,FALSE)*DQ$20)</f>
        <v>0</v>
      </c>
      <c r="DS48" s="762">
        <f xml:space="preserve">
IF(
SUM(SUMIF(防護具!$Y$13:$Y$29,DS$17&amp;$C46,防護具!$Q$13:$Q$29),DR48)-VLOOKUP($C46,$C$3:$D$15,2,FALSE)*DR$20&lt;0,0,
SUM(SUMIF(防護具!$Y$13:$Y$29,DS$17&amp;$C46,防護具!$Q$13:$Q$29),DR48)-VLOOKUP($C46,$C$3:$D$15,2,FALSE)*DR$20)</f>
        <v>0</v>
      </c>
      <c r="DT48" s="762">
        <f xml:space="preserve">
IF(
SUM(SUMIF(防護具!$Y$13:$Y$29,DT$17&amp;$C46,防護具!$Q$13:$Q$29),DS48)-VLOOKUP($C46,$C$3:$D$15,2,FALSE)*DS$20&lt;0,0,
SUM(SUMIF(防護具!$Y$13:$Y$29,DT$17&amp;$C46,防護具!$Q$13:$Q$29),DS48)-VLOOKUP($C46,$C$3:$D$15,2,FALSE)*DS$20)</f>
        <v>0</v>
      </c>
      <c r="DU48" s="762">
        <f xml:space="preserve">
IF(
SUM(SUMIF(防護具!$Y$13:$Y$29,DU$17&amp;$C46,防護具!$Q$13:$Q$29),DT48)-VLOOKUP($C46,$C$3:$D$15,2,FALSE)*DT$20&lt;0,0,
SUM(SUMIF(防護具!$Y$13:$Y$29,DU$17&amp;$C46,防護具!$Q$13:$Q$29),DT48)-VLOOKUP($C46,$C$3:$D$15,2,FALSE)*DT$20)</f>
        <v>0</v>
      </c>
      <c r="DV48" s="762">
        <f xml:space="preserve">
IF(
SUM(SUMIF(防護具!$Y$13:$Y$29,DV$17&amp;$C46,防護具!$Q$13:$Q$29),DU48)-VLOOKUP($C46,$C$3:$D$15,2,FALSE)*DU$20&lt;0,0,
SUM(SUMIF(防護具!$Y$13:$Y$29,DV$17&amp;$C46,防護具!$Q$13:$Q$29),DU48)-VLOOKUP($C46,$C$3:$D$15,2,FALSE)*DU$20)</f>
        <v>0</v>
      </c>
      <c r="DW48" s="762">
        <f xml:space="preserve">
IF(
SUM(SUMIF(防護具!$Y$13:$Y$29,DW$17&amp;$C46,防護具!$Q$13:$Q$29),DV48)-VLOOKUP($C46,$C$3:$D$15,2,FALSE)*DV$20&lt;0,0,
SUM(SUMIF(防護具!$Y$13:$Y$29,DW$17&amp;$C46,防護具!$Q$13:$Q$29),DV48)-VLOOKUP($C46,$C$3:$D$15,2,FALSE)*DV$20)</f>
        <v>0</v>
      </c>
      <c r="DX48" s="762">
        <f xml:space="preserve">
IF(
SUM(SUMIF(防護具!$Y$13:$Y$29,DX$17&amp;$C46,防護具!$Q$13:$Q$29),DW48)-VLOOKUP($C46,$C$3:$D$15,2,FALSE)*DW$20&lt;0,0,
SUM(SUMIF(防護具!$Y$13:$Y$29,DX$17&amp;$C46,防護具!$Q$13:$Q$29),DW48)-VLOOKUP($C46,$C$3:$D$15,2,FALSE)*DW$20)</f>
        <v>0</v>
      </c>
      <c r="DY48" s="762">
        <f xml:space="preserve">
IF(
SUM(SUMIF(防護具!$Y$13:$Y$29,DY$17&amp;$C46,防護具!$Q$13:$Q$29),DX48)-VLOOKUP($C46,$C$3:$D$15,2,FALSE)*DX$20&lt;0,0,
SUM(SUMIF(防護具!$Y$13:$Y$29,DY$17&amp;$C46,防護具!$Q$13:$Q$29),DX48)-VLOOKUP($C46,$C$3:$D$15,2,FALSE)*DX$20)</f>
        <v>0</v>
      </c>
      <c r="DZ48" s="762">
        <f xml:space="preserve">
IF(
SUM(SUMIF(防護具!$Y$13:$Y$29,DZ$17&amp;$C46,防護具!$Q$13:$Q$29),DY48)-VLOOKUP($C46,$C$3:$D$15,2,FALSE)*DY$20&lt;0,0,
SUM(SUMIF(防護具!$Y$13:$Y$29,DZ$17&amp;$C46,防護具!$Q$13:$Q$29),DY48)-VLOOKUP($C46,$C$3:$D$15,2,FALSE)*DY$20)</f>
        <v>0</v>
      </c>
      <c r="EA48" s="762">
        <f xml:space="preserve">
IF(
SUM(SUMIF(防護具!$Y$13:$Y$29,EA$17&amp;$C46,防護具!$Q$13:$Q$29),DZ48)-VLOOKUP($C46,$C$3:$D$15,2,FALSE)*DZ$20&lt;0,0,
SUM(SUMIF(防護具!$Y$13:$Y$29,EA$17&amp;$C46,防護具!$Q$13:$Q$29),DZ48)-VLOOKUP($C46,$C$3:$D$15,2,FALSE)*DZ$20)</f>
        <v>0</v>
      </c>
      <c r="EB48" s="762">
        <f xml:space="preserve">
IF(
SUM(SUMIF(防護具!$Y$13:$Y$29,EB$17&amp;$C46,防護具!$Q$13:$Q$29),EA48)-VLOOKUP($C46,$C$3:$D$15,2,FALSE)*EA$20&lt;0,0,
SUM(SUMIF(防護具!$Y$13:$Y$29,EB$17&amp;$C46,防護具!$Q$13:$Q$29),EA48)-VLOOKUP($C46,$C$3:$D$15,2,FALSE)*EA$20)</f>
        <v>0</v>
      </c>
      <c r="EC48" s="762">
        <f xml:space="preserve">
IF(
SUM(SUMIF(防護具!$Y$13:$Y$29,EC$17&amp;$C46,防護具!$Q$13:$Q$29),EB48)-VLOOKUP($C46,$C$3:$D$15,2,FALSE)*EB$20&lt;0,0,
SUM(SUMIF(防護具!$Y$13:$Y$29,EC$17&amp;$C46,防護具!$Q$13:$Q$29),EB48)-VLOOKUP($C46,$C$3:$D$15,2,FALSE)*EB$20)</f>
        <v>0</v>
      </c>
      <c r="ED48" s="762">
        <f xml:space="preserve">
IF(
SUM(SUMIF(防護具!$Y$13:$Y$29,ED$17&amp;$C46,防護具!$Q$13:$Q$29),EC48)-VLOOKUP($C46,$C$3:$D$15,2,FALSE)*EC$20&lt;0,0,
SUM(SUMIF(防護具!$Y$13:$Y$29,ED$17&amp;$C46,防護具!$Q$13:$Q$29),EC48)-VLOOKUP($C46,$C$3:$D$15,2,FALSE)*EC$20)</f>
        <v>0</v>
      </c>
      <c r="EE48" s="762">
        <f xml:space="preserve">
IF(
SUM(SUMIF(防護具!$Y$13:$Y$29,EE$17&amp;$C46,防護具!$Q$13:$Q$29),ED48)-VLOOKUP($C46,$C$3:$D$15,2,FALSE)*ED$20&lt;0,0,
SUM(SUMIF(防護具!$Y$13:$Y$29,EE$17&amp;$C46,防護具!$Q$13:$Q$29),ED48)-VLOOKUP($C46,$C$3:$D$15,2,FALSE)*ED$20)</f>
        <v>0</v>
      </c>
      <c r="EF48" s="762">
        <f xml:space="preserve">
IF(
SUM(SUMIF(防護具!$Y$13:$Y$29,EF$17&amp;$C46,防護具!$Q$13:$Q$29),EE48)-VLOOKUP($C46,$C$3:$D$15,2,FALSE)*EE$20&lt;0,0,
SUM(SUMIF(防護具!$Y$13:$Y$29,EF$17&amp;$C46,防護具!$Q$13:$Q$29),EE48)-VLOOKUP($C46,$C$3:$D$15,2,FALSE)*EE$20)</f>
        <v>0</v>
      </c>
      <c r="EG48" s="762">
        <f xml:space="preserve">
IF(
SUM(SUMIF(防護具!$Y$13:$Y$29,EG$17&amp;$C46,防護具!$Q$13:$Q$29),EF48)-VLOOKUP($C46,$C$3:$D$15,2,FALSE)*EF$20&lt;0,0,
SUM(SUMIF(防護具!$Y$13:$Y$29,EG$17&amp;$C46,防護具!$Q$13:$Q$29),EF48)-VLOOKUP($C46,$C$3:$D$15,2,FALSE)*EF$20)</f>
        <v>0</v>
      </c>
      <c r="EH48" s="762">
        <f xml:space="preserve">
IF(
SUM(SUMIF(防護具!$Y$13:$Y$29,EH$17&amp;$C46,防護具!$Q$13:$Q$29),EG48)-VLOOKUP($C46,$C$3:$D$15,2,FALSE)*EG$20&lt;0,0,
SUM(SUMIF(防護具!$Y$13:$Y$29,EH$17&amp;$C46,防護具!$Q$13:$Q$29),EG48)-VLOOKUP($C46,$C$3:$D$15,2,FALSE)*EG$20)</f>
        <v>0</v>
      </c>
      <c r="EI48" s="762">
        <f xml:space="preserve">
IF(
SUM(SUMIF(防護具!$Y$13:$Y$29,EI$17&amp;$C46,防護具!$Q$13:$Q$29),EH48)-VLOOKUP($C46,$C$3:$D$15,2,FALSE)*EH$20&lt;0,0,
SUM(SUMIF(防護具!$Y$13:$Y$29,EI$17&amp;$C46,防護具!$Q$13:$Q$29),EH48)-VLOOKUP($C46,$C$3:$D$15,2,FALSE)*EH$20)</f>
        <v>0</v>
      </c>
      <c r="EJ48" s="762">
        <f xml:space="preserve">
IF(
SUM(SUMIF(防護具!$Y$13:$Y$29,EJ$17&amp;$C46,防護具!$Q$13:$Q$29),EI48)-VLOOKUP($C46,$C$3:$D$15,2,FALSE)*EI$20&lt;0,0,
SUM(SUMIF(防護具!$Y$13:$Y$29,EJ$17&amp;$C46,防護具!$Q$13:$Q$29),EI48)-VLOOKUP($C46,$C$3:$D$15,2,FALSE)*EI$20)</f>
        <v>0</v>
      </c>
      <c r="EK48" s="762">
        <f xml:space="preserve">
IF(
SUM(SUMIF(防護具!$Y$13:$Y$29,EK$17&amp;$C46,防護具!$Q$13:$Q$29),EJ48)-VLOOKUP($C46,$C$3:$D$15,2,FALSE)*EJ$20&lt;0,0,
SUM(SUMIF(防護具!$Y$13:$Y$29,EK$17&amp;$C46,防護具!$Q$13:$Q$29),EJ48)-VLOOKUP($C46,$C$3:$D$15,2,FALSE)*EJ$20)</f>
        <v>0</v>
      </c>
      <c r="EL48" s="762">
        <f xml:space="preserve">
IF(
SUM(SUMIF(防護具!$Y$13:$Y$29,EL$17&amp;$C46,防護具!$Q$13:$Q$29),EK48)-VLOOKUP($C46,$C$3:$D$15,2,FALSE)*EK$20&lt;0,0,
SUM(SUMIF(防護具!$Y$13:$Y$29,EL$17&amp;$C46,防護具!$Q$13:$Q$29),EK48)-VLOOKUP($C46,$C$3:$D$15,2,FALSE)*EK$20)</f>
        <v>0</v>
      </c>
      <c r="EM48" s="762">
        <f xml:space="preserve">
IF(
SUM(SUMIF(防護具!$Y$13:$Y$29,EM$17&amp;$C46,防護具!$Q$13:$Q$29),EL48)-VLOOKUP($C46,$C$3:$D$15,2,FALSE)*EL$20&lt;0,0,
SUM(SUMIF(防護具!$Y$13:$Y$29,EM$17&amp;$C46,防護具!$Q$13:$Q$29),EL48)-VLOOKUP($C46,$C$3:$D$15,2,FALSE)*EL$20)</f>
        <v>0</v>
      </c>
      <c r="EN48" s="762">
        <f xml:space="preserve">
IF(
SUM(SUMIF(防護具!$Y$13:$Y$29,EN$17&amp;$C46,防護具!$Q$13:$Q$29),EM48)-VLOOKUP($C46,$C$3:$D$15,2,FALSE)*EM$20&lt;0,0,
SUM(SUMIF(防護具!$Y$13:$Y$29,EN$17&amp;$C46,防護具!$Q$13:$Q$29),EM48)-VLOOKUP($C46,$C$3:$D$15,2,FALSE)*EM$20)</f>
        <v>0</v>
      </c>
      <c r="EO48" s="762">
        <f xml:space="preserve">
IF(
SUM(SUMIF(防護具!$Y$13:$Y$29,EO$17&amp;$C46,防護具!$Q$13:$Q$29),EN48)-VLOOKUP($C46,$C$3:$D$15,2,FALSE)*EN$20&lt;0,0,
SUM(SUMIF(防護具!$Y$13:$Y$29,EO$17&amp;$C46,防護具!$Q$13:$Q$29),EN48)-VLOOKUP($C46,$C$3:$D$15,2,FALSE)*EN$20)</f>
        <v>0</v>
      </c>
      <c r="EP48" s="762">
        <f xml:space="preserve">
IF(
SUM(SUMIF(防護具!$Y$13:$Y$29,EP$17&amp;$C46,防護具!$Q$13:$Q$29),EO48)-VLOOKUP($C46,$C$3:$D$15,2,FALSE)*EO$20&lt;0,0,
SUM(SUMIF(防護具!$Y$13:$Y$29,EP$17&amp;$C46,防護具!$Q$13:$Q$29),EO48)-VLOOKUP($C46,$C$3:$D$15,2,FALSE)*EO$20)</f>
        <v>0</v>
      </c>
      <c r="EQ48" s="762">
        <f xml:space="preserve">
IF(
SUM(SUMIF(防護具!$Y$13:$Y$29,EQ$17&amp;$C46,防護具!$Q$13:$Q$29),EP48)-VLOOKUP($C46,$C$3:$D$15,2,FALSE)*EP$20&lt;0,0,
SUM(SUMIF(防護具!$Y$13:$Y$29,EQ$17&amp;$C46,防護具!$Q$13:$Q$29),EP48)-VLOOKUP($C46,$C$3:$D$15,2,FALSE)*EP$20)</f>
        <v>0</v>
      </c>
      <c r="ER48" s="762">
        <f xml:space="preserve">
IF(
SUM(SUMIF(防護具!$Y$13:$Y$29,ER$17&amp;$C46,防護具!$Q$13:$Q$29),EQ48)-VLOOKUP($C46,$C$3:$D$15,2,FALSE)*EQ$20&lt;0,0,
SUM(SUMIF(防護具!$Y$13:$Y$29,ER$17&amp;$C46,防護具!$Q$13:$Q$29),EQ48)-VLOOKUP($C46,$C$3:$D$15,2,FALSE)*EQ$20)</f>
        <v>0</v>
      </c>
      <c r="ES48" s="762">
        <f xml:space="preserve">
IF(
SUM(SUMIF(防護具!$Y$13:$Y$29,ES$17&amp;$C46,防護具!$Q$13:$Q$29),ER48)-VLOOKUP($C46,$C$3:$D$15,2,FALSE)*ER$20&lt;0,0,
SUM(SUMIF(防護具!$Y$13:$Y$29,ES$17&amp;$C46,防護具!$Q$13:$Q$29),ER48)-VLOOKUP($C46,$C$3:$D$15,2,FALSE)*ER$20)</f>
        <v>0</v>
      </c>
      <c r="ET48" s="762">
        <f xml:space="preserve">
IF(
SUM(SUMIF(防護具!$Y$13:$Y$29,ET$17&amp;$C46,防護具!$Q$13:$Q$29),ES48)-VLOOKUP($C46,$C$3:$D$15,2,FALSE)*ES$20&lt;0,0,
SUM(SUMIF(防護具!$Y$13:$Y$29,ET$17&amp;$C46,防護具!$Q$13:$Q$29),ES48)-VLOOKUP($C46,$C$3:$D$15,2,FALSE)*ES$20)</f>
        <v>0</v>
      </c>
      <c r="EU48" s="762">
        <f xml:space="preserve">
IF(
SUM(SUMIF(防護具!$Y$13:$Y$29,EU$17&amp;$C46,防護具!$Q$13:$Q$29),ET48)-VLOOKUP($C46,$C$3:$D$15,2,FALSE)*ET$20&lt;0,0,
SUM(SUMIF(防護具!$Y$13:$Y$29,EU$17&amp;$C46,防護具!$Q$13:$Q$29),ET48)-VLOOKUP($C46,$C$3:$D$15,2,FALSE)*ET$20)</f>
        <v>0</v>
      </c>
      <c r="EV48" s="762">
        <f xml:space="preserve">
IF(
SUM(SUMIF(防護具!$Y$13:$Y$29,EV$17&amp;$C46,防護具!$Q$13:$Q$29),EU48)-VLOOKUP($C46,$C$3:$D$15,2,FALSE)*EU$20&lt;0,0,
SUM(SUMIF(防護具!$Y$13:$Y$29,EV$17&amp;$C46,防護具!$Q$13:$Q$29),EU48)-VLOOKUP($C46,$C$3:$D$15,2,FALSE)*EU$20)</f>
        <v>0</v>
      </c>
      <c r="EW48" s="762">
        <f xml:space="preserve">
IF(
SUM(SUMIF(防護具!$Y$13:$Y$29,EW$17&amp;$C46,防護具!$Q$13:$Q$29),EV48)-VLOOKUP($C46,$C$3:$D$15,2,FALSE)*EV$20&lt;0,0,
SUM(SUMIF(防護具!$Y$13:$Y$29,EW$17&amp;$C46,防護具!$Q$13:$Q$29),EV48)-VLOOKUP($C46,$C$3:$D$15,2,FALSE)*EV$20)</f>
        <v>0</v>
      </c>
      <c r="EX48" s="762">
        <f xml:space="preserve">
IF(
SUM(SUMIF(防護具!$Y$13:$Y$29,EX$17&amp;$C46,防護具!$Q$13:$Q$29),EW48)-VLOOKUP($C46,$C$3:$D$15,2,FALSE)*EW$20&lt;0,0,
SUM(SUMIF(防護具!$Y$13:$Y$29,EX$17&amp;$C46,防護具!$Q$13:$Q$29),EW48)-VLOOKUP($C46,$C$3:$D$15,2,FALSE)*EW$20)</f>
        <v>0</v>
      </c>
      <c r="EY48" s="762">
        <f xml:space="preserve">
IF(
SUM(SUMIF(防護具!$Y$13:$Y$29,EY$17&amp;$C46,防護具!$Q$13:$Q$29),EX48)-VLOOKUP($C46,$C$3:$D$15,2,FALSE)*EX$20&lt;0,0,
SUM(SUMIF(防護具!$Y$13:$Y$29,EY$17&amp;$C46,防護具!$Q$13:$Q$29),EX48)-VLOOKUP($C46,$C$3:$D$15,2,FALSE)*EX$20)</f>
        <v>0</v>
      </c>
      <c r="EZ48" s="762">
        <f xml:space="preserve">
IF(
SUM(SUMIF(防護具!$Y$13:$Y$29,EZ$17&amp;$C46,防護具!$Q$13:$Q$29),EY48)-VLOOKUP($C46,$C$3:$D$15,2,FALSE)*EY$20&lt;0,0,
SUM(SUMIF(防護具!$Y$13:$Y$29,EZ$17&amp;$C46,防護具!$Q$13:$Q$29),EY48)-VLOOKUP($C46,$C$3:$D$15,2,FALSE)*EY$20)</f>
        <v>0</v>
      </c>
      <c r="FA48" s="762">
        <f xml:space="preserve">
IF(
SUM(SUMIF(防護具!$Y$13:$Y$29,FA$17&amp;$C46,防護具!$Q$13:$Q$29),EZ48)-VLOOKUP($C46,$C$3:$D$15,2,FALSE)*EZ$20&lt;0,0,
SUM(SUMIF(防護具!$Y$13:$Y$29,FA$17&amp;$C46,防護具!$Q$13:$Q$29),EZ48)-VLOOKUP($C46,$C$3:$D$15,2,FALSE)*EZ$20)</f>
        <v>0</v>
      </c>
      <c r="FB48" s="762">
        <f xml:space="preserve">
IF(
SUM(SUMIF(防護具!$Y$13:$Y$29,FB$17&amp;$C46,防護具!$Q$13:$Q$29),FA48)-VLOOKUP($C46,$C$3:$D$15,2,FALSE)*FA$20&lt;0,0,
SUM(SUMIF(防護具!$Y$13:$Y$29,FB$17&amp;$C46,防護具!$Q$13:$Q$29),FA48)-VLOOKUP($C46,$C$3:$D$15,2,FALSE)*FA$20)</f>
        <v>0</v>
      </c>
      <c r="FC48" s="762">
        <f xml:space="preserve">
IF(
SUM(SUMIF(防護具!$Y$13:$Y$29,FC$17&amp;$C46,防護具!$Q$13:$Q$29),FB48)-VLOOKUP($C46,$C$3:$D$15,2,FALSE)*FB$20&lt;0,0,
SUM(SUMIF(防護具!$Y$13:$Y$29,FC$17&amp;$C46,防護具!$Q$13:$Q$29),FB48)-VLOOKUP($C46,$C$3:$D$15,2,FALSE)*FB$20)</f>
        <v>0</v>
      </c>
      <c r="FD48" s="762">
        <f xml:space="preserve">
IF(
SUM(SUMIF(防護具!$Y$13:$Y$29,FD$17&amp;$C46,防護具!$Q$13:$Q$29),FC48)-VLOOKUP($C46,$C$3:$D$15,2,FALSE)*FC$20&lt;0,0,
SUM(SUMIF(防護具!$Y$13:$Y$29,FD$17&amp;$C46,防護具!$Q$13:$Q$29),FC48)-VLOOKUP($C46,$C$3:$D$15,2,FALSE)*FC$20)</f>
        <v>0</v>
      </c>
      <c r="FE48" s="762">
        <f xml:space="preserve">
IF(
SUM(SUMIF(防護具!$Y$13:$Y$29,FE$17&amp;$C46,防護具!$Q$13:$Q$29),FD48)-VLOOKUP($C46,$C$3:$D$15,2,FALSE)*FD$20&lt;0,0,
SUM(SUMIF(防護具!$Y$13:$Y$29,FE$17&amp;$C46,防護具!$Q$13:$Q$29),FD48)-VLOOKUP($C46,$C$3:$D$15,2,FALSE)*FD$20)</f>
        <v>0</v>
      </c>
      <c r="FF48" s="762">
        <f xml:space="preserve">
IF(
SUM(SUMIF(防護具!$Y$13:$Y$29,FF$17&amp;$C46,防護具!$Q$13:$Q$29),FE48)-VLOOKUP($C46,$C$3:$D$15,2,FALSE)*FE$20&lt;0,0,
SUM(SUMIF(防護具!$Y$13:$Y$29,FF$17&amp;$C46,防護具!$Q$13:$Q$29),FE48)-VLOOKUP($C46,$C$3:$D$15,2,FALSE)*FE$20)</f>
        <v>0</v>
      </c>
      <c r="FG48" s="762">
        <f xml:space="preserve">
IF(
SUM(SUMIF(防護具!$Y$13:$Y$29,FG$17&amp;$C46,防護具!$Q$13:$Q$29),FF48)-VLOOKUP($C46,$C$3:$D$15,2,FALSE)*FF$20&lt;0,0,
SUM(SUMIF(防護具!$Y$13:$Y$29,FG$17&amp;$C46,防護具!$Q$13:$Q$29),FF48)-VLOOKUP($C46,$C$3:$D$15,2,FALSE)*FF$20)</f>
        <v>0</v>
      </c>
      <c r="FH48" s="762">
        <f xml:space="preserve">
IF(
SUM(SUMIF(防護具!$Y$13:$Y$29,FH$17&amp;$C46,防護具!$Q$13:$Q$29),FG48)-VLOOKUP($C46,$C$3:$D$15,2,FALSE)*FG$20&lt;0,0,
SUM(SUMIF(防護具!$Y$13:$Y$29,FH$17&amp;$C46,防護具!$Q$13:$Q$29),FG48)-VLOOKUP($C46,$C$3:$D$15,2,FALSE)*FG$20)</f>
        <v>0</v>
      </c>
      <c r="FI48" s="762">
        <f xml:space="preserve">
IF(
SUM(SUMIF(防護具!$Y$13:$Y$29,FI$17&amp;$C46,防護具!$Q$13:$Q$29),FH48)-VLOOKUP($C46,$C$3:$D$15,2,FALSE)*FH$20&lt;0,0,
SUM(SUMIF(防護具!$Y$13:$Y$29,FI$17&amp;$C46,防護具!$Q$13:$Q$29),FH48)-VLOOKUP($C46,$C$3:$D$15,2,FALSE)*FH$20)</f>
        <v>0</v>
      </c>
      <c r="FJ48" s="762">
        <f xml:space="preserve">
IF(
SUM(SUMIF(防護具!$Y$13:$Y$29,FJ$17&amp;$C46,防護具!$Q$13:$Q$29),FI48)-VLOOKUP($C46,$C$3:$D$15,2,FALSE)*FI$20&lt;0,0,
SUM(SUMIF(防護具!$Y$13:$Y$29,FJ$17&amp;$C46,防護具!$Q$13:$Q$29),FI48)-VLOOKUP($C46,$C$3:$D$15,2,FALSE)*FI$20)</f>
        <v>0</v>
      </c>
      <c r="FK48" s="762">
        <f xml:space="preserve">
IF(
SUM(SUMIF(防護具!$Y$13:$Y$29,FK$17&amp;$C46,防護具!$Q$13:$Q$29),FJ48)-VLOOKUP($C46,$C$3:$D$15,2,FALSE)*FJ$20&lt;0,0,
SUM(SUMIF(防護具!$Y$13:$Y$29,FK$17&amp;$C46,防護具!$Q$13:$Q$29),FJ48)-VLOOKUP($C46,$C$3:$D$15,2,FALSE)*FJ$20)</f>
        <v>0</v>
      </c>
      <c r="FL48" s="762">
        <f xml:space="preserve">
IF(
SUM(SUMIF(防護具!$Y$13:$Y$29,FL$17&amp;$C46,防護具!$Q$13:$Q$29),FK48)-VLOOKUP($C46,$C$3:$D$15,2,FALSE)*FK$20&lt;0,0,
SUM(SUMIF(防護具!$Y$13:$Y$29,FL$17&amp;$C46,防護具!$Q$13:$Q$29),FK48)-VLOOKUP($C46,$C$3:$D$15,2,FALSE)*FK$20)</f>
        <v>0</v>
      </c>
      <c r="FM48" s="762">
        <f xml:space="preserve">
IF(
SUM(SUMIF(防護具!$Y$13:$Y$29,FM$17&amp;$C46,防護具!$Q$13:$Q$29),FL48)-VLOOKUP($C46,$C$3:$D$15,2,FALSE)*FL$20&lt;0,0,
SUM(SUMIF(防護具!$Y$13:$Y$29,FM$17&amp;$C46,防護具!$Q$13:$Q$29),FL48)-VLOOKUP($C46,$C$3:$D$15,2,FALSE)*FL$20)</f>
        <v>0</v>
      </c>
      <c r="FN48" s="762">
        <f xml:space="preserve">
IF(
SUM(SUMIF(防護具!$Y$13:$Y$29,FN$17&amp;$C46,防護具!$Q$13:$Q$29),FM48)-VLOOKUP($C46,$C$3:$D$15,2,FALSE)*FM$20&lt;0,0,
SUM(SUMIF(防護具!$Y$13:$Y$29,FN$17&amp;$C46,防護具!$Q$13:$Q$29),FM48)-VLOOKUP($C46,$C$3:$D$15,2,FALSE)*FM$20)</f>
        <v>0</v>
      </c>
      <c r="FO48" s="762">
        <f xml:space="preserve">
IF(
SUM(SUMIF(防護具!$Y$13:$Y$29,FO$17&amp;$C46,防護具!$Q$13:$Q$29),FN48)-VLOOKUP($C46,$C$3:$D$15,2,FALSE)*FN$20&lt;0,0,
SUM(SUMIF(防護具!$Y$13:$Y$29,FO$17&amp;$C46,防護具!$Q$13:$Q$29),FN48)-VLOOKUP($C46,$C$3:$D$15,2,FALSE)*FN$20)</f>
        <v>0</v>
      </c>
      <c r="FP48" s="762">
        <f xml:space="preserve">
IF(
SUM(SUMIF(防護具!$Y$13:$Y$29,FP$17&amp;$C46,防護具!$Q$13:$Q$29),FO48)-VLOOKUP($C46,$C$3:$D$15,2,FALSE)*FO$20&lt;0,0,
SUM(SUMIF(防護具!$Y$13:$Y$29,FP$17&amp;$C46,防護具!$Q$13:$Q$29),FO48)-VLOOKUP($C46,$C$3:$D$15,2,FALSE)*FO$20)</f>
        <v>0</v>
      </c>
      <c r="FQ48" s="762">
        <f xml:space="preserve">
IF(
SUM(SUMIF(防護具!$Y$13:$Y$29,FQ$17&amp;$C46,防護具!$Q$13:$Q$29),FP48)-VLOOKUP($C46,$C$3:$D$15,2,FALSE)*FP$20&lt;0,0,
SUM(SUMIF(防護具!$Y$13:$Y$29,FQ$17&amp;$C46,防護具!$Q$13:$Q$29),FP48)-VLOOKUP($C46,$C$3:$D$15,2,FALSE)*FP$20)</f>
        <v>0</v>
      </c>
      <c r="FR48" s="762">
        <f xml:space="preserve">
IF(
SUM(SUMIF(防護具!$Y$13:$Y$29,FR$17&amp;$C46,防護具!$Q$13:$Q$29),FQ48)-VLOOKUP($C46,$C$3:$D$15,2,FALSE)*FQ$20&lt;0,0,
SUM(SUMIF(防護具!$Y$13:$Y$29,FR$17&amp;$C46,防護具!$Q$13:$Q$29),FQ48)-VLOOKUP($C46,$C$3:$D$15,2,FALSE)*FQ$20)</f>
        <v>0</v>
      </c>
      <c r="FS48" s="762">
        <f xml:space="preserve">
IF(
SUM(SUMIF(防護具!$Y$13:$Y$29,FS$17&amp;$C46,防護具!$Q$13:$Q$29),FR48)-VLOOKUP($C46,$C$3:$D$15,2,FALSE)*FR$20&lt;0,0,
SUM(SUMIF(防護具!$Y$13:$Y$29,FS$17&amp;$C46,防護具!$Q$13:$Q$29),FR48)-VLOOKUP($C46,$C$3:$D$15,2,FALSE)*FR$20)</f>
        <v>0</v>
      </c>
      <c r="FT48" s="762">
        <f xml:space="preserve">
IF(
SUM(SUMIF(防護具!$Y$13:$Y$29,FT$17&amp;$C46,防護具!$Q$13:$Q$29),FS48)-VLOOKUP($C46,$C$3:$D$15,2,FALSE)*FS$20&lt;0,0,
SUM(SUMIF(防護具!$Y$13:$Y$29,FT$17&amp;$C46,防護具!$Q$13:$Q$29),FS48)-VLOOKUP($C46,$C$3:$D$15,2,FALSE)*FS$20)</f>
        <v>0</v>
      </c>
      <c r="FU48" s="762">
        <f xml:space="preserve">
IF(
SUM(SUMIF(防護具!$Y$13:$Y$29,FU$17&amp;$C46,防護具!$Q$13:$Q$29),FT48)-VLOOKUP($C46,$C$3:$D$15,2,FALSE)*FT$20&lt;0,0,
SUM(SUMIF(防護具!$Y$13:$Y$29,FU$17&amp;$C46,防護具!$Q$13:$Q$29),FT48)-VLOOKUP($C46,$C$3:$D$15,2,FALSE)*FT$20)</f>
        <v>0</v>
      </c>
      <c r="FV48" s="762">
        <f xml:space="preserve">
IF(
SUM(SUMIF(防護具!$Y$13:$Y$29,FV$17&amp;$C46,防護具!$Q$13:$Q$29),FU48)-VLOOKUP($C46,$C$3:$D$15,2,FALSE)*FU$20&lt;0,0,
SUM(SUMIF(防護具!$Y$13:$Y$29,FV$17&amp;$C46,防護具!$Q$13:$Q$29),FU48)-VLOOKUP($C46,$C$3:$D$15,2,FALSE)*FU$20)</f>
        <v>0</v>
      </c>
      <c r="FW48" s="762">
        <f xml:space="preserve">
IF(
SUM(SUMIF(防護具!$Y$13:$Y$29,FW$17&amp;$C46,防護具!$Q$13:$Q$29),FV48)-VLOOKUP($C46,$C$3:$D$15,2,FALSE)*FV$20&lt;0,0,
SUM(SUMIF(防護具!$Y$13:$Y$29,FW$17&amp;$C46,防護具!$Q$13:$Q$29),FV48)-VLOOKUP($C46,$C$3:$D$15,2,FALSE)*FV$20)</f>
        <v>0</v>
      </c>
      <c r="FX48" s="762">
        <f xml:space="preserve">
IF(
SUM(SUMIF(防護具!$Y$13:$Y$29,FX$17&amp;$C46,防護具!$Q$13:$Q$29),FW48)-VLOOKUP($C46,$C$3:$D$15,2,FALSE)*FW$20&lt;0,0,
SUM(SUMIF(防護具!$Y$13:$Y$29,FX$17&amp;$C46,防護具!$Q$13:$Q$29),FW48)-VLOOKUP($C46,$C$3:$D$15,2,FALSE)*FW$20)</f>
        <v>0</v>
      </c>
      <c r="FY48" s="762">
        <f xml:space="preserve">
IF(
SUM(SUMIF(防護具!$Y$13:$Y$29,FY$17&amp;$C46,防護具!$Q$13:$Q$29),FX48)-VLOOKUP($C46,$C$3:$D$15,2,FALSE)*FX$20&lt;0,0,
SUM(SUMIF(防護具!$Y$13:$Y$29,FY$17&amp;$C46,防護具!$Q$13:$Q$29),FX48)-VLOOKUP($C46,$C$3:$D$15,2,FALSE)*FX$20)</f>
        <v>0</v>
      </c>
      <c r="FZ48" s="762">
        <f xml:space="preserve">
IF(
SUM(SUMIF(防護具!$Y$13:$Y$29,FZ$17&amp;$C46,防護具!$Q$13:$Q$29),FY48)-VLOOKUP($C46,$C$3:$D$15,2,FALSE)*FY$20&lt;0,0,
SUM(SUMIF(防護具!$Y$13:$Y$29,FZ$17&amp;$C46,防護具!$Q$13:$Q$29),FY48)-VLOOKUP($C46,$C$3:$D$15,2,FALSE)*FY$20)</f>
        <v>0</v>
      </c>
      <c r="GA48" s="762">
        <f xml:space="preserve">
IF(
SUM(SUMIF(防護具!$Y$13:$Y$29,GA$17&amp;$C46,防護具!$Q$13:$Q$29),FZ48)-VLOOKUP($C46,$C$3:$D$15,2,FALSE)*FZ$20&lt;0,0,
SUM(SUMIF(防護具!$Y$13:$Y$29,GA$17&amp;$C46,防護具!$Q$13:$Q$29),FZ48)-VLOOKUP($C46,$C$3:$D$15,2,FALSE)*FZ$20)</f>
        <v>0</v>
      </c>
      <c r="GB48" s="762">
        <f xml:space="preserve">
IF(
SUM(SUMIF(防護具!$Y$13:$Y$29,GB$17&amp;$C46,防護具!$Q$13:$Q$29),GA48)-VLOOKUP($C46,$C$3:$D$15,2,FALSE)*GA$20&lt;0,0,
SUM(SUMIF(防護具!$Y$13:$Y$29,GB$17&amp;$C46,防護具!$Q$13:$Q$29),GA48)-VLOOKUP($C46,$C$3:$D$15,2,FALSE)*GA$20)</f>
        <v>0</v>
      </c>
      <c r="GC48" s="762">
        <f xml:space="preserve">
IF(
SUM(SUMIF(防護具!$Y$13:$Y$29,GC$17&amp;$C46,防護具!$Q$13:$Q$29),GB48)-VLOOKUP($C46,$C$3:$D$15,2,FALSE)*GB$20&lt;0,0,
SUM(SUMIF(防護具!$Y$13:$Y$29,GC$17&amp;$C46,防護具!$Q$13:$Q$29),GB48)-VLOOKUP($C46,$C$3:$D$15,2,FALSE)*GB$20)</f>
        <v>0</v>
      </c>
      <c r="GD48" s="762">
        <f xml:space="preserve">
IF(
SUM(SUMIF(防護具!$Y$13:$Y$29,GD$17&amp;$C46,防護具!$Q$13:$Q$29),GC48)-VLOOKUP($C46,$C$3:$D$15,2,FALSE)*GC$20&lt;0,0,
SUM(SUMIF(防護具!$Y$13:$Y$29,GD$17&amp;$C46,防護具!$Q$13:$Q$29),GC48)-VLOOKUP($C46,$C$3:$D$15,2,FALSE)*GC$20)</f>
        <v>0</v>
      </c>
      <c r="GE48" s="762">
        <f xml:space="preserve">
IF(
SUM(SUMIF(防護具!$Y$13:$Y$29,GE$17&amp;$C46,防護具!$Q$13:$Q$29),GD48)-VLOOKUP($C46,$C$3:$D$15,2,FALSE)*GD$20&lt;0,0,
SUM(SUMIF(防護具!$Y$13:$Y$29,GE$17&amp;$C46,防護具!$Q$13:$Q$29),GD48)-VLOOKUP($C46,$C$3:$D$15,2,FALSE)*GD$20)</f>
        <v>0</v>
      </c>
      <c r="GF48" s="762">
        <f xml:space="preserve">
IF(
SUM(SUMIF(防護具!$Y$13:$Y$29,GF$17&amp;$C46,防護具!$Q$13:$Q$29),GE48)-VLOOKUP($C46,$C$3:$D$15,2,FALSE)*GE$20&lt;0,0,
SUM(SUMIF(防護具!$Y$13:$Y$29,GF$17&amp;$C46,防護具!$Q$13:$Q$29),GE48)-VLOOKUP($C46,$C$3:$D$15,2,FALSE)*GE$20)</f>
        <v>0</v>
      </c>
      <c r="GG48" s="762">
        <f xml:space="preserve">
IF(
SUM(SUMIF(防護具!$Y$13:$Y$29,GG$17&amp;$C46,防護具!$Q$13:$Q$29),GF48)-VLOOKUP($C46,$C$3:$D$15,2,FALSE)*GF$20&lt;0,0,
SUM(SUMIF(防護具!$Y$13:$Y$29,GG$17&amp;$C46,防護具!$Q$13:$Q$29),GF48)-VLOOKUP($C46,$C$3:$D$15,2,FALSE)*GF$20)</f>
        <v>0</v>
      </c>
      <c r="GH48" s="762">
        <f xml:space="preserve">
IF(
SUM(SUMIF(防護具!$Y$13:$Y$29,GH$17&amp;$C46,防護具!$Q$13:$Q$29),GG48)-VLOOKUP($C46,$C$3:$D$15,2,FALSE)*GG$20&lt;0,0,
SUM(SUMIF(防護具!$Y$13:$Y$29,GH$17&amp;$C46,防護具!$Q$13:$Q$29),GG48)-VLOOKUP($C46,$C$3:$D$15,2,FALSE)*GG$20)</f>
        <v>0</v>
      </c>
      <c r="GI48" s="762">
        <f xml:space="preserve">
IF(
SUM(SUMIF(防護具!$Y$13:$Y$29,GI$17&amp;$C46,防護具!$Q$13:$Q$29),GH48)-VLOOKUP($C46,$C$3:$D$15,2,FALSE)*GH$20&lt;0,0,
SUM(SUMIF(防護具!$Y$13:$Y$29,GI$17&amp;$C46,防護具!$Q$13:$Q$29),GH48)-VLOOKUP($C46,$C$3:$D$15,2,FALSE)*GH$20)</f>
        <v>0</v>
      </c>
      <c r="GJ48" s="762">
        <f xml:space="preserve">
IF(
SUM(SUMIF(防護具!$Y$13:$Y$29,GJ$17&amp;$C46,防護具!$Q$13:$Q$29),GI48)-VLOOKUP($C46,$C$3:$D$15,2,FALSE)*GI$20&lt;0,0,
SUM(SUMIF(防護具!$Y$13:$Y$29,GJ$17&amp;$C46,防護具!$Q$13:$Q$29),GI48)-VLOOKUP($C46,$C$3:$D$15,2,FALSE)*GI$20)</f>
        <v>0</v>
      </c>
    </row>
    <row r="49" spans="2:192" s="627" customFormat="1">
      <c r="B49" s="631"/>
      <c r="C49" s="626" t="s">
        <v>1232</v>
      </c>
      <c r="D49" s="702" t="s">
        <v>1423</v>
      </c>
      <c r="E49" s="707"/>
      <c r="F49" s="654"/>
      <c r="G49" s="763">
        <f xml:space="preserve">
MIN(G50,
IF((VLOOKUP($C49,$C$3:$D$15,2,FALSE)*G$20-G51)&lt;0,0,VLOOKUP($C49,$C$3:$D$15,2,FALSE)*G$20-G51))</f>
        <v>0</v>
      </c>
      <c r="H49" s="763">
        <f xml:space="preserve">
IF(G51&gt;=VLOOKUP($C49,$C$3:$D$15,2,FALSE)*H$20,0,
IF(AND(G51&lt;VLOOKUP($C49,$C$3:$D$15,2,FALSE)*H$20,H50&lt;=VLOOKUP($C49,$C$3:$D$15,2,FALSE)*H$20),IF(H50-G51&lt;0,0,H50-G51),
IF(AND(G51&lt;VLOOKUP($C49,$C$3:$D$15,2,FALSE)*H$20,H50&gt;VLOOKUP($C49,$C$3:$D$15,2,FALSE)*H$20),VLOOKUP($C49,$C$3:$D$15,2,FALSE)*H$20-G51)))</f>
        <v>0</v>
      </c>
      <c r="I49" s="763">
        <f t="shared" ref="I49:P49" si="1713" xml:space="preserve">
IF(H51&gt;=VLOOKUP($C49,$C$3:$D$15,2,FALSE)*I$20,0,
IF(AND(H51&lt;VLOOKUP($C49,$C$3:$D$15,2,FALSE)*I$20,I50&lt;=VLOOKUP($C49,$C$3:$D$15,2,FALSE)*I$20),IF(I50-H51&lt;0,0,I50-H51),
IF(AND(H51&lt;VLOOKUP($C49,$C$3:$D$15,2,FALSE)*I$20,I50&gt;VLOOKUP($C49,$C$3:$D$15,2,FALSE)*I$20),VLOOKUP($C49,$C$3:$D$15,2,FALSE)*I$20-H51)))</f>
        <v>0</v>
      </c>
      <c r="J49" s="763">
        <f t="shared" si="1713"/>
        <v>0</v>
      </c>
      <c r="K49" s="763">
        <f t="shared" si="1713"/>
        <v>0</v>
      </c>
      <c r="L49" s="763">
        <f t="shared" si="1713"/>
        <v>0</v>
      </c>
      <c r="M49" s="763">
        <f t="shared" si="1713"/>
        <v>0</v>
      </c>
      <c r="N49" s="763">
        <f t="shared" si="1713"/>
        <v>0</v>
      </c>
      <c r="O49" s="763">
        <f t="shared" si="1713"/>
        <v>0</v>
      </c>
      <c r="P49" s="763">
        <f t="shared" si="1713"/>
        <v>0</v>
      </c>
      <c r="Q49" s="763">
        <f t="shared" ref="Q49" si="1714" xml:space="preserve">
IF(P51&gt;=VLOOKUP($C49,$C$3:$D$15,2,FALSE)*Q$20,0,
IF(AND(P51&lt;VLOOKUP($C49,$C$3:$D$15,2,FALSE)*Q$20,Q50&lt;=VLOOKUP($C49,$C$3:$D$15,2,FALSE)*Q$20),IF(Q50-P51&lt;0,0,Q50-P51),
IF(AND(P51&lt;VLOOKUP($C49,$C$3:$D$15,2,FALSE)*Q$20,Q50&gt;VLOOKUP($C49,$C$3:$D$15,2,FALSE)*Q$20),VLOOKUP($C49,$C$3:$D$15,2,FALSE)*Q$20-P51)))</f>
        <v>0</v>
      </c>
      <c r="R49" s="763">
        <f t="shared" ref="R49" si="1715" xml:space="preserve">
IF(Q51&gt;=VLOOKUP($C49,$C$3:$D$15,2,FALSE)*R$20,0,
IF(AND(Q51&lt;VLOOKUP($C49,$C$3:$D$15,2,FALSE)*R$20,R50&lt;=VLOOKUP($C49,$C$3:$D$15,2,FALSE)*R$20),IF(R50-Q51&lt;0,0,R50-Q51),
IF(AND(Q51&lt;VLOOKUP($C49,$C$3:$D$15,2,FALSE)*R$20,R50&gt;VLOOKUP($C49,$C$3:$D$15,2,FALSE)*R$20),VLOOKUP($C49,$C$3:$D$15,2,FALSE)*R$20-Q51)))</f>
        <v>0</v>
      </c>
      <c r="S49" s="763">
        <f t="shared" ref="S49" si="1716" xml:space="preserve">
IF(R51&gt;=VLOOKUP($C49,$C$3:$D$15,2,FALSE)*S$20,0,
IF(AND(R51&lt;VLOOKUP($C49,$C$3:$D$15,2,FALSE)*S$20,S50&lt;=VLOOKUP($C49,$C$3:$D$15,2,FALSE)*S$20),IF(S50-R51&lt;0,0,S50-R51),
IF(AND(R51&lt;VLOOKUP($C49,$C$3:$D$15,2,FALSE)*S$20,S50&gt;VLOOKUP($C49,$C$3:$D$15,2,FALSE)*S$20),VLOOKUP($C49,$C$3:$D$15,2,FALSE)*S$20-R51)))</f>
        <v>0</v>
      </c>
      <c r="T49" s="763">
        <f t="shared" ref="T49" si="1717" xml:space="preserve">
IF(S51&gt;=VLOOKUP($C49,$C$3:$D$15,2,FALSE)*T$20,0,
IF(AND(S51&lt;VLOOKUP($C49,$C$3:$D$15,2,FALSE)*T$20,T50&lt;=VLOOKUP($C49,$C$3:$D$15,2,FALSE)*T$20),IF(T50-S51&lt;0,0,T50-S51),
IF(AND(S51&lt;VLOOKUP($C49,$C$3:$D$15,2,FALSE)*T$20,T50&gt;VLOOKUP($C49,$C$3:$D$15,2,FALSE)*T$20),VLOOKUP($C49,$C$3:$D$15,2,FALSE)*T$20-S51)))</f>
        <v>0</v>
      </c>
      <c r="U49" s="763">
        <f t="shared" ref="U49" si="1718" xml:space="preserve">
IF(T51&gt;=VLOOKUP($C49,$C$3:$D$15,2,FALSE)*U$20,0,
IF(AND(T51&lt;VLOOKUP($C49,$C$3:$D$15,2,FALSE)*U$20,U50&lt;=VLOOKUP($C49,$C$3:$D$15,2,FALSE)*U$20),IF(U50-T51&lt;0,0,U50-T51),
IF(AND(T51&lt;VLOOKUP($C49,$C$3:$D$15,2,FALSE)*U$20,U50&gt;VLOOKUP($C49,$C$3:$D$15,2,FALSE)*U$20),VLOOKUP($C49,$C$3:$D$15,2,FALSE)*U$20-T51)))</f>
        <v>0</v>
      </c>
      <c r="V49" s="763">
        <f t="shared" ref="V49" si="1719" xml:space="preserve">
IF(U51&gt;=VLOOKUP($C49,$C$3:$D$15,2,FALSE)*V$20,0,
IF(AND(U51&lt;VLOOKUP($C49,$C$3:$D$15,2,FALSE)*V$20,V50&lt;=VLOOKUP($C49,$C$3:$D$15,2,FALSE)*V$20),IF(V50-U51&lt;0,0,V50-U51),
IF(AND(U51&lt;VLOOKUP($C49,$C$3:$D$15,2,FALSE)*V$20,V50&gt;VLOOKUP($C49,$C$3:$D$15,2,FALSE)*V$20),VLOOKUP($C49,$C$3:$D$15,2,FALSE)*V$20-U51)))</f>
        <v>0</v>
      </c>
      <c r="W49" s="763">
        <f t="shared" ref="W49" si="1720" xml:space="preserve">
IF(V51&gt;=VLOOKUP($C49,$C$3:$D$15,2,FALSE)*W$20,0,
IF(AND(V51&lt;VLOOKUP($C49,$C$3:$D$15,2,FALSE)*W$20,W50&lt;=VLOOKUP($C49,$C$3:$D$15,2,FALSE)*W$20),IF(W50-V51&lt;0,0,W50-V51),
IF(AND(V51&lt;VLOOKUP($C49,$C$3:$D$15,2,FALSE)*W$20,W50&gt;VLOOKUP($C49,$C$3:$D$15,2,FALSE)*W$20),VLOOKUP($C49,$C$3:$D$15,2,FALSE)*W$20-V51)))</f>
        <v>0</v>
      </c>
      <c r="X49" s="763">
        <f t="shared" ref="X49" si="1721" xml:space="preserve">
IF(W51&gt;=VLOOKUP($C49,$C$3:$D$15,2,FALSE)*X$20,0,
IF(AND(W51&lt;VLOOKUP($C49,$C$3:$D$15,2,FALSE)*X$20,X50&lt;=VLOOKUP($C49,$C$3:$D$15,2,FALSE)*X$20),IF(X50-W51&lt;0,0,X50-W51),
IF(AND(W51&lt;VLOOKUP($C49,$C$3:$D$15,2,FALSE)*X$20,X50&gt;VLOOKUP($C49,$C$3:$D$15,2,FALSE)*X$20),VLOOKUP($C49,$C$3:$D$15,2,FALSE)*X$20-W51)))</f>
        <v>0</v>
      </c>
      <c r="Y49" s="763">
        <f t="shared" ref="Y49" si="1722" xml:space="preserve">
IF(X51&gt;=VLOOKUP($C49,$C$3:$D$15,2,FALSE)*Y$20,0,
IF(AND(X51&lt;VLOOKUP($C49,$C$3:$D$15,2,FALSE)*Y$20,Y50&lt;=VLOOKUP($C49,$C$3:$D$15,2,FALSE)*Y$20),IF(Y50-X51&lt;0,0,Y50-X51),
IF(AND(X51&lt;VLOOKUP($C49,$C$3:$D$15,2,FALSE)*Y$20,Y50&gt;VLOOKUP($C49,$C$3:$D$15,2,FALSE)*Y$20),VLOOKUP($C49,$C$3:$D$15,2,FALSE)*Y$20-X51)))</f>
        <v>0</v>
      </c>
      <c r="Z49" s="763">
        <f t="shared" ref="Z49" si="1723" xml:space="preserve">
IF(Y51&gt;=VLOOKUP($C49,$C$3:$D$15,2,FALSE)*Z$20,0,
IF(AND(Y51&lt;VLOOKUP($C49,$C$3:$D$15,2,FALSE)*Z$20,Z50&lt;=VLOOKUP($C49,$C$3:$D$15,2,FALSE)*Z$20),IF(Z50-Y51&lt;0,0,Z50-Y51),
IF(AND(Y51&lt;VLOOKUP($C49,$C$3:$D$15,2,FALSE)*Z$20,Z50&gt;VLOOKUP($C49,$C$3:$D$15,2,FALSE)*Z$20),VLOOKUP($C49,$C$3:$D$15,2,FALSE)*Z$20-Y51)))</f>
        <v>0</v>
      </c>
      <c r="AA49" s="763">
        <f t="shared" ref="AA49" si="1724" xml:space="preserve">
IF(Z51&gt;=VLOOKUP($C49,$C$3:$D$15,2,FALSE)*AA$20,0,
IF(AND(Z51&lt;VLOOKUP($C49,$C$3:$D$15,2,FALSE)*AA$20,AA50&lt;=VLOOKUP($C49,$C$3:$D$15,2,FALSE)*AA$20),IF(AA50-Z51&lt;0,0,AA50-Z51),
IF(AND(Z51&lt;VLOOKUP($C49,$C$3:$D$15,2,FALSE)*AA$20,AA50&gt;VLOOKUP($C49,$C$3:$D$15,2,FALSE)*AA$20),VLOOKUP($C49,$C$3:$D$15,2,FALSE)*AA$20-Z51)))</f>
        <v>0</v>
      </c>
      <c r="AB49" s="763">
        <f t="shared" ref="AB49" si="1725" xml:space="preserve">
IF(AA51&gt;=VLOOKUP($C49,$C$3:$D$15,2,FALSE)*AB$20,0,
IF(AND(AA51&lt;VLOOKUP($C49,$C$3:$D$15,2,FALSE)*AB$20,AB50&lt;=VLOOKUP($C49,$C$3:$D$15,2,FALSE)*AB$20),IF(AB50-AA51&lt;0,0,AB50-AA51),
IF(AND(AA51&lt;VLOOKUP($C49,$C$3:$D$15,2,FALSE)*AB$20,AB50&gt;VLOOKUP($C49,$C$3:$D$15,2,FALSE)*AB$20),VLOOKUP($C49,$C$3:$D$15,2,FALSE)*AB$20-AA51)))</f>
        <v>0</v>
      </c>
      <c r="AC49" s="763">
        <f t="shared" ref="AC49" si="1726" xml:space="preserve">
IF(AB51&gt;=VLOOKUP($C49,$C$3:$D$15,2,FALSE)*AC$20,0,
IF(AND(AB51&lt;VLOOKUP($C49,$C$3:$D$15,2,FALSE)*AC$20,AC50&lt;=VLOOKUP($C49,$C$3:$D$15,2,FALSE)*AC$20),IF(AC50-AB51&lt;0,0,AC50-AB51),
IF(AND(AB51&lt;VLOOKUP($C49,$C$3:$D$15,2,FALSE)*AC$20,AC50&gt;VLOOKUP($C49,$C$3:$D$15,2,FALSE)*AC$20),VLOOKUP($C49,$C$3:$D$15,2,FALSE)*AC$20-AB51)))</f>
        <v>0</v>
      </c>
      <c r="AD49" s="763">
        <f t="shared" ref="AD49" si="1727" xml:space="preserve">
IF(AC51&gt;=VLOOKUP($C49,$C$3:$D$15,2,FALSE)*AD$20,0,
IF(AND(AC51&lt;VLOOKUP($C49,$C$3:$D$15,2,FALSE)*AD$20,AD50&lt;=VLOOKUP($C49,$C$3:$D$15,2,FALSE)*AD$20),IF(AD50-AC51&lt;0,0,AD50-AC51),
IF(AND(AC51&lt;VLOOKUP($C49,$C$3:$D$15,2,FALSE)*AD$20,AD50&gt;VLOOKUP($C49,$C$3:$D$15,2,FALSE)*AD$20),VLOOKUP($C49,$C$3:$D$15,2,FALSE)*AD$20-AC51)))</f>
        <v>0</v>
      </c>
      <c r="AE49" s="763">
        <f t="shared" ref="AE49" si="1728" xml:space="preserve">
IF(AD51&gt;=VLOOKUP($C49,$C$3:$D$15,2,FALSE)*AE$20,0,
IF(AND(AD51&lt;VLOOKUP($C49,$C$3:$D$15,2,FALSE)*AE$20,AE50&lt;=VLOOKUP($C49,$C$3:$D$15,2,FALSE)*AE$20),IF(AE50-AD51&lt;0,0,AE50-AD51),
IF(AND(AD51&lt;VLOOKUP($C49,$C$3:$D$15,2,FALSE)*AE$20,AE50&gt;VLOOKUP($C49,$C$3:$D$15,2,FALSE)*AE$20),VLOOKUP($C49,$C$3:$D$15,2,FALSE)*AE$20-AD51)))</f>
        <v>0</v>
      </c>
      <c r="AF49" s="763">
        <f t="shared" ref="AF49" si="1729" xml:space="preserve">
IF(AE51&gt;=VLOOKUP($C49,$C$3:$D$15,2,FALSE)*AF$20,0,
IF(AND(AE51&lt;VLOOKUP($C49,$C$3:$D$15,2,FALSE)*AF$20,AF50&lt;=VLOOKUP($C49,$C$3:$D$15,2,FALSE)*AF$20),IF(AF50-AE51&lt;0,0,AF50-AE51),
IF(AND(AE51&lt;VLOOKUP($C49,$C$3:$D$15,2,FALSE)*AF$20,AF50&gt;VLOOKUP($C49,$C$3:$D$15,2,FALSE)*AF$20),VLOOKUP($C49,$C$3:$D$15,2,FALSE)*AF$20-AE51)))</f>
        <v>0</v>
      </c>
      <c r="AG49" s="763">
        <f t="shared" ref="AG49" si="1730" xml:space="preserve">
IF(AF51&gt;=VLOOKUP($C49,$C$3:$D$15,2,FALSE)*AG$20,0,
IF(AND(AF51&lt;VLOOKUP($C49,$C$3:$D$15,2,FALSE)*AG$20,AG50&lt;=VLOOKUP($C49,$C$3:$D$15,2,FALSE)*AG$20),IF(AG50-AF51&lt;0,0,AG50-AF51),
IF(AND(AF51&lt;VLOOKUP($C49,$C$3:$D$15,2,FALSE)*AG$20,AG50&gt;VLOOKUP($C49,$C$3:$D$15,2,FALSE)*AG$20),VLOOKUP($C49,$C$3:$D$15,2,FALSE)*AG$20-AF51)))</f>
        <v>0</v>
      </c>
      <c r="AH49" s="763">
        <f t="shared" ref="AH49" si="1731" xml:space="preserve">
IF(AG51&gt;=VLOOKUP($C49,$C$3:$D$15,2,FALSE)*AH$20,0,
IF(AND(AG51&lt;VLOOKUP($C49,$C$3:$D$15,2,FALSE)*AH$20,AH50&lt;=VLOOKUP($C49,$C$3:$D$15,2,FALSE)*AH$20),IF(AH50-AG51&lt;0,0,AH50-AG51),
IF(AND(AG51&lt;VLOOKUP($C49,$C$3:$D$15,2,FALSE)*AH$20,AH50&gt;VLOOKUP($C49,$C$3:$D$15,2,FALSE)*AH$20),VLOOKUP($C49,$C$3:$D$15,2,FALSE)*AH$20-AG51)))</f>
        <v>0</v>
      </c>
      <c r="AI49" s="763">
        <f t="shared" ref="AI49" si="1732" xml:space="preserve">
IF(AH51&gt;=VLOOKUP($C49,$C$3:$D$15,2,FALSE)*AI$20,0,
IF(AND(AH51&lt;VLOOKUP($C49,$C$3:$D$15,2,FALSE)*AI$20,AI50&lt;=VLOOKUP($C49,$C$3:$D$15,2,FALSE)*AI$20),IF(AI50-AH51&lt;0,0,AI50-AH51),
IF(AND(AH51&lt;VLOOKUP($C49,$C$3:$D$15,2,FALSE)*AI$20,AI50&gt;VLOOKUP($C49,$C$3:$D$15,2,FALSE)*AI$20),VLOOKUP($C49,$C$3:$D$15,2,FALSE)*AI$20-AH51)))</f>
        <v>0</v>
      </c>
      <c r="AJ49" s="763">
        <f t="shared" ref="AJ49" si="1733" xml:space="preserve">
IF(AI51&gt;=VLOOKUP($C49,$C$3:$D$15,2,FALSE)*AJ$20,0,
IF(AND(AI51&lt;VLOOKUP($C49,$C$3:$D$15,2,FALSE)*AJ$20,AJ50&lt;=VLOOKUP($C49,$C$3:$D$15,2,FALSE)*AJ$20),IF(AJ50-AI51&lt;0,0,AJ50-AI51),
IF(AND(AI51&lt;VLOOKUP($C49,$C$3:$D$15,2,FALSE)*AJ$20,AJ50&gt;VLOOKUP($C49,$C$3:$D$15,2,FALSE)*AJ$20),VLOOKUP($C49,$C$3:$D$15,2,FALSE)*AJ$20-AI51)))</f>
        <v>0</v>
      </c>
      <c r="AK49" s="763">
        <f t="shared" ref="AK49" si="1734" xml:space="preserve">
IF(AJ51&gt;=VLOOKUP($C49,$C$3:$D$15,2,FALSE)*AK$20,0,
IF(AND(AJ51&lt;VLOOKUP($C49,$C$3:$D$15,2,FALSE)*AK$20,AK50&lt;=VLOOKUP($C49,$C$3:$D$15,2,FALSE)*AK$20),IF(AK50-AJ51&lt;0,0,AK50-AJ51),
IF(AND(AJ51&lt;VLOOKUP($C49,$C$3:$D$15,2,FALSE)*AK$20,AK50&gt;VLOOKUP($C49,$C$3:$D$15,2,FALSE)*AK$20),VLOOKUP($C49,$C$3:$D$15,2,FALSE)*AK$20-AJ51)))</f>
        <v>0</v>
      </c>
      <c r="AL49" s="763">
        <f t="shared" ref="AL49" si="1735" xml:space="preserve">
IF(AK51&gt;=VLOOKUP($C49,$C$3:$D$15,2,FALSE)*AL$20,0,
IF(AND(AK51&lt;VLOOKUP($C49,$C$3:$D$15,2,FALSE)*AL$20,AL50&lt;=VLOOKUP($C49,$C$3:$D$15,2,FALSE)*AL$20),IF(AL50-AK51&lt;0,0,AL50-AK51),
IF(AND(AK51&lt;VLOOKUP($C49,$C$3:$D$15,2,FALSE)*AL$20,AL50&gt;VLOOKUP($C49,$C$3:$D$15,2,FALSE)*AL$20),VLOOKUP($C49,$C$3:$D$15,2,FALSE)*AL$20-AK51)))</f>
        <v>0</v>
      </c>
      <c r="AM49" s="763">
        <f t="shared" ref="AM49" si="1736" xml:space="preserve">
IF(AL51&gt;=VLOOKUP($C49,$C$3:$D$15,2,FALSE)*AM$20,0,
IF(AND(AL51&lt;VLOOKUP($C49,$C$3:$D$15,2,FALSE)*AM$20,AM50&lt;=VLOOKUP($C49,$C$3:$D$15,2,FALSE)*AM$20),IF(AM50-AL51&lt;0,0,AM50-AL51),
IF(AND(AL51&lt;VLOOKUP($C49,$C$3:$D$15,2,FALSE)*AM$20,AM50&gt;VLOOKUP($C49,$C$3:$D$15,2,FALSE)*AM$20),VLOOKUP($C49,$C$3:$D$15,2,FALSE)*AM$20-AL51)))</f>
        <v>0</v>
      </c>
      <c r="AN49" s="763">
        <f t="shared" ref="AN49" si="1737" xml:space="preserve">
IF(AM51&gt;=VLOOKUP($C49,$C$3:$D$15,2,FALSE)*AN$20,0,
IF(AND(AM51&lt;VLOOKUP($C49,$C$3:$D$15,2,FALSE)*AN$20,AN50&lt;=VLOOKUP($C49,$C$3:$D$15,2,FALSE)*AN$20),IF(AN50-AM51&lt;0,0,AN50-AM51),
IF(AND(AM51&lt;VLOOKUP($C49,$C$3:$D$15,2,FALSE)*AN$20,AN50&gt;VLOOKUP($C49,$C$3:$D$15,2,FALSE)*AN$20),VLOOKUP($C49,$C$3:$D$15,2,FALSE)*AN$20-AM51)))</f>
        <v>0</v>
      </c>
      <c r="AO49" s="763">
        <f t="shared" ref="AO49" si="1738" xml:space="preserve">
IF(AN51&gt;=VLOOKUP($C49,$C$3:$D$15,2,FALSE)*AO$20,0,
IF(AND(AN51&lt;VLOOKUP($C49,$C$3:$D$15,2,FALSE)*AO$20,AO50&lt;=VLOOKUP($C49,$C$3:$D$15,2,FALSE)*AO$20),IF(AO50-AN51&lt;0,0,AO50-AN51),
IF(AND(AN51&lt;VLOOKUP($C49,$C$3:$D$15,2,FALSE)*AO$20,AO50&gt;VLOOKUP($C49,$C$3:$D$15,2,FALSE)*AO$20),VLOOKUP($C49,$C$3:$D$15,2,FALSE)*AO$20-AN51)))</f>
        <v>0</v>
      </c>
      <c r="AP49" s="763">
        <f t="shared" ref="AP49" si="1739" xml:space="preserve">
IF(AO51&gt;=VLOOKUP($C49,$C$3:$D$15,2,FALSE)*AP$20,0,
IF(AND(AO51&lt;VLOOKUP($C49,$C$3:$D$15,2,FALSE)*AP$20,AP50&lt;=VLOOKUP($C49,$C$3:$D$15,2,FALSE)*AP$20),IF(AP50-AO51&lt;0,0,AP50-AO51),
IF(AND(AO51&lt;VLOOKUP($C49,$C$3:$D$15,2,FALSE)*AP$20,AP50&gt;VLOOKUP($C49,$C$3:$D$15,2,FALSE)*AP$20),VLOOKUP($C49,$C$3:$D$15,2,FALSE)*AP$20-AO51)))</f>
        <v>0</v>
      </c>
      <c r="AQ49" s="763">
        <f t="shared" ref="AQ49" si="1740" xml:space="preserve">
IF(AP51&gt;=VLOOKUP($C49,$C$3:$D$15,2,FALSE)*AQ$20,0,
IF(AND(AP51&lt;VLOOKUP($C49,$C$3:$D$15,2,FALSE)*AQ$20,AQ50&lt;=VLOOKUP($C49,$C$3:$D$15,2,FALSE)*AQ$20),IF(AQ50-AP51&lt;0,0,AQ50-AP51),
IF(AND(AP51&lt;VLOOKUP($C49,$C$3:$D$15,2,FALSE)*AQ$20,AQ50&gt;VLOOKUP($C49,$C$3:$D$15,2,FALSE)*AQ$20),VLOOKUP($C49,$C$3:$D$15,2,FALSE)*AQ$20-AP51)))</f>
        <v>0</v>
      </c>
      <c r="AR49" s="763">
        <f t="shared" ref="AR49" si="1741" xml:space="preserve">
IF(AQ51&gt;=VLOOKUP($C49,$C$3:$D$15,2,FALSE)*AR$20,0,
IF(AND(AQ51&lt;VLOOKUP($C49,$C$3:$D$15,2,FALSE)*AR$20,AR50&lt;=VLOOKUP($C49,$C$3:$D$15,2,FALSE)*AR$20),IF(AR50-AQ51&lt;0,0,AR50-AQ51),
IF(AND(AQ51&lt;VLOOKUP($C49,$C$3:$D$15,2,FALSE)*AR$20,AR50&gt;VLOOKUP($C49,$C$3:$D$15,2,FALSE)*AR$20),VLOOKUP($C49,$C$3:$D$15,2,FALSE)*AR$20-AQ51)))</f>
        <v>0</v>
      </c>
      <c r="AS49" s="763">
        <f t="shared" ref="AS49" si="1742" xml:space="preserve">
IF(AR51&gt;=VLOOKUP($C49,$C$3:$D$15,2,FALSE)*AS$20,0,
IF(AND(AR51&lt;VLOOKUP($C49,$C$3:$D$15,2,FALSE)*AS$20,AS50&lt;=VLOOKUP($C49,$C$3:$D$15,2,FALSE)*AS$20),IF(AS50-AR51&lt;0,0,AS50-AR51),
IF(AND(AR51&lt;VLOOKUP($C49,$C$3:$D$15,2,FALSE)*AS$20,AS50&gt;VLOOKUP($C49,$C$3:$D$15,2,FALSE)*AS$20),VLOOKUP($C49,$C$3:$D$15,2,FALSE)*AS$20-AR51)))</f>
        <v>0</v>
      </c>
      <c r="AT49" s="763">
        <f t="shared" ref="AT49" si="1743" xml:space="preserve">
IF(AS51&gt;=VLOOKUP($C49,$C$3:$D$15,2,FALSE)*AT$20,0,
IF(AND(AS51&lt;VLOOKUP($C49,$C$3:$D$15,2,FALSE)*AT$20,AT50&lt;=VLOOKUP($C49,$C$3:$D$15,2,FALSE)*AT$20),IF(AT50-AS51&lt;0,0,AT50-AS51),
IF(AND(AS51&lt;VLOOKUP($C49,$C$3:$D$15,2,FALSE)*AT$20,AT50&gt;VLOOKUP($C49,$C$3:$D$15,2,FALSE)*AT$20),VLOOKUP($C49,$C$3:$D$15,2,FALSE)*AT$20-AS51)))</f>
        <v>0</v>
      </c>
      <c r="AU49" s="763">
        <f t="shared" ref="AU49" si="1744" xml:space="preserve">
IF(AT51&gt;=VLOOKUP($C49,$C$3:$D$15,2,FALSE)*AU$20,0,
IF(AND(AT51&lt;VLOOKUP($C49,$C$3:$D$15,2,FALSE)*AU$20,AU50&lt;=VLOOKUP($C49,$C$3:$D$15,2,FALSE)*AU$20),IF(AU50-AT51&lt;0,0,AU50-AT51),
IF(AND(AT51&lt;VLOOKUP($C49,$C$3:$D$15,2,FALSE)*AU$20,AU50&gt;VLOOKUP($C49,$C$3:$D$15,2,FALSE)*AU$20),VLOOKUP($C49,$C$3:$D$15,2,FALSE)*AU$20-AT51)))</f>
        <v>0</v>
      </c>
      <c r="AV49" s="763">
        <f t="shared" ref="AV49" si="1745" xml:space="preserve">
IF(AU51&gt;=VLOOKUP($C49,$C$3:$D$15,2,FALSE)*AV$20,0,
IF(AND(AU51&lt;VLOOKUP($C49,$C$3:$D$15,2,FALSE)*AV$20,AV50&lt;=VLOOKUP($C49,$C$3:$D$15,2,FALSE)*AV$20),IF(AV50-AU51&lt;0,0,AV50-AU51),
IF(AND(AU51&lt;VLOOKUP($C49,$C$3:$D$15,2,FALSE)*AV$20,AV50&gt;VLOOKUP($C49,$C$3:$D$15,2,FALSE)*AV$20),VLOOKUP($C49,$C$3:$D$15,2,FALSE)*AV$20-AU51)))</f>
        <v>0</v>
      </c>
      <c r="AW49" s="763">
        <f t="shared" ref="AW49" si="1746" xml:space="preserve">
IF(AV51&gt;=VLOOKUP($C49,$C$3:$D$15,2,FALSE)*AW$20,0,
IF(AND(AV51&lt;VLOOKUP($C49,$C$3:$D$15,2,FALSE)*AW$20,AW50&lt;=VLOOKUP($C49,$C$3:$D$15,2,FALSE)*AW$20),IF(AW50-AV51&lt;0,0,AW50-AV51),
IF(AND(AV51&lt;VLOOKUP($C49,$C$3:$D$15,2,FALSE)*AW$20,AW50&gt;VLOOKUP($C49,$C$3:$D$15,2,FALSE)*AW$20),VLOOKUP($C49,$C$3:$D$15,2,FALSE)*AW$20-AV51)))</f>
        <v>0</v>
      </c>
      <c r="AX49" s="763">
        <f t="shared" ref="AX49" si="1747" xml:space="preserve">
IF(AW51&gt;=VLOOKUP($C49,$C$3:$D$15,2,FALSE)*AX$20,0,
IF(AND(AW51&lt;VLOOKUP($C49,$C$3:$D$15,2,FALSE)*AX$20,AX50&lt;=VLOOKUP($C49,$C$3:$D$15,2,FALSE)*AX$20),IF(AX50-AW51&lt;0,0,AX50-AW51),
IF(AND(AW51&lt;VLOOKUP($C49,$C$3:$D$15,2,FALSE)*AX$20,AX50&gt;VLOOKUP($C49,$C$3:$D$15,2,FALSE)*AX$20),VLOOKUP($C49,$C$3:$D$15,2,FALSE)*AX$20-AW51)))</f>
        <v>0</v>
      </c>
      <c r="AY49" s="763">
        <f t="shared" ref="AY49" si="1748" xml:space="preserve">
IF(AX51&gt;=VLOOKUP($C49,$C$3:$D$15,2,FALSE)*AY$20,0,
IF(AND(AX51&lt;VLOOKUP($C49,$C$3:$D$15,2,FALSE)*AY$20,AY50&lt;=VLOOKUP($C49,$C$3:$D$15,2,FALSE)*AY$20),IF(AY50-AX51&lt;0,0,AY50-AX51),
IF(AND(AX51&lt;VLOOKUP($C49,$C$3:$D$15,2,FALSE)*AY$20,AY50&gt;VLOOKUP($C49,$C$3:$D$15,2,FALSE)*AY$20),VLOOKUP($C49,$C$3:$D$15,2,FALSE)*AY$20-AX51)))</f>
        <v>0</v>
      </c>
      <c r="AZ49" s="763">
        <f t="shared" ref="AZ49" si="1749" xml:space="preserve">
IF(AY51&gt;=VLOOKUP($C49,$C$3:$D$15,2,FALSE)*AZ$20,0,
IF(AND(AY51&lt;VLOOKUP($C49,$C$3:$D$15,2,FALSE)*AZ$20,AZ50&lt;=VLOOKUP($C49,$C$3:$D$15,2,FALSE)*AZ$20),IF(AZ50-AY51&lt;0,0,AZ50-AY51),
IF(AND(AY51&lt;VLOOKUP($C49,$C$3:$D$15,2,FALSE)*AZ$20,AZ50&gt;VLOOKUP($C49,$C$3:$D$15,2,FALSE)*AZ$20),VLOOKUP($C49,$C$3:$D$15,2,FALSE)*AZ$20-AY51)))</f>
        <v>0</v>
      </c>
      <c r="BA49" s="763">
        <f t="shared" ref="BA49" si="1750" xml:space="preserve">
IF(AZ51&gt;=VLOOKUP($C49,$C$3:$D$15,2,FALSE)*BA$20,0,
IF(AND(AZ51&lt;VLOOKUP($C49,$C$3:$D$15,2,FALSE)*BA$20,BA50&lt;=VLOOKUP($C49,$C$3:$D$15,2,FALSE)*BA$20),IF(BA50-AZ51&lt;0,0,BA50-AZ51),
IF(AND(AZ51&lt;VLOOKUP($C49,$C$3:$D$15,2,FALSE)*BA$20,BA50&gt;VLOOKUP($C49,$C$3:$D$15,2,FALSE)*BA$20),VLOOKUP($C49,$C$3:$D$15,2,FALSE)*BA$20-AZ51)))</f>
        <v>0</v>
      </c>
      <c r="BB49" s="763">
        <f t="shared" ref="BB49" si="1751" xml:space="preserve">
IF(BA51&gt;=VLOOKUP($C49,$C$3:$D$15,2,FALSE)*BB$20,0,
IF(AND(BA51&lt;VLOOKUP($C49,$C$3:$D$15,2,FALSE)*BB$20,BB50&lt;=VLOOKUP($C49,$C$3:$D$15,2,FALSE)*BB$20),IF(BB50-BA51&lt;0,0,BB50-BA51),
IF(AND(BA51&lt;VLOOKUP($C49,$C$3:$D$15,2,FALSE)*BB$20,BB50&gt;VLOOKUP($C49,$C$3:$D$15,2,FALSE)*BB$20),VLOOKUP($C49,$C$3:$D$15,2,FALSE)*BB$20-BA51)))</f>
        <v>0</v>
      </c>
      <c r="BC49" s="763">
        <f t="shared" ref="BC49" si="1752" xml:space="preserve">
IF(BB51&gt;=VLOOKUP($C49,$C$3:$D$15,2,FALSE)*BC$20,0,
IF(AND(BB51&lt;VLOOKUP($C49,$C$3:$D$15,2,FALSE)*BC$20,BC50&lt;=VLOOKUP($C49,$C$3:$D$15,2,FALSE)*BC$20),IF(BC50-BB51&lt;0,0,BC50-BB51),
IF(AND(BB51&lt;VLOOKUP($C49,$C$3:$D$15,2,FALSE)*BC$20,BC50&gt;VLOOKUP($C49,$C$3:$D$15,2,FALSE)*BC$20),VLOOKUP($C49,$C$3:$D$15,2,FALSE)*BC$20-BB51)))</f>
        <v>0</v>
      </c>
      <c r="BD49" s="763">
        <f t="shared" ref="BD49" si="1753" xml:space="preserve">
IF(BC51&gt;=VLOOKUP($C49,$C$3:$D$15,2,FALSE)*BD$20,0,
IF(AND(BC51&lt;VLOOKUP($C49,$C$3:$D$15,2,FALSE)*BD$20,BD50&lt;=VLOOKUP($C49,$C$3:$D$15,2,FALSE)*BD$20),IF(BD50-BC51&lt;0,0,BD50-BC51),
IF(AND(BC51&lt;VLOOKUP($C49,$C$3:$D$15,2,FALSE)*BD$20,BD50&gt;VLOOKUP($C49,$C$3:$D$15,2,FALSE)*BD$20),VLOOKUP($C49,$C$3:$D$15,2,FALSE)*BD$20-BC51)))</f>
        <v>0</v>
      </c>
      <c r="BE49" s="763">
        <f t="shared" ref="BE49" si="1754" xml:space="preserve">
IF(BD51&gt;=VLOOKUP($C49,$C$3:$D$15,2,FALSE)*BE$20,0,
IF(AND(BD51&lt;VLOOKUP($C49,$C$3:$D$15,2,FALSE)*BE$20,BE50&lt;=VLOOKUP($C49,$C$3:$D$15,2,FALSE)*BE$20),IF(BE50-BD51&lt;0,0,BE50-BD51),
IF(AND(BD51&lt;VLOOKUP($C49,$C$3:$D$15,2,FALSE)*BE$20,BE50&gt;VLOOKUP($C49,$C$3:$D$15,2,FALSE)*BE$20),VLOOKUP($C49,$C$3:$D$15,2,FALSE)*BE$20-BD51)))</f>
        <v>0</v>
      </c>
      <c r="BF49" s="763">
        <f t="shared" ref="BF49" si="1755" xml:space="preserve">
IF(BE51&gt;=VLOOKUP($C49,$C$3:$D$15,2,FALSE)*BF$20,0,
IF(AND(BE51&lt;VLOOKUP($C49,$C$3:$D$15,2,FALSE)*BF$20,BF50&lt;=VLOOKUP($C49,$C$3:$D$15,2,FALSE)*BF$20),IF(BF50-BE51&lt;0,0,BF50-BE51),
IF(AND(BE51&lt;VLOOKUP($C49,$C$3:$D$15,2,FALSE)*BF$20,BF50&gt;VLOOKUP($C49,$C$3:$D$15,2,FALSE)*BF$20),VLOOKUP($C49,$C$3:$D$15,2,FALSE)*BF$20-BE51)))</f>
        <v>0</v>
      </c>
      <c r="BG49" s="763">
        <f t="shared" ref="BG49" si="1756" xml:space="preserve">
IF(BF51&gt;=VLOOKUP($C49,$C$3:$D$15,2,FALSE)*BG$20,0,
IF(AND(BF51&lt;VLOOKUP($C49,$C$3:$D$15,2,FALSE)*BG$20,BG50&lt;=VLOOKUP($C49,$C$3:$D$15,2,FALSE)*BG$20),IF(BG50-BF51&lt;0,0,BG50-BF51),
IF(AND(BF51&lt;VLOOKUP($C49,$C$3:$D$15,2,FALSE)*BG$20,BG50&gt;VLOOKUP($C49,$C$3:$D$15,2,FALSE)*BG$20),VLOOKUP($C49,$C$3:$D$15,2,FALSE)*BG$20-BF51)))</f>
        <v>0</v>
      </c>
      <c r="BH49" s="763">
        <f t="shared" ref="BH49" si="1757" xml:space="preserve">
IF(BG51&gt;=VLOOKUP($C49,$C$3:$D$15,2,FALSE)*BH$20,0,
IF(AND(BG51&lt;VLOOKUP($C49,$C$3:$D$15,2,FALSE)*BH$20,BH50&lt;=VLOOKUP($C49,$C$3:$D$15,2,FALSE)*BH$20),IF(BH50-BG51&lt;0,0,BH50-BG51),
IF(AND(BG51&lt;VLOOKUP($C49,$C$3:$D$15,2,FALSE)*BH$20,BH50&gt;VLOOKUP($C49,$C$3:$D$15,2,FALSE)*BH$20),VLOOKUP($C49,$C$3:$D$15,2,FALSE)*BH$20-BG51)))</f>
        <v>0</v>
      </c>
      <c r="BI49" s="763">
        <f t="shared" ref="BI49" si="1758" xml:space="preserve">
IF(BH51&gt;=VLOOKUP($C49,$C$3:$D$15,2,FALSE)*BI$20,0,
IF(AND(BH51&lt;VLOOKUP($C49,$C$3:$D$15,2,FALSE)*BI$20,BI50&lt;=VLOOKUP($C49,$C$3:$D$15,2,FALSE)*BI$20),IF(BI50-BH51&lt;0,0,BI50-BH51),
IF(AND(BH51&lt;VLOOKUP($C49,$C$3:$D$15,2,FALSE)*BI$20,BI50&gt;VLOOKUP($C49,$C$3:$D$15,2,FALSE)*BI$20),VLOOKUP($C49,$C$3:$D$15,2,FALSE)*BI$20-BH51)))</f>
        <v>0</v>
      </c>
      <c r="BJ49" s="763">
        <f t="shared" ref="BJ49" si="1759" xml:space="preserve">
IF(BI51&gt;=VLOOKUP($C49,$C$3:$D$15,2,FALSE)*BJ$20,0,
IF(AND(BI51&lt;VLOOKUP($C49,$C$3:$D$15,2,FALSE)*BJ$20,BJ50&lt;=VLOOKUP($C49,$C$3:$D$15,2,FALSE)*BJ$20),IF(BJ50-BI51&lt;0,0,BJ50-BI51),
IF(AND(BI51&lt;VLOOKUP($C49,$C$3:$D$15,2,FALSE)*BJ$20,BJ50&gt;VLOOKUP($C49,$C$3:$D$15,2,FALSE)*BJ$20),VLOOKUP($C49,$C$3:$D$15,2,FALSE)*BJ$20-BI51)))</f>
        <v>0</v>
      </c>
      <c r="BK49" s="763">
        <f t="shared" ref="BK49" si="1760" xml:space="preserve">
IF(BJ51&gt;=VLOOKUP($C49,$C$3:$D$15,2,FALSE)*BK$20,0,
IF(AND(BJ51&lt;VLOOKUP($C49,$C$3:$D$15,2,FALSE)*BK$20,BK50&lt;=VLOOKUP($C49,$C$3:$D$15,2,FALSE)*BK$20),IF(BK50-BJ51&lt;0,0,BK50-BJ51),
IF(AND(BJ51&lt;VLOOKUP($C49,$C$3:$D$15,2,FALSE)*BK$20,BK50&gt;VLOOKUP($C49,$C$3:$D$15,2,FALSE)*BK$20),VLOOKUP($C49,$C$3:$D$15,2,FALSE)*BK$20-BJ51)))</f>
        <v>0</v>
      </c>
      <c r="BL49" s="763">
        <f t="shared" ref="BL49" si="1761" xml:space="preserve">
IF(BK51&gt;=VLOOKUP($C49,$C$3:$D$15,2,FALSE)*BL$20,0,
IF(AND(BK51&lt;VLOOKUP($C49,$C$3:$D$15,2,FALSE)*BL$20,BL50&lt;=VLOOKUP($C49,$C$3:$D$15,2,FALSE)*BL$20),IF(BL50-BK51&lt;0,0,BL50-BK51),
IF(AND(BK51&lt;VLOOKUP($C49,$C$3:$D$15,2,FALSE)*BL$20,BL50&gt;VLOOKUP($C49,$C$3:$D$15,2,FALSE)*BL$20),VLOOKUP($C49,$C$3:$D$15,2,FALSE)*BL$20-BK51)))</f>
        <v>0</v>
      </c>
      <c r="BM49" s="763">
        <f t="shared" ref="BM49" si="1762" xml:space="preserve">
IF(BL51&gt;=VLOOKUP($C49,$C$3:$D$15,2,FALSE)*BM$20,0,
IF(AND(BL51&lt;VLOOKUP($C49,$C$3:$D$15,2,FALSE)*BM$20,BM50&lt;=VLOOKUP($C49,$C$3:$D$15,2,FALSE)*BM$20),IF(BM50-BL51&lt;0,0,BM50-BL51),
IF(AND(BL51&lt;VLOOKUP($C49,$C$3:$D$15,2,FALSE)*BM$20,BM50&gt;VLOOKUP($C49,$C$3:$D$15,2,FALSE)*BM$20),VLOOKUP($C49,$C$3:$D$15,2,FALSE)*BM$20-BL51)))</f>
        <v>0</v>
      </c>
      <c r="BN49" s="763">
        <f t="shared" ref="BN49" si="1763" xml:space="preserve">
IF(BM51&gt;=VLOOKUP($C49,$C$3:$D$15,2,FALSE)*BN$20,0,
IF(AND(BM51&lt;VLOOKUP($C49,$C$3:$D$15,2,FALSE)*BN$20,BN50&lt;=VLOOKUP($C49,$C$3:$D$15,2,FALSE)*BN$20),IF(BN50-BM51&lt;0,0,BN50-BM51),
IF(AND(BM51&lt;VLOOKUP($C49,$C$3:$D$15,2,FALSE)*BN$20,BN50&gt;VLOOKUP($C49,$C$3:$D$15,2,FALSE)*BN$20),VLOOKUP($C49,$C$3:$D$15,2,FALSE)*BN$20-BM51)))</f>
        <v>0</v>
      </c>
      <c r="BO49" s="763">
        <f t="shared" ref="BO49" si="1764" xml:space="preserve">
IF(BN51&gt;=VLOOKUP($C49,$C$3:$D$15,2,FALSE)*BO$20,0,
IF(AND(BN51&lt;VLOOKUP($C49,$C$3:$D$15,2,FALSE)*BO$20,BO50&lt;=VLOOKUP($C49,$C$3:$D$15,2,FALSE)*BO$20),IF(BO50-BN51&lt;0,0,BO50-BN51),
IF(AND(BN51&lt;VLOOKUP($C49,$C$3:$D$15,2,FALSE)*BO$20,BO50&gt;VLOOKUP($C49,$C$3:$D$15,2,FALSE)*BO$20),VLOOKUP($C49,$C$3:$D$15,2,FALSE)*BO$20-BN51)))</f>
        <v>0</v>
      </c>
      <c r="BP49" s="763">
        <f t="shared" ref="BP49" si="1765" xml:space="preserve">
IF(BO51&gt;=VLOOKUP($C49,$C$3:$D$15,2,FALSE)*BP$20,0,
IF(AND(BO51&lt;VLOOKUP($C49,$C$3:$D$15,2,FALSE)*BP$20,BP50&lt;=VLOOKUP($C49,$C$3:$D$15,2,FALSE)*BP$20),IF(BP50-BO51&lt;0,0,BP50-BO51),
IF(AND(BO51&lt;VLOOKUP($C49,$C$3:$D$15,2,FALSE)*BP$20,BP50&gt;VLOOKUP($C49,$C$3:$D$15,2,FALSE)*BP$20),VLOOKUP($C49,$C$3:$D$15,2,FALSE)*BP$20-BO51)))</f>
        <v>0</v>
      </c>
      <c r="BQ49" s="763">
        <f t="shared" ref="BQ49" si="1766" xml:space="preserve">
IF(BP51&gt;=VLOOKUP($C49,$C$3:$D$15,2,FALSE)*BQ$20,0,
IF(AND(BP51&lt;VLOOKUP($C49,$C$3:$D$15,2,FALSE)*BQ$20,BQ50&lt;=VLOOKUP($C49,$C$3:$D$15,2,FALSE)*BQ$20),IF(BQ50-BP51&lt;0,0,BQ50-BP51),
IF(AND(BP51&lt;VLOOKUP($C49,$C$3:$D$15,2,FALSE)*BQ$20,BQ50&gt;VLOOKUP($C49,$C$3:$D$15,2,FALSE)*BQ$20),VLOOKUP($C49,$C$3:$D$15,2,FALSE)*BQ$20-BP51)))</f>
        <v>0</v>
      </c>
      <c r="BR49" s="763">
        <f t="shared" ref="BR49" si="1767" xml:space="preserve">
IF(BQ51&gt;=VLOOKUP($C49,$C$3:$D$15,2,FALSE)*BR$20,0,
IF(AND(BQ51&lt;VLOOKUP($C49,$C$3:$D$15,2,FALSE)*BR$20,BR50&lt;=VLOOKUP($C49,$C$3:$D$15,2,FALSE)*BR$20),IF(BR50-BQ51&lt;0,0,BR50-BQ51),
IF(AND(BQ51&lt;VLOOKUP($C49,$C$3:$D$15,2,FALSE)*BR$20,BR50&gt;VLOOKUP($C49,$C$3:$D$15,2,FALSE)*BR$20),VLOOKUP($C49,$C$3:$D$15,2,FALSE)*BR$20-BQ51)))</f>
        <v>0</v>
      </c>
      <c r="BS49" s="763">
        <f t="shared" ref="BS49" si="1768" xml:space="preserve">
IF(BR51&gt;=VLOOKUP($C49,$C$3:$D$15,2,FALSE)*BS$20,0,
IF(AND(BR51&lt;VLOOKUP($C49,$C$3:$D$15,2,FALSE)*BS$20,BS50&lt;=VLOOKUP($C49,$C$3:$D$15,2,FALSE)*BS$20),IF(BS50-BR51&lt;0,0,BS50-BR51),
IF(AND(BR51&lt;VLOOKUP($C49,$C$3:$D$15,2,FALSE)*BS$20,BS50&gt;VLOOKUP($C49,$C$3:$D$15,2,FALSE)*BS$20),VLOOKUP($C49,$C$3:$D$15,2,FALSE)*BS$20-BR51)))</f>
        <v>0</v>
      </c>
      <c r="BT49" s="763">
        <f t="shared" ref="BT49" si="1769" xml:space="preserve">
IF(BS51&gt;=VLOOKUP($C49,$C$3:$D$15,2,FALSE)*BT$20,0,
IF(AND(BS51&lt;VLOOKUP($C49,$C$3:$D$15,2,FALSE)*BT$20,BT50&lt;=VLOOKUP($C49,$C$3:$D$15,2,FALSE)*BT$20),IF(BT50-BS51&lt;0,0,BT50-BS51),
IF(AND(BS51&lt;VLOOKUP($C49,$C$3:$D$15,2,FALSE)*BT$20,BT50&gt;VLOOKUP($C49,$C$3:$D$15,2,FALSE)*BT$20),VLOOKUP($C49,$C$3:$D$15,2,FALSE)*BT$20-BS51)))</f>
        <v>0</v>
      </c>
      <c r="BU49" s="763">
        <f t="shared" ref="BU49" si="1770" xml:space="preserve">
IF(BT51&gt;=VLOOKUP($C49,$C$3:$D$15,2,FALSE)*BU$20,0,
IF(AND(BT51&lt;VLOOKUP($C49,$C$3:$D$15,2,FALSE)*BU$20,BU50&lt;=VLOOKUP($C49,$C$3:$D$15,2,FALSE)*BU$20),IF(BU50-BT51&lt;0,0,BU50-BT51),
IF(AND(BT51&lt;VLOOKUP($C49,$C$3:$D$15,2,FALSE)*BU$20,BU50&gt;VLOOKUP($C49,$C$3:$D$15,2,FALSE)*BU$20),VLOOKUP($C49,$C$3:$D$15,2,FALSE)*BU$20-BT51)))</f>
        <v>0</v>
      </c>
      <c r="BV49" s="763">
        <f t="shared" ref="BV49" si="1771" xml:space="preserve">
IF(BU51&gt;=VLOOKUP($C49,$C$3:$D$15,2,FALSE)*BV$20,0,
IF(AND(BU51&lt;VLOOKUP($C49,$C$3:$D$15,2,FALSE)*BV$20,BV50&lt;=VLOOKUP($C49,$C$3:$D$15,2,FALSE)*BV$20),IF(BV50-BU51&lt;0,0,BV50-BU51),
IF(AND(BU51&lt;VLOOKUP($C49,$C$3:$D$15,2,FALSE)*BV$20,BV50&gt;VLOOKUP($C49,$C$3:$D$15,2,FALSE)*BV$20),VLOOKUP($C49,$C$3:$D$15,2,FALSE)*BV$20-BU51)))</f>
        <v>0</v>
      </c>
      <c r="BW49" s="763">
        <f t="shared" ref="BW49" si="1772" xml:space="preserve">
IF(BV51&gt;=VLOOKUP($C49,$C$3:$D$15,2,FALSE)*BW$20,0,
IF(AND(BV51&lt;VLOOKUP($C49,$C$3:$D$15,2,FALSE)*BW$20,BW50&lt;=VLOOKUP($C49,$C$3:$D$15,2,FALSE)*BW$20),IF(BW50-BV51&lt;0,0,BW50-BV51),
IF(AND(BV51&lt;VLOOKUP($C49,$C$3:$D$15,2,FALSE)*BW$20,BW50&gt;VLOOKUP($C49,$C$3:$D$15,2,FALSE)*BW$20),VLOOKUP($C49,$C$3:$D$15,2,FALSE)*BW$20-BV51)))</f>
        <v>0</v>
      </c>
      <c r="BX49" s="763">
        <f t="shared" ref="BX49" si="1773" xml:space="preserve">
IF(BW51&gt;=VLOOKUP($C49,$C$3:$D$15,2,FALSE)*BX$20,0,
IF(AND(BW51&lt;VLOOKUP($C49,$C$3:$D$15,2,FALSE)*BX$20,BX50&lt;=VLOOKUP($C49,$C$3:$D$15,2,FALSE)*BX$20),IF(BX50-BW51&lt;0,0,BX50-BW51),
IF(AND(BW51&lt;VLOOKUP($C49,$C$3:$D$15,2,FALSE)*BX$20,BX50&gt;VLOOKUP($C49,$C$3:$D$15,2,FALSE)*BX$20),VLOOKUP($C49,$C$3:$D$15,2,FALSE)*BX$20-BW51)))</f>
        <v>0</v>
      </c>
      <c r="BY49" s="763">
        <f t="shared" ref="BY49" si="1774" xml:space="preserve">
IF(BX51&gt;=VLOOKUP($C49,$C$3:$D$15,2,FALSE)*BY$20,0,
IF(AND(BX51&lt;VLOOKUP($C49,$C$3:$D$15,2,FALSE)*BY$20,BY50&lt;=VLOOKUP($C49,$C$3:$D$15,2,FALSE)*BY$20),IF(BY50-BX51&lt;0,0,BY50-BX51),
IF(AND(BX51&lt;VLOOKUP($C49,$C$3:$D$15,2,FALSE)*BY$20,BY50&gt;VLOOKUP($C49,$C$3:$D$15,2,FALSE)*BY$20),VLOOKUP($C49,$C$3:$D$15,2,FALSE)*BY$20-BX51)))</f>
        <v>0</v>
      </c>
      <c r="BZ49" s="763">
        <f t="shared" ref="BZ49" si="1775" xml:space="preserve">
IF(BY51&gt;=VLOOKUP($C49,$C$3:$D$15,2,FALSE)*BZ$20,0,
IF(AND(BY51&lt;VLOOKUP($C49,$C$3:$D$15,2,FALSE)*BZ$20,BZ50&lt;=VLOOKUP($C49,$C$3:$D$15,2,FALSE)*BZ$20),IF(BZ50-BY51&lt;0,0,BZ50-BY51),
IF(AND(BY51&lt;VLOOKUP($C49,$C$3:$D$15,2,FALSE)*BZ$20,BZ50&gt;VLOOKUP($C49,$C$3:$D$15,2,FALSE)*BZ$20),VLOOKUP($C49,$C$3:$D$15,2,FALSE)*BZ$20-BY51)))</f>
        <v>0</v>
      </c>
      <c r="CA49" s="763">
        <f t="shared" ref="CA49" si="1776" xml:space="preserve">
IF(BZ51&gt;=VLOOKUP($C49,$C$3:$D$15,2,FALSE)*CA$20,0,
IF(AND(BZ51&lt;VLOOKUP($C49,$C$3:$D$15,2,FALSE)*CA$20,CA50&lt;=VLOOKUP($C49,$C$3:$D$15,2,FALSE)*CA$20),IF(CA50-BZ51&lt;0,0,CA50-BZ51),
IF(AND(BZ51&lt;VLOOKUP($C49,$C$3:$D$15,2,FALSE)*CA$20,CA50&gt;VLOOKUP($C49,$C$3:$D$15,2,FALSE)*CA$20),VLOOKUP($C49,$C$3:$D$15,2,FALSE)*CA$20-BZ51)))</f>
        <v>0</v>
      </c>
      <c r="CB49" s="763">
        <f t="shared" ref="CB49" si="1777" xml:space="preserve">
IF(CA51&gt;=VLOOKUP($C49,$C$3:$D$15,2,FALSE)*CB$20,0,
IF(AND(CA51&lt;VLOOKUP($C49,$C$3:$D$15,2,FALSE)*CB$20,CB50&lt;=VLOOKUP($C49,$C$3:$D$15,2,FALSE)*CB$20),IF(CB50-CA51&lt;0,0,CB50-CA51),
IF(AND(CA51&lt;VLOOKUP($C49,$C$3:$D$15,2,FALSE)*CB$20,CB50&gt;VLOOKUP($C49,$C$3:$D$15,2,FALSE)*CB$20),VLOOKUP($C49,$C$3:$D$15,2,FALSE)*CB$20-CA51)))</f>
        <v>0</v>
      </c>
      <c r="CC49" s="763">
        <f t="shared" ref="CC49" si="1778" xml:space="preserve">
IF(CB51&gt;=VLOOKUP($C49,$C$3:$D$15,2,FALSE)*CC$20,0,
IF(AND(CB51&lt;VLOOKUP($C49,$C$3:$D$15,2,FALSE)*CC$20,CC50&lt;=VLOOKUP($C49,$C$3:$D$15,2,FALSE)*CC$20),IF(CC50-CB51&lt;0,0,CC50-CB51),
IF(AND(CB51&lt;VLOOKUP($C49,$C$3:$D$15,2,FALSE)*CC$20,CC50&gt;VLOOKUP($C49,$C$3:$D$15,2,FALSE)*CC$20),VLOOKUP($C49,$C$3:$D$15,2,FALSE)*CC$20-CB51)))</f>
        <v>0</v>
      </c>
      <c r="CD49" s="763">
        <f t="shared" ref="CD49" si="1779" xml:space="preserve">
IF(CC51&gt;=VLOOKUP($C49,$C$3:$D$15,2,FALSE)*CD$20,0,
IF(AND(CC51&lt;VLOOKUP($C49,$C$3:$D$15,2,FALSE)*CD$20,CD50&lt;=VLOOKUP($C49,$C$3:$D$15,2,FALSE)*CD$20),IF(CD50-CC51&lt;0,0,CD50-CC51),
IF(AND(CC51&lt;VLOOKUP($C49,$C$3:$D$15,2,FALSE)*CD$20,CD50&gt;VLOOKUP($C49,$C$3:$D$15,2,FALSE)*CD$20),VLOOKUP($C49,$C$3:$D$15,2,FALSE)*CD$20-CC51)))</f>
        <v>0</v>
      </c>
      <c r="CE49" s="763">
        <f t="shared" ref="CE49" si="1780" xml:space="preserve">
IF(CD51&gt;=VLOOKUP($C49,$C$3:$D$15,2,FALSE)*CE$20,0,
IF(AND(CD51&lt;VLOOKUP($C49,$C$3:$D$15,2,FALSE)*CE$20,CE50&lt;=VLOOKUP($C49,$C$3:$D$15,2,FALSE)*CE$20),IF(CE50-CD51&lt;0,0,CE50-CD51),
IF(AND(CD51&lt;VLOOKUP($C49,$C$3:$D$15,2,FALSE)*CE$20,CE50&gt;VLOOKUP($C49,$C$3:$D$15,2,FALSE)*CE$20),VLOOKUP($C49,$C$3:$D$15,2,FALSE)*CE$20-CD51)))</f>
        <v>0</v>
      </c>
      <c r="CF49" s="763">
        <f t="shared" ref="CF49" si="1781" xml:space="preserve">
IF(CE51&gt;=VLOOKUP($C49,$C$3:$D$15,2,FALSE)*CF$20,0,
IF(AND(CE51&lt;VLOOKUP($C49,$C$3:$D$15,2,FALSE)*CF$20,CF50&lt;=VLOOKUP($C49,$C$3:$D$15,2,FALSE)*CF$20),IF(CF50-CE51&lt;0,0,CF50-CE51),
IF(AND(CE51&lt;VLOOKUP($C49,$C$3:$D$15,2,FALSE)*CF$20,CF50&gt;VLOOKUP($C49,$C$3:$D$15,2,FALSE)*CF$20),VLOOKUP($C49,$C$3:$D$15,2,FALSE)*CF$20-CE51)))</f>
        <v>0</v>
      </c>
      <c r="CG49" s="763">
        <f t="shared" ref="CG49" si="1782" xml:space="preserve">
IF(CF51&gt;=VLOOKUP($C49,$C$3:$D$15,2,FALSE)*CG$20,0,
IF(AND(CF51&lt;VLOOKUP($C49,$C$3:$D$15,2,FALSE)*CG$20,CG50&lt;=VLOOKUP($C49,$C$3:$D$15,2,FALSE)*CG$20),IF(CG50-CF51&lt;0,0,CG50-CF51),
IF(AND(CF51&lt;VLOOKUP($C49,$C$3:$D$15,2,FALSE)*CG$20,CG50&gt;VLOOKUP($C49,$C$3:$D$15,2,FALSE)*CG$20),VLOOKUP($C49,$C$3:$D$15,2,FALSE)*CG$20-CF51)))</f>
        <v>0</v>
      </c>
      <c r="CH49" s="763">
        <f t="shared" ref="CH49" si="1783" xml:space="preserve">
IF(CG51&gt;=VLOOKUP($C49,$C$3:$D$15,2,FALSE)*CH$20,0,
IF(AND(CG51&lt;VLOOKUP($C49,$C$3:$D$15,2,FALSE)*CH$20,CH50&lt;=VLOOKUP($C49,$C$3:$D$15,2,FALSE)*CH$20),IF(CH50-CG51&lt;0,0,CH50-CG51),
IF(AND(CG51&lt;VLOOKUP($C49,$C$3:$D$15,2,FALSE)*CH$20,CH50&gt;VLOOKUP($C49,$C$3:$D$15,2,FALSE)*CH$20),VLOOKUP($C49,$C$3:$D$15,2,FALSE)*CH$20-CG51)))</f>
        <v>0</v>
      </c>
      <c r="CI49" s="763">
        <f t="shared" ref="CI49" si="1784" xml:space="preserve">
IF(CH51&gt;=VLOOKUP($C49,$C$3:$D$15,2,FALSE)*CI$20,0,
IF(AND(CH51&lt;VLOOKUP($C49,$C$3:$D$15,2,FALSE)*CI$20,CI50&lt;=VLOOKUP($C49,$C$3:$D$15,2,FALSE)*CI$20),IF(CI50-CH51&lt;0,0,CI50-CH51),
IF(AND(CH51&lt;VLOOKUP($C49,$C$3:$D$15,2,FALSE)*CI$20,CI50&gt;VLOOKUP($C49,$C$3:$D$15,2,FALSE)*CI$20),VLOOKUP($C49,$C$3:$D$15,2,FALSE)*CI$20-CH51)))</f>
        <v>0</v>
      </c>
      <c r="CJ49" s="763">
        <f t="shared" ref="CJ49" si="1785" xml:space="preserve">
IF(CI51&gt;=VLOOKUP($C49,$C$3:$D$15,2,FALSE)*CJ$20,0,
IF(AND(CI51&lt;VLOOKUP($C49,$C$3:$D$15,2,FALSE)*CJ$20,CJ50&lt;=VLOOKUP($C49,$C$3:$D$15,2,FALSE)*CJ$20),IF(CJ50-CI51&lt;0,0,CJ50-CI51),
IF(AND(CI51&lt;VLOOKUP($C49,$C$3:$D$15,2,FALSE)*CJ$20,CJ50&gt;VLOOKUP($C49,$C$3:$D$15,2,FALSE)*CJ$20),VLOOKUP($C49,$C$3:$D$15,2,FALSE)*CJ$20-CI51)))</f>
        <v>0</v>
      </c>
      <c r="CK49" s="763">
        <f t="shared" ref="CK49" si="1786" xml:space="preserve">
IF(CJ51&gt;=VLOOKUP($C49,$C$3:$D$15,2,FALSE)*CK$20,0,
IF(AND(CJ51&lt;VLOOKUP($C49,$C$3:$D$15,2,FALSE)*CK$20,CK50&lt;=VLOOKUP($C49,$C$3:$D$15,2,FALSE)*CK$20),IF(CK50-CJ51&lt;0,0,CK50-CJ51),
IF(AND(CJ51&lt;VLOOKUP($C49,$C$3:$D$15,2,FALSE)*CK$20,CK50&gt;VLOOKUP($C49,$C$3:$D$15,2,FALSE)*CK$20),VLOOKUP($C49,$C$3:$D$15,2,FALSE)*CK$20-CJ51)))</f>
        <v>0</v>
      </c>
      <c r="CL49" s="763">
        <f t="shared" ref="CL49" si="1787" xml:space="preserve">
IF(CK51&gt;=VLOOKUP($C49,$C$3:$D$15,2,FALSE)*CL$20,0,
IF(AND(CK51&lt;VLOOKUP($C49,$C$3:$D$15,2,FALSE)*CL$20,CL50&lt;=VLOOKUP($C49,$C$3:$D$15,2,FALSE)*CL$20),IF(CL50-CK51&lt;0,0,CL50-CK51),
IF(AND(CK51&lt;VLOOKUP($C49,$C$3:$D$15,2,FALSE)*CL$20,CL50&gt;VLOOKUP($C49,$C$3:$D$15,2,FALSE)*CL$20),VLOOKUP($C49,$C$3:$D$15,2,FALSE)*CL$20-CK51)))</f>
        <v>0</v>
      </c>
      <c r="CM49" s="763">
        <f t="shared" ref="CM49" si="1788" xml:space="preserve">
IF(CL51&gt;=VLOOKUP($C49,$C$3:$D$15,2,FALSE)*CM$20,0,
IF(AND(CL51&lt;VLOOKUP($C49,$C$3:$D$15,2,FALSE)*CM$20,CM50&lt;=VLOOKUP($C49,$C$3:$D$15,2,FALSE)*CM$20),IF(CM50-CL51&lt;0,0,CM50-CL51),
IF(AND(CL51&lt;VLOOKUP($C49,$C$3:$D$15,2,FALSE)*CM$20,CM50&gt;VLOOKUP($C49,$C$3:$D$15,2,FALSE)*CM$20),VLOOKUP($C49,$C$3:$D$15,2,FALSE)*CM$20-CL51)))</f>
        <v>0</v>
      </c>
      <c r="CN49" s="763">
        <f t="shared" ref="CN49" si="1789" xml:space="preserve">
IF(CM51&gt;=VLOOKUP($C49,$C$3:$D$15,2,FALSE)*CN$20,0,
IF(AND(CM51&lt;VLOOKUP($C49,$C$3:$D$15,2,FALSE)*CN$20,CN50&lt;=VLOOKUP($C49,$C$3:$D$15,2,FALSE)*CN$20),IF(CN50-CM51&lt;0,0,CN50-CM51),
IF(AND(CM51&lt;VLOOKUP($C49,$C$3:$D$15,2,FALSE)*CN$20,CN50&gt;VLOOKUP($C49,$C$3:$D$15,2,FALSE)*CN$20),VLOOKUP($C49,$C$3:$D$15,2,FALSE)*CN$20-CM51)))</f>
        <v>0</v>
      </c>
      <c r="CO49" s="763">
        <f t="shared" ref="CO49" si="1790" xml:space="preserve">
IF(CN51&gt;=VLOOKUP($C49,$C$3:$D$15,2,FALSE)*CO$20,0,
IF(AND(CN51&lt;VLOOKUP($C49,$C$3:$D$15,2,FALSE)*CO$20,CO50&lt;=VLOOKUP($C49,$C$3:$D$15,2,FALSE)*CO$20),IF(CO50-CN51&lt;0,0,CO50-CN51),
IF(AND(CN51&lt;VLOOKUP($C49,$C$3:$D$15,2,FALSE)*CO$20,CO50&gt;VLOOKUP($C49,$C$3:$D$15,2,FALSE)*CO$20),VLOOKUP($C49,$C$3:$D$15,2,FALSE)*CO$20-CN51)))</f>
        <v>0</v>
      </c>
      <c r="CP49" s="763">
        <f t="shared" ref="CP49" si="1791" xml:space="preserve">
IF(CO51&gt;=VLOOKUP($C49,$C$3:$D$15,2,FALSE)*CP$20,0,
IF(AND(CO51&lt;VLOOKUP($C49,$C$3:$D$15,2,FALSE)*CP$20,CP50&lt;=VLOOKUP($C49,$C$3:$D$15,2,FALSE)*CP$20),IF(CP50-CO51&lt;0,0,CP50-CO51),
IF(AND(CO51&lt;VLOOKUP($C49,$C$3:$D$15,2,FALSE)*CP$20,CP50&gt;VLOOKUP($C49,$C$3:$D$15,2,FALSE)*CP$20),VLOOKUP($C49,$C$3:$D$15,2,FALSE)*CP$20-CO51)))</f>
        <v>0</v>
      </c>
      <c r="CQ49" s="763">
        <f t="shared" ref="CQ49" si="1792" xml:space="preserve">
IF(CP51&gt;=VLOOKUP($C49,$C$3:$D$15,2,FALSE)*CQ$20,0,
IF(AND(CP51&lt;VLOOKUP($C49,$C$3:$D$15,2,FALSE)*CQ$20,CQ50&lt;=VLOOKUP($C49,$C$3:$D$15,2,FALSE)*CQ$20),IF(CQ50-CP51&lt;0,0,CQ50-CP51),
IF(AND(CP51&lt;VLOOKUP($C49,$C$3:$D$15,2,FALSE)*CQ$20,CQ50&gt;VLOOKUP($C49,$C$3:$D$15,2,FALSE)*CQ$20),VLOOKUP($C49,$C$3:$D$15,2,FALSE)*CQ$20-CP51)))</f>
        <v>0</v>
      </c>
      <c r="CR49" s="763">
        <f t="shared" ref="CR49" si="1793" xml:space="preserve">
IF(CQ51&gt;=VLOOKUP($C49,$C$3:$D$15,2,FALSE)*CR$20,0,
IF(AND(CQ51&lt;VLOOKUP($C49,$C$3:$D$15,2,FALSE)*CR$20,CR50&lt;=VLOOKUP($C49,$C$3:$D$15,2,FALSE)*CR$20),IF(CR50-CQ51&lt;0,0,CR50-CQ51),
IF(AND(CQ51&lt;VLOOKUP($C49,$C$3:$D$15,2,FALSE)*CR$20,CR50&gt;VLOOKUP($C49,$C$3:$D$15,2,FALSE)*CR$20),VLOOKUP($C49,$C$3:$D$15,2,FALSE)*CR$20-CQ51)))</f>
        <v>0</v>
      </c>
      <c r="CS49" s="763">
        <f t="shared" ref="CS49" si="1794" xml:space="preserve">
IF(CR51&gt;=VLOOKUP($C49,$C$3:$D$15,2,FALSE)*CS$20,0,
IF(AND(CR51&lt;VLOOKUP($C49,$C$3:$D$15,2,FALSE)*CS$20,CS50&lt;=VLOOKUP($C49,$C$3:$D$15,2,FALSE)*CS$20),IF(CS50-CR51&lt;0,0,CS50-CR51),
IF(AND(CR51&lt;VLOOKUP($C49,$C$3:$D$15,2,FALSE)*CS$20,CS50&gt;VLOOKUP($C49,$C$3:$D$15,2,FALSE)*CS$20),VLOOKUP($C49,$C$3:$D$15,2,FALSE)*CS$20-CR51)))</f>
        <v>0</v>
      </c>
      <c r="CT49" s="763">
        <f t="shared" ref="CT49" si="1795" xml:space="preserve">
IF(CS51&gt;=VLOOKUP($C49,$C$3:$D$15,2,FALSE)*CT$20,0,
IF(AND(CS51&lt;VLOOKUP($C49,$C$3:$D$15,2,FALSE)*CT$20,CT50&lt;=VLOOKUP($C49,$C$3:$D$15,2,FALSE)*CT$20),IF(CT50-CS51&lt;0,0,CT50-CS51),
IF(AND(CS51&lt;VLOOKUP($C49,$C$3:$D$15,2,FALSE)*CT$20,CT50&gt;VLOOKUP($C49,$C$3:$D$15,2,FALSE)*CT$20),VLOOKUP($C49,$C$3:$D$15,2,FALSE)*CT$20-CS51)))</f>
        <v>0</v>
      </c>
      <c r="CU49" s="763">
        <f t="shared" ref="CU49" si="1796" xml:space="preserve">
IF(CT51&gt;=VLOOKUP($C49,$C$3:$D$15,2,FALSE)*CU$20,0,
IF(AND(CT51&lt;VLOOKUP($C49,$C$3:$D$15,2,FALSE)*CU$20,CU50&lt;=VLOOKUP($C49,$C$3:$D$15,2,FALSE)*CU$20),IF(CU50-CT51&lt;0,0,CU50-CT51),
IF(AND(CT51&lt;VLOOKUP($C49,$C$3:$D$15,2,FALSE)*CU$20,CU50&gt;VLOOKUP($C49,$C$3:$D$15,2,FALSE)*CU$20),VLOOKUP($C49,$C$3:$D$15,2,FALSE)*CU$20-CT51)))</f>
        <v>0</v>
      </c>
      <c r="CV49" s="763">
        <f t="shared" ref="CV49" si="1797" xml:space="preserve">
IF(CU51&gt;=VLOOKUP($C49,$C$3:$D$15,2,FALSE)*CV$20,0,
IF(AND(CU51&lt;VLOOKUP($C49,$C$3:$D$15,2,FALSE)*CV$20,CV50&lt;=VLOOKUP($C49,$C$3:$D$15,2,FALSE)*CV$20),IF(CV50-CU51&lt;0,0,CV50-CU51),
IF(AND(CU51&lt;VLOOKUP($C49,$C$3:$D$15,2,FALSE)*CV$20,CV50&gt;VLOOKUP($C49,$C$3:$D$15,2,FALSE)*CV$20),VLOOKUP($C49,$C$3:$D$15,2,FALSE)*CV$20-CU51)))</f>
        <v>0</v>
      </c>
      <c r="CW49" s="763">
        <f t="shared" ref="CW49" si="1798" xml:space="preserve">
IF(CV51&gt;=VLOOKUP($C49,$C$3:$D$15,2,FALSE)*CW$20,0,
IF(AND(CV51&lt;VLOOKUP($C49,$C$3:$D$15,2,FALSE)*CW$20,CW50&lt;=VLOOKUP($C49,$C$3:$D$15,2,FALSE)*CW$20),IF(CW50-CV51&lt;0,0,CW50-CV51),
IF(AND(CV51&lt;VLOOKUP($C49,$C$3:$D$15,2,FALSE)*CW$20,CW50&gt;VLOOKUP($C49,$C$3:$D$15,2,FALSE)*CW$20),VLOOKUP($C49,$C$3:$D$15,2,FALSE)*CW$20-CV51)))</f>
        <v>0</v>
      </c>
      <c r="CX49" s="763">
        <f t="shared" ref="CX49" si="1799" xml:space="preserve">
IF(CW51&gt;=VLOOKUP($C49,$C$3:$D$15,2,FALSE)*CX$20,0,
IF(AND(CW51&lt;VLOOKUP($C49,$C$3:$D$15,2,FALSE)*CX$20,CX50&lt;=VLOOKUP($C49,$C$3:$D$15,2,FALSE)*CX$20),IF(CX50-CW51&lt;0,0,CX50-CW51),
IF(AND(CW51&lt;VLOOKUP($C49,$C$3:$D$15,2,FALSE)*CX$20,CX50&gt;VLOOKUP($C49,$C$3:$D$15,2,FALSE)*CX$20),VLOOKUP($C49,$C$3:$D$15,2,FALSE)*CX$20-CW51)))</f>
        <v>0</v>
      </c>
      <c r="CY49" s="763">
        <f t="shared" ref="CY49" si="1800" xml:space="preserve">
IF(CX51&gt;=VLOOKUP($C49,$C$3:$D$15,2,FALSE)*CY$20,0,
IF(AND(CX51&lt;VLOOKUP($C49,$C$3:$D$15,2,FALSE)*CY$20,CY50&lt;=VLOOKUP($C49,$C$3:$D$15,2,FALSE)*CY$20),IF(CY50-CX51&lt;0,0,CY50-CX51),
IF(AND(CX51&lt;VLOOKUP($C49,$C$3:$D$15,2,FALSE)*CY$20,CY50&gt;VLOOKUP($C49,$C$3:$D$15,2,FALSE)*CY$20),VLOOKUP($C49,$C$3:$D$15,2,FALSE)*CY$20-CX51)))</f>
        <v>0</v>
      </c>
      <c r="CZ49" s="763">
        <f t="shared" ref="CZ49" si="1801" xml:space="preserve">
IF(CY51&gt;=VLOOKUP($C49,$C$3:$D$15,2,FALSE)*CZ$20,0,
IF(AND(CY51&lt;VLOOKUP($C49,$C$3:$D$15,2,FALSE)*CZ$20,CZ50&lt;=VLOOKUP($C49,$C$3:$D$15,2,FALSE)*CZ$20),IF(CZ50-CY51&lt;0,0,CZ50-CY51),
IF(AND(CY51&lt;VLOOKUP($C49,$C$3:$D$15,2,FALSE)*CZ$20,CZ50&gt;VLOOKUP($C49,$C$3:$D$15,2,FALSE)*CZ$20),VLOOKUP($C49,$C$3:$D$15,2,FALSE)*CZ$20-CY51)))</f>
        <v>0</v>
      </c>
      <c r="DA49" s="763">
        <f t="shared" ref="DA49" si="1802" xml:space="preserve">
IF(CZ51&gt;=VLOOKUP($C49,$C$3:$D$15,2,FALSE)*DA$20,0,
IF(AND(CZ51&lt;VLOOKUP($C49,$C$3:$D$15,2,FALSE)*DA$20,DA50&lt;=VLOOKUP($C49,$C$3:$D$15,2,FALSE)*DA$20),IF(DA50-CZ51&lt;0,0,DA50-CZ51),
IF(AND(CZ51&lt;VLOOKUP($C49,$C$3:$D$15,2,FALSE)*DA$20,DA50&gt;VLOOKUP($C49,$C$3:$D$15,2,FALSE)*DA$20),VLOOKUP($C49,$C$3:$D$15,2,FALSE)*DA$20-CZ51)))</f>
        <v>0</v>
      </c>
      <c r="DB49" s="763">
        <f t="shared" ref="DB49" si="1803" xml:space="preserve">
IF(DA51&gt;=VLOOKUP($C49,$C$3:$D$15,2,FALSE)*DB$20,0,
IF(AND(DA51&lt;VLOOKUP($C49,$C$3:$D$15,2,FALSE)*DB$20,DB50&lt;=VLOOKUP($C49,$C$3:$D$15,2,FALSE)*DB$20),IF(DB50-DA51&lt;0,0,DB50-DA51),
IF(AND(DA51&lt;VLOOKUP($C49,$C$3:$D$15,2,FALSE)*DB$20,DB50&gt;VLOOKUP($C49,$C$3:$D$15,2,FALSE)*DB$20),VLOOKUP($C49,$C$3:$D$15,2,FALSE)*DB$20-DA51)))</f>
        <v>0</v>
      </c>
      <c r="DC49" s="763">
        <f t="shared" ref="DC49" si="1804" xml:space="preserve">
IF(DB51&gt;=VLOOKUP($C49,$C$3:$D$15,2,FALSE)*DC$20,0,
IF(AND(DB51&lt;VLOOKUP($C49,$C$3:$D$15,2,FALSE)*DC$20,DC50&lt;=VLOOKUP($C49,$C$3:$D$15,2,FALSE)*DC$20),IF(DC50-DB51&lt;0,0,DC50-DB51),
IF(AND(DB51&lt;VLOOKUP($C49,$C$3:$D$15,2,FALSE)*DC$20,DC50&gt;VLOOKUP($C49,$C$3:$D$15,2,FALSE)*DC$20),VLOOKUP($C49,$C$3:$D$15,2,FALSE)*DC$20-DB51)))</f>
        <v>0</v>
      </c>
      <c r="DD49" s="763">
        <f t="shared" ref="DD49" si="1805" xml:space="preserve">
IF(DC51&gt;=VLOOKUP($C49,$C$3:$D$15,2,FALSE)*DD$20,0,
IF(AND(DC51&lt;VLOOKUP($C49,$C$3:$D$15,2,FALSE)*DD$20,DD50&lt;=VLOOKUP($C49,$C$3:$D$15,2,FALSE)*DD$20),IF(DD50-DC51&lt;0,0,DD50-DC51),
IF(AND(DC51&lt;VLOOKUP($C49,$C$3:$D$15,2,FALSE)*DD$20,DD50&gt;VLOOKUP($C49,$C$3:$D$15,2,FALSE)*DD$20),VLOOKUP($C49,$C$3:$D$15,2,FALSE)*DD$20-DC51)))</f>
        <v>0</v>
      </c>
      <c r="DE49" s="763">
        <f t="shared" ref="DE49" si="1806" xml:space="preserve">
IF(DD51&gt;=VLOOKUP($C49,$C$3:$D$15,2,FALSE)*DE$20,0,
IF(AND(DD51&lt;VLOOKUP($C49,$C$3:$D$15,2,FALSE)*DE$20,DE50&lt;=VLOOKUP($C49,$C$3:$D$15,2,FALSE)*DE$20),IF(DE50-DD51&lt;0,0,DE50-DD51),
IF(AND(DD51&lt;VLOOKUP($C49,$C$3:$D$15,2,FALSE)*DE$20,DE50&gt;VLOOKUP($C49,$C$3:$D$15,2,FALSE)*DE$20),VLOOKUP($C49,$C$3:$D$15,2,FALSE)*DE$20-DD51)))</f>
        <v>0</v>
      </c>
      <c r="DF49" s="763">
        <f t="shared" ref="DF49" si="1807" xml:space="preserve">
IF(DE51&gt;=VLOOKUP($C49,$C$3:$D$15,2,FALSE)*DF$20,0,
IF(AND(DE51&lt;VLOOKUP($C49,$C$3:$D$15,2,FALSE)*DF$20,DF50&lt;=VLOOKUP($C49,$C$3:$D$15,2,FALSE)*DF$20),IF(DF50-DE51&lt;0,0,DF50-DE51),
IF(AND(DE51&lt;VLOOKUP($C49,$C$3:$D$15,2,FALSE)*DF$20,DF50&gt;VLOOKUP($C49,$C$3:$D$15,2,FALSE)*DF$20),VLOOKUP($C49,$C$3:$D$15,2,FALSE)*DF$20-DE51)))</f>
        <v>0</v>
      </c>
      <c r="DG49" s="763">
        <f t="shared" ref="DG49" si="1808" xml:space="preserve">
IF(DF51&gt;=VLOOKUP($C49,$C$3:$D$15,2,FALSE)*DG$20,0,
IF(AND(DF51&lt;VLOOKUP($C49,$C$3:$D$15,2,FALSE)*DG$20,DG50&lt;=VLOOKUP($C49,$C$3:$D$15,2,FALSE)*DG$20),IF(DG50-DF51&lt;0,0,DG50-DF51),
IF(AND(DF51&lt;VLOOKUP($C49,$C$3:$D$15,2,FALSE)*DG$20,DG50&gt;VLOOKUP($C49,$C$3:$D$15,2,FALSE)*DG$20),VLOOKUP($C49,$C$3:$D$15,2,FALSE)*DG$20-DF51)))</f>
        <v>0</v>
      </c>
      <c r="DH49" s="763">
        <f t="shared" ref="DH49" si="1809" xml:space="preserve">
IF(DG51&gt;=VLOOKUP($C49,$C$3:$D$15,2,FALSE)*DH$20,0,
IF(AND(DG51&lt;VLOOKUP($C49,$C$3:$D$15,2,FALSE)*DH$20,DH50&lt;=VLOOKUP($C49,$C$3:$D$15,2,FALSE)*DH$20),IF(DH50-DG51&lt;0,0,DH50-DG51),
IF(AND(DG51&lt;VLOOKUP($C49,$C$3:$D$15,2,FALSE)*DH$20,DH50&gt;VLOOKUP($C49,$C$3:$D$15,2,FALSE)*DH$20),VLOOKUP($C49,$C$3:$D$15,2,FALSE)*DH$20-DG51)))</f>
        <v>0</v>
      </c>
      <c r="DI49" s="763">
        <f t="shared" ref="DI49" si="1810" xml:space="preserve">
IF(DH51&gt;=VLOOKUP($C49,$C$3:$D$15,2,FALSE)*DI$20,0,
IF(AND(DH51&lt;VLOOKUP($C49,$C$3:$D$15,2,FALSE)*DI$20,DI50&lt;=VLOOKUP($C49,$C$3:$D$15,2,FALSE)*DI$20),IF(DI50-DH51&lt;0,0,DI50-DH51),
IF(AND(DH51&lt;VLOOKUP($C49,$C$3:$D$15,2,FALSE)*DI$20,DI50&gt;VLOOKUP($C49,$C$3:$D$15,2,FALSE)*DI$20),VLOOKUP($C49,$C$3:$D$15,2,FALSE)*DI$20-DH51)))</f>
        <v>0</v>
      </c>
      <c r="DJ49" s="763">
        <f t="shared" ref="DJ49" si="1811" xml:space="preserve">
IF(DI51&gt;=VLOOKUP($C49,$C$3:$D$15,2,FALSE)*DJ$20,0,
IF(AND(DI51&lt;VLOOKUP($C49,$C$3:$D$15,2,FALSE)*DJ$20,DJ50&lt;=VLOOKUP($C49,$C$3:$D$15,2,FALSE)*DJ$20),IF(DJ50-DI51&lt;0,0,DJ50-DI51),
IF(AND(DI51&lt;VLOOKUP($C49,$C$3:$D$15,2,FALSE)*DJ$20,DJ50&gt;VLOOKUP($C49,$C$3:$D$15,2,FALSE)*DJ$20),VLOOKUP($C49,$C$3:$D$15,2,FALSE)*DJ$20-DI51)))</f>
        <v>0</v>
      </c>
      <c r="DK49" s="763">
        <f t="shared" ref="DK49" si="1812" xml:space="preserve">
IF(DJ51&gt;=VLOOKUP($C49,$C$3:$D$15,2,FALSE)*DK$20,0,
IF(AND(DJ51&lt;VLOOKUP($C49,$C$3:$D$15,2,FALSE)*DK$20,DK50&lt;=VLOOKUP($C49,$C$3:$D$15,2,FALSE)*DK$20),IF(DK50-DJ51&lt;0,0,DK50-DJ51),
IF(AND(DJ51&lt;VLOOKUP($C49,$C$3:$D$15,2,FALSE)*DK$20,DK50&gt;VLOOKUP($C49,$C$3:$D$15,2,FALSE)*DK$20),VLOOKUP($C49,$C$3:$D$15,2,FALSE)*DK$20-DJ51)))</f>
        <v>0</v>
      </c>
      <c r="DL49" s="763">
        <f t="shared" ref="DL49" si="1813" xml:space="preserve">
IF(DK51&gt;=VLOOKUP($C49,$C$3:$D$15,2,FALSE)*DL$20,0,
IF(AND(DK51&lt;VLOOKUP($C49,$C$3:$D$15,2,FALSE)*DL$20,DL50&lt;=VLOOKUP($C49,$C$3:$D$15,2,FALSE)*DL$20),IF(DL50-DK51&lt;0,0,DL50-DK51),
IF(AND(DK51&lt;VLOOKUP($C49,$C$3:$D$15,2,FALSE)*DL$20,DL50&gt;VLOOKUP($C49,$C$3:$D$15,2,FALSE)*DL$20),VLOOKUP($C49,$C$3:$D$15,2,FALSE)*DL$20-DK51)))</f>
        <v>0</v>
      </c>
      <c r="DM49" s="763">
        <f t="shared" ref="DM49" si="1814" xml:space="preserve">
IF(DL51&gt;=VLOOKUP($C49,$C$3:$D$15,2,FALSE)*DM$20,0,
IF(AND(DL51&lt;VLOOKUP($C49,$C$3:$D$15,2,FALSE)*DM$20,DM50&lt;=VLOOKUP($C49,$C$3:$D$15,2,FALSE)*DM$20),IF(DM50-DL51&lt;0,0,DM50-DL51),
IF(AND(DL51&lt;VLOOKUP($C49,$C$3:$D$15,2,FALSE)*DM$20,DM50&gt;VLOOKUP($C49,$C$3:$D$15,2,FALSE)*DM$20),VLOOKUP($C49,$C$3:$D$15,2,FALSE)*DM$20-DL51)))</f>
        <v>0</v>
      </c>
      <c r="DN49" s="763">
        <f t="shared" ref="DN49" si="1815" xml:space="preserve">
IF(DM51&gt;=VLOOKUP($C49,$C$3:$D$15,2,FALSE)*DN$20,0,
IF(AND(DM51&lt;VLOOKUP($C49,$C$3:$D$15,2,FALSE)*DN$20,DN50&lt;=VLOOKUP($C49,$C$3:$D$15,2,FALSE)*DN$20),IF(DN50-DM51&lt;0,0,DN50-DM51),
IF(AND(DM51&lt;VLOOKUP($C49,$C$3:$D$15,2,FALSE)*DN$20,DN50&gt;VLOOKUP($C49,$C$3:$D$15,2,FALSE)*DN$20),VLOOKUP($C49,$C$3:$D$15,2,FALSE)*DN$20-DM51)))</f>
        <v>0</v>
      </c>
      <c r="DO49" s="763">
        <f t="shared" ref="DO49" si="1816" xml:space="preserve">
IF(DN51&gt;=VLOOKUP($C49,$C$3:$D$15,2,FALSE)*DO$20,0,
IF(AND(DN51&lt;VLOOKUP($C49,$C$3:$D$15,2,FALSE)*DO$20,DO50&lt;=VLOOKUP($C49,$C$3:$D$15,2,FALSE)*DO$20),IF(DO50-DN51&lt;0,0,DO50-DN51),
IF(AND(DN51&lt;VLOOKUP($C49,$C$3:$D$15,2,FALSE)*DO$20,DO50&gt;VLOOKUP($C49,$C$3:$D$15,2,FALSE)*DO$20),VLOOKUP($C49,$C$3:$D$15,2,FALSE)*DO$20-DN51)))</f>
        <v>0</v>
      </c>
      <c r="DP49" s="763">
        <f t="shared" ref="DP49" si="1817" xml:space="preserve">
IF(DO51&gt;=VLOOKUP($C49,$C$3:$D$15,2,FALSE)*DP$20,0,
IF(AND(DO51&lt;VLOOKUP($C49,$C$3:$D$15,2,FALSE)*DP$20,DP50&lt;=VLOOKUP($C49,$C$3:$D$15,2,FALSE)*DP$20),IF(DP50-DO51&lt;0,0,DP50-DO51),
IF(AND(DO51&lt;VLOOKUP($C49,$C$3:$D$15,2,FALSE)*DP$20,DP50&gt;VLOOKUP($C49,$C$3:$D$15,2,FALSE)*DP$20),VLOOKUP($C49,$C$3:$D$15,2,FALSE)*DP$20-DO51)))</f>
        <v>0</v>
      </c>
      <c r="DQ49" s="763">
        <f t="shared" ref="DQ49" si="1818" xml:space="preserve">
IF(DP51&gt;=VLOOKUP($C49,$C$3:$D$15,2,FALSE)*DQ$20,0,
IF(AND(DP51&lt;VLOOKUP($C49,$C$3:$D$15,2,FALSE)*DQ$20,DQ50&lt;=VLOOKUP($C49,$C$3:$D$15,2,FALSE)*DQ$20),IF(DQ50-DP51&lt;0,0,DQ50-DP51),
IF(AND(DP51&lt;VLOOKUP($C49,$C$3:$D$15,2,FALSE)*DQ$20,DQ50&gt;VLOOKUP($C49,$C$3:$D$15,2,FALSE)*DQ$20),VLOOKUP($C49,$C$3:$D$15,2,FALSE)*DQ$20-DP51)))</f>
        <v>0</v>
      </c>
      <c r="DR49" s="763">
        <f t="shared" ref="DR49" si="1819" xml:space="preserve">
IF(DQ51&gt;=VLOOKUP($C49,$C$3:$D$15,2,FALSE)*DR$20,0,
IF(AND(DQ51&lt;VLOOKUP($C49,$C$3:$D$15,2,FALSE)*DR$20,DR50&lt;=VLOOKUP($C49,$C$3:$D$15,2,FALSE)*DR$20),IF(DR50-DQ51&lt;0,0,DR50-DQ51),
IF(AND(DQ51&lt;VLOOKUP($C49,$C$3:$D$15,2,FALSE)*DR$20,DR50&gt;VLOOKUP($C49,$C$3:$D$15,2,FALSE)*DR$20),VLOOKUP($C49,$C$3:$D$15,2,FALSE)*DR$20-DQ51)))</f>
        <v>0</v>
      </c>
      <c r="DS49" s="763">
        <f t="shared" ref="DS49" si="1820" xml:space="preserve">
IF(DR51&gt;=VLOOKUP($C49,$C$3:$D$15,2,FALSE)*DS$20,0,
IF(AND(DR51&lt;VLOOKUP($C49,$C$3:$D$15,2,FALSE)*DS$20,DS50&lt;=VLOOKUP($C49,$C$3:$D$15,2,FALSE)*DS$20),IF(DS50-DR51&lt;0,0,DS50-DR51),
IF(AND(DR51&lt;VLOOKUP($C49,$C$3:$D$15,2,FALSE)*DS$20,DS50&gt;VLOOKUP($C49,$C$3:$D$15,2,FALSE)*DS$20),VLOOKUP($C49,$C$3:$D$15,2,FALSE)*DS$20-DR51)))</f>
        <v>0</v>
      </c>
      <c r="DT49" s="763">
        <f t="shared" ref="DT49" si="1821" xml:space="preserve">
IF(DS51&gt;=VLOOKUP($C49,$C$3:$D$15,2,FALSE)*DT$20,0,
IF(AND(DS51&lt;VLOOKUP($C49,$C$3:$D$15,2,FALSE)*DT$20,DT50&lt;=VLOOKUP($C49,$C$3:$D$15,2,FALSE)*DT$20),IF(DT50-DS51&lt;0,0,DT50-DS51),
IF(AND(DS51&lt;VLOOKUP($C49,$C$3:$D$15,2,FALSE)*DT$20,DT50&gt;VLOOKUP($C49,$C$3:$D$15,2,FALSE)*DT$20),VLOOKUP($C49,$C$3:$D$15,2,FALSE)*DT$20-DS51)))</f>
        <v>0</v>
      </c>
      <c r="DU49" s="763">
        <f t="shared" ref="DU49" si="1822" xml:space="preserve">
IF(DT51&gt;=VLOOKUP($C49,$C$3:$D$15,2,FALSE)*DU$20,0,
IF(AND(DT51&lt;VLOOKUP($C49,$C$3:$D$15,2,FALSE)*DU$20,DU50&lt;=VLOOKUP($C49,$C$3:$D$15,2,FALSE)*DU$20),IF(DU50-DT51&lt;0,0,DU50-DT51),
IF(AND(DT51&lt;VLOOKUP($C49,$C$3:$D$15,2,FALSE)*DU$20,DU50&gt;VLOOKUP($C49,$C$3:$D$15,2,FALSE)*DU$20),VLOOKUP($C49,$C$3:$D$15,2,FALSE)*DU$20-DT51)))</f>
        <v>0</v>
      </c>
      <c r="DV49" s="763">
        <f t="shared" ref="DV49" si="1823" xml:space="preserve">
IF(DU51&gt;=VLOOKUP($C49,$C$3:$D$15,2,FALSE)*DV$20,0,
IF(AND(DU51&lt;VLOOKUP($C49,$C$3:$D$15,2,FALSE)*DV$20,DV50&lt;=VLOOKUP($C49,$C$3:$D$15,2,FALSE)*DV$20),IF(DV50-DU51&lt;0,0,DV50-DU51),
IF(AND(DU51&lt;VLOOKUP($C49,$C$3:$D$15,2,FALSE)*DV$20,DV50&gt;VLOOKUP($C49,$C$3:$D$15,2,FALSE)*DV$20),VLOOKUP($C49,$C$3:$D$15,2,FALSE)*DV$20-DU51)))</f>
        <v>0</v>
      </c>
      <c r="DW49" s="763">
        <f t="shared" ref="DW49" si="1824" xml:space="preserve">
IF(DV51&gt;=VLOOKUP($C49,$C$3:$D$15,2,FALSE)*DW$20,0,
IF(AND(DV51&lt;VLOOKUP($C49,$C$3:$D$15,2,FALSE)*DW$20,DW50&lt;=VLOOKUP($C49,$C$3:$D$15,2,FALSE)*DW$20),IF(DW50-DV51&lt;0,0,DW50-DV51),
IF(AND(DV51&lt;VLOOKUP($C49,$C$3:$D$15,2,FALSE)*DW$20,DW50&gt;VLOOKUP($C49,$C$3:$D$15,2,FALSE)*DW$20),VLOOKUP($C49,$C$3:$D$15,2,FALSE)*DW$20-DV51)))</f>
        <v>0</v>
      </c>
      <c r="DX49" s="763">
        <f t="shared" ref="DX49" si="1825" xml:space="preserve">
IF(DW51&gt;=VLOOKUP($C49,$C$3:$D$15,2,FALSE)*DX$20,0,
IF(AND(DW51&lt;VLOOKUP($C49,$C$3:$D$15,2,FALSE)*DX$20,DX50&lt;=VLOOKUP($C49,$C$3:$D$15,2,FALSE)*DX$20),IF(DX50-DW51&lt;0,0,DX50-DW51),
IF(AND(DW51&lt;VLOOKUP($C49,$C$3:$D$15,2,FALSE)*DX$20,DX50&gt;VLOOKUP($C49,$C$3:$D$15,2,FALSE)*DX$20),VLOOKUP($C49,$C$3:$D$15,2,FALSE)*DX$20-DW51)))</f>
        <v>0</v>
      </c>
      <c r="DY49" s="763">
        <f t="shared" ref="DY49" si="1826" xml:space="preserve">
IF(DX51&gt;=VLOOKUP($C49,$C$3:$D$15,2,FALSE)*DY$20,0,
IF(AND(DX51&lt;VLOOKUP($C49,$C$3:$D$15,2,FALSE)*DY$20,DY50&lt;=VLOOKUP($C49,$C$3:$D$15,2,FALSE)*DY$20),IF(DY50-DX51&lt;0,0,DY50-DX51),
IF(AND(DX51&lt;VLOOKUP($C49,$C$3:$D$15,2,FALSE)*DY$20,DY50&gt;VLOOKUP($C49,$C$3:$D$15,2,FALSE)*DY$20),VLOOKUP($C49,$C$3:$D$15,2,FALSE)*DY$20-DX51)))</f>
        <v>0</v>
      </c>
      <c r="DZ49" s="763">
        <f t="shared" ref="DZ49" si="1827" xml:space="preserve">
IF(DY51&gt;=VLOOKUP($C49,$C$3:$D$15,2,FALSE)*DZ$20,0,
IF(AND(DY51&lt;VLOOKUP($C49,$C$3:$D$15,2,FALSE)*DZ$20,DZ50&lt;=VLOOKUP($C49,$C$3:$D$15,2,FALSE)*DZ$20),IF(DZ50-DY51&lt;0,0,DZ50-DY51),
IF(AND(DY51&lt;VLOOKUP($C49,$C$3:$D$15,2,FALSE)*DZ$20,DZ50&gt;VLOOKUP($C49,$C$3:$D$15,2,FALSE)*DZ$20),VLOOKUP($C49,$C$3:$D$15,2,FALSE)*DZ$20-DY51)))</f>
        <v>0</v>
      </c>
      <c r="EA49" s="763">
        <f t="shared" ref="EA49" si="1828" xml:space="preserve">
IF(DZ51&gt;=VLOOKUP($C49,$C$3:$D$15,2,FALSE)*EA$20,0,
IF(AND(DZ51&lt;VLOOKUP($C49,$C$3:$D$15,2,FALSE)*EA$20,EA50&lt;=VLOOKUP($C49,$C$3:$D$15,2,FALSE)*EA$20),IF(EA50-DZ51&lt;0,0,EA50-DZ51),
IF(AND(DZ51&lt;VLOOKUP($C49,$C$3:$D$15,2,FALSE)*EA$20,EA50&gt;VLOOKUP($C49,$C$3:$D$15,2,FALSE)*EA$20),VLOOKUP($C49,$C$3:$D$15,2,FALSE)*EA$20-DZ51)))</f>
        <v>0</v>
      </c>
      <c r="EB49" s="763">
        <f t="shared" ref="EB49" si="1829" xml:space="preserve">
IF(EA51&gt;=VLOOKUP($C49,$C$3:$D$15,2,FALSE)*EB$20,0,
IF(AND(EA51&lt;VLOOKUP($C49,$C$3:$D$15,2,FALSE)*EB$20,EB50&lt;=VLOOKUP($C49,$C$3:$D$15,2,FALSE)*EB$20),IF(EB50-EA51&lt;0,0,EB50-EA51),
IF(AND(EA51&lt;VLOOKUP($C49,$C$3:$D$15,2,FALSE)*EB$20,EB50&gt;VLOOKUP($C49,$C$3:$D$15,2,FALSE)*EB$20),VLOOKUP($C49,$C$3:$D$15,2,FALSE)*EB$20-EA51)))</f>
        <v>0</v>
      </c>
      <c r="EC49" s="763">
        <f t="shared" ref="EC49" si="1830" xml:space="preserve">
IF(EB51&gt;=VLOOKUP($C49,$C$3:$D$15,2,FALSE)*EC$20,0,
IF(AND(EB51&lt;VLOOKUP($C49,$C$3:$D$15,2,FALSE)*EC$20,EC50&lt;=VLOOKUP($C49,$C$3:$D$15,2,FALSE)*EC$20),IF(EC50-EB51&lt;0,0,EC50-EB51),
IF(AND(EB51&lt;VLOOKUP($C49,$C$3:$D$15,2,FALSE)*EC$20,EC50&gt;VLOOKUP($C49,$C$3:$D$15,2,FALSE)*EC$20),VLOOKUP($C49,$C$3:$D$15,2,FALSE)*EC$20-EB51)))</f>
        <v>0</v>
      </c>
      <c r="ED49" s="763">
        <f t="shared" ref="ED49" si="1831" xml:space="preserve">
IF(EC51&gt;=VLOOKUP($C49,$C$3:$D$15,2,FALSE)*ED$20,0,
IF(AND(EC51&lt;VLOOKUP($C49,$C$3:$D$15,2,FALSE)*ED$20,ED50&lt;=VLOOKUP($C49,$C$3:$D$15,2,FALSE)*ED$20),IF(ED50-EC51&lt;0,0,ED50-EC51),
IF(AND(EC51&lt;VLOOKUP($C49,$C$3:$D$15,2,FALSE)*ED$20,ED50&gt;VLOOKUP($C49,$C$3:$D$15,2,FALSE)*ED$20),VLOOKUP($C49,$C$3:$D$15,2,FALSE)*ED$20-EC51)))</f>
        <v>0</v>
      </c>
      <c r="EE49" s="763">
        <f t="shared" ref="EE49" si="1832" xml:space="preserve">
IF(ED51&gt;=VLOOKUP($C49,$C$3:$D$15,2,FALSE)*EE$20,0,
IF(AND(ED51&lt;VLOOKUP($C49,$C$3:$D$15,2,FALSE)*EE$20,EE50&lt;=VLOOKUP($C49,$C$3:$D$15,2,FALSE)*EE$20),IF(EE50-ED51&lt;0,0,EE50-ED51),
IF(AND(ED51&lt;VLOOKUP($C49,$C$3:$D$15,2,FALSE)*EE$20,EE50&gt;VLOOKUP($C49,$C$3:$D$15,2,FALSE)*EE$20),VLOOKUP($C49,$C$3:$D$15,2,FALSE)*EE$20-ED51)))</f>
        <v>0</v>
      </c>
      <c r="EF49" s="763">
        <f t="shared" ref="EF49" si="1833" xml:space="preserve">
IF(EE51&gt;=VLOOKUP($C49,$C$3:$D$15,2,FALSE)*EF$20,0,
IF(AND(EE51&lt;VLOOKUP($C49,$C$3:$D$15,2,FALSE)*EF$20,EF50&lt;=VLOOKUP($C49,$C$3:$D$15,2,FALSE)*EF$20),IF(EF50-EE51&lt;0,0,EF50-EE51),
IF(AND(EE51&lt;VLOOKUP($C49,$C$3:$D$15,2,FALSE)*EF$20,EF50&gt;VLOOKUP($C49,$C$3:$D$15,2,FALSE)*EF$20),VLOOKUP($C49,$C$3:$D$15,2,FALSE)*EF$20-EE51)))</f>
        <v>0</v>
      </c>
      <c r="EG49" s="763">
        <f t="shared" ref="EG49" si="1834" xml:space="preserve">
IF(EF51&gt;=VLOOKUP($C49,$C$3:$D$15,2,FALSE)*EG$20,0,
IF(AND(EF51&lt;VLOOKUP($C49,$C$3:$D$15,2,FALSE)*EG$20,EG50&lt;=VLOOKUP($C49,$C$3:$D$15,2,FALSE)*EG$20),IF(EG50-EF51&lt;0,0,EG50-EF51),
IF(AND(EF51&lt;VLOOKUP($C49,$C$3:$D$15,2,FALSE)*EG$20,EG50&gt;VLOOKUP($C49,$C$3:$D$15,2,FALSE)*EG$20),VLOOKUP($C49,$C$3:$D$15,2,FALSE)*EG$20-EF51)))</f>
        <v>0</v>
      </c>
      <c r="EH49" s="763">
        <f t="shared" ref="EH49" si="1835" xml:space="preserve">
IF(EG51&gt;=VLOOKUP($C49,$C$3:$D$15,2,FALSE)*EH$20,0,
IF(AND(EG51&lt;VLOOKUP($C49,$C$3:$D$15,2,FALSE)*EH$20,EH50&lt;=VLOOKUP($C49,$C$3:$D$15,2,FALSE)*EH$20),IF(EH50-EG51&lt;0,0,EH50-EG51),
IF(AND(EG51&lt;VLOOKUP($C49,$C$3:$D$15,2,FALSE)*EH$20,EH50&gt;VLOOKUP($C49,$C$3:$D$15,2,FALSE)*EH$20),VLOOKUP($C49,$C$3:$D$15,2,FALSE)*EH$20-EG51)))</f>
        <v>0</v>
      </c>
      <c r="EI49" s="763">
        <f t="shared" ref="EI49" si="1836" xml:space="preserve">
IF(EH51&gt;=VLOOKUP($C49,$C$3:$D$15,2,FALSE)*EI$20,0,
IF(AND(EH51&lt;VLOOKUP($C49,$C$3:$D$15,2,FALSE)*EI$20,EI50&lt;=VLOOKUP($C49,$C$3:$D$15,2,FALSE)*EI$20),IF(EI50-EH51&lt;0,0,EI50-EH51),
IF(AND(EH51&lt;VLOOKUP($C49,$C$3:$D$15,2,FALSE)*EI$20,EI50&gt;VLOOKUP($C49,$C$3:$D$15,2,FALSE)*EI$20),VLOOKUP($C49,$C$3:$D$15,2,FALSE)*EI$20-EH51)))</f>
        <v>0</v>
      </c>
      <c r="EJ49" s="763">
        <f t="shared" ref="EJ49" si="1837" xml:space="preserve">
IF(EI51&gt;=VLOOKUP($C49,$C$3:$D$15,2,FALSE)*EJ$20,0,
IF(AND(EI51&lt;VLOOKUP($C49,$C$3:$D$15,2,FALSE)*EJ$20,EJ50&lt;=VLOOKUP($C49,$C$3:$D$15,2,FALSE)*EJ$20),IF(EJ50-EI51&lt;0,0,EJ50-EI51),
IF(AND(EI51&lt;VLOOKUP($C49,$C$3:$D$15,2,FALSE)*EJ$20,EJ50&gt;VLOOKUP($C49,$C$3:$D$15,2,FALSE)*EJ$20),VLOOKUP($C49,$C$3:$D$15,2,FALSE)*EJ$20-EI51)))</f>
        <v>0</v>
      </c>
      <c r="EK49" s="763">
        <f t="shared" ref="EK49" si="1838" xml:space="preserve">
IF(EJ51&gt;=VLOOKUP($C49,$C$3:$D$15,2,FALSE)*EK$20,0,
IF(AND(EJ51&lt;VLOOKUP($C49,$C$3:$D$15,2,FALSE)*EK$20,EK50&lt;=VLOOKUP($C49,$C$3:$D$15,2,FALSE)*EK$20),IF(EK50-EJ51&lt;0,0,EK50-EJ51),
IF(AND(EJ51&lt;VLOOKUP($C49,$C$3:$D$15,2,FALSE)*EK$20,EK50&gt;VLOOKUP($C49,$C$3:$D$15,2,FALSE)*EK$20),VLOOKUP($C49,$C$3:$D$15,2,FALSE)*EK$20-EJ51)))</f>
        <v>0</v>
      </c>
      <c r="EL49" s="763">
        <f t="shared" ref="EL49" si="1839" xml:space="preserve">
IF(EK51&gt;=VLOOKUP($C49,$C$3:$D$15,2,FALSE)*EL$20,0,
IF(AND(EK51&lt;VLOOKUP($C49,$C$3:$D$15,2,FALSE)*EL$20,EL50&lt;=VLOOKUP($C49,$C$3:$D$15,2,FALSE)*EL$20),IF(EL50-EK51&lt;0,0,EL50-EK51),
IF(AND(EK51&lt;VLOOKUP($C49,$C$3:$D$15,2,FALSE)*EL$20,EL50&gt;VLOOKUP($C49,$C$3:$D$15,2,FALSE)*EL$20),VLOOKUP($C49,$C$3:$D$15,2,FALSE)*EL$20-EK51)))</f>
        <v>0</v>
      </c>
      <c r="EM49" s="763">
        <f t="shared" ref="EM49" si="1840" xml:space="preserve">
IF(EL51&gt;=VLOOKUP($C49,$C$3:$D$15,2,FALSE)*EM$20,0,
IF(AND(EL51&lt;VLOOKUP($C49,$C$3:$D$15,2,FALSE)*EM$20,EM50&lt;=VLOOKUP($C49,$C$3:$D$15,2,FALSE)*EM$20),IF(EM50-EL51&lt;0,0,EM50-EL51),
IF(AND(EL51&lt;VLOOKUP($C49,$C$3:$D$15,2,FALSE)*EM$20,EM50&gt;VLOOKUP($C49,$C$3:$D$15,2,FALSE)*EM$20),VLOOKUP($C49,$C$3:$D$15,2,FALSE)*EM$20-EL51)))</f>
        <v>0</v>
      </c>
      <c r="EN49" s="763">
        <f t="shared" ref="EN49" si="1841" xml:space="preserve">
IF(EM51&gt;=VLOOKUP($C49,$C$3:$D$15,2,FALSE)*EN$20,0,
IF(AND(EM51&lt;VLOOKUP($C49,$C$3:$D$15,2,FALSE)*EN$20,EN50&lt;=VLOOKUP($C49,$C$3:$D$15,2,FALSE)*EN$20),IF(EN50-EM51&lt;0,0,EN50-EM51),
IF(AND(EM51&lt;VLOOKUP($C49,$C$3:$D$15,2,FALSE)*EN$20,EN50&gt;VLOOKUP($C49,$C$3:$D$15,2,FALSE)*EN$20),VLOOKUP($C49,$C$3:$D$15,2,FALSE)*EN$20-EM51)))</f>
        <v>0</v>
      </c>
      <c r="EO49" s="763">
        <f t="shared" ref="EO49" si="1842" xml:space="preserve">
IF(EN51&gt;=VLOOKUP($C49,$C$3:$D$15,2,FALSE)*EO$20,0,
IF(AND(EN51&lt;VLOOKUP($C49,$C$3:$D$15,2,FALSE)*EO$20,EO50&lt;=VLOOKUP($C49,$C$3:$D$15,2,FALSE)*EO$20),IF(EO50-EN51&lt;0,0,EO50-EN51),
IF(AND(EN51&lt;VLOOKUP($C49,$C$3:$D$15,2,FALSE)*EO$20,EO50&gt;VLOOKUP($C49,$C$3:$D$15,2,FALSE)*EO$20),VLOOKUP($C49,$C$3:$D$15,2,FALSE)*EO$20-EN51)))</f>
        <v>0</v>
      </c>
      <c r="EP49" s="763">
        <f t="shared" ref="EP49" si="1843" xml:space="preserve">
IF(EO51&gt;=VLOOKUP($C49,$C$3:$D$15,2,FALSE)*EP$20,0,
IF(AND(EO51&lt;VLOOKUP($C49,$C$3:$D$15,2,FALSE)*EP$20,EP50&lt;=VLOOKUP($C49,$C$3:$D$15,2,FALSE)*EP$20),IF(EP50-EO51&lt;0,0,EP50-EO51),
IF(AND(EO51&lt;VLOOKUP($C49,$C$3:$D$15,2,FALSE)*EP$20,EP50&gt;VLOOKUP($C49,$C$3:$D$15,2,FALSE)*EP$20),VLOOKUP($C49,$C$3:$D$15,2,FALSE)*EP$20-EO51)))</f>
        <v>0</v>
      </c>
      <c r="EQ49" s="763">
        <f t="shared" ref="EQ49" si="1844" xml:space="preserve">
IF(EP51&gt;=VLOOKUP($C49,$C$3:$D$15,2,FALSE)*EQ$20,0,
IF(AND(EP51&lt;VLOOKUP($C49,$C$3:$D$15,2,FALSE)*EQ$20,EQ50&lt;=VLOOKUP($C49,$C$3:$D$15,2,FALSE)*EQ$20),IF(EQ50-EP51&lt;0,0,EQ50-EP51),
IF(AND(EP51&lt;VLOOKUP($C49,$C$3:$D$15,2,FALSE)*EQ$20,EQ50&gt;VLOOKUP($C49,$C$3:$D$15,2,FALSE)*EQ$20),VLOOKUP($C49,$C$3:$D$15,2,FALSE)*EQ$20-EP51)))</f>
        <v>0</v>
      </c>
      <c r="ER49" s="763">
        <f t="shared" ref="ER49" si="1845" xml:space="preserve">
IF(EQ51&gt;=VLOOKUP($C49,$C$3:$D$15,2,FALSE)*ER$20,0,
IF(AND(EQ51&lt;VLOOKUP($C49,$C$3:$D$15,2,FALSE)*ER$20,ER50&lt;=VLOOKUP($C49,$C$3:$D$15,2,FALSE)*ER$20),IF(ER50-EQ51&lt;0,0,ER50-EQ51),
IF(AND(EQ51&lt;VLOOKUP($C49,$C$3:$D$15,2,FALSE)*ER$20,ER50&gt;VLOOKUP($C49,$C$3:$D$15,2,FALSE)*ER$20),VLOOKUP($C49,$C$3:$D$15,2,FALSE)*ER$20-EQ51)))</f>
        <v>0</v>
      </c>
      <c r="ES49" s="763">
        <f t="shared" ref="ES49" si="1846" xml:space="preserve">
IF(ER51&gt;=VLOOKUP($C49,$C$3:$D$15,2,FALSE)*ES$20,0,
IF(AND(ER51&lt;VLOOKUP($C49,$C$3:$D$15,2,FALSE)*ES$20,ES50&lt;=VLOOKUP($C49,$C$3:$D$15,2,FALSE)*ES$20),IF(ES50-ER51&lt;0,0,ES50-ER51),
IF(AND(ER51&lt;VLOOKUP($C49,$C$3:$D$15,2,FALSE)*ES$20,ES50&gt;VLOOKUP($C49,$C$3:$D$15,2,FALSE)*ES$20),VLOOKUP($C49,$C$3:$D$15,2,FALSE)*ES$20-ER51)))</f>
        <v>0</v>
      </c>
      <c r="ET49" s="763">
        <f t="shared" ref="ET49" si="1847" xml:space="preserve">
IF(ES51&gt;=VLOOKUP($C49,$C$3:$D$15,2,FALSE)*ET$20,0,
IF(AND(ES51&lt;VLOOKUP($C49,$C$3:$D$15,2,FALSE)*ET$20,ET50&lt;=VLOOKUP($C49,$C$3:$D$15,2,FALSE)*ET$20),IF(ET50-ES51&lt;0,0,ET50-ES51),
IF(AND(ES51&lt;VLOOKUP($C49,$C$3:$D$15,2,FALSE)*ET$20,ET50&gt;VLOOKUP($C49,$C$3:$D$15,2,FALSE)*ET$20),VLOOKUP($C49,$C$3:$D$15,2,FALSE)*ET$20-ES51)))</f>
        <v>0</v>
      </c>
      <c r="EU49" s="763">
        <f t="shared" ref="EU49" si="1848" xml:space="preserve">
IF(ET51&gt;=VLOOKUP($C49,$C$3:$D$15,2,FALSE)*EU$20,0,
IF(AND(ET51&lt;VLOOKUP($C49,$C$3:$D$15,2,FALSE)*EU$20,EU50&lt;=VLOOKUP($C49,$C$3:$D$15,2,FALSE)*EU$20),IF(EU50-ET51&lt;0,0,EU50-ET51),
IF(AND(ET51&lt;VLOOKUP($C49,$C$3:$D$15,2,FALSE)*EU$20,EU50&gt;VLOOKUP($C49,$C$3:$D$15,2,FALSE)*EU$20),VLOOKUP($C49,$C$3:$D$15,2,FALSE)*EU$20-ET51)))</f>
        <v>0</v>
      </c>
      <c r="EV49" s="763">
        <f t="shared" ref="EV49" si="1849" xml:space="preserve">
IF(EU51&gt;=VLOOKUP($C49,$C$3:$D$15,2,FALSE)*EV$20,0,
IF(AND(EU51&lt;VLOOKUP($C49,$C$3:$D$15,2,FALSE)*EV$20,EV50&lt;=VLOOKUP($C49,$C$3:$D$15,2,FALSE)*EV$20),IF(EV50-EU51&lt;0,0,EV50-EU51),
IF(AND(EU51&lt;VLOOKUP($C49,$C$3:$D$15,2,FALSE)*EV$20,EV50&gt;VLOOKUP($C49,$C$3:$D$15,2,FALSE)*EV$20),VLOOKUP($C49,$C$3:$D$15,2,FALSE)*EV$20-EU51)))</f>
        <v>0</v>
      </c>
      <c r="EW49" s="763">
        <f t="shared" ref="EW49" si="1850" xml:space="preserve">
IF(EV51&gt;=VLOOKUP($C49,$C$3:$D$15,2,FALSE)*EW$20,0,
IF(AND(EV51&lt;VLOOKUP($C49,$C$3:$D$15,2,FALSE)*EW$20,EW50&lt;=VLOOKUP($C49,$C$3:$D$15,2,FALSE)*EW$20),IF(EW50-EV51&lt;0,0,EW50-EV51),
IF(AND(EV51&lt;VLOOKUP($C49,$C$3:$D$15,2,FALSE)*EW$20,EW50&gt;VLOOKUP($C49,$C$3:$D$15,2,FALSE)*EW$20),VLOOKUP($C49,$C$3:$D$15,2,FALSE)*EW$20-EV51)))</f>
        <v>0</v>
      </c>
      <c r="EX49" s="763">
        <f t="shared" ref="EX49" si="1851" xml:space="preserve">
IF(EW51&gt;=VLOOKUP($C49,$C$3:$D$15,2,FALSE)*EX$20,0,
IF(AND(EW51&lt;VLOOKUP($C49,$C$3:$D$15,2,FALSE)*EX$20,EX50&lt;=VLOOKUP($C49,$C$3:$D$15,2,FALSE)*EX$20),IF(EX50-EW51&lt;0,0,EX50-EW51),
IF(AND(EW51&lt;VLOOKUP($C49,$C$3:$D$15,2,FALSE)*EX$20,EX50&gt;VLOOKUP($C49,$C$3:$D$15,2,FALSE)*EX$20),VLOOKUP($C49,$C$3:$D$15,2,FALSE)*EX$20-EW51)))</f>
        <v>0</v>
      </c>
      <c r="EY49" s="763">
        <f t="shared" ref="EY49" si="1852" xml:space="preserve">
IF(EX51&gt;=VLOOKUP($C49,$C$3:$D$15,2,FALSE)*EY$20,0,
IF(AND(EX51&lt;VLOOKUP($C49,$C$3:$D$15,2,FALSE)*EY$20,EY50&lt;=VLOOKUP($C49,$C$3:$D$15,2,FALSE)*EY$20),IF(EY50-EX51&lt;0,0,EY50-EX51),
IF(AND(EX51&lt;VLOOKUP($C49,$C$3:$D$15,2,FALSE)*EY$20,EY50&gt;VLOOKUP($C49,$C$3:$D$15,2,FALSE)*EY$20),VLOOKUP($C49,$C$3:$D$15,2,FALSE)*EY$20-EX51)))</f>
        <v>0</v>
      </c>
      <c r="EZ49" s="763">
        <f t="shared" ref="EZ49" si="1853" xml:space="preserve">
IF(EY51&gt;=VLOOKUP($C49,$C$3:$D$15,2,FALSE)*EZ$20,0,
IF(AND(EY51&lt;VLOOKUP($C49,$C$3:$D$15,2,FALSE)*EZ$20,EZ50&lt;=VLOOKUP($C49,$C$3:$D$15,2,FALSE)*EZ$20),IF(EZ50-EY51&lt;0,0,EZ50-EY51),
IF(AND(EY51&lt;VLOOKUP($C49,$C$3:$D$15,2,FALSE)*EZ$20,EZ50&gt;VLOOKUP($C49,$C$3:$D$15,2,FALSE)*EZ$20),VLOOKUP($C49,$C$3:$D$15,2,FALSE)*EZ$20-EY51)))</f>
        <v>0</v>
      </c>
      <c r="FA49" s="763">
        <f t="shared" ref="FA49" si="1854" xml:space="preserve">
IF(EZ51&gt;=VLOOKUP($C49,$C$3:$D$15,2,FALSE)*FA$20,0,
IF(AND(EZ51&lt;VLOOKUP($C49,$C$3:$D$15,2,FALSE)*FA$20,FA50&lt;=VLOOKUP($C49,$C$3:$D$15,2,FALSE)*FA$20),IF(FA50-EZ51&lt;0,0,FA50-EZ51),
IF(AND(EZ51&lt;VLOOKUP($C49,$C$3:$D$15,2,FALSE)*FA$20,FA50&gt;VLOOKUP($C49,$C$3:$D$15,2,FALSE)*FA$20),VLOOKUP($C49,$C$3:$D$15,2,FALSE)*FA$20-EZ51)))</f>
        <v>0</v>
      </c>
      <c r="FB49" s="763">
        <f t="shared" ref="FB49" si="1855" xml:space="preserve">
IF(FA51&gt;=VLOOKUP($C49,$C$3:$D$15,2,FALSE)*FB$20,0,
IF(AND(FA51&lt;VLOOKUP($C49,$C$3:$D$15,2,FALSE)*FB$20,FB50&lt;=VLOOKUP($C49,$C$3:$D$15,2,FALSE)*FB$20),IF(FB50-FA51&lt;0,0,FB50-FA51),
IF(AND(FA51&lt;VLOOKUP($C49,$C$3:$D$15,2,FALSE)*FB$20,FB50&gt;VLOOKUP($C49,$C$3:$D$15,2,FALSE)*FB$20),VLOOKUP($C49,$C$3:$D$15,2,FALSE)*FB$20-FA51)))</f>
        <v>0</v>
      </c>
      <c r="FC49" s="763">
        <f t="shared" ref="FC49" si="1856" xml:space="preserve">
IF(FB51&gt;=VLOOKUP($C49,$C$3:$D$15,2,FALSE)*FC$20,0,
IF(AND(FB51&lt;VLOOKUP($C49,$C$3:$D$15,2,FALSE)*FC$20,FC50&lt;=VLOOKUP($C49,$C$3:$D$15,2,FALSE)*FC$20),IF(FC50-FB51&lt;0,0,FC50-FB51),
IF(AND(FB51&lt;VLOOKUP($C49,$C$3:$D$15,2,FALSE)*FC$20,FC50&gt;VLOOKUP($C49,$C$3:$D$15,2,FALSE)*FC$20),VLOOKUP($C49,$C$3:$D$15,2,FALSE)*FC$20-FB51)))</f>
        <v>0</v>
      </c>
      <c r="FD49" s="763">
        <f t="shared" ref="FD49" si="1857" xml:space="preserve">
IF(FC51&gt;=VLOOKUP($C49,$C$3:$D$15,2,FALSE)*FD$20,0,
IF(AND(FC51&lt;VLOOKUP($C49,$C$3:$D$15,2,FALSE)*FD$20,FD50&lt;=VLOOKUP($C49,$C$3:$D$15,2,FALSE)*FD$20),IF(FD50-FC51&lt;0,0,FD50-FC51),
IF(AND(FC51&lt;VLOOKUP($C49,$C$3:$D$15,2,FALSE)*FD$20,FD50&gt;VLOOKUP($C49,$C$3:$D$15,2,FALSE)*FD$20),VLOOKUP($C49,$C$3:$D$15,2,FALSE)*FD$20-FC51)))</f>
        <v>0</v>
      </c>
      <c r="FE49" s="763">
        <f t="shared" ref="FE49" si="1858" xml:space="preserve">
IF(FD51&gt;=VLOOKUP($C49,$C$3:$D$15,2,FALSE)*FE$20,0,
IF(AND(FD51&lt;VLOOKUP($C49,$C$3:$D$15,2,FALSE)*FE$20,FE50&lt;=VLOOKUP($C49,$C$3:$D$15,2,FALSE)*FE$20),IF(FE50-FD51&lt;0,0,FE50-FD51),
IF(AND(FD51&lt;VLOOKUP($C49,$C$3:$D$15,2,FALSE)*FE$20,FE50&gt;VLOOKUP($C49,$C$3:$D$15,2,FALSE)*FE$20),VLOOKUP($C49,$C$3:$D$15,2,FALSE)*FE$20-FD51)))</f>
        <v>0</v>
      </c>
      <c r="FF49" s="763">
        <f t="shared" ref="FF49" si="1859" xml:space="preserve">
IF(FE51&gt;=VLOOKUP($C49,$C$3:$D$15,2,FALSE)*FF$20,0,
IF(AND(FE51&lt;VLOOKUP($C49,$C$3:$D$15,2,FALSE)*FF$20,FF50&lt;=VLOOKUP($C49,$C$3:$D$15,2,FALSE)*FF$20),IF(FF50-FE51&lt;0,0,FF50-FE51),
IF(AND(FE51&lt;VLOOKUP($C49,$C$3:$D$15,2,FALSE)*FF$20,FF50&gt;VLOOKUP($C49,$C$3:$D$15,2,FALSE)*FF$20),VLOOKUP($C49,$C$3:$D$15,2,FALSE)*FF$20-FE51)))</f>
        <v>0</v>
      </c>
      <c r="FG49" s="763">
        <f t="shared" ref="FG49" si="1860" xml:space="preserve">
IF(FF51&gt;=VLOOKUP($C49,$C$3:$D$15,2,FALSE)*FG$20,0,
IF(AND(FF51&lt;VLOOKUP($C49,$C$3:$D$15,2,FALSE)*FG$20,FG50&lt;=VLOOKUP($C49,$C$3:$D$15,2,FALSE)*FG$20),IF(FG50-FF51&lt;0,0,FG50-FF51),
IF(AND(FF51&lt;VLOOKUP($C49,$C$3:$D$15,2,FALSE)*FG$20,FG50&gt;VLOOKUP($C49,$C$3:$D$15,2,FALSE)*FG$20),VLOOKUP($C49,$C$3:$D$15,2,FALSE)*FG$20-FF51)))</f>
        <v>0</v>
      </c>
      <c r="FH49" s="763">
        <f t="shared" ref="FH49" si="1861" xml:space="preserve">
IF(FG51&gt;=VLOOKUP($C49,$C$3:$D$15,2,FALSE)*FH$20,0,
IF(AND(FG51&lt;VLOOKUP($C49,$C$3:$D$15,2,FALSE)*FH$20,FH50&lt;=VLOOKUP($C49,$C$3:$D$15,2,FALSE)*FH$20),IF(FH50-FG51&lt;0,0,FH50-FG51),
IF(AND(FG51&lt;VLOOKUP($C49,$C$3:$D$15,2,FALSE)*FH$20,FH50&gt;VLOOKUP($C49,$C$3:$D$15,2,FALSE)*FH$20),VLOOKUP($C49,$C$3:$D$15,2,FALSE)*FH$20-FG51)))</f>
        <v>0</v>
      </c>
      <c r="FI49" s="763">
        <f t="shared" ref="FI49" si="1862" xml:space="preserve">
IF(FH51&gt;=VLOOKUP($C49,$C$3:$D$15,2,FALSE)*FI$20,0,
IF(AND(FH51&lt;VLOOKUP($C49,$C$3:$D$15,2,FALSE)*FI$20,FI50&lt;=VLOOKUP($C49,$C$3:$D$15,2,FALSE)*FI$20),IF(FI50-FH51&lt;0,0,FI50-FH51),
IF(AND(FH51&lt;VLOOKUP($C49,$C$3:$D$15,2,FALSE)*FI$20,FI50&gt;VLOOKUP($C49,$C$3:$D$15,2,FALSE)*FI$20),VLOOKUP($C49,$C$3:$D$15,2,FALSE)*FI$20-FH51)))</f>
        <v>0</v>
      </c>
      <c r="FJ49" s="763">
        <f t="shared" ref="FJ49" si="1863" xml:space="preserve">
IF(FI51&gt;=VLOOKUP($C49,$C$3:$D$15,2,FALSE)*FJ$20,0,
IF(AND(FI51&lt;VLOOKUP($C49,$C$3:$D$15,2,FALSE)*FJ$20,FJ50&lt;=VLOOKUP($C49,$C$3:$D$15,2,FALSE)*FJ$20),IF(FJ50-FI51&lt;0,0,FJ50-FI51),
IF(AND(FI51&lt;VLOOKUP($C49,$C$3:$D$15,2,FALSE)*FJ$20,FJ50&gt;VLOOKUP($C49,$C$3:$D$15,2,FALSE)*FJ$20),VLOOKUP($C49,$C$3:$D$15,2,FALSE)*FJ$20-FI51)))</f>
        <v>0</v>
      </c>
      <c r="FK49" s="763">
        <f t="shared" ref="FK49" si="1864" xml:space="preserve">
IF(FJ51&gt;=VLOOKUP($C49,$C$3:$D$15,2,FALSE)*FK$20,0,
IF(AND(FJ51&lt;VLOOKUP($C49,$C$3:$D$15,2,FALSE)*FK$20,FK50&lt;=VLOOKUP($C49,$C$3:$D$15,2,FALSE)*FK$20),IF(FK50-FJ51&lt;0,0,FK50-FJ51),
IF(AND(FJ51&lt;VLOOKUP($C49,$C$3:$D$15,2,FALSE)*FK$20,FK50&gt;VLOOKUP($C49,$C$3:$D$15,2,FALSE)*FK$20),VLOOKUP($C49,$C$3:$D$15,2,FALSE)*FK$20-FJ51)))</f>
        <v>0</v>
      </c>
      <c r="FL49" s="763">
        <f t="shared" ref="FL49" si="1865" xml:space="preserve">
IF(FK51&gt;=VLOOKUP($C49,$C$3:$D$15,2,FALSE)*FL$20,0,
IF(AND(FK51&lt;VLOOKUP($C49,$C$3:$D$15,2,FALSE)*FL$20,FL50&lt;=VLOOKUP($C49,$C$3:$D$15,2,FALSE)*FL$20),IF(FL50-FK51&lt;0,0,FL50-FK51),
IF(AND(FK51&lt;VLOOKUP($C49,$C$3:$D$15,2,FALSE)*FL$20,FL50&gt;VLOOKUP($C49,$C$3:$D$15,2,FALSE)*FL$20),VLOOKUP($C49,$C$3:$D$15,2,FALSE)*FL$20-FK51)))</f>
        <v>0</v>
      </c>
      <c r="FM49" s="763">
        <f t="shared" ref="FM49" si="1866" xml:space="preserve">
IF(FL51&gt;=VLOOKUP($C49,$C$3:$D$15,2,FALSE)*FM$20,0,
IF(AND(FL51&lt;VLOOKUP($C49,$C$3:$D$15,2,FALSE)*FM$20,FM50&lt;=VLOOKUP($C49,$C$3:$D$15,2,FALSE)*FM$20),IF(FM50-FL51&lt;0,0,FM50-FL51),
IF(AND(FL51&lt;VLOOKUP($C49,$C$3:$D$15,2,FALSE)*FM$20,FM50&gt;VLOOKUP($C49,$C$3:$D$15,2,FALSE)*FM$20),VLOOKUP($C49,$C$3:$D$15,2,FALSE)*FM$20-FL51)))</f>
        <v>0</v>
      </c>
      <c r="FN49" s="763">
        <f t="shared" ref="FN49" si="1867" xml:space="preserve">
IF(FM51&gt;=VLOOKUP($C49,$C$3:$D$15,2,FALSE)*FN$20,0,
IF(AND(FM51&lt;VLOOKUP($C49,$C$3:$D$15,2,FALSE)*FN$20,FN50&lt;=VLOOKUP($C49,$C$3:$D$15,2,FALSE)*FN$20),IF(FN50-FM51&lt;0,0,FN50-FM51),
IF(AND(FM51&lt;VLOOKUP($C49,$C$3:$D$15,2,FALSE)*FN$20,FN50&gt;VLOOKUP($C49,$C$3:$D$15,2,FALSE)*FN$20),VLOOKUP($C49,$C$3:$D$15,2,FALSE)*FN$20-FM51)))</f>
        <v>0</v>
      </c>
      <c r="FO49" s="763">
        <f t="shared" ref="FO49" si="1868" xml:space="preserve">
IF(FN51&gt;=VLOOKUP($C49,$C$3:$D$15,2,FALSE)*FO$20,0,
IF(AND(FN51&lt;VLOOKUP($C49,$C$3:$D$15,2,FALSE)*FO$20,FO50&lt;=VLOOKUP($C49,$C$3:$D$15,2,FALSE)*FO$20),IF(FO50-FN51&lt;0,0,FO50-FN51),
IF(AND(FN51&lt;VLOOKUP($C49,$C$3:$D$15,2,FALSE)*FO$20,FO50&gt;VLOOKUP($C49,$C$3:$D$15,2,FALSE)*FO$20),VLOOKUP($C49,$C$3:$D$15,2,FALSE)*FO$20-FN51)))</f>
        <v>0</v>
      </c>
      <c r="FP49" s="763">
        <f t="shared" ref="FP49" si="1869" xml:space="preserve">
IF(FO51&gt;=VLOOKUP($C49,$C$3:$D$15,2,FALSE)*FP$20,0,
IF(AND(FO51&lt;VLOOKUP($C49,$C$3:$D$15,2,FALSE)*FP$20,FP50&lt;=VLOOKUP($C49,$C$3:$D$15,2,FALSE)*FP$20),IF(FP50-FO51&lt;0,0,FP50-FO51),
IF(AND(FO51&lt;VLOOKUP($C49,$C$3:$D$15,2,FALSE)*FP$20,FP50&gt;VLOOKUP($C49,$C$3:$D$15,2,FALSE)*FP$20),VLOOKUP($C49,$C$3:$D$15,2,FALSE)*FP$20-FO51)))</f>
        <v>0</v>
      </c>
      <c r="FQ49" s="763">
        <f t="shared" ref="FQ49" si="1870" xml:space="preserve">
IF(FP51&gt;=VLOOKUP($C49,$C$3:$D$15,2,FALSE)*FQ$20,0,
IF(AND(FP51&lt;VLOOKUP($C49,$C$3:$D$15,2,FALSE)*FQ$20,FQ50&lt;=VLOOKUP($C49,$C$3:$D$15,2,FALSE)*FQ$20),IF(FQ50-FP51&lt;0,0,FQ50-FP51),
IF(AND(FP51&lt;VLOOKUP($C49,$C$3:$D$15,2,FALSE)*FQ$20,FQ50&gt;VLOOKUP($C49,$C$3:$D$15,2,FALSE)*FQ$20),VLOOKUP($C49,$C$3:$D$15,2,FALSE)*FQ$20-FP51)))</f>
        <v>0</v>
      </c>
      <c r="FR49" s="763">
        <f t="shared" ref="FR49" si="1871" xml:space="preserve">
IF(FQ51&gt;=VLOOKUP($C49,$C$3:$D$15,2,FALSE)*FR$20,0,
IF(AND(FQ51&lt;VLOOKUP($C49,$C$3:$D$15,2,FALSE)*FR$20,FR50&lt;=VLOOKUP($C49,$C$3:$D$15,2,FALSE)*FR$20),IF(FR50-FQ51&lt;0,0,FR50-FQ51),
IF(AND(FQ51&lt;VLOOKUP($C49,$C$3:$D$15,2,FALSE)*FR$20,FR50&gt;VLOOKUP($C49,$C$3:$D$15,2,FALSE)*FR$20),VLOOKUP($C49,$C$3:$D$15,2,FALSE)*FR$20-FQ51)))</f>
        <v>0</v>
      </c>
      <c r="FS49" s="763">
        <f t="shared" ref="FS49" si="1872" xml:space="preserve">
IF(FR51&gt;=VLOOKUP($C49,$C$3:$D$15,2,FALSE)*FS$20,0,
IF(AND(FR51&lt;VLOOKUP($C49,$C$3:$D$15,2,FALSE)*FS$20,FS50&lt;=VLOOKUP($C49,$C$3:$D$15,2,FALSE)*FS$20),IF(FS50-FR51&lt;0,0,FS50-FR51),
IF(AND(FR51&lt;VLOOKUP($C49,$C$3:$D$15,2,FALSE)*FS$20,FS50&gt;VLOOKUP($C49,$C$3:$D$15,2,FALSE)*FS$20),VLOOKUP($C49,$C$3:$D$15,2,FALSE)*FS$20-FR51)))</f>
        <v>0</v>
      </c>
      <c r="FT49" s="763">
        <f t="shared" ref="FT49" si="1873" xml:space="preserve">
IF(FS51&gt;=VLOOKUP($C49,$C$3:$D$15,2,FALSE)*FT$20,0,
IF(AND(FS51&lt;VLOOKUP($C49,$C$3:$D$15,2,FALSE)*FT$20,FT50&lt;=VLOOKUP($C49,$C$3:$D$15,2,FALSE)*FT$20),IF(FT50-FS51&lt;0,0,FT50-FS51),
IF(AND(FS51&lt;VLOOKUP($C49,$C$3:$D$15,2,FALSE)*FT$20,FT50&gt;VLOOKUP($C49,$C$3:$D$15,2,FALSE)*FT$20),VLOOKUP($C49,$C$3:$D$15,2,FALSE)*FT$20-FS51)))</f>
        <v>0</v>
      </c>
      <c r="FU49" s="763">
        <f t="shared" ref="FU49" si="1874" xml:space="preserve">
IF(FT51&gt;=VLOOKUP($C49,$C$3:$D$15,2,FALSE)*FU$20,0,
IF(AND(FT51&lt;VLOOKUP($C49,$C$3:$D$15,2,FALSE)*FU$20,FU50&lt;=VLOOKUP($C49,$C$3:$D$15,2,FALSE)*FU$20),IF(FU50-FT51&lt;0,0,FU50-FT51),
IF(AND(FT51&lt;VLOOKUP($C49,$C$3:$D$15,2,FALSE)*FU$20,FU50&gt;VLOOKUP($C49,$C$3:$D$15,2,FALSE)*FU$20),VLOOKUP($C49,$C$3:$D$15,2,FALSE)*FU$20-FT51)))</f>
        <v>0</v>
      </c>
      <c r="FV49" s="763">
        <f t="shared" ref="FV49" si="1875" xml:space="preserve">
IF(FU51&gt;=VLOOKUP($C49,$C$3:$D$15,2,FALSE)*FV$20,0,
IF(AND(FU51&lt;VLOOKUP($C49,$C$3:$D$15,2,FALSE)*FV$20,FV50&lt;=VLOOKUP($C49,$C$3:$D$15,2,FALSE)*FV$20),IF(FV50-FU51&lt;0,0,FV50-FU51),
IF(AND(FU51&lt;VLOOKUP($C49,$C$3:$D$15,2,FALSE)*FV$20,FV50&gt;VLOOKUP($C49,$C$3:$D$15,2,FALSE)*FV$20),VLOOKUP($C49,$C$3:$D$15,2,FALSE)*FV$20-FU51)))</f>
        <v>0</v>
      </c>
      <c r="FW49" s="763">
        <f t="shared" ref="FW49" si="1876" xml:space="preserve">
IF(FV51&gt;=VLOOKUP($C49,$C$3:$D$15,2,FALSE)*FW$20,0,
IF(AND(FV51&lt;VLOOKUP($C49,$C$3:$D$15,2,FALSE)*FW$20,FW50&lt;=VLOOKUP($C49,$C$3:$D$15,2,FALSE)*FW$20),IF(FW50-FV51&lt;0,0,FW50-FV51),
IF(AND(FV51&lt;VLOOKUP($C49,$C$3:$D$15,2,FALSE)*FW$20,FW50&gt;VLOOKUP($C49,$C$3:$D$15,2,FALSE)*FW$20),VLOOKUP($C49,$C$3:$D$15,2,FALSE)*FW$20-FV51)))</f>
        <v>0</v>
      </c>
      <c r="FX49" s="763">
        <f t="shared" ref="FX49" si="1877" xml:space="preserve">
IF(FW51&gt;=VLOOKUP($C49,$C$3:$D$15,2,FALSE)*FX$20,0,
IF(AND(FW51&lt;VLOOKUP($C49,$C$3:$D$15,2,FALSE)*FX$20,FX50&lt;=VLOOKUP($C49,$C$3:$D$15,2,FALSE)*FX$20),IF(FX50-FW51&lt;0,0,FX50-FW51),
IF(AND(FW51&lt;VLOOKUP($C49,$C$3:$D$15,2,FALSE)*FX$20,FX50&gt;VLOOKUP($C49,$C$3:$D$15,2,FALSE)*FX$20),VLOOKUP($C49,$C$3:$D$15,2,FALSE)*FX$20-FW51)))</f>
        <v>0</v>
      </c>
      <c r="FY49" s="763">
        <f t="shared" ref="FY49" si="1878" xml:space="preserve">
IF(FX51&gt;=VLOOKUP($C49,$C$3:$D$15,2,FALSE)*FY$20,0,
IF(AND(FX51&lt;VLOOKUP($C49,$C$3:$D$15,2,FALSE)*FY$20,FY50&lt;=VLOOKUP($C49,$C$3:$D$15,2,FALSE)*FY$20),IF(FY50-FX51&lt;0,0,FY50-FX51),
IF(AND(FX51&lt;VLOOKUP($C49,$C$3:$D$15,2,FALSE)*FY$20,FY50&gt;VLOOKUP($C49,$C$3:$D$15,2,FALSE)*FY$20),VLOOKUP($C49,$C$3:$D$15,2,FALSE)*FY$20-FX51)))</f>
        <v>0</v>
      </c>
      <c r="FZ49" s="763">
        <f t="shared" ref="FZ49" si="1879" xml:space="preserve">
IF(FY51&gt;=VLOOKUP($C49,$C$3:$D$15,2,FALSE)*FZ$20,0,
IF(AND(FY51&lt;VLOOKUP($C49,$C$3:$D$15,2,FALSE)*FZ$20,FZ50&lt;=VLOOKUP($C49,$C$3:$D$15,2,FALSE)*FZ$20),IF(FZ50-FY51&lt;0,0,FZ50-FY51),
IF(AND(FY51&lt;VLOOKUP($C49,$C$3:$D$15,2,FALSE)*FZ$20,FZ50&gt;VLOOKUP($C49,$C$3:$D$15,2,FALSE)*FZ$20),VLOOKUP($C49,$C$3:$D$15,2,FALSE)*FZ$20-FY51)))</f>
        <v>0</v>
      </c>
      <c r="GA49" s="763">
        <f t="shared" ref="GA49" si="1880" xml:space="preserve">
IF(FZ51&gt;=VLOOKUP($C49,$C$3:$D$15,2,FALSE)*GA$20,0,
IF(AND(FZ51&lt;VLOOKUP($C49,$C$3:$D$15,2,FALSE)*GA$20,GA50&lt;=VLOOKUP($C49,$C$3:$D$15,2,FALSE)*GA$20),IF(GA50-FZ51&lt;0,0,GA50-FZ51),
IF(AND(FZ51&lt;VLOOKUP($C49,$C$3:$D$15,2,FALSE)*GA$20,GA50&gt;VLOOKUP($C49,$C$3:$D$15,2,FALSE)*GA$20),VLOOKUP($C49,$C$3:$D$15,2,FALSE)*GA$20-FZ51)))</f>
        <v>0</v>
      </c>
      <c r="GB49" s="763">
        <f t="shared" ref="GB49" si="1881" xml:space="preserve">
IF(GA51&gt;=VLOOKUP($C49,$C$3:$D$15,2,FALSE)*GB$20,0,
IF(AND(GA51&lt;VLOOKUP($C49,$C$3:$D$15,2,FALSE)*GB$20,GB50&lt;=VLOOKUP($C49,$C$3:$D$15,2,FALSE)*GB$20),IF(GB50-GA51&lt;0,0,GB50-GA51),
IF(AND(GA51&lt;VLOOKUP($C49,$C$3:$D$15,2,FALSE)*GB$20,GB50&gt;VLOOKUP($C49,$C$3:$D$15,2,FALSE)*GB$20),VLOOKUP($C49,$C$3:$D$15,2,FALSE)*GB$20-GA51)))</f>
        <v>0</v>
      </c>
      <c r="GC49" s="763">
        <f t="shared" ref="GC49" si="1882" xml:space="preserve">
IF(GB51&gt;=VLOOKUP($C49,$C$3:$D$15,2,FALSE)*GC$20,0,
IF(AND(GB51&lt;VLOOKUP($C49,$C$3:$D$15,2,FALSE)*GC$20,GC50&lt;=VLOOKUP($C49,$C$3:$D$15,2,FALSE)*GC$20),IF(GC50-GB51&lt;0,0,GC50-GB51),
IF(AND(GB51&lt;VLOOKUP($C49,$C$3:$D$15,2,FALSE)*GC$20,GC50&gt;VLOOKUP($C49,$C$3:$D$15,2,FALSE)*GC$20),VLOOKUP($C49,$C$3:$D$15,2,FALSE)*GC$20-GB51)))</f>
        <v>0</v>
      </c>
      <c r="GD49" s="763">
        <f t="shared" ref="GD49" si="1883" xml:space="preserve">
IF(GC51&gt;=VLOOKUP($C49,$C$3:$D$15,2,FALSE)*GD$20,0,
IF(AND(GC51&lt;VLOOKUP($C49,$C$3:$D$15,2,FALSE)*GD$20,GD50&lt;=VLOOKUP($C49,$C$3:$D$15,2,FALSE)*GD$20),IF(GD50-GC51&lt;0,0,GD50-GC51),
IF(AND(GC51&lt;VLOOKUP($C49,$C$3:$D$15,2,FALSE)*GD$20,GD50&gt;VLOOKUP($C49,$C$3:$D$15,2,FALSE)*GD$20),VLOOKUP($C49,$C$3:$D$15,2,FALSE)*GD$20-GC51)))</f>
        <v>0</v>
      </c>
      <c r="GE49" s="763">
        <f t="shared" ref="GE49" si="1884" xml:space="preserve">
IF(GD51&gt;=VLOOKUP($C49,$C$3:$D$15,2,FALSE)*GE$20,0,
IF(AND(GD51&lt;VLOOKUP($C49,$C$3:$D$15,2,FALSE)*GE$20,GE50&lt;=VLOOKUP($C49,$C$3:$D$15,2,FALSE)*GE$20),IF(GE50-GD51&lt;0,0,GE50-GD51),
IF(AND(GD51&lt;VLOOKUP($C49,$C$3:$D$15,2,FALSE)*GE$20,GE50&gt;VLOOKUP($C49,$C$3:$D$15,2,FALSE)*GE$20),VLOOKUP($C49,$C$3:$D$15,2,FALSE)*GE$20-GD51)))</f>
        <v>0</v>
      </c>
      <c r="GF49" s="763">
        <f t="shared" ref="GF49" si="1885" xml:space="preserve">
IF(GE51&gt;=VLOOKUP($C49,$C$3:$D$15,2,FALSE)*GF$20,0,
IF(AND(GE51&lt;VLOOKUP($C49,$C$3:$D$15,2,FALSE)*GF$20,GF50&lt;=VLOOKUP($C49,$C$3:$D$15,2,FALSE)*GF$20),IF(GF50-GE51&lt;0,0,GF50-GE51),
IF(AND(GE51&lt;VLOOKUP($C49,$C$3:$D$15,2,FALSE)*GF$20,GF50&gt;VLOOKUP($C49,$C$3:$D$15,2,FALSE)*GF$20),VLOOKUP($C49,$C$3:$D$15,2,FALSE)*GF$20-GE51)))</f>
        <v>0</v>
      </c>
      <c r="GG49" s="763">
        <f t="shared" ref="GG49" si="1886" xml:space="preserve">
IF(GF51&gt;=VLOOKUP($C49,$C$3:$D$15,2,FALSE)*GG$20,0,
IF(AND(GF51&lt;VLOOKUP($C49,$C$3:$D$15,2,FALSE)*GG$20,GG50&lt;=VLOOKUP($C49,$C$3:$D$15,2,FALSE)*GG$20),IF(GG50-GF51&lt;0,0,GG50-GF51),
IF(AND(GF51&lt;VLOOKUP($C49,$C$3:$D$15,2,FALSE)*GG$20,GG50&gt;VLOOKUP($C49,$C$3:$D$15,2,FALSE)*GG$20),VLOOKUP($C49,$C$3:$D$15,2,FALSE)*GG$20-GF51)))</f>
        <v>0</v>
      </c>
      <c r="GH49" s="763">
        <f t="shared" ref="GH49" si="1887" xml:space="preserve">
IF(GG51&gt;=VLOOKUP($C49,$C$3:$D$15,2,FALSE)*GH$20,0,
IF(AND(GG51&lt;VLOOKUP($C49,$C$3:$D$15,2,FALSE)*GH$20,GH50&lt;=VLOOKUP($C49,$C$3:$D$15,2,FALSE)*GH$20),IF(GH50-GG51&lt;0,0,GH50-GG51),
IF(AND(GG51&lt;VLOOKUP($C49,$C$3:$D$15,2,FALSE)*GH$20,GH50&gt;VLOOKUP($C49,$C$3:$D$15,2,FALSE)*GH$20),VLOOKUP($C49,$C$3:$D$15,2,FALSE)*GH$20-GG51)))</f>
        <v>0</v>
      </c>
      <c r="GI49" s="763">
        <f t="shared" ref="GI49" si="1888" xml:space="preserve">
IF(GH51&gt;=VLOOKUP($C49,$C$3:$D$15,2,FALSE)*GI$20,0,
IF(AND(GH51&lt;VLOOKUP($C49,$C$3:$D$15,2,FALSE)*GI$20,GI50&lt;=VLOOKUP($C49,$C$3:$D$15,2,FALSE)*GI$20),IF(GI50-GH51&lt;0,0,GI50-GH51),
IF(AND(GH51&lt;VLOOKUP($C49,$C$3:$D$15,2,FALSE)*GI$20,GI50&gt;VLOOKUP($C49,$C$3:$D$15,2,FALSE)*GI$20),VLOOKUP($C49,$C$3:$D$15,2,FALSE)*GI$20-GH51)))</f>
        <v>0</v>
      </c>
      <c r="GJ49" s="763">
        <f t="shared" ref="GJ49" si="1889" xml:space="preserve">
IF(GI51&gt;=VLOOKUP($C49,$C$3:$D$15,2,FALSE)*GJ$20,0,
IF(AND(GI51&lt;VLOOKUP($C49,$C$3:$D$15,2,FALSE)*GJ$20,GJ50&lt;=VLOOKUP($C49,$C$3:$D$15,2,FALSE)*GJ$20),IF(GJ50-GI51&lt;0,0,GJ50-GI51),
IF(AND(GI51&lt;VLOOKUP($C49,$C$3:$D$15,2,FALSE)*GJ$20,GJ50&gt;VLOOKUP($C49,$C$3:$D$15,2,FALSE)*GJ$20),VLOOKUP($C49,$C$3:$D$15,2,FALSE)*GJ$20-GI51)))</f>
        <v>0</v>
      </c>
    </row>
    <row r="50" spans="2:192" s="627" customFormat="1">
      <c r="B50" s="631"/>
      <c r="C50" s="626"/>
      <c r="D50" s="702" t="s">
        <v>1424</v>
      </c>
      <c r="E50" s="707"/>
      <c r="F50" s="654"/>
      <c r="G50" s="763">
        <f>SUMIF(防護具!$Y$30:$Y$212,G$17&amp;$C49,防護具!$Q$30:$Q$212)</f>
        <v>0</v>
      </c>
      <c r="H50" s="763">
        <f>IFERROR(
SUM(G50,SUMIF(防護具!$Y$30:$Y$212,H$17&amp;$C49,防護具!$Q$30:$Q$212))-G49,0)</f>
        <v>0</v>
      </c>
      <c r="I50" s="763">
        <f>IFERROR(
SUM(H50,SUMIF(防護具!$Y$30:$Y$212,I$17&amp;$C49,防護具!$Q$30:$Q$212))-H49,0)</f>
        <v>0</v>
      </c>
      <c r="J50" s="763">
        <f>IFERROR(
SUM(I50,SUMIF(防護具!$Y$30:$Y$212,J$17&amp;$C49,防護具!$Q$30:$Q$212))-I49,0)</f>
        <v>0</v>
      </c>
      <c r="K50" s="763">
        <f>IFERROR(
SUM(J50,SUMIF(防護具!$Y$30:$Y$212,K$17&amp;$C49,防護具!$Q$30:$Q$212))-J49,0)</f>
        <v>0</v>
      </c>
      <c r="L50" s="763">
        <f>IFERROR(
SUM(K50,SUMIF(防護具!$Y$30:$Y$212,L$17&amp;$C49,防護具!$Q$30:$Q$212))-K49,0)</f>
        <v>0</v>
      </c>
      <c r="M50" s="763">
        <f>IFERROR(
SUM(L50,SUMIF(防護具!$Y$30:$Y$212,M$17&amp;$C49,防護具!$Q$30:$Q$212))-L49,0)</f>
        <v>0</v>
      </c>
      <c r="N50" s="763">
        <f>IFERROR(
SUM(M50,SUMIF(防護具!$Y$30:$Y$212,N$17&amp;$C49,防護具!$Q$30:$Q$212))-M49,0)</f>
        <v>0</v>
      </c>
      <c r="O50" s="763">
        <f>IFERROR(
SUM(N50,SUMIF(防護具!$Y$30:$Y$212,O$17&amp;$C49,防護具!$Q$30:$Q$212))-N49,0)</f>
        <v>0</v>
      </c>
      <c r="P50" s="763">
        <f>IFERROR(
SUM(O50,SUMIF(防護具!$Y$30:$Y$212,P$17&amp;$C49,防護具!$Q$30:$Q$212))-O49,0)</f>
        <v>0</v>
      </c>
      <c r="Q50" s="763">
        <f>IFERROR(
SUM(P50,SUMIF(防護具!$Y$30:$Y$212,Q$17&amp;$C49,防護具!$Q$30:$Q$212))-P49,0)</f>
        <v>0</v>
      </c>
      <c r="R50" s="763">
        <f>IFERROR(
SUM(Q50,SUMIF(防護具!$Y$30:$Y$212,R$17&amp;$C49,防護具!$Q$30:$Q$212))-Q49,0)</f>
        <v>0</v>
      </c>
      <c r="S50" s="763">
        <f>IFERROR(
SUM(R50,SUMIF(防護具!$Y$30:$Y$212,S$17&amp;$C49,防護具!$Q$30:$Q$212))-R49,0)</f>
        <v>0</v>
      </c>
      <c r="T50" s="763">
        <f>IFERROR(
SUM(S50,SUMIF(防護具!$Y$30:$Y$212,T$17&amp;$C49,防護具!$Q$30:$Q$212))-S49,0)</f>
        <v>0</v>
      </c>
      <c r="U50" s="763">
        <f>IFERROR(
SUM(T50,SUMIF(防護具!$Y$30:$Y$212,U$17&amp;$C49,防護具!$Q$30:$Q$212))-T49,0)</f>
        <v>0</v>
      </c>
      <c r="V50" s="763">
        <f>IFERROR(
SUM(U50,SUMIF(防護具!$Y$30:$Y$212,V$17&amp;$C49,防護具!$Q$30:$Q$212))-U49,0)</f>
        <v>0</v>
      </c>
      <c r="W50" s="763">
        <f>IFERROR(
SUM(V50,SUMIF(防護具!$Y$30:$Y$212,W$17&amp;$C49,防護具!$Q$30:$Q$212))-V49,0)</f>
        <v>0</v>
      </c>
      <c r="X50" s="763">
        <f>IFERROR(
SUM(W50,SUMIF(防護具!$Y$30:$Y$212,X$17&amp;$C49,防護具!$Q$30:$Q$212))-W49,0)</f>
        <v>0</v>
      </c>
      <c r="Y50" s="763">
        <f>IFERROR(
SUM(X50,SUMIF(防護具!$Y$30:$Y$212,Y$17&amp;$C49,防護具!$Q$30:$Q$212))-X49,0)</f>
        <v>0</v>
      </c>
      <c r="Z50" s="763">
        <f>IFERROR(
SUM(Y50,SUMIF(防護具!$Y$30:$Y$212,Z$17&amp;$C49,防護具!$Q$30:$Q$212))-Y49,0)</f>
        <v>0</v>
      </c>
      <c r="AA50" s="763">
        <f>IFERROR(
SUM(Z50,SUMIF(防護具!$Y$30:$Y$212,AA$17&amp;$C49,防護具!$Q$30:$Q$212))-Z49,0)</f>
        <v>0</v>
      </c>
      <c r="AB50" s="763">
        <f>IFERROR(
SUM(AA50,SUMIF(防護具!$Y$30:$Y$212,AB$17&amp;$C49,防護具!$Q$30:$Q$212))-AA49,0)</f>
        <v>0</v>
      </c>
      <c r="AC50" s="763">
        <f>IFERROR(
SUM(AB50,SUMIF(防護具!$Y$30:$Y$212,AC$17&amp;$C49,防護具!$Q$30:$Q$212))-AB49,0)</f>
        <v>0</v>
      </c>
      <c r="AD50" s="763">
        <f>IFERROR(
SUM(AC50,SUMIF(防護具!$Y$30:$Y$212,AD$17&amp;$C49,防護具!$Q$30:$Q$212))-AC49,0)</f>
        <v>0</v>
      </c>
      <c r="AE50" s="763">
        <f>IFERROR(
SUM(AD50,SUMIF(防護具!$Y$30:$Y$212,AE$17&amp;$C49,防護具!$Q$30:$Q$212))-AD49,0)</f>
        <v>0</v>
      </c>
      <c r="AF50" s="763">
        <f>IFERROR(
SUM(AE50,SUMIF(防護具!$Y$30:$Y$212,AF$17&amp;$C49,防護具!$Q$30:$Q$212))-AE49,0)</f>
        <v>0</v>
      </c>
      <c r="AG50" s="763">
        <f>IFERROR(
SUM(AF50,SUMIF(防護具!$Y$30:$Y$212,AG$17&amp;$C49,防護具!$Q$30:$Q$212))-AF49,0)</f>
        <v>0</v>
      </c>
      <c r="AH50" s="763">
        <f>IFERROR(
SUM(AG50,SUMIF(防護具!$Y$30:$Y$212,AH$17&amp;$C49,防護具!$Q$30:$Q$212))-AG49,0)</f>
        <v>0</v>
      </c>
      <c r="AI50" s="763">
        <f>IFERROR(
SUM(AH50,SUMIF(防護具!$Y$30:$Y$212,AI$17&amp;$C49,防護具!$Q$30:$Q$212))-AH49,0)</f>
        <v>0</v>
      </c>
      <c r="AJ50" s="763">
        <f>IFERROR(
SUM(AI50,SUMIF(防護具!$Y$30:$Y$212,AJ$17&amp;$C49,防護具!$Q$30:$Q$212))-AI49,0)</f>
        <v>0</v>
      </c>
      <c r="AK50" s="763">
        <f>IFERROR(
SUM(AJ50,SUMIF(防護具!$Y$30:$Y$212,AK$17&amp;$C49,防護具!$Q$30:$Q$212))-AJ49,0)</f>
        <v>0</v>
      </c>
      <c r="AL50" s="763">
        <f>IFERROR(
SUM(AK50,SUMIF(防護具!$Y$30:$Y$212,AL$17&amp;$C49,防護具!$Q$30:$Q$212))-AK49,0)</f>
        <v>0</v>
      </c>
      <c r="AM50" s="763">
        <f>IFERROR(
SUM(AL50,SUMIF(防護具!$Y$30:$Y$212,AM$17&amp;$C49,防護具!$Q$30:$Q$212))-AL49,0)</f>
        <v>0</v>
      </c>
      <c r="AN50" s="763">
        <f>IFERROR(
SUM(AM50,SUMIF(防護具!$Y$30:$Y$212,AN$17&amp;$C49,防護具!$Q$30:$Q$212))-AM49,0)</f>
        <v>0</v>
      </c>
      <c r="AO50" s="763">
        <f>IFERROR(
SUM(AN50,SUMIF(防護具!$Y$30:$Y$212,AO$17&amp;$C49,防護具!$Q$30:$Q$212))-AN49,0)</f>
        <v>0</v>
      </c>
      <c r="AP50" s="763">
        <f>IFERROR(
SUM(AO50,SUMIF(防護具!$Y$30:$Y$212,AP$17&amp;$C49,防護具!$Q$30:$Q$212))-AO49,0)</f>
        <v>0</v>
      </c>
      <c r="AQ50" s="763">
        <f>IFERROR(
SUM(AP50,SUMIF(防護具!$Y$30:$Y$212,AQ$17&amp;$C49,防護具!$Q$30:$Q$212))-AP49,0)</f>
        <v>0</v>
      </c>
      <c r="AR50" s="763">
        <f>IFERROR(
SUM(AQ50,SUMIF(防護具!$Y$30:$Y$212,AR$17&amp;$C49,防護具!$Q$30:$Q$212))-AQ49,0)</f>
        <v>0</v>
      </c>
      <c r="AS50" s="763">
        <f>IFERROR(
SUM(AR50,SUMIF(防護具!$Y$30:$Y$212,AS$17&amp;$C49,防護具!$Q$30:$Q$212))-AR49,0)</f>
        <v>0</v>
      </c>
      <c r="AT50" s="763">
        <f>IFERROR(
SUM(AS50,SUMIF(防護具!$Y$30:$Y$212,AT$17&amp;$C49,防護具!$Q$30:$Q$212))-AS49,0)</f>
        <v>0</v>
      </c>
      <c r="AU50" s="763">
        <f>IFERROR(
SUM(AT50,SUMIF(防護具!$Y$30:$Y$212,AU$17&amp;$C49,防護具!$Q$30:$Q$212))-AT49,0)</f>
        <v>0</v>
      </c>
      <c r="AV50" s="763">
        <f>IFERROR(
SUM(AU50,SUMIF(防護具!$Y$30:$Y$212,AV$17&amp;$C49,防護具!$Q$30:$Q$212))-AU49,0)</f>
        <v>0</v>
      </c>
      <c r="AW50" s="763">
        <f>IFERROR(
SUM(AV50,SUMIF(防護具!$Y$30:$Y$212,AW$17&amp;$C49,防護具!$Q$30:$Q$212))-AV49,0)</f>
        <v>0</v>
      </c>
      <c r="AX50" s="763">
        <f>IFERROR(
SUM(AW50,SUMIF(防護具!$Y$30:$Y$212,AX$17&amp;$C49,防護具!$Q$30:$Q$212))-AW49,0)</f>
        <v>0</v>
      </c>
      <c r="AY50" s="763">
        <f>IFERROR(
SUM(AX50,SUMIF(防護具!$Y$30:$Y$212,AY$17&amp;$C49,防護具!$Q$30:$Q$212))-AX49,0)</f>
        <v>0</v>
      </c>
      <c r="AZ50" s="763">
        <f>IFERROR(
SUM(AY50,SUMIF(防護具!$Y$30:$Y$212,AZ$17&amp;$C49,防護具!$Q$30:$Q$212))-AY49,0)</f>
        <v>0</v>
      </c>
      <c r="BA50" s="763">
        <f>IFERROR(
SUM(AZ50,SUMIF(防護具!$Y$30:$Y$212,BA$17&amp;$C49,防護具!$Q$30:$Q$212))-AZ49,0)</f>
        <v>0</v>
      </c>
      <c r="BB50" s="763">
        <f>IFERROR(
SUM(BA50,SUMIF(防護具!$Y$30:$Y$212,BB$17&amp;$C49,防護具!$Q$30:$Q$212))-BA49,0)</f>
        <v>0</v>
      </c>
      <c r="BC50" s="763">
        <f>IFERROR(
SUM(BB50,SUMIF(防護具!$Y$30:$Y$212,BC$17&amp;$C49,防護具!$Q$30:$Q$212))-BB49,0)</f>
        <v>0</v>
      </c>
      <c r="BD50" s="763">
        <f>IFERROR(
SUM(BC50,SUMIF(防護具!$Y$30:$Y$212,BD$17&amp;$C49,防護具!$Q$30:$Q$212))-BC49,0)</f>
        <v>0</v>
      </c>
      <c r="BE50" s="763">
        <f>IFERROR(
SUM(BD50,SUMIF(防護具!$Y$30:$Y$212,BE$17&amp;$C49,防護具!$Q$30:$Q$212))-BD49,0)</f>
        <v>0</v>
      </c>
      <c r="BF50" s="763">
        <f>IFERROR(
SUM(BE50,SUMIF(防護具!$Y$30:$Y$212,BF$17&amp;$C49,防護具!$Q$30:$Q$212))-BE49,0)</f>
        <v>0</v>
      </c>
      <c r="BG50" s="763">
        <f>IFERROR(
SUM(BF50,SUMIF(防護具!$Y$30:$Y$212,BG$17&amp;$C49,防護具!$Q$30:$Q$212))-BF49,0)</f>
        <v>0</v>
      </c>
      <c r="BH50" s="763">
        <f>IFERROR(
SUM(BG50,SUMIF(防護具!$Y$30:$Y$212,BH$17&amp;$C49,防護具!$Q$30:$Q$212))-BG49,0)</f>
        <v>0</v>
      </c>
      <c r="BI50" s="763">
        <f>IFERROR(
SUM(BH50,SUMIF(防護具!$Y$30:$Y$212,BI$17&amp;$C49,防護具!$Q$30:$Q$212))-BH49,0)</f>
        <v>0</v>
      </c>
      <c r="BJ50" s="763">
        <f>IFERROR(
SUM(BI50,SUMIF(防護具!$Y$30:$Y$212,BJ$17&amp;$C49,防護具!$Q$30:$Q$212))-BI49,0)</f>
        <v>0</v>
      </c>
      <c r="BK50" s="763">
        <f>IFERROR(
SUM(BJ50,SUMIF(防護具!$Y$30:$Y$212,BK$17&amp;$C49,防護具!$Q$30:$Q$212))-BJ49,0)</f>
        <v>0</v>
      </c>
      <c r="BL50" s="763">
        <f>IFERROR(
SUM(BK50,SUMIF(防護具!$Y$30:$Y$212,BL$17&amp;$C49,防護具!$Q$30:$Q$212))-BK49,0)</f>
        <v>0</v>
      </c>
      <c r="BM50" s="763">
        <f>IFERROR(
SUM(BL50,SUMIF(防護具!$Y$30:$Y$212,BM$17&amp;$C49,防護具!$Q$30:$Q$212))-BL49,0)</f>
        <v>0</v>
      </c>
      <c r="BN50" s="763">
        <f>IFERROR(
SUM(BM50,SUMIF(防護具!$Y$30:$Y$212,BN$17&amp;$C49,防護具!$Q$30:$Q$212))-BM49,0)</f>
        <v>0</v>
      </c>
      <c r="BO50" s="763">
        <f>IFERROR(
SUM(BN50,SUMIF(防護具!$Y$30:$Y$212,BO$17&amp;$C49,防護具!$Q$30:$Q$212))-BN49,0)</f>
        <v>0</v>
      </c>
      <c r="BP50" s="763">
        <f>IFERROR(
SUM(BO50,SUMIF(防護具!$Y$30:$Y$212,BP$17&amp;$C49,防護具!$Q$30:$Q$212))-BO49,0)</f>
        <v>0</v>
      </c>
      <c r="BQ50" s="763">
        <f>IFERROR(
SUM(BP50,SUMIF(防護具!$Y$30:$Y$212,BQ$17&amp;$C49,防護具!$Q$30:$Q$212))-BP49,0)</f>
        <v>0</v>
      </c>
      <c r="BR50" s="763">
        <f>IFERROR(
SUM(BQ50,SUMIF(防護具!$Y$30:$Y$212,BR$17&amp;$C49,防護具!$Q$30:$Q$212))-BQ49,0)</f>
        <v>0</v>
      </c>
      <c r="BS50" s="763">
        <f>IFERROR(
SUM(BR50,SUMIF(防護具!$Y$30:$Y$212,BS$17&amp;$C49,防護具!$Q$30:$Q$212))-BR49,0)</f>
        <v>0</v>
      </c>
      <c r="BT50" s="763">
        <f>IFERROR(
SUM(BS50,SUMIF(防護具!$Y$30:$Y$212,BT$17&amp;$C49,防護具!$Q$30:$Q$212))-BS49,0)</f>
        <v>0</v>
      </c>
      <c r="BU50" s="763">
        <f>IFERROR(
SUM(BT50,SUMIF(防護具!$Y$30:$Y$212,BU$17&amp;$C49,防護具!$Q$30:$Q$212))-BT49,0)</f>
        <v>0</v>
      </c>
      <c r="BV50" s="763">
        <f>IFERROR(
SUM(BU50,SUMIF(防護具!$Y$30:$Y$212,BV$17&amp;$C49,防護具!$Q$30:$Q$212))-BU49,0)</f>
        <v>0</v>
      </c>
      <c r="BW50" s="763">
        <f>IFERROR(
SUM(BV50,SUMIF(防護具!$Y$30:$Y$212,BW$17&amp;$C49,防護具!$Q$30:$Q$212))-BV49,0)</f>
        <v>0</v>
      </c>
      <c r="BX50" s="763">
        <f>IFERROR(
SUM(BW50,SUMIF(防護具!$Y$30:$Y$212,BX$17&amp;$C49,防護具!$Q$30:$Q$212))-BW49,0)</f>
        <v>0</v>
      </c>
      <c r="BY50" s="763">
        <f>IFERROR(
SUM(BX50,SUMIF(防護具!$Y$30:$Y$212,BY$17&amp;$C49,防護具!$Q$30:$Q$212))-BX49,0)</f>
        <v>0</v>
      </c>
      <c r="BZ50" s="763">
        <f>IFERROR(
SUM(BY50,SUMIF(防護具!$Y$30:$Y$212,BZ$17&amp;$C49,防護具!$Q$30:$Q$212))-BY49,0)</f>
        <v>0</v>
      </c>
      <c r="CA50" s="763">
        <f>IFERROR(
SUM(BZ50,SUMIF(防護具!$Y$30:$Y$212,CA$17&amp;$C49,防護具!$Q$30:$Q$212))-BZ49,0)</f>
        <v>0</v>
      </c>
      <c r="CB50" s="763">
        <f>IFERROR(
SUM(CA50,SUMIF(防護具!$Y$30:$Y$212,CB$17&amp;$C49,防護具!$Q$30:$Q$212))-CA49,0)</f>
        <v>0</v>
      </c>
      <c r="CC50" s="763">
        <f>IFERROR(
SUM(CB50,SUMIF(防護具!$Y$30:$Y$212,CC$17&amp;$C49,防護具!$Q$30:$Q$212))-CB49,0)</f>
        <v>0</v>
      </c>
      <c r="CD50" s="763">
        <f>IFERROR(
SUM(CC50,SUMIF(防護具!$Y$30:$Y$212,CD$17&amp;$C49,防護具!$Q$30:$Q$212))-CC49,0)</f>
        <v>0</v>
      </c>
      <c r="CE50" s="763">
        <f>IFERROR(
SUM(CD50,SUMIF(防護具!$Y$30:$Y$212,CE$17&amp;$C49,防護具!$Q$30:$Q$212))-CD49,0)</f>
        <v>0</v>
      </c>
      <c r="CF50" s="763">
        <f>IFERROR(
SUM(CE50,SUMIF(防護具!$Y$30:$Y$212,CF$17&amp;$C49,防護具!$Q$30:$Q$212))-CE49,0)</f>
        <v>0</v>
      </c>
      <c r="CG50" s="763">
        <f>IFERROR(
SUM(CF50,SUMIF(防護具!$Y$30:$Y$212,CG$17&amp;$C49,防護具!$Q$30:$Q$212))-CF49,0)</f>
        <v>0</v>
      </c>
      <c r="CH50" s="763">
        <f>IFERROR(
SUM(CG50,SUMIF(防護具!$Y$30:$Y$212,CH$17&amp;$C49,防護具!$Q$30:$Q$212))-CG49,0)</f>
        <v>0</v>
      </c>
      <c r="CI50" s="763">
        <f>IFERROR(
SUM(CH50,SUMIF(防護具!$Y$30:$Y$212,CI$17&amp;$C49,防護具!$Q$30:$Q$212))-CH49,0)</f>
        <v>0</v>
      </c>
      <c r="CJ50" s="763">
        <f>IFERROR(
SUM(CI50,SUMIF(防護具!$Y$30:$Y$212,CJ$17&amp;$C49,防護具!$Q$30:$Q$212))-CI49,0)</f>
        <v>0</v>
      </c>
      <c r="CK50" s="763">
        <f>IFERROR(
SUM(CJ50,SUMIF(防護具!$Y$30:$Y$212,CK$17&amp;$C49,防護具!$Q$30:$Q$212))-CJ49,0)</f>
        <v>0</v>
      </c>
      <c r="CL50" s="763">
        <f>IFERROR(
SUM(CK50,SUMIF(防護具!$Y$30:$Y$212,CL$17&amp;$C49,防護具!$Q$30:$Q$212))-CK49,0)</f>
        <v>0</v>
      </c>
      <c r="CM50" s="763">
        <f>IFERROR(
SUM(CL50,SUMIF(防護具!$Y$30:$Y$212,CM$17&amp;$C49,防護具!$Q$30:$Q$212))-CL49,0)</f>
        <v>0</v>
      </c>
      <c r="CN50" s="763">
        <f>IFERROR(
SUM(CM50,SUMIF(防護具!$Y$30:$Y$212,CN$17&amp;$C49,防護具!$Q$30:$Q$212))-CM49,0)</f>
        <v>0</v>
      </c>
      <c r="CO50" s="763">
        <f>IFERROR(
SUM(CN50,SUMIF(防護具!$Y$30:$Y$212,CO$17&amp;$C49,防護具!$Q$30:$Q$212))-CN49,0)</f>
        <v>0</v>
      </c>
      <c r="CP50" s="763">
        <f>IFERROR(
SUM(CO50,SUMIF(防護具!$Y$30:$Y$212,CP$17&amp;$C49,防護具!$Q$30:$Q$212))-CO49,0)</f>
        <v>0</v>
      </c>
      <c r="CQ50" s="763">
        <f>IFERROR(
SUM(CP50,SUMIF(防護具!$Y$30:$Y$212,CQ$17&amp;$C49,防護具!$Q$30:$Q$212))-CP49,0)</f>
        <v>0</v>
      </c>
      <c r="CR50" s="763">
        <f>IFERROR(
SUM(CQ50,SUMIF(防護具!$Y$30:$Y$212,CR$17&amp;$C49,防護具!$Q$30:$Q$212))-CQ49,0)</f>
        <v>0</v>
      </c>
      <c r="CS50" s="763">
        <f>IFERROR(
SUM(CR50,SUMIF(防護具!$Y$30:$Y$212,CS$17&amp;$C49,防護具!$Q$30:$Q$212))-CR49,0)</f>
        <v>0</v>
      </c>
      <c r="CT50" s="763">
        <f>IFERROR(
SUM(CS50,SUMIF(防護具!$Y$30:$Y$212,CT$17&amp;$C49,防護具!$Q$30:$Q$212))-CS49,0)</f>
        <v>0</v>
      </c>
      <c r="CU50" s="763">
        <f>IFERROR(
SUM(CT50,SUMIF(防護具!$Y$30:$Y$212,CU$17&amp;$C49,防護具!$Q$30:$Q$212))-CT49,0)</f>
        <v>0</v>
      </c>
      <c r="CV50" s="763">
        <f>IFERROR(
SUM(CU50,SUMIF(防護具!$Y$30:$Y$212,CV$17&amp;$C49,防護具!$Q$30:$Q$212))-CU49,0)</f>
        <v>0</v>
      </c>
      <c r="CW50" s="763">
        <f>IFERROR(
SUM(CV50,SUMIF(防護具!$Y$30:$Y$212,CW$17&amp;$C49,防護具!$Q$30:$Q$212))-CV49,0)</f>
        <v>0</v>
      </c>
      <c r="CX50" s="763">
        <f>IFERROR(
SUM(CW50,SUMIF(防護具!$Y$30:$Y$212,CX$17&amp;$C49,防護具!$Q$30:$Q$212))-CW49,0)</f>
        <v>0</v>
      </c>
      <c r="CY50" s="763">
        <f>IFERROR(
SUM(CX50,SUMIF(防護具!$Y$30:$Y$212,CY$17&amp;$C49,防護具!$Q$30:$Q$212))-CX49,0)</f>
        <v>0</v>
      </c>
      <c r="CZ50" s="763">
        <f>IFERROR(
SUM(CY50,SUMIF(防護具!$Y$30:$Y$212,CZ$17&amp;$C49,防護具!$Q$30:$Q$212))-CY49,0)</f>
        <v>0</v>
      </c>
      <c r="DA50" s="763">
        <f>IFERROR(
SUM(CZ50,SUMIF(防護具!$Y$30:$Y$212,DA$17&amp;$C49,防護具!$Q$30:$Q$212))-CZ49,0)</f>
        <v>0</v>
      </c>
      <c r="DB50" s="763">
        <f>IFERROR(
SUM(DA50,SUMIF(防護具!$Y$30:$Y$212,DB$17&amp;$C49,防護具!$Q$30:$Q$212))-DA49,0)</f>
        <v>0</v>
      </c>
      <c r="DC50" s="763">
        <f>IFERROR(
SUM(DB50,SUMIF(防護具!$Y$30:$Y$212,DC$17&amp;$C49,防護具!$Q$30:$Q$212))-DB49,0)</f>
        <v>0</v>
      </c>
      <c r="DD50" s="763">
        <f>IFERROR(
SUM(DC50,SUMIF(防護具!$Y$30:$Y$212,DD$17&amp;$C49,防護具!$Q$30:$Q$212))-DC49,0)</f>
        <v>0</v>
      </c>
      <c r="DE50" s="763">
        <f>IFERROR(
SUM(DD50,SUMIF(防護具!$Y$30:$Y$212,DE$17&amp;$C49,防護具!$Q$30:$Q$212))-DD49,0)</f>
        <v>0</v>
      </c>
      <c r="DF50" s="763">
        <f>IFERROR(
SUM(DE50,SUMIF(防護具!$Y$30:$Y$212,DF$17&amp;$C49,防護具!$Q$30:$Q$212))-DE49,0)</f>
        <v>0</v>
      </c>
      <c r="DG50" s="763">
        <f>IFERROR(
SUM(DF50,SUMIF(防護具!$Y$30:$Y$212,DG$17&amp;$C49,防護具!$Q$30:$Q$212))-DF49,0)</f>
        <v>0</v>
      </c>
      <c r="DH50" s="763">
        <f>IFERROR(
SUM(DG50,SUMIF(防護具!$Y$30:$Y$212,DH$17&amp;$C49,防護具!$Q$30:$Q$212))-DG49,0)</f>
        <v>0</v>
      </c>
      <c r="DI50" s="763">
        <f>IFERROR(
SUM(DH50,SUMIF(防護具!$Y$30:$Y$212,DI$17&amp;$C49,防護具!$Q$30:$Q$212))-DH49,0)</f>
        <v>0</v>
      </c>
      <c r="DJ50" s="763">
        <f>IFERROR(
SUM(DI50,SUMIF(防護具!$Y$30:$Y$212,DJ$17&amp;$C49,防護具!$Q$30:$Q$212))-DI49,0)</f>
        <v>0</v>
      </c>
      <c r="DK50" s="763">
        <f>IFERROR(
SUM(DJ50,SUMIF(防護具!$Y$30:$Y$212,DK$17&amp;$C49,防護具!$Q$30:$Q$212))-DJ49,0)</f>
        <v>0</v>
      </c>
      <c r="DL50" s="763">
        <f>IFERROR(
SUM(DK50,SUMIF(防護具!$Y$30:$Y$212,DL$17&amp;$C49,防護具!$Q$30:$Q$212))-DK49,0)</f>
        <v>0</v>
      </c>
      <c r="DM50" s="763">
        <f>IFERROR(
SUM(DL50,SUMIF(防護具!$Y$30:$Y$212,DM$17&amp;$C49,防護具!$Q$30:$Q$212))-DL49,0)</f>
        <v>0</v>
      </c>
      <c r="DN50" s="763">
        <f>IFERROR(
SUM(DM50,SUMIF(防護具!$Y$30:$Y$212,DN$17&amp;$C49,防護具!$Q$30:$Q$212))-DM49,0)</f>
        <v>0</v>
      </c>
      <c r="DO50" s="763">
        <f>IFERROR(
SUM(DN50,SUMIF(防護具!$Y$30:$Y$212,DO$17&amp;$C49,防護具!$Q$30:$Q$212))-DN49,0)</f>
        <v>0</v>
      </c>
      <c r="DP50" s="763">
        <f>IFERROR(
SUM(DO50,SUMIF(防護具!$Y$30:$Y$212,DP$17&amp;$C49,防護具!$Q$30:$Q$212))-DO49,0)</f>
        <v>0</v>
      </c>
      <c r="DQ50" s="763">
        <f>IFERROR(
SUM(DP50,SUMIF(防護具!$Y$30:$Y$212,DQ$17&amp;$C49,防護具!$Q$30:$Q$212))-DP49,0)</f>
        <v>0</v>
      </c>
      <c r="DR50" s="763">
        <f>IFERROR(
SUM(DQ50,SUMIF(防護具!$Y$30:$Y$212,DR$17&amp;$C49,防護具!$Q$30:$Q$212))-DQ49,0)</f>
        <v>0</v>
      </c>
      <c r="DS50" s="763">
        <f>IFERROR(
SUM(DR50,SUMIF(防護具!$Y$30:$Y$212,DS$17&amp;$C49,防護具!$Q$30:$Q$212))-DR49,0)</f>
        <v>0</v>
      </c>
      <c r="DT50" s="763">
        <f>IFERROR(
SUM(DS50,SUMIF(防護具!$Y$30:$Y$212,DT$17&amp;$C49,防護具!$Q$30:$Q$212))-DS49,0)</f>
        <v>0</v>
      </c>
      <c r="DU50" s="763">
        <f>IFERROR(
SUM(DT50,SUMIF(防護具!$Y$30:$Y$212,DU$17&amp;$C49,防護具!$Q$30:$Q$212))-DT49,0)</f>
        <v>0</v>
      </c>
      <c r="DV50" s="763">
        <f>IFERROR(
SUM(DU50,SUMIF(防護具!$Y$30:$Y$212,DV$17&amp;$C49,防護具!$Q$30:$Q$212))-DU49,0)</f>
        <v>0</v>
      </c>
      <c r="DW50" s="763">
        <f>IFERROR(
SUM(DV50,SUMIF(防護具!$Y$30:$Y$212,DW$17&amp;$C49,防護具!$Q$30:$Q$212))-DV49,0)</f>
        <v>0</v>
      </c>
      <c r="DX50" s="763">
        <f>IFERROR(
SUM(DW50,SUMIF(防護具!$Y$30:$Y$212,DX$17&amp;$C49,防護具!$Q$30:$Q$212))-DW49,0)</f>
        <v>0</v>
      </c>
      <c r="DY50" s="763">
        <f>IFERROR(
SUM(DX50,SUMIF(防護具!$Y$30:$Y$212,DY$17&amp;$C49,防護具!$Q$30:$Q$212))-DX49,0)</f>
        <v>0</v>
      </c>
      <c r="DZ50" s="763">
        <f>IFERROR(
SUM(DY50,SUMIF(防護具!$Y$30:$Y$212,DZ$17&amp;$C49,防護具!$Q$30:$Q$212))-DY49,0)</f>
        <v>0</v>
      </c>
      <c r="EA50" s="763">
        <f>IFERROR(
SUM(DZ50,SUMIF(防護具!$Y$30:$Y$212,EA$17&amp;$C49,防護具!$Q$30:$Q$212))-DZ49,0)</f>
        <v>0</v>
      </c>
      <c r="EB50" s="763">
        <f>IFERROR(
SUM(EA50,SUMIF(防護具!$Y$30:$Y$212,EB$17&amp;$C49,防護具!$Q$30:$Q$212))-EA49,0)</f>
        <v>0</v>
      </c>
      <c r="EC50" s="763">
        <f>IFERROR(
SUM(EB50,SUMIF(防護具!$Y$30:$Y$212,EC$17&amp;$C49,防護具!$Q$30:$Q$212))-EB49,0)</f>
        <v>0</v>
      </c>
      <c r="ED50" s="763">
        <f>IFERROR(
SUM(EC50,SUMIF(防護具!$Y$30:$Y$212,ED$17&amp;$C49,防護具!$Q$30:$Q$212))-EC49,0)</f>
        <v>0</v>
      </c>
      <c r="EE50" s="763">
        <f>IFERROR(
SUM(ED50,SUMIF(防護具!$Y$30:$Y$212,EE$17&amp;$C49,防護具!$Q$30:$Q$212))-ED49,0)</f>
        <v>0</v>
      </c>
      <c r="EF50" s="763">
        <f>IFERROR(
SUM(EE50,SUMIF(防護具!$Y$30:$Y$212,EF$17&amp;$C49,防護具!$Q$30:$Q$212))-EE49,0)</f>
        <v>0</v>
      </c>
      <c r="EG50" s="763">
        <f>IFERROR(
SUM(EF50,SUMIF(防護具!$Y$30:$Y$212,EG$17&amp;$C49,防護具!$Q$30:$Q$212))-EF49,0)</f>
        <v>0</v>
      </c>
      <c r="EH50" s="763">
        <f>IFERROR(
SUM(EG50,SUMIF(防護具!$Y$30:$Y$212,EH$17&amp;$C49,防護具!$Q$30:$Q$212))-EG49,0)</f>
        <v>0</v>
      </c>
      <c r="EI50" s="763">
        <f>IFERROR(
SUM(EH50,SUMIF(防護具!$Y$30:$Y$212,EI$17&amp;$C49,防護具!$Q$30:$Q$212))-EH49,0)</f>
        <v>0</v>
      </c>
      <c r="EJ50" s="763">
        <f>IFERROR(
SUM(EI50,SUMIF(防護具!$Y$30:$Y$212,EJ$17&amp;$C49,防護具!$Q$30:$Q$212))-EI49,0)</f>
        <v>0</v>
      </c>
      <c r="EK50" s="763">
        <f>IFERROR(
SUM(EJ50,SUMIF(防護具!$Y$30:$Y$212,EK$17&amp;$C49,防護具!$Q$30:$Q$212))-EJ49,0)</f>
        <v>0</v>
      </c>
      <c r="EL50" s="763">
        <f>IFERROR(
SUM(EK50,SUMIF(防護具!$Y$30:$Y$212,EL$17&amp;$C49,防護具!$Q$30:$Q$212))-EK49,0)</f>
        <v>0</v>
      </c>
      <c r="EM50" s="763">
        <f>IFERROR(
SUM(EL50,SUMIF(防護具!$Y$30:$Y$212,EM$17&amp;$C49,防護具!$Q$30:$Q$212))-EL49,0)</f>
        <v>0</v>
      </c>
      <c r="EN50" s="763">
        <f>IFERROR(
SUM(EM50,SUMIF(防護具!$Y$30:$Y$212,EN$17&amp;$C49,防護具!$Q$30:$Q$212))-EM49,0)</f>
        <v>0</v>
      </c>
      <c r="EO50" s="763">
        <f>IFERROR(
SUM(EN50,SUMIF(防護具!$Y$30:$Y$212,EO$17&amp;$C49,防護具!$Q$30:$Q$212))-EN49,0)</f>
        <v>0</v>
      </c>
      <c r="EP50" s="763">
        <f>IFERROR(
SUM(EO50,SUMIF(防護具!$Y$30:$Y$212,EP$17&amp;$C49,防護具!$Q$30:$Q$212))-EO49,0)</f>
        <v>0</v>
      </c>
      <c r="EQ50" s="763">
        <f>IFERROR(
SUM(EP50,SUMIF(防護具!$Y$30:$Y$212,EQ$17&amp;$C49,防護具!$Q$30:$Q$212))-EP49,0)</f>
        <v>0</v>
      </c>
      <c r="ER50" s="763">
        <f>IFERROR(
SUM(EQ50,SUMIF(防護具!$Y$30:$Y$212,ER$17&amp;$C49,防護具!$Q$30:$Q$212))-EQ49,0)</f>
        <v>0</v>
      </c>
      <c r="ES50" s="763">
        <f>IFERROR(
SUM(ER50,SUMIF(防護具!$Y$30:$Y$212,ES$17&amp;$C49,防護具!$Q$30:$Q$212))-ER49,0)</f>
        <v>0</v>
      </c>
      <c r="ET50" s="763">
        <f>IFERROR(
SUM(ES50,SUMIF(防護具!$Y$30:$Y$212,ET$17&amp;$C49,防護具!$Q$30:$Q$212))-ES49,0)</f>
        <v>0</v>
      </c>
      <c r="EU50" s="763">
        <f>IFERROR(
SUM(ET50,SUMIF(防護具!$Y$30:$Y$212,EU$17&amp;$C49,防護具!$Q$30:$Q$212))-ET49,0)</f>
        <v>0</v>
      </c>
      <c r="EV50" s="763">
        <f>IFERROR(
SUM(EU50,SUMIF(防護具!$Y$30:$Y$212,EV$17&amp;$C49,防護具!$Q$30:$Q$212))-EU49,0)</f>
        <v>0</v>
      </c>
      <c r="EW50" s="763">
        <f>IFERROR(
SUM(EV50,SUMIF(防護具!$Y$30:$Y$212,EW$17&amp;$C49,防護具!$Q$30:$Q$212))-EV49,0)</f>
        <v>0</v>
      </c>
      <c r="EX50" s="763">
        <f>IFERROR(
SUM(EW50,SUMIF(防護具!$Y$30:$Y$212,EX$17&amp;$C49,防護具!$Q$30:$Q$212))-EW49,0)</f>
        <v>0</v>
      </c>
      <c r="EY50" s="763">
        <f>IFERROR(
SUM(EX50,SUMIF(防護具!$Y$30:$Y$212,EY$17&amp;$C49,防護具!$Q$30:$Q$212))-EX49,0)</f>
        <v>0</v>
      </c>
      <c r="EZ50" s="763">
        <f>IFERROR(
SUM(EY50,SUMIF(防護具!$Y$30:$Y$212,EZ$17&amp;$C49,防護具!$Q$30:$Q$212))-EY49,0)</f>
        <v>0</v>
      </c>
      <c r="FA50" s="763">
        <f>IFERROR(
SUM(EZ50,SUMIF(防護具!$Y$30:$Y$212,FA$17&amp;$C49,防護具!$Q$30:$Q$212))-EZ49,0)</f>
        <v>0</v>
      </c>
      <c r="FB50" s="763">
        <f>IFERROR(
SUM(FA50,SUMIF(防護具!$Y$30:$Y$212,FB$17&amp;$C49,防護具!$Q$30:$Q$212))-FA49,0)</f>
        <v>0</v>
      </c>
      <c r="FC50" s="763">
        <f>IFERROR(
SUM(FB50,SUMIF(防護具!$Y$30:$Y$212,FC$17&amp;$C49,防護具!$Q$30:$Q$212))-FB49,0)</f>
        <v>0</v>
      </c>
      <c r="FD50" s="763">
        <f>IFERROR(
SUM(FC50,SUMIF(防護具!$Y$30:$Y$212,FD$17&amp;$C49,防護具!$Q$30:$Q$212))-FC49,0)</f>
        <v>0</v>
      </c>
      <c r="FE50" s="763">
        <f>IFERROR(
SUM(FD50,SUMIF(防護具!$Y$30:$Y$212,FE$17&amp;$C49,防護具!$Q$30:$Q$212))-FD49,0)</f>
        <v>0</v>
      </c>
      <c r="FF50" s="763">
        <f>IFERROR(
SUM(FE50,SUMIF(防護具!$Y$30:$Y$212,FF$17&amp;$C49,防護具!$Q$30:$Q$212))-FE49,0)</f>
        <v>0</v>
      </c>
      <c r="FG50" s="763">
        <f>IFERROR(
SUM(FF50,SUMIF(防護具!$Y$30:$Y$212,FG$17&amp;$C49,防護具!$Q$30:$Q$212))-FF49,0)</f>
        <v>0</v>
      </c>
      <c r="FH50" s="763">
        <f>IFERROR(
SUM(FG50,SUMIF(防護具!$Y$30:$Y$212,FH$17&amp;$C49,防護具!$Q$30:$Q$212))-FG49,0)</f>
        <v>0</v>
      </c>
      <c r="FI50" s="763">
        <f>IFERROR(
SUM(FH50,SUMIF(防護具!$Y$30:$Y$212,FI$17&amp;$C49,防護具!$Q$30:$Q$212))-FH49,0)</f>
        <v>0</v>
      </c>
      <c r="FJ50" s="763">
        <f>IFERROR(
SUM(FI50,SUMIF(防護具!$Y$30:$Y$212,FJ$17&amp;$C49,防護具!$Q$30:$Q$212))-FI49,0)</f>
        <v>0</v>
      </c>
      <c r="FK50" s="763">
        <f>IFERROR(
SUM(FJ50,SUMIF(防護具!$Y$30:$Y$212,FK$17&amp;$C49,防護具!$Q$30:$Q$212))-FJ49,0)</f>
        <v>0</v>
      </c>
      <c r="FL50" s="763">
        <f>IFERROR(
SUM(FK50,SUMIF(防護具!$Y$30:$Y$212,FL$17&amp;$C49,防護具!$Q$30:$Q$212))-FK49,0)</f>
        <v>0</v>
      </c>
      <c r="FM50" s="763">
        <f>IFERROR(
SUM(FL50,SUMIF(防護具!$Y$30:$Y$212,FM$17&amp;$C49,防護具!$Q$30:$Q$212))-FL49,0)</f>
        <v>0</v>
      </c>
      <c r="FN50" s="763">
        <f>IFERROR(
SUM(FM50,SUMIF(防護具!$Y$30:$Y$212,FN$17&amp;$C49,防護具!$Q$30:$Q$212))-FM49,0)</f>
        <v>0</v>
      </c>
      <c r="FO50" s="763">
        <f>IFERROR(
SUM(FN50,SUMIF(防護具!$Y$30:$Y$212,FO$17&amp;$C49,防護具!$Q$30:$Q$212))-FN49,0)</f>
        <v>0</v>
      </c>
      <c r="FP50" s="763">
        <f>IFERROR(
SUM(FO50,SUMIF(防護具!$Y$30:$Y$212,FP$17&amp;$C49,防護具!$Q$30:$Q$212))-FO49,0)</f>
        <v>0</v>
      </c>
      <c r="FQ50" s="763">
        <f>IFERROR(
SUM(FP50,SUMIF(防護具!$Y$30:$Y$212,FQ$17&amp;$C49,防護具!$Q$30:$Q$212))-FP49,0)</f>
        <v>0</v>
      </c>
      <c r="FR50" s="763">
        <f>IFERROR(
SUM(FQ50,SUMIF(防護具!$Y$30:$Y$212,FR$17&amp;$C49,防護具!$Q$30:$Q$212))-FQ49,0)</f>
        <v>0</v>
      </c>
      <c r="FS50" s="763">
        <f>IFERROR(
SUM(FR50,SUMIF(防護具!$Y$30:$Y$212,FS$17&amp;$C49,防護具!$Q$30:$Q$212))-FR49,0)</f>
        <v>0</v>
      </c>
      <c r="FT50" s="763">
        <f>IFERROR(
SUM(FS50,SUMIF(防護具!$Y$30:$Y$212,FT$17&amp;$C49,防護具!$Q$30:$Q$212))-FS49,0)</f>
        <v>0</v>
      </c>
      <c r="FU50" s="763">
        <f>IFERROR(
SUM(FT50,SUMIF(防護具!$Y$30:$Y$212,FU$17&amp;$C49,防護具!$Q$30:$Q$212))-FT49,0)</f>
        <v>0</v>
      </c>
      <c r="FV50" s="763">
        <f>IFERROR(
SUM(FU50,SUMIF(防護具!$Y$30:$Y$212,FV$17&amp;$C49,防護具!$Q$30:$Q$212))-FU49,0)</f>
        <v>0</v>
      </c>
      <c r="FW50" s="763">
        <f>IFERROR(
SUM(FV50,SUMIF(防護具!$Y$30:$Y$212,FW$17&amp;$C49,防護具!$Q$30:$Q$212))-FV49,0)</f>
        <v>0</v>
      </c>
      <c r="FX50" s="763">
        <f>IFERROR(
SUM(FW50,SUMIF(防護具!$Y$30:$Y$212,FX$17&amp;$C49,防護具!$Q$30:$Q$212))-FW49,0)</f>
        <v>0</v>
      </c>
      <c r="FY50" s="763">
        <f>IFERROR(
SUM(FX50,SUMIF(防護具!$Y$30:$Y$212,FY$17&amp;$C49,防護具!$Q$30:$Q$212))-FX49,0)</f>
        <v>0</v>
      </c>
      <c r="FZ50" s="763">
        <f>IFERROR(
SUM(FY50,SUMIF(防護具!$Y$30:$Y$212,FZ$17&amp;$C49,防護具!$Q$30:$Q$212))-FY49,0)</f>
        <v>0</v>
      </c>
      <c r="GA50" s="763">
        <f>IFERROR(
SUM(FZ50,SUMIF(防護具!$Y$30:$Y$212,GA$17&amp;$C49,防護具!$Q$30:$Q$212))-FZ49,0)</f>
        <v>0</v>
      </c>
      <c r="GB50" s="763">
        <f>IFERROR(
SUM(GA50,SUMIF(防護具!$Y$30:$Y$212,GB$17&amp;$C49,防護具!$Q$30:$Q$212))-GA49,0)</f>
        <v>0</v>
      </c>
      <c r="GC50" s="763">
        <f>IFERROR(
SUM(GB50,SUMIF(防護具!$Y$30:$Y$212,GC$17&amp;$C49,防護具!$Q$30:$Q$212))-GB49,0)</f>
        <v>0</v>
      </c>
      <c r="GD50" s="763">
        <f>IFERROR(
SUM(GC50,SUMIF(防護具!$Y$30:$Y$212,GD$17&amp;$C49,防護具!$Q$30:$Q$212))-GC49,0)</f>
        <v>0</v>
      </c>
      <c r="GE50" s="763">
        <f>IFERROR(
SUM(GD50,SUMIF(防護具!$Y$30:$Y$212,GE$17&amp;$C49,防護具!$Q$30:$Q$212))-GD49,0)</f>
        <v>0</v>
      </c>
      <c r="GF50" s="763">
        <f>IFERROR(
SUM(GE50,SUMIF(防護具!$Y$30:$Y$212,GF$17&amp;$C49,防護具!$Q$30:$Q$212))-GE49,0)</f>
        <v>0</v>
      </c>
      <c r="GG50" s="763">
        <f>IFERROR(
SUM(GF50,SUMIF(防護具!$Y$30:$Y$212,GG$17&amp;$C49,防護具!$Q$30:$Q$212))-GF49,0)</f>
        <v>0</v>
      </c>
      <c r="GH50" s="763">
        <f>IFERROR(
SUM(GG50,SUMIF(防護具!$Y$30:$Y$212,GH$17&amp;$C49,防護具!$Q$30:$Q$212))-GG49,0)</f>
        <v>0</v>
      </c>
      <c r="GI50" s="763">
        <f>IFERROR(
SUM(GH50,SUMIF(防護具!$Y$30:$Y$212,GI$17&amp;$C49,防護具!$Q$30:$Q$212))-GH49,0)</f>
        <v>0</v>
      </c>
      <c r="GJ50" s="763">
        <f>IFERROR(
SUM(GI50,SUMIF(防護具!$Y$30:$Y$212,GJ$17&amp;$C49,防護具!$Q$30:$Q$212))-GI49,0)</f>
        <v>0</v>
      </c>
    </row>
    <row r="51" spans="2:192" s="627" customFormat="1">
      <c r="B51" s="631"/>
      <c r="C51" s="626"/>
      <c r="D51" s="702" t="s">
        <v>1425</v>
      </c>
      <c r="E51" s="707"/>
      <c r="F51" s="654"/>
      <c r="G51" s="763">
        <f xml:space="preserve">
IF(
SUM(SUMIF(防護具!$Y$13:$Y$29,G$17&amp;$C49,防護具!$Q$13:$Q$29),F51)-VLOOKUP($C49,$C$3:$D$15,2,FALSE)*F47&lt;0,0,
SUM(SUMIF(防護具!$Y$13:$Y$29,G$17&amp;$C49,防護具!$Q$13:$Q$29),F51)-VLOOKUP($C49,$C$3:$D$15,2,FALSE)*F47)</f>
        <v>0</v>
      </c>
      <c r="H51" s="763">
        <f xml:space="preserve">
IF(
SUM(SUMIF(防護具!$Y$13:$Y$29,H$17&amp;$C49,防護具!$Q$13:$Q$29),G51)-VLOOKUP($C49,$C$3:$D$15,2,FALSE)*G47&lt;0,0,
SUM(SUMIF(防護具!$Y$13:$Y$29,H$17&amp;$C49,防護具!$Q$13:$Q$29),G51)-VLOOKUP($C49,$C$3:$D$15,2,FALSE)*G47)</f>
        <v>0</v>
      </c>
      <c r="I51" s="763">
        <f xml:space="preserve">
IF(
SUM(SUMIF(防護具!$Y$13:$Y$29,I$17&amp;$C49,防護具!$Q$13:$Q$29),H51)-VLOOKUP($C49,$C$3:$D$15,2,FALSE)*H47&lt;0,0,
SUM(SUMIF(防護具!$Y$13:$Y$29,I$17&amp;$C49,防護具!$Q$13:$Q$29),H51)-VLOOKUP($C49,$C$3:$D$15,2,FALSE)*H47)</f>
        <v>0</v>
      </c>
      <c r="J51" s="763">
        <f xml:space="preserve">
IF(
SUM(SUMIF(防護具!$Y$13:$Y$29,J$17&amp;$C49,防護具!$Q$13:$Q$29),I51)-VLOOKUP($C49,$C$3:$D$15,2,FALSE)*I47&lt;0,0,
SUM(SUMIF(防護具!$Y$13:$Y$29,J$17&amp;$C49,防護具!$Q$13:$Q$29),I51)-VLOOKUP($C49,$C$3:$D$15,2,FALSE)*I47)</f>
        <v>0</v>
      </c>
      <c r="K51" s="763">
        <f xml:space="preserve">
IF(
SUM(SUMIF(防護具!$Y$13:$Y$29,K$17&amp;$C49,防護具!$Q$13:$Q$29),J51)-VLOOKUP($C49,$C$3:$D$15,2,FALSE)*J47&lt;0,0,
SUM(SUMIF(防護具!$Y$13:$Y$29,K$17&amp;$C49,防護具!$Q$13:$Q$29),J51)-VLOOKUP($C49,$C$3:$D$15,2,FALSE)*J47)</f>
        <v>0</v>
      </c>
      <c r="L51" s="763">
        <f xml:space="preserve">
IF(
SUM(SUMIF(防護具!$Y$13:$Y$29,L$17&amp;$C49,防護具!$Q$13:$Q$29),K51)-VLOOKUP($C49,$C$3:$D$15,2,FALSE)*K47&lt;0,0,
SUM(SUMIF(防護具!$Y$13:$Y$29,L$17&amp;$C49,防護具!$Q$13:$Q$29),K51)-VLOOKUP($C49,$C$3:$D$15,2,FALSE)*K47)</f>
        <v>0</v>
      </c>
      <c r="M51" s="763">
        <f xml:space="preserve">
IF(
SUM(SUMIF(防護具!$Y$13:$Y$29,M$17&amp;$C49,防護具!$Q$13:$Q$29),L51)-VLOOKUP($C49,$C$3:$D$15,2,FALSE)*L47&lt;0,0,
SUM(SUMIF(防護具!$Y$13:$Y$29,M$17&amp;$C49,防護具!$Q$13:$Q$29),L51)-VLOOKUP($C49,$C$3:$D$15,2,FALSE)*L47)</f>
        <v>0</v>
      </c>
      <c r="N51" s="763">
        <f xml:space="preserve">
IF(
SUM(SUMIF(防護具!$Y$13:$Y$29,N$17&amp;$C49,防護具!$Q$13:$Q$29),M51)-VLOOKUP($C49,$C$3:$D$15,2,FALSE)*M47&lt;0,0,
SUM(SUMIF(防護具!$Y$13:$Y$29,N$17&amp;$C49,防護具!$Q$13:$Q$29),M51)-VLOOKUP($C49,$C$3:$D$15,2,FALSE)*M47)</f>
        <v>0</v>
      </c>
      <c r="O51" s="763">
        <f xml:space="preserve">
IF(
SUM(SUMIF(防護具!$Y$13:$Y$29,O$17&amp;$C49,防護具!$Q$13:$Q$29),N51)-VLOOKUP($C49,$C$3:$D$15,2,FALSE)*N47&lt;0,0,
SUM(SUMIF(防護具!$Y$13:$Y$29,O$17&amp;$C49,防護具!$Q$13:$Q$29),N51)-VLOOKUP($C49,$C$3:$D$15,2,FALSE)*N47)</f>
        <v>0</v>
      </c>
      <c r="P51" s="763">
        <f xml:space="preserve">
IF(
SUM(SUMIF(防護具!$Y$13:$Y$29,P$17&amp;$C49,防護具!$Q$13:$Q$29),O51)-VLOOKUP($C49,$C$3:$D$15,2,FALSE)*O47&lt;0,0,
SUM(SUMIF(防護具!$Y$13:$Y$29,P$17&amp;$C49,防護具!$Q$13:$Q$29),O51)-VLOOKUP($C49,$C$3:$D$15,2,FALSE)*O47)</f>
        <v>0</v>
      </c>
      <c r="Q51" s="763">
        <f xml:space="preserve">
IF(
SUM(SUMIF(防護具!$Y$13:$Y$29,Q$17&amp;$C49,防護具!$Q$13:$Q$29),P51)-VLOOKUP($C49,$C$3:$D$15,2,FALSE)*P$20&lt;0,0,
SUM(SUMIF(防護具!$Y$13:$Y$29,Q$17&amp;$C49,防護具!$Q$13:$Q$29),P51)-VLOOKUP($C49,$C$3:$D$15,2,FALSE)*P$20)</f>
        <v>0</v>
      </c>
      <c r="R51" s="763">
        <f xml:space="preserve">
IF(
SUM(SUMIF(防護具!$Y$13:$Y$29,R$17&amp;$C49,防護具!$Q$13:$Q$29),Q51)-VLOOKUP($C49,$C$3:$D$15,2,FALSE)*Q$20&lt;0,0,
SUM(SUMIF(防護具!$Y$13:$Y$29,R$17&amp;$C49,防護具!$Q$13:$Q$29),Q51)-VLOOKUP($C49,$C$3:$D$15,2,FALSE)*Q$20)</f>
        <v>0</v>
      </c>
      <c r="S51" s="763">
        <f xml:space="preserve">
IF(
SUM(SUMIF(防護具!$Y$13:$Y$29,S$17&amp;$C49,防護具!$Q$13:$Q$29),R51)-VLOOKUP($C49,$C$3:$D$15,2,FALSE)*R$20&lt;0,0,
SUM(SUMIF(防護具!$Y$13:$Y$29,S$17&amp;$C49,防護具!$Q$13:$Q$29),R51)-VLOOKUP($C49,$C$3:$D$15,2,FALSE)*R$20)</f>
        <v>0</v>
      </c>
      <c r="T51" s="763">
        <f xml:space="preserve">
IF(
SUM(SUMIF(防護具!$Y$13:$Y$29,T$17&amp;$C49,防護具!$Q$13:$Q$29),S51)-VLOOKUP($C49,$C$3:$D$15,2,FALSE)*S$20&lt;0,0,
SUM(SUMIF(防護具!$Y$13:$Y$29,T$17&amp;$C49,防護具!$Q$13:$Q$29),S51)-VLOOKUP($C49,$C$3:$D$15,2,FALSE)*S$20)</f>
        <v>0</v>
      </c>
      <c r="U51" s="763">
        <f xml:space="preserve">
IF(
SUM(SUMIF(防護具!$Y$13:$Y$29,U$17&amp;$C49,防護具!$Q$13:$Q$29),T51)-VLOOKUP($C49,$C$3:$D$15,2,FALSE)*T$20&lt;0,0,
SUM(SUMIF(防護具!$Y$13:$Y$29,U$17&amp;$C49,防護具!$Q$13:$Q$29),T51)-VLOOKUP($C49,$C$3:$D$15,2,FALSE)*T$20)</f>
        <v>0</v>
      </c>
      <c r="V51" s="763">
        <f xml:space="preserve">
IF(
SUM(SUMIF(防護具!$Y$13:$Y$29,V$17&amp;$C49,防護具!$Q$13:$Q$29),U51)-VLOOKUP($C49,$C$3:$D$15,2,FALSE)*U$20&lt;0,0,
SUM(SUMIF(防護具!$Y$13:$Y$29,V$17&amp;$C49,防護具!$Q$13:$Q$29),U51)-VLOOKUP($C49,$C$3:$D$15,2,FALSE)*U$20)</f>
        <v>0</v>
      </c>
      <c r="W51" s="763">
        <f xml:space="preserve">
IF(
SUM(SUMIF(防護具!$Y$13:$Y$29,W$17&amp;$C49,防護具!$Q$13:$Q$29),V51)-VLOOKUP($C49,$C$3:$D$15,2,FALSE)*V$20&lt;0,0,
SUM(SUMIF(防護具!$Y$13:$Y$29,W$17&amp;$C49,防護具!$Q$13:$Q$29),V51)-VLOOKUP($C49,$C$3:$D$15,2,FALSE)*V$20)</f>
        <v>0</v>
      </c>
      <c r="X51" s="763">
        <f xml:space="preserve">
IF(
SUM(SUMIF(防護具!$Y$13:$Y$29,X$17&amp;$C49,防護具!$Q$13:$Q$29),W51)-VLOOKUP($C49,$C$3:$D$15,2,FALSE)*W$20&lt;0,0,
SUM(SUMIF(防護具!$Y$13:$Y$29,X$17&amp;$C49,防護具!$Q$13:$Q$29),W51)-VLOOKUP($C49,$C$3:$D$15,2,FALSE)*W$20)</f>
        <v>0</v>
      </c>
      <c r="Y51" s="763">
        <f xml:space="preserve">
IF(
SUM(SUMIF(防護具!$Y$13:$Y$29,Y$17&amp;$C49,防護具!$Q$13:$Q$29),X51)-VLOOKUP($C49,$C$3:$D$15,2,FALSE)*X$20&lt;0,0,
SUM(SUMIF(防護具!$Y$13:$Y$29,Y$17&amp;$C49,防護具!$Q$13:$Q$29),X51)-VLOOKUP($C49,$C$3:$D$15,2,FALSE)*X$20)</f>
        <v>0</v>
      </c>
      <c r="Z51" s="763">
        <f xml:space="preserve">
IF(
SUM(SUMIF(防護具!$Y$13:$Y$29,Z$17&amp;$C49,防護具!$Q$13:$Q$29),Y51)-VLOOKUP($C49,$C$3:$D$15,2,FALSE)*Y$20&lt;0,0,
SUM(SUMIF(防護具!$Y$13:$Y$29,Z$17&amp;$C49,防護具!$Q$13:$Q$29),Y51)-VLOOKUP($C49,$C$3:$D$15,2,FALSE)*Y$20)</f>
        <v>0</v>
      </c>
      <c r="AA51" s="763">
        <f xml:space="preserve">
IF(
SUM(SUMIF(防護具!$Y$13:$Y$29,AA$17&amp;$C49,防護具!$Q$13:$Q$29),Z51)-VLOOKUP($C49,$C$3:$D$15,2,FALSE)*Z$20&lt;0,0,
SUM(SUMIF(防護具!$Y$13:$Y$29,AA$17&amp;$C49,防護具!$Q$13:$Q$29),Z51)-VLOOKUP($C49,$C$3:$D$15,2,FALSE)*Z$20)</f>
        <v>0</v>
      </c>
      <c r="AB51" s="763">
        <f xml:space="preserve">
IF(
SUM(SUMIF(防護具!$Y$13:$Y$29,AB$17&amp;$C49,防護具!$Q$13:$Q$29),AA51)-VLOOKUP($C49,$C$3:$D$15,2,FALSE)*AA$20&lt;0,0,
SUM(SUMIF(防護具!$Y$13:$Y$29,AB$17&amp;$C49,防護具!$Q$13:$Q$29),AA51)-VLOOKUP($C49,$C$3:$D$15,2,FALSE)*AA$20)</f>
        <v>0</v>
      </c>
      <c r="AC51" s="763">
        <f xml:space="preserve">
IF(
SUM(SUMIF(防護具!$Y$13:$Y$29,AC$17&amp;$C49,防護具!$Q$13:$Q$29),AB51)-VLOOKUP($C49,$C$3:$D$15,2,FALSE)*AB$20&lt;0,0,
SUM(SUMIF(防護具!$Y$13:$Y$29,AC$17&amp;$C49,防護具!$Q$13:$Q$29),AB51)-VLOOKUP($C49,$C$3:$D$15,2,FALSE)*AB$20)</f>
        <v>0</v>
      </c>
      <c r="AD51" s="763">
        <f xml:space="preserve">
IF(
SUM(SUMIF(防護具!$Y$13:$Y$29,AD$17&amp;$C49,防護具!$Q$13:$Q$29),AC51)-VLOOKUP($C49,$C$3:$D$15,2,FALSE)*AC$20&lt;0,0,
SUM(SUMIF(防護具!$Y$13:$Y$29,AD$17&amp;$C49,防護具!$Q$13:$Q$29),AC51)-VLOOKUP($C49,$C$3:$D$15,2,FALSE)*AC$20)</f>
        <v>0</v>
      </c>
      <c r="AE51" s="763">
        <f xml:space="preserve">
IF(
SUM(SUMIF(防護具!$Y$13:$Y$29,AE$17&amp;$C49,防護具!$Q$13:$Q$29),AD51)-VLOOKUP($C49,$C$3:$D$15,2,FALSE)*AD$20&lt;0,0,
SUM(SUMIF(防護具!$Y$13:$Y$29,AE$17&amp;$C49,防護具!$Q$13:$Q$29),AD51)-VLOOKUP($C49,$C$3:$D$15,2,FALSE)*AD$20)</f>
        <v>0</v>
      </c>
      <c r="AF51" s="763">
        <f xml:space="preserve">
IF(
SUM(SUMIF(防護具!$Y$13:$Y$29,AF$17&amp;$C49,防護具!$Q$13:$Q$29),AE51)-VLOOKUP($C49,$C$3:$D$15,2,FALSE)*AE$20&lt;0,0,
SUM(SUMIF(防護具!$Y$13:$Y$29,AF$17&amp;$C49,防護具!$Q$13:$Q$29),AE51)-VLOOKUP($C49,$C$3:$D$15,2,FALSE)*AE$20)</f>
        <v>0</v>
      </c>
      <c r="AG51" s="763">
        <f xml:space="preserve">
IF(
SUM(SUMIF(防護具!$Y$13:$Y$29,AG$17&amp;$C49,防護具!$Q$13:$Q$29),AF51)-VLOOKUP($C49,$C$3:$D$15,2,FALSE)*AF$20&lt;0,0,
SUM(SUMIF(防護具!$Y$13:$Y$29,AG$17&amp;$C49,防護具!$Q$13:$Q$29),AF51)-VLOOKUP($C49,$C$3:$D$15,2,FALSE)*AF$20)</f>
        <v>0</v>
      </c>
      <c r="AH51" s="763">
        <f xml:space="preserve">
IF(
SUM(SUMIF(防護具!$Y$13:$Y$29,AH$17&amp;$C49,防護具!$Q$13:$Q$29),AG51)-VLOOKUP($C49,$C$3:$D$15,2,FALSE)*AG$20&lt;0,0,
SUM(SUMIF(防護具!$Y$13:$Y$29,AH$17&amp;$C49,防護具!$Q$13:$Q$29),AG51)-VLOOKUP($C49,$C$3:$D$15,2,FALSE)*AG$20)</f>
        <v>0</v>
      </c>
      <c r="AI51" s="763">
        <f xml:space="preserve">
IF(
SUM(SUMIF(防護具!$Y$13:$Y$29,AI$17&amp;$C49,防護具!$Q$13:$Q$29),AH51)-VLOOKUP($C49,$C$3:$D$15,2,FALSE)*AH$20&lt;0,0,
SUM(SUMIF(防護具!$Y$13:$Y$29,AI$17&amp;$C49,防護具!$Q$13:$Q$29),AH51)-VLOOKUP($C49,$C$3:$D$15,2,FALSE)*AH$20)</f>
        <v>0</v>
      </c>
      <c r="AJ51" s="763">
        <f xml:space="preserve">
IF(
SUM(SUMIF(防護具!$Y$13:$Y$29,AJ$17&amp;$C49,防護具!$Q$13:$Q$29),AI51)-VLOOKUP($C49,$C$3:$D$15,2,FALSE)*AI$20&lt;0,0,
SUM(SUMIF(防護具!$Y$13:$Y$29,AJ$17&amp;$C49,防護具!$Q$13:$Q$29),AI51)-VLOOKUP($C49,$C$3:$D$15,2,FALSE)*AI$20)</f>
        <v>0</v>
      </c>
      <c r="AK51" s="763">
        <f xml:space="preserve">
IF(
SUM(SUMIF(防護具!$Y$13:$Y$29,AK$17&amp;$C49,防護具!$Q$13:$Q$29),AJ51)-VLOOKUP($C49,$C$3:$D$15,2,FALSE)*AJ$20&lt;0,0,
SUM(SUMIF(防護具!$Y$13:$Y$29,AK$17&amp;$C49,防護具!$Q$13:$Q$29),AJ51)-VLOOKUP($C49,$C$3:$D$15,2,FALSE)*AJ$20)</f>
        <v>0</v>
      </c>
      <c r="AL51" s="763">
        <f xml:space="preserve">
IF(
SUM(SUMIF(防護具!$Y$13:$Y$29,AL$17&amp;$C49,防護具!$Q$13:$Q$29),AK51)-VLOOKUP($C49,$C$3:$D$15,2,FALSE)*AK$20&lt;0,0,
SUM(SUMIF(防護具!$Y$13:$Y$29,AL$17&amp;$C49,防護具!$Q$13:$Q$29),AK51)-VLOOKUP($C49,$C$3:$D$15,2,FALSE)*AK$20)</f>
        <v>0</v>
      </c>
      <c r="AM51" s="763">
        <f xml:space="preserve">
IF(
SUM(SUMIF(防護具!$Y$13:$Y$29,AM$17&amp;$C49,防護具!$Q$13:$Q$29),AL51)-VLOOKUP($C49,$C$3:$D$15,2,FALSE)*AL$20&lt;0,0,
SUM(SUMIF(防護具!$Y$13:$Y$29,AM$17&amp;$C49,防護具!$Q$13:$Q$29),AL51)-VLOOKUP($C49,$C$3:$D$15,2,FALSE)*AL$20)</f>
        <v>0</v>
      </c>
      <c r="AN51" s="763">
        <f xml:space="preserve">
IF(
SUM(SUMIF(防護具!$Y$13:$Y$29,AN$17&amp;$C49,防護具!$Q$13:$Q$29),AM51)-VLOOKUP($C49,$C$3:$D$15,2,FALSE)*AM$20&lt;0,0,
SUM(SUMIF(防護具!$Y$13:$Y$29,AN$17&amp;$C49,防護具!$Q$13:$Q$29),AM51)-VLOOKUP($C49,$C$3:$D$15,2,FALSE)*AM$20)</f>
        <v>0</v>
      </c>
      <c r="AO51" s="763">
        <f xml:space="preserve">
IF(
SUM(SUMIF(防護具!$Y$13:$Y$29,AO$17&amp;$C49,防護具!$Q$13:$Q$29),AN51)-VLOOKUP($C49,$C$3:$D$15,2,FALSE)*AN$20&lt;0,0,
SUM(SUMIF(防護具!$Y$13:$Y$29,AO$17&amp;$C49,防護具!$Q$13:$Q$29),AN51)-VLOOKUP($C49,$C$3:$D$15,2,FALSE)*AN$20)</f>
        <v>0</v>
      </c>
      <c r="AP51" s="763">
        <f xml:space="preserve">
IF(
SUM(SUMIF(防護具!$Y$13:$Y$29,AP$17&amp;$C49,防護具!$Q$13:$Q$29),AO51)-VLOOKUP($C49,$C$3:$D$15,2,FALSE)*AO$20&lt;0,0,
SUM(SUMIF(防護具!$Y$13:$Y$29,AP$17&amp;$C49,防護具!$Q$13:$Q$29),AO51)-VLOOKUP($C49,$C$3:$D$15,2,FALSE)*AO$20)</f>
        <v>0</v>
      </c>
      <c r="AQ51" s="763">
        <f xml:space="preserve">
IF(
SUM(SUMIF(防護具!$Y$13:$Y$29,AQ$17&amp;$C49,防護具!$Q$13:$Q$29),AP51)-VLOOKUP($C49,$C$3:$D$15,2,FALSE)*AP$20&lt;0,0,
SUM(SUMIF(防護具!$Y$13:$Y$29,AQ$17&amp;$C49,防護具!$Q$13:$Q$29),AP51)-VLOOKUP($C49,$C$3:$D$15,2,FALSE)*AP$20)</f>
        <v>0</v>
      </c>
      <c r="AR51" s="763">
        <f xml:space="preserve">
IF(
SUM(SUMIF(防護具!$Y$13:$Y$29,AR$17&amp;$C49,防護具!$Q$13:$Q$29),AQ51)-VLOOKUP($C49,$C$3:$D$15,2,FALSE)*AQ$20&lt;0,0,
SUM(SUMIF(防護具!$Y$13:$Y$29,AR$17&amp;$C49,防護具!$Q$13:$Q$29),AQ51)-VLOOKUP($C49,$C$3:$D$15,2,FALSE)*AQ$20)</f>
        <v>0</v>
      </c>
      <c r="AS51" s="763">
        <f xml:space="preserve">
IF(
SUM(SUMIF(防護具!$Y$13:$Y$29,AS$17&amp;$C49,防護具!$Q$13:$Q$29),AR51)-VLOOKUP($C49,$C$3:$D$15,2,FALSE)*AR$20&lt;0,0,
SUM(SUMIF(防護具!$Y$13:$Y$29,AS$17&amp;$C49,防護具!$Q$13:$Q$29),AR51)-VLOOKUP($C49,$C$3:$D$15,2,FALSE)*AR$20)</f>
        <v>0</v>
      </c>
      <c r="AT51" s="763">
        <f xml:space="preserve">
IF(
SUM(SUMIF(防護具!$Y$13:$Y$29,AT$17&amp;$C49,防護具!$Q$13:$Q$29),AS51)-VLOOKUP($C49,$C$3:$D$15,2,FALSE)*AS$20&lt;0,0,
SUM(SUMIF(防護具!$Y$13:$Y$29,AT$17&amp;$C49,防護具!$Q$13:$Q$29),AS51)-VLOOKUP($C49,$C$3:$D$15,2,FALSE)*AS$20)</f>
        <v>0</v>
      </c>
      <c r="AU51" s="763">
        <f xml:space="preserve">
IF(
SUM(SUMIF(防護具!$Y$13:$Y$29,AU$17&amp;$C49,防護具!$Q$13:$Q$29),AT51)-VLOOKUP($C49,$C$3:$D$15,2,FALSE)*AT$20&lt;0,0,
SUM(SUMIF(防護具!$Y$13:$Y$29,AU$17&amp;$C49,防護具!$Q$13:$Q$29),AT51)-VLOOKUP($C49,$C$3:$D$15,2,FALSE)*AT$20)</f>
        <v>0</v>
      </c>
      <c r="AV51" s="763">
        <f xml:space="preserve">
IF(
SUM(SUMIF(防護具!$Y$13:$Y$29,AV$17&amp;$C49,防護具!$Q$13:$Q$29),AU51)-VLOOKUP($C49,$C$3:$D$15,2,FALSE)*AU$20&lt;0,0,
SUM(SUMIF(防護具!$Y$13:$Y$29,AV$17&amp;$C49,防護具!$Q$13:$Q$29),AU51)-VLOOKUP($C49,$C$3:$D$15,2,FALSE)*AU$20)</f>
        <v>0</v>
      </c>
      <c r="AW51" s="763">
        <f xml:space="preserve">
IF(
SUM(SUMIF(防護具!$Y$13:$Y$29,AW$17&amp;$C49,防護具!$Q$13:$Q$29),AV51)-VLOOKUP($C49,$C$3:$D$15,2,FALSE)*AV$20&lt;0,0,
SUM(SUMIF(防護具!$Y$13:$Y$29,AW$17&amp;$C49,防護具!$Q$13:$Q$29),AV51)-VLOOKUP($C49,$C$3:$D$15,2,FALSE)*AV$20)</f>
        <v>0</v>
      </c>
      <c r="AX51" s="763">
        <f xml:space="preserve">
IF(
SUM(SUMIF(防護具!$Y$13:$Y$29,AX$17&amp;$C49,防護具!$Q$13:$Q$29),AW51)-VLOOKUP($C49,$C$3:$D$15,2,FALSE)*AW$20&lt;0,0,
SUM(SUMIF(防護具!$Y$13:$Y$29,AX$17&amp;$C49,防護具!$Q$13:$Q$29),AW51)-VLOOKUP($C49,$C$3:$D$15,2,FALSE)*AW$20)</f>
        <v>0</v>
      </c>
      <c r="AY51" s="763">
        <f xml:space="preserve">
IF(
SUM(SUMIF(防護具!$Y$13:$Y$29,AY$17&amp;$C49,防護具!$Q$13:$Q$29),AX51)-VLOOKUP($C49,$C$3:$D$15,2,FALSE)*AX$20&lt;0,0,
SUM(SUMIF(防護具!$Y$13:$Y$29,AY$17&amp;$C49,防護具!$Q$13:$Q$29),AX51)-VLOOKUP($C49,$C$3:$D$15,2,FALSE)*AX$20)</f>
        <v>0</v>
      </c>
      <c r="AZ51" s="763">
        <f xml:space="preserve">
IF(
SUM(SUMIF(防護具!$Y$13:$Y$29,AZ$17&amp;$C49,防護具!$Q$13:$Q$29),AY51)-VLOOKUP($C49,$C$3:$D$15,2,FALSE)*AY$20&lt;0,0,
SUM(SUMIF(防護具!$Y$13:$Y$29,AZ$17&amp;$C49,防護具!$Q$13:$Q$29),AY51)-VLOOKUP($C49,$C$3:$D$15,2,FALSE)*AY$20)</f>
        <v>0</v>
      </c>
      <c r="BA51" s="763">
        <f xml:space="preserve">
IF(
SUM(SUMIF(防護具!$Y$13:$Y$29,BA$17&amp;$C49,防護具!$Q$13:$Q$29),AZ51)-VLOOKUP($C49,$C$3:$D$15,2,FALSE)*AZ$20&lt;0,0,
SUM(SUMIF(防護具!$Y$13:$Y$29,BA$17&amp;$C49,防護具!$Q$13:$Q$29),AZ51)-VLOOKUP($C49,$C$3:$D$15,2,FALSE)*AZ$20)</f>
        <v>0</v>
      </c>
      <c r="BB51" s="763">
        <f xml:space="preserve">
IF(
SUM(SUMIF(防護具!$Y$13:$Y$29,BB$17&amp;$C49,防護具!$Q$13:$Q$29),BA51)-VLOOKUP($C49,$C$3:$D$15,2,FALSE)*BA$20&lt;0,0,
SUM(SUMIF(防護具!$Y$13:$Y$29,BB$17&amp;$C49,防護具!$Q$13:$Q$29),BA51)-VLOOKUP($C49,$C$3:$D$15,2,FALSE)*BA$20)</f>
        <v>0</v>
      </c>
      <c r="BC51" s="763">
        <f xml:space="preserve">
IF(
SUM(SUMIF(防護具!$Y$13:$Y$29,BC$17&amp;$C49,防護具!$Q$13:$Q$29),BB51)-VLOOKUP($C49,$C$3:$D$15,2,FALSE)*BB$20&lt;0,0,
SUM(SUMIF(防護具!$Y$13:$Y$29,BC$17&amp;$C49,防護具!$Q$13:$Q$29),BB51)-VLOOKUP($C49,$C$3:$D$15,2,FALSE)*BB$20)</f>
        <v>0</v>
      </c>
      <c r="BD51" s="763">
        <f xml:space="preserve">
IF(
SUM(SUMIF(防護具!$Y$13:$Y$29,BD$17&amp;$C49,防護具!$Q$13:$Q$29),BC51)-VLOOKUP($C49,$C$3:$D$15,2,FALSE)*BC$20&lt;0,0,
SUM(SUMIF(防護具!$Y$13:$Y$29,BD$17&amp;$C49,防護具!$Q$13:$Q$29),BC51)-VLOOKUP($C49,$C$3:$D$15,2,FALSE)*BC$20)</f>
        <v>0</v>
      </c>
      <c r="BE51" s="763">
        <f xml:space="preserve">
IF(
SUM(SUMIF(防護具!$Y$13:$Y$29,BE$17&amp;$C49,防護具!$Q$13:$Q$29),BD51)-VLOOKUP($C49,$C$3:$D$15,2,FALSE)*BD$20&lt;0,0,
SUM(SUMIF(防護具!$Y$13:$Y$29,BE$17&amp;$C49,防護具!$Q$13:$Q$29),BD51)-VLOOKUP($C49,$C$3:$D$15,2,FALSE)*BD$20)</f>
        <v>0</v>
      </c>
      <c r="BF51" s="763">
        <f xml:space="preserve">
IF(
SUM(SUMIF(防護具!$Y$13:$Y$29,BF$17&amp;$C49,防護具!$Q$13:$Q$29),BE51)-VLOOKUP($C49,$C$3:$D$15,2,FALSE)*BE$20&lt;0,0,
SUM(SUMIF(防護具!$Y$13:$Y$29,BF$17&amp;$C49,防護具!$Q$13:$Q$29),BE51)-VLOOKUP($C49,$C$3:$D$15,2,FALSE)*BE$20)</f>
        <v>0</v>
      </c>
      <c r="BG51" s="763">
        <f xml:space="preserve">
IF(
SUM(SUMIF(防護具!$Y$13:$Y$29,BG$17&amp;$C49,防護具!$Q$13:$Q$29),BF51)-VLOOKUP($C49,$C$3:$D$15,2,FALSE)*BF$20&lt;0,0,
SUM(SUMIF(防護具!$Y$13:$Y$29,BG$17&amp;$C49,防護具!$Q$13:$Q$29),BF51)-VLOOKUP($C49,$C$3:$D$15,2,FALSE)*BF$20)</f>
        <v>0</v>
      </c>
      <c r="BH51" s="763">
        <f xml:space="preserve">
IF(
SUM(SUMIF(防護具!$Y$13:$Y$29,BH$17&amp;$C49,防護具!$Q$13:$Q$29),BG51)-VLOOKUP($C49,$C$3:$D$15,2,FALSE)*BG$20&lt;0,0,
SUM(SUMIF(防護具!$Y$13:$Y$29,BH$17&amp;$C49,防護具!$Q$13:$Q$29),BG51)-VLOOKUP($C49,$C$3:$D$15,2,FALSE)*BG$20)</f>
        <v>0</v>
      </c>
      <c r="BI51" s="763">
        <f xml:space="preserve">
IF(
SUM(SUMIF(防護具!$Y$13:$Y$29,BI$17&amp;$C49,防護具!$Q$13:$Q$29),BH51)-VLOOKUP($C49,$C$3:$D$15,2,FALSE)*BH$20&lt;0,0,
SUM(SUMIF(防護具!$Y$13:$Y$29,BI$17&amp;$C49,防護具!$Q$13:$Q$29),BH51)-VLOOKUP($C49,$C$3:$D$15,2,FALSE)*BH$20)</f>
        <v>0</v>
      </c>
      <c r="BJ51" s="763">
        <f xml:space="preserve">
IF(
SUM(SUMIF(防護具!$Y$13:$Y$29,BJ$17&amp;$C49,防護具!$Q$13:$Q$29),BI51)-VLOOKUP($C49,$C$3:$D$15,2,FALSE)*BI$20&lt;0,0,
SUM(SUMIF(防護具!$Y$13:$Y$29,BJ$17&amp;$C49,防護具!$Q$13:$Q$29),BI51)-VLOOKUP($C49,$C$3:$D$15,2,FALSE)*BI$20)</f>
        <v>0</v>
      </c>
      <c r="BK51" s="763">
        <f xml:space="preserve">
IF(
SUM(SUMIF(防護具!$Y$13:$Y$29,BK$17&amp;$C49,防護具!$Q$13:$Q$29),BJ51)-VLOOKUP($C49,$C$3:$D$15,2,FALSE)*BJ$20&lt;0,0,
SUM(SUMIF(防護具!$Y$13:$Y$29,BK$17&amp;$C49,防護具!$Q$13:$Q$29),BJ51)-VLOOKUP($C49,$C$3:$D$15,2,FALSE)*BJ$20)</f>
        <v>0</v>
      </c>
      <c r="BL51" s="763">
        <f xml:space="preserve">
IF(
SUM(SUMIF(防護具!$Y$13:$Y$29,BL$17&amp;$C49,防護具!$Q$13:$Q$29),BK51)-VLOOKUP($C49,$C$3:$D$15,2,FALSE)*BK$20&lt;0,0,
SUM(SUMIF(防護具!$Y$13:$Y$29,BL$17&amp;$C49,防護具!$Q$13:$Q$29),BK51)-VLOOKUP($C49,$C$3:$D$15,2,FALSE)*BK$20)</f>
        <v>0</v>
      </c>
      <c r="BM51" s="763">
        <f xml:space="preserve">
IF(
SUM(SUMIF(防護具!$Y$13:$Y$29,BM$17&amp;$C49,防護具!$Q$13:$Q$29),BL51)-VLOOKUP($C49,$C$3:$D$15,2,FALSE)*BL$20&lt;0,0,
SUM(SUMIF(防護具!$Y$13:$Y$29,BM$17&amp;$C49,防護具!$Q$13:$Q$29),BL51)-VLOOKUP($C49,$C$3:$D$15,2,FALSE)*BL$20)</f>
        <v>0</v>
      </c>
      <c r="BN51" s="763">
        <f xml:space="preserve">
IF(
SUM(SUMIF(防護具!$Y$13:$Y$29,BN$17&amp;$C49,防護具!$Q$13:$Q$29),BM51)-VLOOKUP($C49,$C$3:$D$15,2,FALSE)*BM$20&lt;0,0,
SUM(SUMIF(防護具!$Y$13:$Y$29,BN$17&amp;$C49,防護具!$Q$13:$Q$29),BM51)-VLOOKUP($C49,$C$3:$D$15,2,FALSE)*BM$20)</f>
        <v>0</v>
      </c>
      <c r="BO51" s="763">
        <f xml:space="preserve">
IF(
SUM(SUMIF(防護具!$Y$13:$Y$29,BO$17&amp;$C49,防護具!$Q$13:$Q$29),BN51)-VLOOKUP($C49,$C$3:$D$15,2,FALSE)*BN$20&lt;0,0,
SUM(SUMIF(防護具!$Y$13:$Y$29,BO$17&amp;$C49,防護具!$Q$13:$Q$29),BN51)-VLOOKUP($C49,$C$3:$D$15,2,FALSE)*BN$20)</f>
        <v>0</v>
      </c>
      <c r="BP51" s="763">
        <f xml:space="preserve">
IF(
SUM(SUMIF(防護具!$Y$13:$Y$29,BP$17&amp;$C49,防護具!$Q$13:$Q$29),BO51)-VLOOKUP($C49,$C$3:$D$15,2,FALSE)*BO$20&lt;0,0,
SUM(SUMIF(防護具!$Y$13:$Y$29,BP$17&amp;$C49,防護具!$Q$13:$Q$29),BO51)-VLOOKUP($C49,$C$3:$D$15,2,FALSE)*BO$20)</f>
        <v>0</v>
      </c>
      <c r="BQ51" s="763">
        <f xml:space="preserve">
IF(
SUM(SUMIF(防護具!$Y$13:$Y$29,BQ$17&amp;$C49,防護具!$Q$13:$Q$29),BP51)-VLOOKUP($C49,$C$3:$D$15,2,FALSE)*BP$20&lt;0,0,
SUM(SUMIF(防護具!$Y$13:$Y$29,BQ$17&amp;$C49,防護具!$Q$13:$Q$29),BP51)-VLOOKUP($C49,$C$3:$D$15,2,FALSE)*BP$20)</f>
        <v>0</v>
      </c>
      <c r="BR51" s="763">
        <f xml:space="preserve">
IF(
SUM(SUMIF(防護具!$Y$13:$Y$29,BR$17&amp;$C49,防護具!$Q$13:$Q$29),BQ51)-VLOOKUP($C49,$C$3:$D$15,2,FALSE)*BQ$20&lt;0,0,
SUM(SUMIF(防護具!$Y$13:$Y$29,BR$17&amp;$C49,防護具!$Q$13:$Q$29),BQ51)-VLOOKUP($C49,$C$3:$D$15,2,FALSE)*BQ$20)</f>
        <v>0</v>
      </c>
      <c r="BS51" s="763">
        <f xml:space="preserve">
IF(
SUM(SUMIF(防護具!$Y$13:$Y$29,BS$17&amp;$C49,防護具!$Q$13:$Q$29),BR51)-VLOOKUP($C49,$C$3:$D$15,2,FALSE)*BR$20&lt;0,0,
SUM(SUMIF(防護具!$Y$13:$Y$29,BS$17&amp;$C49,防護具!$Q$13:$Q$29),BR51)-VLOOKUP($C49,$C$3:$D$15,2,FALSE)*BR$20)</f>
        <v>0</v>
      </c>
      <c r="BT51" s="763">
        <f xml:space="preserve">
IF(
SUM(SUMIF(防護具!$Y$13:$Y$29,BT$17&amp;$C49,防護具!$Q$13:$Q$29),BS51)-VLOOKUP($C49,$C$3:$D$15,2,FALSE)*BS$20&lt;0,0,
SUM(SUMIF(防護具!$Y$13:$Y$29,BT$17&amp;$C49,防護具!$Q$13:$Q$29),BS51)-VLOOKUP($C49,$C$3:$D$15,2,FALSE)*BS$20)</f>
        <v>0</v>
      </c>
      <c r="BU51" s="763">
        <f xml:space="preserve">
IF(
SUM(SUMIF(防護具!$Y$13:$Y$29,BU$17&amp;$C49,防護具!$Q$13:$Q$29),BT51)-VLOOKUP($C49,$C$3:$D$15,2,FALSE)*BT$20&lt;0,0,
SUM(SUMIF(防護具!$Y$13:$Y$29,BU$17&amp;$C49,防護具!$Q$13:$Q$29),BT51)-VLOOKUP($C49,$C$3:$D$15,2,FALSE)*BT$20)</f>
        <v>0</v>
      </c>
      <c r="BV51" s="763">
        <f xml:space="preserve">
IF(
SUM(SUMIF(防護具!$Y$13:$Y$29,BV$17&amp;$C49,防護具!$Q$13:$Q$29),BU51)-VLOOKUP($C49,$C$3:$D$15,2,FALSE)*BU$20&lt;0,0,
SUM(SUMIF(防護具!$Y$13:$Y$29,BV$17&amp;$C49,防護具!$Q$13:$Q$29),BU51)-VLOOKUP($C49,$C$3:$D$15,2,FALSE)*BU$20)</f>
        <v>0</v>
      </c>
      <c r="BW51" s="763">
        <f xml:space="preserve">
IF(
SUM(SUMIF(防護具!$Y$13:$Y$29,BW$17&amp;$C49,防護具!$Q$13:$Q$29),BV51)-VLOOKUP($C49,$C$3:$D$15,2,FALSE)*BV$20&lt;0,0,
SUM(SUMIF(防護具!$Y$13:$Y$29,BW$17&amp;$C49,防護具!$Q$13:$Q$29),BV51)-VLOOKUP($C49,$C$3:$D$15,2,FALSE)*BV$20)</f>
        <v>0</v>
      </c>
      <c r="BX51" s="763">
        <f xml:space="preserve">
IF(
SUM(SUMIF(防護具!$Y$13:$Y$29,BX$17&amp;$C49,防護具!$Q$13:$Q$29),BW51)-VLOOKUP($C49,$C$3:$D$15,2,FALSE)*BW$20&lt;0,0,
SUM(SUMIF(防護具!$Y$13:$Y$29,BX$17&amp;$C49,防護具!$Q$13:$Q$29),BW51)-VLOOKUP($C49,$C$3:$D$15,2,FALSE)*BW$20)</f>
        <v>0</v>
      </c>
      <c r="BY51" s="763">
        <f xml:space="preserve">
IF(
SUM(SUMIF(防護具!$Y$13:$Y$29,BY$17&amp;$C49,防護具!$Q$13:$Q$29),BX51)-VLOOKUP($C49,$C$3:$D$15,2,FALSE)*BX$20&lt;0,0,
SUM(SUMIF(防護具!$Y$13:$Y$29,BY$17&amp;$C49,防護具!$Q$13:$Q$29),BX51)-VLOOKUP($C49,$C$3:$D$15,2,FALSE)*BX$20)</f>
        <v>0</v>
      </c>
      <c r="BZ51" s="763">
        <f xml:space="preserve">
IF(
SUM(SUMIF(防護具!$Y$13:$Y$29,BZ$17&amp;$C49,防護具!$Q$13:$Q$29),BY51)-VLOOKUP($C49,$C$3:$D$15,2,FALSE)*BY$20&lt;0,0,
SUM(SUMIF(防護具!$Y$13:$Y$29,BZ$17&amp;$C49,防護具!$Q$13:$Q$29),BY51)-VLOOKUP($C49,$C$3:$D$15,2,FALSE)*BY$20)</f>
        <v>0</v>
      </c>
      <c r="CA51" s="763">
        <f xml:space="preserve">
IF(
SUM(SUMIF(防護具!$Y$13:$Y$29,CA$17&amp;$C49,防護具!$Q$13:$Q$29),BZ51)-VLOOKUP($C49,$C$3:$D$15,2,FALSE)*BZ$20&lt;0,0,
SUM(SUMIF(防護具!$Y$13:$Y$29,CA$17&amp;$C49,防護具!$Q$13:$Q$29),BZ51)-VLOOKUP($C49,$C$3:$D$15,2,FALSE)*BZ$20)</f>
        <v>0</v>
      </c>
      <c r="CB51" s="763">
        <f xml:space="preserve">
IF(
SUM(SUMIF(防護具!$Y$13:$Y$29,CB$17&amp;$C49,防護具!$Q$13:$Q$29),CA51)-VLOOKUP($C49,$C$3:$D$15,2,FALSE)*CA$20&lt;0,0,
SUM(SUMIF(防護具!$Y$13:$Y$29,CB$17&amp;$C49,防護具!$Q$13:$Q$29),CA51)-VLOOKUP($C49,$C$3:$D$15,2,FALSE)*CA$20)</f>
        <v>0</v>
      </c>
      <c r="CC51" s="763">
        <f xml:space="preserve">
IF(
SUM(SUMIF(防護具!$Y$13:$Y$29,CC$17&amp;$C49,防護具!$Q$13:$Q$29),CB51)-VLOOKUP($C49,$C$3:$D$15,2,FALSE)*CB$20&lt;0,0,
SUM(SUMIF(防護具!$Y$13:$Y$29,CC$17&amp;$C49,防護具!$Q$13:$Q$29),CB51)-VLOOKUP($C49,$C$3:$D$15,2,FALSE)*CB$20)</f>
        <v>0</v>
      </c>
      <c r="CD51" s="763">
        <f xml:space="preserve">
IF(
SUM(SUMIF(防護具!$Y$13:$Y$29,CD$17&amp;$C49,防護具!$Q$13:$Q$29),CC51)-VLOOKUP($C49,$C$3:$D$15,2,FALSE)*CC$20&lt;0,0,
SUM(SUMIF(防護具!$Y$13:$Y$29,CD$17&amp;$C49,防護具!$Q$13:$Q$29),CC51)-VLOOKUP($C49,$C$3:$D$15,2,FALSE)*CC$20)</f>
        <v>0</v>
      </c>
      <c r="CE51" s="763">
        <f xml:space="preserve">
IF(
SUM(SUMIF(防護具!$Y$13:$Y$29,CE$17&amp;$C49,防護具!$Q$13:$Q$29),CD51)-VLOOKUP($C49,$C$3:$D$15,2,FALSE)*CD$20&lt;0,0,
SUM(SUMIF(防護具!$Y$13:$Y$29,CE$17&amp;$C49,防護具!$Q$13:$Q$29),CD51)-VLOOKUP($C49,$C$3:$D$15,2,FALSE)*CD$20)</f>
        <v>0</v>
      </c>
      <c r="CF51" s="763">
        <f xml:space="preserve">
IF(
SUM(SUMIF(防護具!$Y$13:$Y$29,CF$17&amp;$C49,防護具!$Q$13:$Q$29),CE51)-VLOOKUP($C49,$C$3:$D$15,2,FALSE)*CE$20&lt;0,0,
SUM(SUMIF(防護具!$Y$13:$Y$29,CF$17&amp;$C49,防護具!$Q$13:$Q$29),CE51)-VLOOKUP($C49,$C$3:$D$15,2,FALSE)*CE$20)</f>
        <v>0</v>
      </c>
      <c r="CG51" s="763">
        <f xml:space="preserve">
IF(
SUM(SUMIF(防護具!$Y$13:$Y$29,CG$17&amp;$C49,防護具!$Q$13:$Q$29),CF51)-VLOOKUP($C49,$C$3:$D$15,2,FALSE)*CF$20&lt;0,0,
SUM(SUMIF(防護具!$Y$13:$Y$29,CG$17&amp;$C49,防護具!$Q$13:$Q$29),CF51)-VLOOKUP($C49,$C$3:$D$15,2,FALSE)*CF$20)</f>
        <v>0</v>
      </c>
      <c r="CH51" s="763">
        <f xml:space="preserve">
IF(
SUM(SUMIF(防護具!$Y$13:$Y$29,CH$17&amp;$C49,防護具!$Q$13:$Q$29),CG51)-VLOOKUP($C49,$C$3:$D$15,2,FALSE)*CG$20&lt;0,0,
SUM(SUMIF(防護具!$Y$13:$Y$29,CH$17&amp;$C49,防護具!$Q$13:$Q$29),CG51)-VLOOKUP($C49,$C$3:$D$15,2,FALSE)*CG$20)</f>
        <v>0</v>
      </c>
      <c r="CI51" s="763">
        <f xml:space="preserve">
IF(
SUM(SUMIF(防護具!$Y$13:$Y$29,CI$17&amp;$C49,防護具!$Q$13:$Q$29),CH51)-VLOOKUP($C49,$C$3:$D$15,2,FALSE)*CH$20&lt;0,0,
SUM(SUMIF(防護具!$Y$13:$Y$29,CI$17&amp;$C49,防護具!$Q$13:$Q$29),CH51)-VLOOKUP($C49,$C$3:$D$15,2,FALSE)*CH$20)</f>
        <v>0</v>
      </c>
      <c r="CJ51" s="763">
        <f xml:space="preserve">
IF(
SUM(SUMIF(防護具!$Y$13:$Y$29,CJ$17&amp;$C49,防護具!$Q$13:$Q$29),CI51)-VLOOKUP($C49,$C$3:$D$15,2,FALSE)*CI$20&lt;0,0,
SUM(SUMIF(防護具!$Y$13:$Y$29,CJ$17&amp;$C49,防護具!$Q$13:$Q$29),CI51)-VLOOKUP($C49,$C$3:$D$15,2,FALSE)*CI$20)</f>
        <v>0</v>
      </c>
      <c r="CK51" s="763">
        <f xml:space="preserve">
IF(
SUM(SUMIF(防護具!$Y$13:$Y$29,CK$17&amp;$C49,防護具!$Q$13:$Q$29),CJ51)-VLOOKUP($C49,$C$3:$D$15,2,FALSE)*CJ$20&lt;0,0,
SUM(SUMIF(防護具!$Y$13:$Y$29,CK$17&amp;$C49,防護具!$Q$13:$Q$29),CJ51)-VLOOKUP($C49,$C$3:$D$15,2,FALSE)*CJ$20)</f>
        <v>0</v>
      </c>
      <c r="CL51" s="763">
        <f xml:space="preserve">
IF(
SUM(SUMIF(防護具!$Y$13:$Y$29,CL$17&amp;$C49,防護具!$Q$13:$Q$29),CK51)-VLOOKUP($C49,$C$3:$D$15,2,FALSE)*CK$20&lt;0,0,
SUM(SUMIF(防護具!$Y$13:$Y$29,CL$17&amp;$C49,防護具!$Q$13:$Q$29),CK51)-VLOOKUP($C49,$C$3:$D$15,2,FALSE)*CK$20)</f>
        <v>0</v>
      </c>
      <c r="CM51" s="763">
        <f xml:space="preserve">
IF(
SUM(SUMIF(防護具!$Y$13:$Y$29,CM$17&amp;$C49,防護具!$Q$13:$Q$29),CL51)-VLOOKUP($C49,$C$3:$D$15,2,FALSE)*CL$20&lt;0,0,
SUM(SUMIF(防護具!$Y$13:$Y$29,CM$17&amp;$C49,防護具!$Q$13:$Q$29),CL51)-VLOOKUP($C49,$C$3:$D$15,2,FALSE)*CL$20)</f>
        <v>0</v>
      </c>
      <c r="CN51" s="763">
        <f xml:space="preserve">
IF(
SUM(SUMIF(防護具!$Y$13:$Y$29,CN$17&amp;$C49,防護具!$Q$13:$Q$29),CM51)-VLOOKUP($C49,$C$3:$D$15,2,FALSE)*CM$20&lt;0,0,
SUM(SUMIF(防護具!$Y$13:$Y$29,CN$17&amp;$C49,防護具!$Q$13:$Q$29),CM51)-VLOOKUP($C49,$C$3:$D$15,2,FALSE)*CM$20)</f>
        <v>0</v>
      </c>
      <c r="CO51" s="763">
        <f xml:space="preserve">
IF(
SUM(SUMIF(防護具!$Y$13:$Y$29,CO$17&amp;$C49,防護具!$Q$13:$Q$29),CN51)-VLOOKUP($C49,$C$3:$D$15,2,FALSE)*CN$20&lt;0,0,
SUM(SUMIF(防護具!$Y$13:$Y$29,CO$17&amp;$C49,防護具!$Q$13:$Q$29),CN51)-VLOOKUP($C49,$C$3:$D$15,2,FALSE)*CN$20)</f>
        <v>0</v>
      </c>
      <c r="CP51" s="763">
        <f xml:space="preserve">
IF(
SUM(SUMIF(防護具!$Y$13:$Y$29,CP$17&amp;$C49,防護具!$Q$13:$Q$29),CO51)-VLOOKUP($C49,$C$3:$D$15,2,FALSE)*CO$20&lt;0,0,
SUM(SUMIF(防護具!$Y$13:$Y$29,CP$17&amp;$C49,防護具!$Q$13:$Q$29),CO51)-VLOOKUP($C49,$C$3:$D$15,2,FALSE)*CO$20)</f>
        <v>0</v>
      </c>
      <c r="CQ51" s="763">
        <f xml:space="preserve">
IF(
SUM(SUMIF(防護具!$Y$13:$Y$29,CQ$17&amp;$C49,防護具!$Q$13:$Q$29),CP51)-VLOOKUP($C49,$C$3:$D$15,2,FALSE)*CP$20&lt;0,0,
SUM(SUMIF(防護具!$Y$13:$Y$29,CQ$17&amp;$C49,防護具!$Q$13:$Q$29),CP51)-VLOOKUP($C49,$C$3:$D$15,2,FALSE)*CP$20)</f>
        <v>0</v>
      </c>
      <c r="CR51" s="763">
        <f xml:space="preserve">
IF(
SUM(SUMIF(防護具!$Y$13:$Y$29,CR$17&amp;$C49,防護具!$Q$13:$Q$29),CQ51)-VLOOKUP($C49,$C$3:$D$15,2,FALSE)*CQ$20&lt;0,0,
SUM(SUMIF(防護具!$Y$13:$Y$29,CR$17&amp;$C49,防護具!$Q$13:$Q$29),CQ51)-VLOOKUP($C49,$C$3:$D$15,2,FALSE)*CQ$20)</f>
        <v>0</v>
      </c>
      <c r="CS51" s="763">
        <f xml:space="preserve">
IF(
SUM(SUMIF(防護具!$Y$13:$Y$29,CS$17&amp;$C49,防護具!$Q$13:$Q$29),CR51)-VLOOKUP($C49,$C$3:$D$15,2,FALSE)*CR$20&lt;0,0,
SUM(SUMIF(防護具!$Y$13:$Y$29,CS$17&amp;$C49,防護具!$Q$13:$Q$29),CR51)-VLOOKUP($C49,$C$3:$D$15,2,FALSE)*CR$20)</f>
        <v>0</v>
      </c>
      <c r="CT51" s="763">
        <f xml:space="preserve">
IF(
SUM(SUMIF(防護具!$Y$13:$Y$29,CT$17&amp;$C49,防護具!$Q$13:$Q$29),CS51)-VLOOKUP($C49,$C$3:$D$15,2,FALSE)*CS$20&lt;0,0,
SUM(SUMIF(防護具!$Y$13:$Y$29,CT$17&amp;$C49,防護具!$Q$13:$Q$29),CS51)-VLOOKUP($C49,$C$3:$D$15,2,FALSE)*CS$20)</f>
        <v>0</v>
      </c>
      <c r="CU51" s="763">
        <f xml:space="preserve">
IF(
SUM(SUMIF(防護具!$Y$13:$Y$29,CU$17&amp;$C49,防護具!$Q$13:$Q$29),CT51)-VLOOKUP($C49,$C$3:$D$15,2,FALSE)*CT$20&lt;0,0,
SUM(SUMIF(防護具!$Y$13:$Y$29,CU$17&amp;$C49,防護具!$Q$13:$Q$29),CT51)-VLOOKUP($C49,$C$3:$D$15,2,FALSE)*CT$20)</f>
        <v>0</v>
      </c>
      <c r="CV51" s="763">
        <f xml:space="preserve">
IF(
SUM(SUMIF(防護具!$Y$13:$Y$29,CV$17&amp;$C49,防護具!$Q$13:$Q$29),CU51)-VLOOKUP($C49,$C$3:$D$15,2,FALSE)*CU$20&lt;0,0,
SUM(SUMIF(防護具!$Y$13:$Y$29,CV$17&amp;$C49,防護具!$Q$13:$Q$29),CU51)-VLOOKUP($C49,$C$3:$D$15,2,FALSE)*CU$20)</f>
        <v>0</v>
      </c>
      <c r="CW51" s="763">
        <f xml:space="preserve">
IF(
SUM(SUMIF(防護具!$Y$13:$Y$29,CW$17&amp;$C49,防護具!$Q$13:$Q$29),CV51)-VLOOKUP($C49,$C$3:$D$15,2,FALSE)*CV$20&lt;0,0,
SUM(SUMIF(防護具!$Y$13:$Y$29,CW$17&amp;$C49,防護具!$Q$13:$Q$29),CV51)-VLOOKUP($C49,$C$3:$D$15,2,FALSE)*CV$20)</f>
        <v>0</v>
      </c>
      <c r="CX51" s="763">
        <f xml:space="preserve">
IF(
SUM(SUMIF(防護具!$Y$13:$Y$29,CX$17&amp;$C49,防護具!$Q$13:$Q$29),CW51)-VLOOKUP($C49,$C$3:$D$15,2,FALSE)*CW$20&lt;0,0,
SUM(SUMIF(防護具!$Y$13:$Y$29,CX$17&amp;$C49,防護具!$Q$13:$Q$29),CW51)-VLOOKUP($C49,$C$3:$D$15,2,FALSE)*CW$20)</f>
        <v>0</v>
      </c>
      <c r="CY51" s="763">
        <f xml:space="preserve">
IF(
SUM(SUMIF(防護具!$Y$13:$Y$29,CY$17&amp;$C49,防護具!$Q$13:$Q$29),CX51)-VLOOKUP($C49,$C$3:$D$15,2,FALSE)*CX$20&lt;0,0,
SUM(SUMIF(防護具!$Y$13:$Y$29,CY$17&amp;$C49,防護具!$Q$13:$Q$29),CX51)-VLOOKUP($C49,$C$3:$D$15,2,FALSE)*CX$20)</f>
        <v>0</v>
      </c>
      <c r="CZ51" s="763">
        <f xml:space="preserve">
IF(
SUM(SUMIF(防護具!$Y$13:$Y$29,CZ$17&amp;$C49,防護具!$Q$13:$Q$29),CY51)-VLOOKUP($C49,$C$3:$D$15,2,FALSE)*CY$20&lt;0,0,
SUM(SUMIF(防護具!$Y$13:$Y$29,CZ$17&amp;$C49,防護具!$Q$13:$Q$29),CY51)-VLOOKUP($C49,$C$3:$D$15,2,FALSE)*CY$20)</f>
        <v>0</v>
      </c>
      <c r="DA51" s="763">
        <f xml:space="preserve">
IF(
SUM(SUMIF(防護具!$Y$13:$Y$29,DA$17&amp;$C49,防護具!$Q$13:$Q$29),CZ51)-VLOOKUP($C49,$C$3:$D$15,2,FALSE)*CZ$20&lt;0,0,
SUM(SUMIF(防護具!$Y$13:$Y$29,DA$17&amp;$C49,防護具!$Q$13:$Q$29),CZ51)-VLOOKUP($C49,$C$3:$D$15,2,FALSE)*CZ$20)</f>
        <v>0</v>
      </c>
      <c r="DB51" s="763">
        <f xml:space="preserve">
IF(
SUM(SUMIF(防護具!$Y$13:$Y$29,DB$17&amp;$C49,防護具!$Q$13:$Q$29),DA51)-VLOOKUP($C49,$C$3:$D$15,2,FALSE)*DA$20&lt;0,0,
SUM(SUMIF(防護具!$Y$13:$Y$29,DB$17&amp;$C49,防護具!$Q$13:$Q$29),DA51)-VLOOKUP($C49,$C$3:$D$15,2,FALSE)*DA$20)</f>
        <v>0</v>
      </c>
      <c r="DC51" s="763">
        <f xml:space="preserve">
IF(
SUM(SUMIF(防護具!$Y$13:$Y$29,DC$17&amp;$C49,防護具!$Q$13:$Q$29),DB51)-VLOOKUP($C49,$C$3:$D$15,2,FALSE)*DB$20&lt;0,0,
SUM(SUMIF(防護具!$Y$13:$Y$29,DC$17&amp;$C49,防護具!$Q$13:$Q$29),DB51)-VLOOKUP($C49,$C$3:$D$15,2,FALSE)*DB$20)</f>
        <v>0</v>
      </c>
      <c r="DD51" s="763">
        <f xml:space="preserve">
IF(
SUM(SUMIF(防護具!$Y$13:$Y$29,DD$17&amp;$C49,防護具!$Q$13:$Q$29),DC51)-VLOOKUP($C49,$C$3:$D$15,2,FALSE)*DC$20&lt;0,0,
SUM(SUMIF(防護具!$Y$13:$Y$29,DD$17&amp;$C49,防護具!$Q$13:$Q$29),DC51)-VLOOKUP($C49,$C$3:$D$15,2,FALSE)*DC$20)</f>
        <v>0</v>
      </c>
      <c r="DE51" s="763">
        <f xml:space="preserve">
IF(
SUM(SUMIF(防護具!$Y$13:$Y$29,DE$17&amp;$C49,防護具!$Q$13:$Q$29),DD51)-VLOOKUP($C49,$C$3:$D$15,2,FALSE)*DD$20&lt;0,0,
SUM(SUMIF(防護具!$Y$13:$Y$29,DE$17&amp;$C49,防護具!$Q$13:$Q$29),DD51)-VLOOKUP($C49,$C$3:$D$15,2,FALSE)*DD$20)</f>
        <v>0</v>
      </c>
      <c r="DF51" s="763">
        <f xml:space="preserve">
IF(
SUM(SUMIF(防護具!$Y$13:$Y$29,DF$17&amp;$C49,防護具!$Q$13:$Q$29),DE51)-VLOOKUP($C49,$C$3:$D$15,2,FALSE)*DE$20&lt;0,0,
SUM(SUMIF(防護具!$Y$13:$Y$29,DF$17&amp;$C49,防護具!$Q$13:$Q$29),DE51)-VLOOKUP($C49,$C$3:$D$15,2,FALSE)*DE$20)</f>
        <v>0</v>
      </c>
      <c r="DG51" s="763">
        <f xml:space="preserve">
IF(
SUM(SUMIF(防護具!$Y$13:$Y$29,DG$17&amp;$C49,防護具!$Q$13:$Q$29),DF51)-VLOOKUP($C49,$C$3:$D$15,2,FALSE)*DF$20&lt;0,0,
SUM(SUMIF(防護具!$Y$13:$Y$29,DG$17&amp;$C49,防護具!$Q$13:$Q$29),DF51)-VLOOKUP($C49,$C$3:$D$15,2,FALSE)*DF$20)</f>
        <v>0</v>
      </c>
      <c r="DH51" s="763">
        <f xml:space="preserve">
IF(
SUM(SUMIF(防護具!$Y$13:$Y$29,DH$17&amp;$C49,防護具!$Q$13:$Q$29),DG51)-VLOOKUP($C49,$C$3:$D$15,2,FALSE)*DG$20&lt;0,0,
SUM(SUMIF(防護具!$Y$13:$Y$29,DH$17&amp;$C49,防護具!$Q$13:$Q$29),DG51)-VLOOKUP($C49,$C$3:$D$15,2,FALSE)*DG$20)</f>
        <v>0</v>
      </c>
      <c r="DI51" s="763">
        <f xml:space="preserve">
IF(
SUM(SUMIF(防護具!$Y$13:$Y$29,DI$17&amp;$C49,防護具!$Q$13:$Q$29),DH51)-VLOOKUP($C49,$C$3:$D$15,2,FALSE)*DH$20&lt;0,0,
SUM(SUMIF(防護具!$Y$13:$Y$29,DI$17&amp;$C49,防護具!$Q$13:$Q$29),DH51)-VLOOKUP($C49,$C$3:$D$15,2,FALSE)*DH$20)</f>
        <v>0</v>
      </c>
      <c r="DJ51" s="763">
        <f xml:space="preserve">
IF(
SUM(SUMIF(防護具!$Y$13:$Y$29,DJ$17&amp;$C49,防護具!$Q$13:$Q$29),DI51)-VLOOKUP($C49,$C$3:$D$15,2,FALSE)*DI$20&lt;0,0,
SUM(SUMIF(防護具!$Y$13:$Y$29,DJ$17&amp;$C49,防護具!$Q$13:$Q$29),DI51)-VLOOKUP($C49,$C$3:$D$15,2,FALSE)*DI$20)</f>
        <v>0</v>
      </c>
      <c r="DK51" s="763">
        <f xml:space="preserve">
IF(
SUM(SUMIF(防護具!$Y$13:$Y$29,DK$17&amp;$C49,防護具!$Q$13:$Q$29),DJ51)-VLOOKUP($C49,$C$3:$D$15,2,FALSE)*DJ$20&lt;0,0,
SUM(SUMIF(防護具!$Y$13:$Y$29,DK$17&amp;$C49,防護具!$Q$13:$Q$29),DJ51)-VLOOKUP($C49,$C$3:$D$15,2,FALSE)*DJ$20)</f>
        <v>0</v>
      </c>
      <c r="DL51" s="763">
        <f xml:space="preserve">
IF(
SUM(SUMIF(防護具!$Y$13:$Y$29,DL$17&amp;$C49,防護具!$Q$13:$Q$29),DK51)-VLOOKUP($C49,$C$3:$D$15,2,FALSE)*DK$20&lt;0,0,
SUM(SUMIF(防護具!$Y$13:$Y$29,DL$17&amp;$C49,防護具!$Q$13:$Q$29),DK51)-VLOOKUP($C49,$C$3:$D$15,2,FALSE)*DK$20)</f>
        <v>0</v>
      </c>
      <c r="DM51" s="763">
        <f xml:space="preserve">
IF(
SUM(SUMIF(防護具!$Y$13:$Y$29,DM$17&amp;$C49,防護具!$Q$13:$Q$29),DL51)-VLOOKUP($C49,$C$3:$D$15,2,FALSE)*DL$20&lt;0,0,
SUM(SUMIF(防護具!$Y$13:$Y$29,DM$17&amp;$C49,防護具!$Q$13:$Q$29),DL51)-VLOOKUP($C49,$C$3:$D$15,2,FALSE)*DL$20)</f>
        <v>0</v>
      </c>
      <c r="DN51" s="763">
        <f xml:space="preserve">
IF(
SUM(SUMIF(防護具!$Y$13:$Y$29,DN$17&amp;$C49,防護具!$Q$13:$Q$29),DM51)-VLOOKUP($C49,$C$3:$D$15,2,FALSE)*DM$20&lt;0,0,
SUM(SUMIF(防護具!$Y$13:$Y$29,DN$17&amp;$C49,防護具!$Q$13:$Q$29),DM51)-VLOOKUP($C49,$C$3:$D$15,2,FALSE)*DM$20)</f>
        <v>0</v>
      </c>
      <c r="DO51" s="763">
        <f xml:space="preserve">
IF(
SUM(SUMIF(防護具!$Y$13:$Y$29,DO$17&amp;$C49,防護具!$Q$13:$Q$29),DN51)-VLOOKUP($C49,$C$3:$D$15,2,FALSE)*DN$20&lt;0,0,
SUM(SUMIF(防護具!$Y$13:$Y$29,DO$17&amp;$C49,防護具!$Q$13:$Q$29),DN51)-VLOOKUP($C49,$C$3:$D$15,2,FALSE)*DN$20)</f>
        <v>0</v>
      </c>
      <c r="DP51" s="763">
        <f xml:space="preserve">
IF(
SUM(SUMIF(防護具!$Y$13:$Y$29,DP$17&amp;$C49,防護具!$Q$13:$Q$29),DO51)-VLOOKUP($C49,$C$3:$D$15,2,FALSE)*DO$20&lt;0,0,
SUM(SUMIF(防護具!$Y$13:$Y$29,DP$17&amp;$C49,防護具!$Q$13:$Q$29),DO51)-VLOOKUP($C49,$C$3:$D$15,2,FALSE)*DO$20)</f>
        <v>0</v>
      </c>
      <c r="DQ51" s="763">
        <f xml:space="preserve">
IF(
SUM(SUMIF(防護具!$Y$13:$Y$29,DQ$17&amp;$C49,防護具!$Q$13:$Q$29),DP51)-VLOOKUP($C49,$C$3:$D$15,2,FALSE)*DP$20&lt;0,0,
SUM(SUMIF(防護具!$Y$13:$Y$29,DQ$17&amp;$C49,防護具!$Q$13:$Q$29),DP51)-VLOOKUP($C49,$C$3:$D$15,2,FALSE)*DP$20)</f>
        <v>0</v>
      </c>
      <c r="DR51" s="763">
        <f xml:space="preserve">
IF(
SUM(SUMIF(防護具!$Y$13:$Y$29,DR$17&amp;$C49,防護具!$Q$13:$Q$29),DQ51)-VLOOKUP($C49,$C$3:$D$15,2,FALSE)*DQ$20&lt;0,0,
SUM(SUMIF(防護具!$Y$13:$Y$29,DR$17&amp;$C49,防護具!$Q$13:$Q$29),DQ51)-VLOOKUP($C49,$C$3:$D$15,2,FALSE)*DQ$20)</f>
        <v>0</v>
      </c>
      <c r="DS51" s="763">
        <f xml:space="preserve">
IF(
SUM(SUMIF(防護具!$Y$13:$Y$29,DS$17&amp;$C49,防護具!$Q$13:$Q$29),DR51)-VLOOKUP($C49,$C$3:$D$15,2,FALSE)*DR$20&lt;0,0,
SUM(SUMIF(防護具!$Y$13:$Y$29,DS$17&amp;$C49,防護具!$Q$13:$Q$29),DR51)-VLOOKUP($C49,$C$3:$D$15,2,FALSE)*DR$20)</f>
        <v>0</v>
      </c>
      <c r="DT51" s="763">
        <f xml:space="preserve">
IF(
SUM(SUMIF(防護具!$Y$13:$Y$29,DT$17&amp;$C49,防護具!$Q$13:$Q$29),DS51)-VLOOKUP($C49,$C$3:$D$15,2,FALSE)*DS$20&lt;0,0,
SUM(SUMIF(防護具!$Y$13:$Y$29,DT$17&amp;$C49,防護具!$Q$13:$Q$29),DS51)-VLOOKUP($C49,$C$3:$D$15,2,FALSE)*DS$20)</f>
        <v>0</v>
      </c>
      <c r="DU51" s="763">
        <f xml:space="preserve">
IF(
SUM(SUMIF(防護具!$Y$13:$Y$29,DU$17&amp;$C49,防護具!$Q$13:$Q$29),DT51)-VLOOKUP($C49,$C$3:$D$15,2,FALSE)*DT$20&lt;0,0,
SUM(SUMIF(防護具!$Y$13:$Y$29,DU$17&amp;$C49,防護具!$Q$13:$Q$29),DT51)-VLOOKUP($C49,$C$3:$D$15,2,FALSE)*DT$20)</f>
        <v>0</v>
      </c>
      <c r="DV51" s="763">
        <f xml:space="preserve">
IF(
SUM(SUMIF(防護具!$Y$13:$Y$29,DV$17&amp;$C49,防護具!$Q$13:$Q$29),DU51)-VLOOKUP($C49,$C$3:$D$15,2,FALSE)*DU$20&lt;0,0,
SUM(SUMIF(防護具!$Y$13:$Y$29,DV$17&amp;$C49,防護具!$Q$13:$Q$29),DU51)-VLOOKUP($C49,$C$3:$D$15,2,FALSE)*DU$20)</f>
        <v>0</v>
      </c>
      <c r="DW51" s="763">
        <f xml:space="preserve">
IF(
SUM(SUMIF(防護具!$Y$13:$Y$29,DW$17&amp;$C49,防護具!$Q$13:$Q$29),DV51)-VLOOKUP($C49,$C$3:$D$15,2,FALSE)*DV$20&lt;0,0,
SUM(SUMIF(防護具!$Y$13:$Y$29,DW$17&amp;$C49,防護具!$Q$13:$Q$29),DV51)-VLOOKUP($C49,$C$3:$D$15,2,FALSE)*DV$20)</f>
        <v>0</v>
      </c>
      <c r="DX51" s="763">
        <f xml:space="preserve">
IF(
SUM(SUMIF(防護具!$Y$13:$Y$29,DX$17&amp;$C49,防護具!$Q$13:$Q$29),DW51)-VLOOKUP($C49,$C$3:$D$15,2,FALSE)*DW$20&lt;0,0,
SUM(SUMIF(防護具!$Y$13:$Y$29,DX$17&amp;$C49,防護具!$Q$13:$Q$29),DW51)-VLOOKUP($C49,$C$3:$D$15,2,FALSE)*DW$20)</f>
        <v>0</v>
      </c>
      <c r="DY51" s="763">
        <f xml:space="preserve">
IF(
SUM(SUMIF(防護具!$Y$13:$Y$29,DY$17&amp;$C49,防護具!$Q$13:$Q$29),DX51)-VLOOKUP($C49,$C$3:$D$15,2,FALSE)*DX$20&lt;0,0,
SUM(SUMIF(防護具!$Y$13:$Y$29,DY$17&amp;$C49,防護具!$Q$13:$Q$29),DX51)-VLOOKUP($C49,$C$3:$D$15,2,FALSE)*DX$20)</f>
        <v>0</v>
      </c>
      <c r="DZ51" s="763">
        <f xml:space="preserve">
IF(
SUM(SUMIF(防護具!$Y$13:$Y$29,DZ$17&amp;$C49,防護具!$Q$13:$Q$29),DY51)-VLOOKUP($C49,$C$3:$D$15,2,FALSE)*DY$20&lt;0,0,
SUM(SUMIF(防護具!$Y$13:$Y$29,DZ$17&amp;$C49,防護具!$Q$13:$Q$29),DY51)-VLOOKUP($C49,$C$3:$D$15,2,FALSE)*DY$20)</f>
        <v>0</v>
      </c>
      <c r="EA51" s="763">
        <f xml:space="preserve">
IF(
SUM(SUMIF(防護具!$Y$13:$Y$29,EA$17&amp;$C49,防護具!$Q$13:$Q$29),DZ51)-VLOOKUP($C49,$C$3:$D$15,2,FALSE)*DZ$20&lt;0,0,
SUM(SUMIF(防護具!$Y$13:$Y$29,EA$17&amp;$C49,防護具!$Q$13:$Q$29),DZ51)-VLOOKUP($C49,$C$3:$D$15,2,FALSE)*DZ$20)</f>
        <v>0</v>
      </c>
      <c r="EB51" s="763">
        <f xml:space="preserve">
IF(
SUM(SUMIF(防護具!$Y$13:$Y$29,EB$17&amp;$C49,防護具!$Q$13:$Q$29),EA51)-VLOOKUP($C49,$C$3:$D$15,2,FALSE)*EA$20&lt;0,0,
SUM(SUMIF(防護具!$Y$13:$Y$29,EB$17&amp;$C49,防護具!$Q$13:$Q$29),EA51)-VLOOKUP($C49,$C$3:$D$15,2,FALSE)*EA$20)</f>
        <v>0</v>
      </c>
      <c r="EC51" s="763">
        <f xml:space="preserve">
IF(
SUM(SUMIF(防護具!$Y$13:$Y$29,EC$17&amp;$C49,防護具!$Q$13:$Q$29),EB51)-VLOOKUP($C49,$C$3:$D$15,2,FALSE)*EB$20&lt;0,0,
SUM(SUMIF(防護具!$Y$13:$Y$29,EC$17&amp;$C49,防護具!$Q$13:$Q$29),EB51)-VLOOKUP($C49,$C$3:$D$15,2,FALSE)*EB$20)</f>
        <v>0</v>
      </c>
      <c r="ED51" s="763">
        <f xml:space="preserve">
IF(
SUM(SUMIF(防護具!$Y$13:$Y$29,ED$17&amp;$C49,防護具!$Q$13:$Q$29),EC51)-VLOOKUP($C49,$C$3:$D$15,2,FALSE)*EC$20&lt;0,0,
SUM(SUMIF(防護具!$Y$13:$Y$29,ED$17&amp;$C49,防護具!$Q$13:$Q$29),EC51)-VLOOKUP($C49,$C$3:$D$15,2,FALSE)*EC$20)</f>
        <v>0</v>
      </c>
      <c r="EE51" s="763">
        <f xml:space="preserve">
IF(
SUM(SUMIF(防護具!$Y$13:$Y$29,EE$17&amp;$C49,防護具!$Q$13:$Q$29),ED51)-VLOOKUP($C49,$C$3:$D$15,2,FALSE)*ED$20&lt;0,0,
SUM(SUMIF(防護具!$Y$13:$Y$29,EE$17&amp;$C49,防護具!$Q$13:$Q$29),ED51)-VLOOKUP($C49,$C$3:$D$15,2,FALSE)*ED$20)</f>
        <v>0</v>
      </c>
      <c r="EF51" s="763">
        <f xml:space="preserve">
IF(
SUM(SUMIF(防護具!$Y$13:$Y$29,EF$17&amp;$C49,防護具!$Q$13:$Q$29),EE51)-VLOOKUP($C49,$C$3:$D$15,2,FALSE)*EE$20&lt;0,0,
SUM(SUMIF(防護具!$Y$13:$Y$29,EF$17&amp;$C49,防護具!$Q$13:$Q$29),EE51)-VLOOKUP($C49,$C$3:$D$15,2,FALSE)*EE$20)</f>
        <v>0</v>
      </c>
      <c r="EG51" s="763">
        <f xml:space="preserve">
IF(
SUM(SUMIF(防護具!$Y$13:$Y$29,EG$17&amp;$C49,防護具!$Q$13:$Q$29),EF51)-VLOOKUP($C49,$C$3:$D$15,2,FALSE)*EF$20&lt;0,0,
SUM(SUMIF(防護具!$Y$13:$Y$29,EG$17&amp;$C49,防護具!$Q$13:$Q$29),EF51)-VLOOKUP($C49,$C$3:$D$15,2,FALSE)*EF$20)</f>
        <v>0</v>
      </c>
      <c r="EH51" s="763">
        <f xml:space="preserve">
IF(
SUM(SUMIF(防護具!$Y$13:$Y$29,EH$17&amp;$C49,防護具!$Q$13:$Q$29),EG51)-VLOOKUP($C49,$C$3:$D$15,2,FALSE)*EG$20&lt;0,0,
SUM(SUMIF(防護具!$Y$13:$Y$29,EH$17&amp;$C49,防護具!$Q$13:$Q$29),EG51)-VLOOKUP($C49,$C$3:$D$15,2,FALSE)*EG$20)</f>
        <v>0</v>
      </c>
      <c r="EI51" s="763">
        <f xml:space="preserve">
IF(
SUM(SUMIF(防護具!$Y$13:$Y$29,EI$17&amp;$C49,防護具!$Q$13:$Q$29),EH51)-VLOOKUP($C49,$C$3:$D$15,2,FALSE)*EH$20&lt;0,0,
SUM(SUMIF(防護具!$Y$13:$Y$29,EI$17&amp;$C49,防護具!$Q$13:$Q$29),EH51)-VLOOKUP($C49,$C$3:$D$15,2,FALSE)*EH$20)</f>
        <v>0</v>
      </c>
      <c r="EJ51" s="763">
        <f xml:space="preserve">
IF(
SUM(SUMIF(防護具!$Y$13:$Y$29,EJ$17&amp;$C49,防護具!$Q$13:$Q$29),EI51)-VLOOKUP($C49,$C$3:$D$15,2,FALSE)*EI$20&lt;0,0,
SUM(SUMIF(防護具!$Y$13:$Y$29,EJ$17&amp;$C49,防護具!$Q$13:$Q$29),EI51)-VLOOKUP($C49,$C$3:$D$15,2,FALSE)*EI$20)</f>
        <v>0</v>
      </c>
      <c r="EK51" s="763">
        <f xml:space="preserve">
IF(
SUM(SUMIF(防護具!$Y$13:$Y$29,EK$17&amp;$C49,防護具!$Q$13:$Q$29),EJ51)-VLOOKUP($C49,$C$3:$D$15,2,FALSE)*EJ$20&lt;0,0,
SUM(SUMIF(防護具!$Y$13:$Y$29,EK$17&amp;$C49,防護具!$Q$13:$Q$29),EJ51)-VLOOKUP($C49,$C$3:$D$15,2,FALSE)*EJ$20)</f>
        <v>0</v>
      </c>
      <c r="EL51" s="763">
        <f xml:space="preserve">
IF(
SUM(SUMIF(防護具!$Y$13:$Y$29,EL$17&amp;$C49,防護具!$Q$13:$Q$29),EK51)-VLOOKUP($C49,$C$3:$D$15,2,FALSE)*EK$20&lt;0,0,
SUM(SUMIF(防護具!$Y$13:$Y$29,EL$17&amp;$C49,防護具!$Q$13:$Q$29),EK51)-VLOOKUP($C49,$C$3:$D$15,2,FALSE)*EK$20)</f>
        <v>0</v>
      </c>
      <c r="EM51" s="763">
        <f xml:space="preserve">
IF(
SUM(SUMIF(防護具!$Y$13:$Y$29,EM$17&amp;$C49,防護具!$Q$13:$Q$29),EL51)-VLOOKUP($C49,$C$3:$D$15,2,FALSE)*EL$20&lt;0,0,
SUM(SUMIF(防護具!$Y$13:$Y$29,EM$17&amp;$C49,防護具!$Q$13:$Q$29),EL51)-VLOOKUP($C49,$C$3:$D$15,2,FALSE)*EL$20)</f>
        <v>0</v>
      </c>
      <c r="EN51" s="763">
        <f xml:space="preserve">
IF(
SUM(SUMIF(防護具!$Y$13:$Y$29,EN$17&amp;$C49,防護具!$Q$13:$Q$29),EM51)-VLOOKUP($C49,$C$3:$D$15,2,FALSE)*EM$20&lt;0,0,
SUM(SUMIF(防護具!$Y$13:$Y$29,EN$17&amp;$C49,防護具!$Q$13:$Q$29),EM51)-VLOOKUP($C49,$C$3:$D$15,2,FALSE)*EM$20)</f>
        <v>0</v>
      </c>
      <c r="EO51" s="763">
        <f xml:space="preserve">
IF(
SUM(SUMIF(防護具!$Y$13:$Y$29,EO$17&amp;$C49,防護具!$Q$13:$Q$29),EN51)-VLOOKUP($C49,$C$3:$D$15,2,FALSE)*EN$20&lt;0,0,
SUM(SUMIF(防護具!$Y$13:$Y$29,EO$17&amp;$C49,防護具!$Q$13:$Q$29),EN51)-VLOOKUP($C49,$C$3:$D$15,2,FALSE)*EN$20)</f>
        <v>0</v>
      </c>
      <c r="EP51" s="763">
        <f xml:space="preserve">
IF(
SUM(SUMIF(防護具!$Y$13:$Y$29,EP$17&amp;$C49,防護具!$Q$13:$Q$29),EO51)-VLOOKUP($C49,$C$3:$D$15,2,FALSE)*EO$20&lt;0,0,
SUM(SUMIF(防護具!$Y$13:$Y$29,EP$17&amp;$C49,防護具!$Q$13:$Q$29),EO51)-VLOOKUP($C49,$C$3:$D$15,2,FALSE)*EO$20)</f>
        <v>0</v>
      </c>
      <c r="EQ51" s="763">
        <f xml:space="preserve">
IF(
SUM(SUMIF(防護具!$Y$13:$Y$29,EQ$17&amp;$C49,防護具!$Q$13:$Q$29),EP51)-VLOOKUP($C49,$C$3:$D$15,2,FALSE)*EP$20&lt;0,0,
SUM(SUMIF(防護具!$Y$13:$Y$29,EQ$17&amp;$C49,防護具!$Q$13:$Q$29),EP51)-VLOOKUP($C49,$C$3:$D$15,2,FALSE)*EP$20)</f>
        <v>0</v>
      </c>
      <c r="ER51" s="763">
        <f xml:space="preserve">
IF(
SUM(SUMIF(防護具!$Y$13:$Y$29,ER$17&amp;$C49,防護具!$Q$13:$Q$29),EQ51)-VLOOKUP($C49,$C$3:$D$15,2,FALSE)*EQ$20&lt;0,0,
SUM(SUMIF(防護具!$Y$13:$Y$29,ER$17&amp;$C49,防護具!$Q$13:$Q$29),EQ51)-VLOOKUP($C49,$C$3:$D$15,2,FALSE)*EQ$20)</f>
        <v>0</v>
      </c>
      <c r="ES51" s="763">
        <f xml:space="preserve">
IF(
SUM(SUMIF(防護具!$Y$13:$Y$29,ES$17&amp;$C49,防護具!$Q$13:$Q$29),ER51)-VLOOKUP($C49,$C$3:$D$15,2,FALSE)*ER$20&lt;0,0,
SUM(SUMIF(防護具!$Y$13:$Y$29,ES$17&amp;$C49,防護具!$Q$13:$Q$29),ER51)-VLOOKUP($C49,$C$3:$D$15,2,FALSE)*ER$20)</f>
        <v>0</v>
      </c>
      <c r="ET51" s="763">
        <f xml:space="preserve">
IF(
SUM(SUMIF(防護具!$Y$13:$Y$29,ET$17&amp;$C49,防護具!$Q$13:$Q$29),ES51)-VLOOKUP($C49,$C$3:$D$15,2,FALSE)*ES$20&lt;0,0,
SUM(SUMIF(防護具!$Y$13:$Y$29,ET$17&amp;$C49,防護具!$Q$13:$Q$29),ES51)-VLOOKUP($C49,$C$3:$D$15,2,FALSE)*ES$20)</f>
        <v>0</v>
      </c>
      <c r="EU51" s="763">
        <f xml:space="preserve">
IF(
SUM(SUMIF(防護具!$Y$13:$Y$29,EU$17&amp;$C49,防護具!$Q$13:$Q$29),ET51)-VLOOKUP($C49,$C$3:$D$15,2,FALSE)*ET$20&lt;0,0,
SUM(SUMIF(防護具!$Y$13:$Y$29,EU$17&amp;$C49,防護具!$Q$13:$Q$29),ET51)-VLOOKUP($C49,$C$3:$D$15,2,FALSE)*ET$20)</f>
        <v>0</v>
      </c>
      <c r="EV51" s="763">
        <f xml:space="preserve">
IF(
SUM(SUMIF(防護具!$Y$13:$Y$29,EV$17&amp;$C49,防護具!$Q$13:$Q$29),EU51)-VLOOKUP($C49,$C$3:$D$15,2,FALSE)*EU$20&lt;0,0,
SUM(SUMIF(防護具!$Y$13:$Y$29,EV$17&amp;$C49,防護具!$Q$13:$Q$29),EU51)-VLOOKUP($C49,$C$3:$D$15,2,FALSE)*EU$20)</f>
        <v>0</v>
      </c>
      <c r="EW51" s="763">
        <f xml:space="preserve">
IF(
SUM(SUMIF(防護具!$Y$13:$Y$29,EW$17&amp;$C49,防護具!$Q$13:$Q$29),EV51)-VLOOKUP($C49,$C$3:$D$15,2,FALSE)*EV$20&lt;0,0,
SUM(SUMIF(防護具!$Y$13:$Y$29,EW$17&amp;$C49,防護具!$Q$13:$Q$29),EV51)-VLOOKUP($C49,$C$3:$D$15,2,FALSE)*EV$20)</f>
        <v>0</v>
      </c>
      <c r="EX51" s="763">
        <f xml:space="preserve">
IF(
SUM(SUMIF(防護具!$Y$13:$Y$29,EX$17&amp;$C49,防護具!$Q$13:$Q$29),EW51)-VLOOKUP($C49,$C$3:$D$15,2,FALSE)*EW$20&lt;0,0,
SUM(SUMIF(防護具!$Y$13:$Y$29,EX$17&amp;$C49,防護具!$Q$13:$Q$29),EW51)-VLOOKUP($C49,$C$3:$D$15,2,FALSE)*EW$20)</f>
        <v>0</v>
      </c>
      <c r="EY51" s="763">
        <f xml:space="preserve">
IF(
SUM(SUMIF(防護具!$Y$13:$Y$29,EY$17&amp;$C49,防護具!$Q$13:$Q$29),EX51)-VLOOKUP($C49,$C$3:$D$15,2,FALSE)*EX$20&lt;0,0,
SUM(SUMIF(防護具!$Y$13:$Y$29,EY$17&amp;$C49,防護具!$Q$13:$Q$29),EX51)-VLOOKUP($C49,$C$3:$D$15,2,FALSE)*EX$20)</f>
        <v>0</v>
      </c>
      <c r="EZ51" s="763">
        <f xml:space="preserve">
IF(
SUM(SUMIF(防護具!$Y$13:$Y$29,EZ$17&amp;$C49,防護具!$Q$13:$Q$29),EY51)-VLOOKUP($C49,$C$3:$D$15,2,FALSE)*EY$20&lt;0,0,
SUM(SUMIF(防護具!$Y$13:$Y$29,EZ$17&amp;$C49,防護具!$Q$13:$Q$29),EY51)-VLOOKUP($C49,$C$3:$D$15,2,FALSE)*EY$20)</f>
        <v>0</v>
      </c>
      <c r="FA51" s="763">
        <f xml:space="preserve">
IF(
SUM(SUMIF(防護具!$Y$13:$Y$29,FA$17&amp;$C49,防護具!$Q$13:$Q$29),EZ51)-VLOOKUP($C49,$C$3:$D$15,2,FALSE)*EZ$20&lt;0,0,
SUM(SUMIF(防護具!$Y$13:$Y$29,FA$17&amp;$C49,防護具!$Q$13:$Q$29),EZ51)-VLOOKUP($C49,$C$3:$D$15,2,FALSE)*EZ$20)</f>
        <v>0</v>
      </c>
      <c r="FB51" s="763">
        <f xml:space="preserve">
IF(
SUM(SUMIF(防護具!$Y$13:$Y$29,FB$17&amp;$C49,防護具!$Q$13:$Q$29),FA51)-VLOOKUP($C49,$C$3:$D$15,2,FALSE)*FA$20&lt;0,0,
SUM(SUMIF(防護具!$Y$13:$Y$29,FB$17&amp;$C49,防護具!$Q$13:$Q$29),FA51)-VLOOKUP($C49,$C$3:$D$15,2,FALSE)*FA$20)</f>
        <v>0</v>
      </c>
      <c r="FC51" s="763">
        <f xml:space="preserve">
IF(
SUM(SUMIF(防護具!$Y$13:$Y$29,FC$17&amp;$C49,防護具!$Q$13:$Q$29),FB51)-VLOOKUP($C49,$C$3:$D$15,2,FALSE)*FB$20&lt;0,0,
SUM(SUMIF(防護具!$Y$13:$Y$29,FC$17&amp;$C49,防護具!$Q$13:$Q$29),FB51)-VLOOKUP($C49,$C$3:$D$15,2,FALSE)*FB$20)</f>
        <v>0</v>
      </c>
      <c r="FD51" s="763">
        <f xml:space="preserve">
IF(
SUM(SUMIF(防護具!$Y$13:$Y$29,FD$17&amp;$C49,防護具!$Q$13:$Q$29),FC51)-VLOOKUP($C49,$C$3:$D$15,2,FALSE)*FC$20&lt;0,0,
SUM(SUMIF(防護具!$Y$13:$Y$29,FD$17&amp;$C49,防護具!$Q$13:$Q$29),FC51)-VLOOKUP($C49,$C$3:$D$15,2,FALSE)*FC$20)</f>
        <v>0</v>
      </c>
      <c r="FE51" s="763">
        <f xml:space="preserve">
IF(
SUM(SUMIF(防護具!$Y$13:$Y$29,FE$17&amp;$C49,防護具!$Q$13:$Q$29),FD51)-VLOOKUP($C49,$C$3:$D$15,2,FALSE)*FD$20&lt;0,0,
SUM(SUMIF(防護具!$Y$13:$Y$29,FE$17&amp;$C49,防護具!$Q$13:$Q$29),FD51)-VLOOKUP($C49,$C$3:$D$15,2,FALSE)*FD$20)</f>
        <v>0</v>
      </c>
      <c r="FF51" s="763">
        <f xml:space="preserve">
IF(
SUM(SUMIF(防護具!$Y$13:$Y$29,FF$17&amp;$C49,防護具!$Q$13:$Q$29),FE51)-VLOOKUP($C49,$C$3:$D$15,2,FALSE)*FE$20&lt;0,0,
SUM(SUMIF(防護具!$Y$13:$Y$29,FF$17&amp;$C49,防護具!$Q$13:$Q$29),FE51)-VLOOKUP($C49,$C$3:$D$15,2,FALSE)*FE$20)</f>
        <v>0</v>
      </c>
      <c r="FG51" s="763">
        <f xml:space="preserve">
IF(
SUM(SUMIF(防護具!$Y$13:$Y$29,FG$17&amp;$C49,防護具!$Q$13:$Q$29),FF51)-VLOOKUP($C49,$C$3:$D$15,2,FALSE)*FF$20&lt;0,0,
SUM(SUMIF(防護具!$Y$13:$Y$29,FG$17&amp;$C49,防護具!$Q$13:$Q$29),FF51)-VLOOKUP($C49,$C$3:$D$15,2,FALSE)*FF$20)</f>
        <v>0</v>
      </c>
      <c r="FH51" s="763">
        <f xml:space="preserve">
IF(
SUM(SUMIF(防護具!$Y$13:$Y$29,FH$17&amp;$C49,防護具!$Q$13:$Q$29),FG51)-VLOOKUP($C49,$C$3:$D$15,2,FALSE)*FG$20&lt;0,0,
SUM(SUMIF(防護具!$Y$13:$Y$29,FH$17&amp;$C49,防護具!$Q$13:$Q$29),FG51)-VLOOKUP($C49,$C$3:$D$15,2,FALSE)*FG$20)</f>
        <v>0</v>
      </c>
      <c r="FI51" s="763">
        <f xml:space="preserve">
IF(
SUM(SUMIF(防護具!$Y$13:$Y$29,FI$17&amp;$C49,防護具!$Q$13:$Q$29),FH51)-VLOOKUP($C49,$C$3:$D$15,2,FALSE)*FH$20&lt;0,0,
SUM(SUMIF(防護具!$Y$13:$Y$29,FI$17&amp;$C49,防護具!$Q$13:$Q$29),FH51)-VLOOKUP($C49,$C$3:$D$15,2,FALSE)*FH$20)</f>
        <v>0</v>
      </c>
      <c r="FJ51" s="763">
        <f xml:space="preserve">
IF(
SUM(SUMIF(防護具!$Y$13:$Y$29,FJ$17&amp;$C49,防護具!$Q$13:$Q$29),FI51)-VLOOKUP($C49,$C$3:$D$15,2,FALSE)*FI$20&lt;0,0,
SUM(SUMIF(防護具!$Y$13:$Y$29,FJ$17&amp;$C49,防護具!$Q$13:$Q$29),FI51)-VLOOKUP($C49,$C$3:$D$15,2,FALSE)*FI$20)</f>
        <v>0</v>
      </c>
      <c r="FK51" s="763">
        <f xml:space="preserve">
IF(
SUM(SUMIF(防護具!$Y$13:$Y$29,FK$17&amp;$C49,防護具!$Q$13:$Q$29),FJ51)-VLOOKUP($C49,$C$3:$D$15,2,FALSE)*FJ$20&lt;0,0,
SUM(SUMIF(防護具!$Y$13:$Y$29,FK$17&amp;$C49,防護具!$Q$13:$Q$29),FJ51)-VLOOKUP($C49,$C$3:$D$15,2,FALSE)*FJ$20)</f>
        <v>0</v>
      </c>
      <c r="FL51" s="763">
        <f xml:space="preserve">
IF(
SUM(SUMIF(防護具!$Y$13:$Y$29,FL$17&amp;$C49,防護具!$Q$13:$Q$29),FK51)-VLOOKUP($C49,$C$3:$D$15,2,FALSE)*FK$20&lt;0,0,
SUM(SUMIF(防護具!$Y$13:$Y$29,FL$17&amp;$C49,防護具!$Q$13:$Q$29),FK51)-VLOOKUP($C49,$C$3:$D$15,2,FALSE)*FK$20)</f>
        <v>0</v>
      </c>
      <c r="FM51" s="763">
        <f xml:space="preserve">
IF(
SUM(SUMIF(防護具!$Y$13:$Y$29,FM$17&amp;$C49,防護具!$Q$13:$Q$29),FL51)-VLOOKUP($C49,$C$3:$D$15,2,FALSE)*FL$20&lt;0,0,
SUM(SUMIF(防護具!$Y$13:$Y$29,FM$17&amp;$C49,防護具!$Q$13:$Q$29),FL51)-VLOOKUP($C49,$C$3:$D$15,2,FALSE)*FL$20)</f>
        <v>0</v>
      </c>
      <c r="FN51" s="763">
        <f xml:space="preserve">
IF(
SUM(SUMIF(防護具!$Y$13:$Y$29,FN$17&amp;$C49,防護具!$Q$13:$Q$29),FM51)-VLOOKUP($C49,$C$3:$D$15,2,FALSE)*FM$20&lt;0,0,
SUM(SUMIF(防護具!$Y$13:$Y$29,FN$17&amp;$C49,防護具!$Q$13:$Q$29),FM51)-VLOOKUP($C49,$C$3:$D$15,2,FALSE)*FM$20)</f>
        <v>0</v>
      </c>
      <c r="FO51" s="763">
        <f xml:space="preserve">
IF(
SUM(SUMIF(防護具!$Y$13:$Y$29,FO$17&amp;$C49,防護具!$Q$13:$Q$29),FN51)-VLOOKUP($C49,$C$3:$D$15,2,FALSE)*FN$20&lt;0,0,
SUM(SUMIF(防護具!$Y$13:$Y$29,FO$17&amp;$C49,防護具!$Q$13:$Q$29),FN51)-VLOOKUP($C49,$C$3:$D$15,2,FALSE)*FN$20)</f>
        <v>0</v>
      </c>
      <c r="FP51" s="763">
        <f xml:space="preserve">
IF(
SUM(SUMIF(防護具!$Y$13:$Y$29,FP$17&amp;$C49,防護具!$Q$13:$Q$29),FO51)-VLOOKUP($C49,$C$3:$D$15,2,FALSE)*FO$20&lt;0,0,
SUM(SUMIF(防護具!$Y$13:$Y$29,FP$17&amp;$C49,防護具!$Q$13:$Q$29),FO51)-VLOOKUP($C49,$C$3:$D$15,2,FALSE)*FO$20)</f>
        <v>0</v>
      </c>
      <c r="FQ51" s="763">
        <f xml:space="preserve">
IF(
SUM(SUMIF(防護具!$Y$13:$Y$29,FQ$17&amp;$C49,防護具!$Q$13:$Q$29),FP51)-VLOOKUP($C49,$C$3:$D$15,2,FALSE)*FP$20&lt;0,0,
SUM(SUMIF(防護具!$Y$13:$Y$29,FQ$17&amp;$C49,防護具!$Q$13:$Q$29),FP51)-VLOOKUP($C49,$C$3:$D$15,2,FALSE)*FP$20)</f>
        <v>0</v>
      </c>
      <c r="FR51" s="763">
        <f xml:space="preserve">
IF(
SUM(SUMIF(防護具!$Y$13:$Y$29,FR$17&amp;$C49,防護具!$Q$13:$Q$29),FQ51)-VLOOKUP($C49,$C$3:$D$15,2,FALSE)*FQ$20&lt;0,0,
SUM(SUMIF(防護具!$Y$13:$Y$29,FR$17&amp;$C49,防護具!$Q$13:$Q$29),FQ51)-VLOOKUP($C49,$C$3:$D$15,2,FALSE)*FQ$20)</f>
        <v>0</v>
      </c>
      <c r="FS51" s="763">
        <f xml:space="preserve">
IF(
SUM(SUMIF(防護具!$Y$13:$Y$29,FS$17&amp;$C49,防護具!$Q$13:$Q$29),FR51)-VLOOKUP($C49,$C$3:$D$15,2,FALSE)*FR$20&lt;0,0,
SUM(SUMIF(防護具!$Y$13:$Y$29,FS$17&amp;$C49,防護具!$Q$13:$Q$29),FR51)-VLOOKUP($C49,$C$3:$D$15,2,FALSE)*FR$20)</f>
        <v>0</v>
      </c>
      <c r="FT51" s="763">
        <f xml:space="preserve">
IF(
SUM(SUMIF(防護具!$Y$13:$Y$29,FT$17&amp;$C49,防護具!$Q$13:$Q$29),FS51)-VLOOKUP($C49,$C$3:$D$15,2,FALSE)*FS$20&lt;0,0,
SUM(SUMIF(防護具!$Y$13:$Y$29,FT$17&amp;$C49,防護具!$Q$13:$Q$29),FS51)-VLOOKUP($C49,$C$3:$D$15,2,FALSE)*FS$20)</f>
        <v>0</v>
      </c>
      <c r="FU51" s="763">
        <f xml:space="preserve">
IF(
SUM(SUMIF(防護具!$Y$13:$Y$29,FU$17&amp;$C49,防護具!$Q$13:$Q$29),FT51)-VLOOKUP($C49,$C$3:$D$15,2,FALSE)*FT$20&lt;0,0,
SUM(SUMIF(防護具!$Y$13:$Y$29,FU$17&amp;$C49,防護具!$Q$13:$Q$29),FT51)-VLOOKUP($C49,$C$3:$D$15,2,FALSE)*FT$20)</f>
        <v>0</v>
      </c>
      <c r="FV51" s="763">
        <f xml:space="preserve">
IF(
SUM(SUMIF(防護具!$Y$13:$Y$29,FV$17&amp;$C49,防護具!$Q$13:$Q$29),FU51)-VLOOKUP($C49,$C$3:$D$15,2,FALSE)*FU$20&lt;0,0,
SUM(SUMIF(防護具!$Y$13:$Y$29,FV$17&amp;$C49,防護具!$Q$13:$Q$29),FU51)-VLOOKUP($C49,$C$3:$D$15,2,FALSE)*FU$20)</f>
        <v>0</v>
      </c>
      <c r="FW51" s="763">
        <f xml:space="preserve">
IF(
SUM(SUMIF(防護具!$Y$13:$Y$29,FW$17&amp;$C49,防護具!$Q$13:$Q$29),FV51)-VLOOKUP($C49,$C$3:$D$15,2,FALSE)*FV$20&lt;0,0,
SUM(SUMIF(防護具!$Y$13:$Y$29,FW$17&amp;$C49,防護具!$Q$13:$Q$29),FV51)-VLOOKUP($C49,$C$3:$D$15,2,FALSE)*FV$20)</f>
        <v>0</v>
      </c>
      <c r="FX51" s="763">
        <f xml:space="preserve">
IF(
SUM(SUMIF(防護具!$Y$13:$Y$29,FX$17&amp;$C49,防護具!$Q$13:$Q$29),FW51)-VLOOKUP($C49,$C$3:$D$15,2,FALSE)*FW$20&lt;0,0,
SUM(SUMIF(防護具!$Y$13:$Y$29,FX$17&amp;$C49,防護具!$Q$13:$Q$29),FW51)-VLOOKUP($C49,$C$3:$D$15,2,FALSE)*FW$20)</f>
        <v>0</v>
      </c>
      <c r="FY51" s="763">
        <f xml:space="preserve">
IF(
SUM(SUMIF(防護具!$Y$13:$Y$29,FY$17&amp;$C49,防護具!$Q$13:$Q$29),FX51)-VLOOKUP($C49,$C$3:$D$15,2,FALSE)*FX$20&lt;0,0,
SUM(SUMIF(防護具!$Y$13:$Y$29,FY$17&amp;$C49,防護具!$Q$13:$Q$29),FX51)-VLOOKUP($C49,$C$3:$D$15,2,FALSE)*FX$20)</f>
        <v>0</v>
      </c>
      <c r="FZ51" s="763">
        <f xml:space="preserve">
IF(
SUM(SUMIF(防護具!$Y$13:$Y$29,FZ$17&amp;$C49,防護具!$Q$13:$Q$29),FY51)-VLOOKUP($C49,$C$3:$D$15,2,FALSE)*FY$20&lt;0,0,
SUM(SUMIF(防護具!$Y$13:$Y$29,FZ$17&amp;$C49,防護具!$Q$13:$Q$29),FY51)-VLOOKUP($C49,$C$3:$D$15,2,FALSE)*FY$20)</f>
        <v>0</v>
      </c>
      <c r="GA51" s="763">
        <f xml:space="preserve">
IF(
SUM(SUMIF(防護具!$Y$13:$Y$29,GA$17&amp;$C49,防護具!$Q$13:$Q$29),FZ51)-VLOOKUP($C49,$C$3:$D$15,2,FALSE)*FZ$20&lt;0,0,
SUM(SUMIF(防護具!$Y$13:$Y$29,GA$17&amp;$C49,防護具!$Q$13:$Q$29),FZ51)-VLOOKUP($C49,$C$3:$D$15,2,FALSE)*FZ$20)</f>
        <v>0</v>
      </c>
      <c r="GB51" s="763">
        <f xml:space="preserve">
IF(
SUM(SUMIF(防護具!$Y$13:$Y$29,GB$17&amp;$C49,防護具!$Q$13:$Q$29),GA51)-VLOOKUP($C49,$C$3:$D$15,2,FALSE)*GA$20&lt;0,0,
SUM(SUMIF(防護具!$Y$13:$Y$29,GB$17&amp;$C49,防護具!$Q$13:$Q$29),GA51)-VLOOKUP($C49,$C$3:$D$15,2,FALSE)*GA$20)</f>
        <v>0</v>
      </c>
      <c r="GC51" s="763">
        <f xml:space="preserve">
IF(
SUM(SUMIF(防護具!$Y$13:$Y$29,GC$17&amp;$C49,防護具!$Q$13:$Q$29),GB51)-VLOOKUP($C49,$C$3:$D$15,2,FALSE)*GB$20&lt;0,0,
SUM(SUMIF(防護具!$Y$13:$Y$29,GC$17&amp;$C49,防護具!$Q$13:$Q$29),GB51)-VLOOKUP($C49,$C$3:$D$15,2,FALSE)*GB$20)</f>
        <v>0</v>
      </c>
      <c r="GD51" s="763">
        <f xml:space="preserve">
IF(
SUM(SUMIF(防護具!$Y$13:$Y$29,GD$17&amp;$C49,防護具!$Q$13:$Q$29),GC51)-VLOOKUP($C49,$C$3:$D$15,2,FALSE)*GC$20&lt;0,0,
SUM(SUMIF(防護具!$Y$13:$Y$29,GD$17&amp;$C49,防護具!$Q$13:$Q$29),GC51)-VLOOKUP($C49,$C$3:$D$15,2,FALSE)*GC$20)</f>
        <v>0</v>
      </c>
      <c r="GE51" s="763">
        <f xml:space="preserve">
IF(
SUM(SUMIF(防護具!$Y$13:$Y$29,GE$17&amp;$C49,防護具!$Q$13:$Q$29),GD51)-VLOOKUP($C49,$C$3:$D$15,2,FALSE)*GD$20&lt;0,0,
SUM(SUMIF(防護具!$Y$13:$Y$29,GE$17&amp;$C49,防護具!$Q$13:$Q$29),GD51)-VLOOKUP($C49,$C$3:$D$15,2,FALSE)*GD$20)</f>
        <v>0</v>
      </c>
      <c r="GF51" s="763">
        <f xml:space="preserve">
IF(
SUM(SUMIF(防護具!$Y$13:$Y$29,GF$17&amp;$C49,防護具!$Q$13:$Q$29),GE51)-VLOOKUP($C49,$C$3:$D$15,2,FALSE)*GE$20&lt;0,0,
SUM(SUMIF(防護具!$Y$13:$Y$29,GF$17&amp;$C49,防護具!$Q$13:$Q$29),GE51)-VLOOKUP($C49,$C$3:$D$15,2,FALSE)*GE$20)</f>
        <v>0</v>
      </c>
      <c r="GG51" s="763">
        <f xml:space="preserve">
IF(
SUM(SUMIF(防護具!$Y$13:$Y$29,GG$17&amp;$C49,防護具!$Q$13:$Q$29),GF51)-VLOOKUP($C49,$C$3:$D$15,2,FALSE)*GF$20&lt;0,0,
SUM(SUMIF(防護具!$Y$13:$Y$29,GG$17&amp;$C49,防護具!$Q$13:$Q$29),GF51)-VLOOKUP($C49,$C$3:$D$15,2,FALSE)*GF$20)</f>
        <v>0</v>
      </c>
      <c r="GH51" s="763">
        <f xml:space="preserve">
IF(
SUM(SUMIF(防護具!$Y$13:$Y$29,GH$17&amp;$C49,防護具!$Q$13:$Q$29),GG51)-VLOOKUP($C49,$C$3:$D$15,2,FALSE)*GG$20&lt;0,0,
SUM(SUMIF(防護具!$Y$13:$Y$29,GH$17&amp;$C49,防護具!$Q$13:$Q$29),GG51)-VLOOKUP($C49,$C$3:$D$15,2,FALSE)*GG$20)</f>
        <v>0</v>
      </c>
      <c r="GI51" s="763">
        <f xml:space="preserve">
IF(
SUM(SUMIF(防護具!$Y$13:$Y$29,GI$17&amp;$C49,防護具!$Q$13:$Q$29),GH51)-VLOOKUP($C49,$C$3:$D$15,2,FALSE)*GH$20&lt;0,0,
SUM(SUMIF(防護具!$Y$13:$Y$29,GI$17&amp;$C49,防護具!$Q$13:$Q$29),GH51)-VLOOKUP($C49,$C$3:$D$15,2,FALSE)*GH$20)</f>
        <v>0</v>
      </c>
      <c r="GJ51" s="763">
        <f xml:space="preserve">
IF(
SUM(SUMIF(防護具!$Y$13:$Y$29,GJ$17&amp;$C49,防護具!$Q$13:$Q$29),GI51)-VLOOKUP($C49,$C$3:$D$15,2,FALSE)*GI$20&lt;0,0,
SUM(SUMIF(防護具!$Y$13:$Y$29,GJ$17&amp;$C49,防護具!$Q$13:$Q$29),GI51)-VLOOKUP($C49,$C$3:$D$15,2,FALSE)*GI$20)</f>
        <v>0</v>
      </c>
    </row>
    <row r="52" spans="2:192" s="632" customFormat="1">
      <c r="B52" s="633"/>
      <c r="C52" s="625" t="s">
        <v>1233</v>
      </c>
      <c r="D52" s="701" t="s">
        <v>1423</v>
      </c>
      <c r="E52" s="706"/>
      <c r="F52" s="653"/>
      <c r="G52" s="762">
        <f xml:space="preserve">
MIN(G53,
IF((VLOOKUP($C52,$C$3:$D$15,2,FALSE)*G$20-G54)&lt;0,0,VLOOKUP($C52,$C$3:$D$15,2,FALSE)*G$20-G54))</f>
        <v>0</v>
      </c>
      <c r="H52" s="762">
        <f xml:space="preserve">
IF(G54&gt;=VLOOKUP($C52,$C$3:$D$15,2,FALSE)*H$20,0,
IF(AND(G54&lt;VLOOKUP($C52,$C$3:$D$15,2,FALSE)*H$20,H53&lt;=VLOOKUP($C52,$C$3:$D$15,2,FALSE)*H$20),IF(H53-G54&lt;0,0,H53-G54),
IF(AND(G54&lt;VLOOKUP($C52,$C$3:$D$15,2,FALSE)*H$20,H53&gt;VLOOKUP($C52,$C$3:$D$15,2,FALSE)*H$20),VLOOKUP($C52,$C$3:$D$15,2,FALSE)*H$20-G54)))</f>
        <v>0</v>
      </c>
      <c r="I52" s="762">
        <f t="shared" ref="I52:P52" si="1890" xml:space="preserve">
IF(H54&gt;=VLOOKUP($C52,$C$3:$D$15,2,FALSE)*I$20,0,
IF(AND(H54&lt;VLOOKUP($C52,$C$3:$D$15,2,FALSE)*I$20,I53&lt;=VLOOKUP($C52,$C$3:$D$15,2,FALSE)*I$20),IF(I53-H54&lt;0,0,I53-H54),
IF(AND(H54&lt;VLOOKUP($C52,$C$3:$D$15,2,FALSE)*I$20,I53&gt;VLOOKUP($C52,$C$3:$D$15,2,FALSE)*I$20),VLOOKUP($C52,$C$3:$D$15,2,FALSE)*I$20-H54)))</f>
        <v>0</v>
      </c>
      <c r="J52" s="762">
        <f t="shared" si="1890"/>
        <v>0</v>
      </c>
      <c r="K52" s="762">
        <f t="shared" si="1890"/>
        <v>0</v>
      </c>
      <c r="L52" s="762">
        <f t="shared" si="1890"/>
        <v>0</v>
      </c>
      <c r="M52" s="762">
        <f t="shared" si="1890"/>
        <v>0</v>
      </c>
      <c r="N52" s="762">
        <f t="shared" si="1890"/>
        <v>0</v>
      </c>
      <c r="O52" s="762">
        <f t="shared" si="1890"/>
        <v>0</v>
      </c>
      <c r="P52" s="762">
        <f t="shared" si="1890"/>
        <v>0</v>
      </c>
      <c r="Q52" s="762">
        <f t="shared" ref="Q52" si="1891" xml:space="preserve">
IF(P54&gt;=VLOOKUP($C52,$C$3:$D$15,2,FALSE)*Q$20,0,
IF(AND(P54&lt;VLOOKUP($C52,$C$3:$D$15,2,FALSE)*Q$20,Q53&lt;=VLOOKUP($C52,$C$3:$D$15,2,FALSE)*Q$20),IF(Q53-P54&lt;0,0,Q53-P54),
IF(AND(P54&lt;VLOOKUP($C52,$C$3:$D$15,2,FALSE)*Q$20,Q53&gt;VLOOKUP($C52,$C$3:$D$15,2,FALSE)*Q$20),VLOOKUP($C52,$C$3:$D$15,2,FALSE)*Q$20-P54)))</f>
        <v>0</v>
      </c>
      <c r="R52" s="762">
        <f t="shared" ref="R52" si="1892" xml:space="preserve">
IF(Q54&gt;=VLOOKUP($C52,$C$3:$D$15,2,FALSE)*R$20,0,
IF(AND(Q54&lt;VLOOKUP($C52,$C$3:$D$15,2,FALSE)*R$20,R53&lt;=VLOOKUP($C52,$C$3:$D$15,2,FALSE)*R$20),IF(R53-Q54&lt;0,0,R53-Q54),
IF(AND(Q54&lt;VLOOKUP($C52,$C$3:$D$15,2,FALSE)*R$20,R53&gt;VLOOKUP($C52,$C$3:$D$15,2,FALSE)*R$20),VLOOKUP($C52,$C$3:$D$15,2,FALSE)*R$20-Q54)))</f>
        <v>0</v>
      </c>
      <c r="S52" s="762">
        <f t="shared" ref="S52" si="1893" xml:space="preserve">
IF(R54&gt;=VLOOKUP($C52,$C$3:$D$15,2,FALSE)*S$20,0,
IF(AND(R54&lt;VLOOKUP($C52,$C$3:$D$15,2,FALSE)*S$20,S53&lt;=VLOOKUP($C52,$C$3:$D$15,2,FALSE)*S$20),IF(S53-R54&lt;0,0,S53-R54),
IF(AND(R54&lt;VLOOKUP($C52,$C$3:$D$15,2,FALSE)*S$20,S53&gt;VLOOKUP($C52,$C$3:$D$15,2,FALSE)*S$20),VLOOKUP($C52,$C$3:$D$15,2,FALSE)*S$20-R54)))</f>
        <v>0</v>
      </c>
      <c r="T52" s="762">
        <f t="shared" ref="T52" si="1894" xml:space="preserve">
IF(S54&gt;=VLOOKUP($C52,$C$3:$D$15,2,FALSE)*T$20,0,
IF(AND(S54&lt;VLOOKUP($C52,$C$3:$D$15,2,FALSE)*T$20,T53&lt;=VLOOKUP($C52,$C$3:$D$15,2,FALSE)*T$20),IF(T53-S54&lt;0,0,T53-S54),
IF(AND(S54&lt;VLOOKUP($C52,$C$3:$D$15,2,FALSE)*T$20,T53&gt;VLOOKUP($C52,$C$3:$D$15,2,FALSE)*T$20),VLOOKUP($C52,$C$3:$D$15,2,FALSE)*T$20-S54)))</f>
        <v>0</v>
      </c>
      <c r="U52" s="762">
        <f t="shared" ref="U52" si="1895" xml:space="preserve">
IF(T54&gt;=VLOOKUP($C52,$C$3:$D$15,2,FALSE)*U$20,0,
IF(AND(T54&lt;VLOOKUP($C52,$C$3:$D$15,2,FALSE)*U$20,U53&lt;=VLOOKUP($C52,$C$3:$D$15,2,FALSE)*U$20),IF(U53-T54&lt;0,0,U53-T54),
IF(AND(T54&lt;VLOOKUP($C52,$C$3:$D$15,2,FALSE)*U$20,U53&gt;VLOOKUP($C52,$C$3:$D$15,2,FALSE)*U$20),VLOOKUP($C52,$C$3:$D$15,2,FALSE)*U$20-T54)))</f>
        <v>0</v>
      </c>
      <c r="V52" s="762">
        <f t="shared" ref="V52" si="1896" xml:space="preserve">
IF(U54&gt;=VLOOKUP($C52,$C$3:$D$15,2,FALSE)*V$20,0,
IF(AND(U54&lt;VLOOKUP($C52,$C$3:$D$15,2,FALSE)*V$20,V53&lt;=VLOOKUP($C52,$C$3:$D$15,2,FALSE)*V$20),IF(V53-U54&lt;0,0,V53-U54),
IF(AND(U54&lt;VLOOKUP($C52,$C$3:$D$15,2,FALSE)*V$20,V53&gt;VLOOKUP($C52,$C$3:$D$15,2,FALSE)*V$20),VLOOKUP($C52,$C$3:$D$15,2,FALSE)*V$20-U54)))</f>
        <v>0</v>
      </c>
      <c r="W52" s="762">
        <f t="shared" ref="W52" si="1897" xml:space="preserve">
IF(V54&gt;=VLOOKUP($C52,$C$3:$D$15,2,FALSE)*W$20,0,
IF(AND(V54&lt;VLOOKUP($C52,$C$3:$D$15,2,FALSE)*W$20,W53&lt;=VLOOKUP($C52,$C$3:$D$15,2,FALSE)*W$20),IF(W53-V54&lt;0,0,W53-V54),
IF(AND(V54&lt;VLOOKUP($C52,$C$3:$D$15,2,FALSE)*W$20,W53&gt;VLOOKUP($C52,$C$3:$D$15,2,FALSE)*W$20),VLOOKUP($C52,$C$3:$D$15,2,FALSE)*W$20-V54)))</f>
        <v>0</v>
      </c>
      <c r="X52" s="762">
        <f t="shared" ref="X52" si="1898" xml:space="preserve">
IF(W54&gt;=VLOOKUP($C52,$C$3:$D$15,2,FALSE)*X$20,0,
IF(AND(W54&lt;VLOOKUP($C52,$C$3:$D$15,2,FALSE)*X$20,X53&lt;=VLOOKUP($C52,$C$3:$D$15,2,FALSE)*X$20),IF(X53-W54&lt;0,0,X53-W54),
IF(AND(W54&lt;VLOOKUP($C52,$C$3:$D$15,2,FALSE)*X$20,X53&gt;VLOOKUP($C52,$C$3:$D$15,2,FALSE)*X$20),VLOOKUP($C52,$C$3:$D$15,2,FALSE)*X$20-W54)))</f>
        <v>0</v>
      </c>
      <c r="Y52" s="762">
        <f t="shared" ref="Y52" si="1899" xml:space="preserve">
IF(X54&gt;=VLOOKUP($C52,$C$3:$D$15,2,FALSE)*Y$20,0,
IF(AND(X54&lt;VLOOKUP($C52,$C$3:$D$15,2,FALSE)*Y$20,Y53&lt;=VLOOKUP($C52,$C$3:$D$15,2,FALSE)*Y$20),IF(Y53-X54&lt;0,0,Y53-X54),
IF(AND(X54&lt;VLOOKUP($C52,$C$3:$D$15,2,FALSE)*Y$20,Y53&gt;VLOOKUP($C52,$C$3:$D$15,2,FALSE)*Y$20),VLOOKUP($C52,$C$3:$D$15,2,FALSE)*Y$20-X54)))</f>
        <v>0</v>
      </c>
      <c r="Z52" s="762">
        <f t="shared" ref="Z52" si="1900" xml:space="preserve">
IF(Y54&gt;=VLOOKUP($C52,$C$3:$D$15,2,FALSE)*Z$20,0,
IF(AND(Y54&lt;VLOOKUP($C52,$C$3:$D$15,2,FALSE)*Z$20,Z53&lt;=VLOOKUP($C52,$C$3:$D$15,2,FALSE)*Z$20),IF(Z53-Y54&lt;0,0,Z53-Y54),
IF(AND(Y54&lt;VLOOKUP($C52,$C$3:$D$15,2,FALSE)*Z$20,Z53&gt;VLOOKUP($C52,$C$3:$D$15,2,FALSE)*Z$20),VLOOKUP($C52,$C$3:$D$15,2,FALSE)*Z$20-Y54)))</f>
        <v>0</v>
      </c>
      <c r="AA52" s="762">
        <f t="shared" ref="AA52" si="1901" xml:space="preserve">
IF(Z54&gt;=VLOOKUP($C52,$C$3:$D$15,2,FALSE)*AA$20,0,
IF(AND(Z54&lt;VLOOKUP($C52,$C$3:$D$15,2,FALSE)*AA$20,AA53&lt;=VLOOKUP($C52,$C$3:$D$15,2,FALSE)*AA$20),IF(AA53-Z54&lt;0,0,AA53-Z54),
IF(AND(Z54&lt;VLOOKUP($C52,$C$3:$D$15,2,FALSE)*AA$20,AA53&gt;VLOOKUP($C52,$C$3:$D$15,2,FALSE)*AA$20),VLOOKUP($C52,$C$3:$D$15,2,FALSE)*AA$20-Z54)))</f>
        <v>0</v>
      </c>
      <c r="AB52" s="762">
        <f t="shared" ref="AB52" si="1902" xml:space="preserve">
IF(AA54&gt;=VLOOKUP($C52,$C$3:$D$15,2,FALSE)*AB$20,0,
IF(AND(AA54&lt;VLOOKUP($C52,$C$3:$D$15,2,FALSE)*AB$20,AB53&lt;=VLOOKUP($C52,$C$3:$D$15,2,FALSE)*AB$20),IF(AB53-AA54&lt;0,0,AB53-AA54),
IF(AND(AA54&lt;VLOOKUP($C52,$C$3:$D$15,2,FALSE)*AB$20,AB53&gt;VLOOKUP($C52,$C$3:$D$15,2,FALSE)*AB$20),VLOOKUP($C52,$C$3:$D$15,2,FALSE)*AB$20-AA54)))</f>
        <v>0</v>
      </c>
      <c r="AC52" s="762">
        <f t="shared" ref="AC52" si="1903" xml:space="preserve">
IF(AB54&gt;=VLOOKUP($C52,$C$3:$D$15,2,FALSE)*AC$20,0,
IF(AND(AB54&lt;VLOOKUP($C52,$C$3:$D$15,2,FALSE)*AC$20,AC53&lt;=VLOOKUP($C52,$C$3:$D$15,2,FALSE)*AC$20),IF(AC53-AB54&lt;0,0,AC53-AB54),
IF(AND(AB54&lt;VLOOKUP($C52,$C$3:$D$15,2,FALSE)*AC$20,AC53&gt;VLOOKUP($C52,$C$3:$D$15,2,FALSE)*AC$20),VLOOKUP($C52,$C$3:$D$15,2,FALSE)*AC$20-AB54)))</f>
        <v>0</v>
      </c>
      <c r="AD52" s="762">
        <f t="shared" ref="AD52" si="1904" xml:space="preserve">
IF(AC54&gt;=VLOOKUP($C52,$C$3:$D$15,2,FALSE)*AD$20,0,
IF(AND(AC54&lt;VLOOKUP($C52,$C$3:$D$15,2,FALSE)*AD$20,AD53&lt;=VLOOKUP($C52,$C$3:$D$15,2,FALSE)*AD$20),IF(AD53-AC54&lt;0,0,AD53-AC54),
IF(AND(AC54&lt;VLOOKUP($C52,$C$3:$D$15,2,FALSE)*AD$20,AD53&gt;VLOOKUP($C52,$C$3:$D$15,2,FALSE)*AD$20),VLOOKUP($C52,$C$3:$D$15,2,FALSE)*AD$20-AC54)))</f>
        <v>0</v>
      </c>
      <c r="AE52" s="762">
        <f t="shared" ref="AE52" si="1905" xml:space="preserve">
IF(AD54&gt;=VLOOKUP($C52,$C$3:$D$15,2,FALSE)*AE$20,0,
IF(AND(AD54&lt;VLOOKUP($C52,$C$3:$D$15,2,FALSE)*AE$20,AE53&lt;=VLOOKUP($C52,$C$3:$D$15,2,FALSE)*AE$20),IF(AE53-AD54&lt;0,0,AE53-AD54),
IF(AND(AD54&lt;VLOOKUP($C52,$C$3:$D$15,2,FALSE)*AE$20,AE53&gt;VLOOKUP($C52,$C$3:$D$15,2,FALSE)*AE$20),VLOOKUP($C52,$C$3:$D$15,2,FALSE)*AE$20-AD54)))</f>
        <v>0</v>
      </c>
      <c r="AF52" s="762">
        <f t="shared" ref="AF52" si="1906" xml:space="preserve">
IF(AE54&gt;=VLOOKUP($C52,$C$3:$D$15,2,FALSE)*AF$20,0,
IF(AND(AE54&lt;VLOOKUP($C52,$C$3:$D$15,2,FALSE)*AF$20,AF53&lt;=VLOOKUP($C52,$C$3:$D$15,2,FALSE)*AF$20),IF(AF53-AE54&lt;0,0,AF53-AE54),
IF(AND(AE54&lt;VLOOKUP($C52,$C$3:$D$15,2,FALSE)*AF$20,AF53&gt;VLOOKUP($C52,$C$3:$D$15,2,FALSE)*AF$20),VLOOKUP($C52,$C$3:$D$15,2,FALSE)*AF$20-AE54)))</f>
        <v>0</v>
      </c>
      <c r="AG52" s="762">
        <f t="shared" ref="AG52" si="1907" xml:space="preserve">
IF(AF54&gt;=VLOOKUP($C52,$C$3:$D$15,2,FALSE)*AG$20,0,
IF(AND(AF54&lt;VLOOKUP($C52,$C$3:$D$15,2,FALSE)*AG$20,AG53&lt;=VLOOKUP($C52,$C$3:$D$15,2,FALSE)*AG$20),IF(AG53-AF54&lt;0,0,AG53-AF54),
IF(AND(AF54&lt;VLOOKUP($C52,$C$3:$D$15,2,FALSE)*AG$20,AG53&gt;VLOOKUP($C52,$C$3:$D$15,2,FALSE)*AG$20),VLOOKUP($C52,$C$3:$D$15,2,FALSE)*AG$20-AF54)))</f>
        <v>0</v>
      </c>
      <c r="AH52" s="762">
        <f t="shared" ref="AH52" si="1908" xml:space="preserve">
IF(AG54&gt;=VLOOKUP($C52,$C$3:$D$15,2,FALSE)*AH$20,0,
IF(AND(AG54&lt;VLOOKUP($C52,$C$3:$D$15,2,FALSE)*AH$20,AH53&lt;=VLOOKUP($C52,$C$3:$D$15,2,FALSE)*AH$20),IF(AH53-AG54&lt;0,0,AH53-AG54),
IF(AND(AG54&lt;VLOOKUP($C52,$C$3:$D$15,2,FALSE)*AH$20,AH53&gt;VLOOKUP($C52,$C$3:$D$15,2,FALSE)*AH$20),VLOOKUP($C52,$C$3:$D$15,2,FALSE)*AH$20-AG54)))</f>
        <v>0</v>
      </c>
      <c r="AI52" s="762">
        <f t="shared" ref="AI52" si="1909" xml:space="preserve">
IF(AH54&gt;=VLOOKUP($C52,$C$3:$D$15,2,FALSE)*AI$20,0,
IF(AND(AH54&lt;VLOOKUP($C52,$C$3:$D$15,2,FALSE)*AI$20,AI53&lt;=VLOOKUP($C52,$C$3:$D$15,2,FALSE)*AI$20),IF(AI53-AH54&lt;0,0,AI53-AH54),
IF(AND(AH54&lt;VLOOKUP($C52,$C$3:$D$15,2,FALSE)*AI$20,AI53&gt;VLOOKUP($C52,$C$3:$D$15,2,FALSE)*AI$20),VLOOKUP($C52,$C$3:$D$15,2,FALSE)*AI$20-AH54)))</f>
        <v>0</v>
      </c>
      <c r="AJ52" s="762">
        <f t="shared" ref="AJ52" si="1910" xml:space="preserve">
IF(AI54&gt;=VLOOKUP($C52,$C$3:$D$15,2,FALSE)*AJ$20,0,
IF(AND(AI54&lt;VLOOKUP($C52,$C$3:$D$15,2,FALSE)*AJ$20,AJ53&lt;=VLOOKUP($C52,$C$3:$D$15,2,FALSE)*AJ$20),IF(AJ53-AI54&lt;0,0,AJ53-AI54),
IF(AND(AI54&lt;VLOOKUP($C52,$C$3:$D$15,2,FALSE)*AJ$20,AJ53&gt;VLOOKUP($C52,$C$3:$D$15,2,FALSE)*AJ$20),VLOOKUP($C52,$C$3:$D$15,2,FALSE)*AJ$20-AI54)))</f>
        <v>0</v>
      </c>
      <c r="AK52" s="762">
        <f t="shared" ref="AK52" si="1911" xml:space="preserve">
IF(AJ54&gt;=VLOOKUP($C52,$C$3:$D$15,2,FALSE)*AK$20,0,
IF(AND(AJ54&lt;VLOOKUP($C52,$C$3:$D$15,2,FALSE)*AK$20,AK53&lt;=VLOOKUP($C52,$C$3:$D$15,2,FALSE)*AK$20),IF(AK53-AJ54&lt;0,0,AK53-AJ54),
IF(AND(AJ54&lt;VLOOKUP($C52,$C$3:$D$15,2,FALSE)*AK$20,AK53&gt;VLOOKUP($C52,$C$3:$D$15,2,FALSE)*AK$20),VLOOKUP($C52,$C$3:$D$15,2,FALSE)*AK$20-AJ54)))</f>
        <v>0</v>
      </c>
      <c r="AL52" s="762">
        <f t="shared" ref="AL52" si="1912" xml:space="preserve">
IF(AK54&gt;=VLOOKUP($C52,$C$3:$D$15,2,FALSE)*AL$20,0,
IF(AND(AK54&lt;VLOOKUP($C52,$C$3:$D$15,2,FALSE)*AL$20,AL53&lt;=VLOOKUP($C52,$C$3:$D$15,2,FALSE)*AL$20),IF(AL53-AK54&lt;0,0,AL53-AK54),
IF(AND(AK54&lt;VLOOKUP($C52,$C$3:$D$15,2,FALSE)*AL$20,AL53&gt;VLOOKUP($C52,$C$3:$D$15,2,FALSE)*AL$20),VLOOKUP($C52,$C$3:$D$15,2,FALSE)*AL$20-AK54)))</f>
        <v>0</v>
      </c>
      <c r="AM52" s="762">
        <f t="shared" ref="AM52" si="1913" xml:space="preserve">
IF(AL54&gt;=VLOOKUP($C52,$C$3:$D$15,2,FALSE)*AM$20,0,
IF(AND(AL54&lt;VLOOKUP($C52,$C$3:$D$15,2,FALSE)*AM$20,AM53&lt;=VLOOKUP($C52,$C$3:$D$15,2,FALSE)*AM$20),IF(AM53-AL54&lt;0,0,AM53-AL54),
IF(AND(AL54&lt;VLOOKUP($C52,$C$3:$D$15,2,FALSE)*AM$20,AM53&gt;VLOOKUP($C52,$C$3:$D$15,2,FALSE)*AM$20),VLOOKUP($C52,$C$3:$D$15,2,FALSE)*AM$20-AL54)))</f>
        <v>0</v>
      </c>
      <c r="AN52" s="762">
        <f t="shared" ref="AN52" si="1914" xml:space="preserve">
IF(AM54&gt;=VLOOKUP($C52,$C$3:$D$15,2,FALSE)*AN$20,0,
IF(AND(AM54&lt;VLOOKUP($C52,$C$3:$D$15,2,FALSE)*AN$20,AN53&lt;=VLOOKUP($C52,$C$3:$D$15,2,FALSE)*AN$20),IF(AN53-AM54&lt;0,0,AN53-AM54),
IF(AND(AM54&lt;VLOOKUP($C52,$C$3:$D$15,2,FALSE)*AN$20,AN53&gt;VLOOKUP($C52,$C$3:$D$15,2,FALSE)*AN$20),VLOOKUP($C52,$C$3:$D$15,2,FALSE)*AN$20-AM54)))</f>
        <v>0</v>
      </c>
      <c r="AO52" s="762">
        <f t="shared" ref="AO52" si="1915" xml:space="preserve">
IF(AN54&gt;=VLOOKUP($C52,$C$3:$D$15,2,FALSE)*AO$20,0,
IF(AND(AN54&lt;VLOOKUP($C52,$C$3:$D$15,2,FALSE)*AO$20,AO53&lt;=VLOOKUP($C52,$C$3:$D$15,2,FALSE)*AO$20),IF(AO53-AN54&lt;0,0,AO53-AN54),
IF(AND(AN54&lt;VLOOKUP($C52,$C$3:$D$15,2,FALSE)*AO$20,AO53&gt;VLOOKUP($C52,$C$3:$D$15,2,FALSE)*AO$20),VLOOKUP($C52,$C$3:$D$15,2,FALSE)*AO$20-AN54)))</f>
        <v>0</v>
      </c>
      <c r="AP52" s="762">
        <f t="shared" ref="AP52" si="1916" xml:space="preserve">
IF(AO54&gt;=VLOOKUP($C52,$C$3:$D$15,2,FALSE)*AP$20,0,
IF(AND(AO54&lt;VLOOKUP($C52,$C$3:$D$15,2,FALSE)*AP$20,AP53&lt;=VLOOKUP($C52,$C$3:$D$15,2,FALSE)*AP$20),IF(AP53-AO54&lt;0,0,AP53-AO54),
IF(AND(AO54&lt;VLOOKUP($C52,$C$3:$D$15,2,FALSE)*AP$20,AP53&gt;VLOOKUP($C52,$C$3:$D$15,2,FALSE)*AP$20),VLOOKUP($C52,$C$3:$D$15,2,FALSE)*AP$20-AO54)))</f>
        <v>0</v>
      </c>
      <c r="AQ52" s="762">
        <f t="shared" ref="AQ52" si="1917" xml:space="preserve">
IF(AP54&gt;=VLOOKUP($C52,$C$3:$D$15,2,FALSE)*AQ$20,0,
IF(AND(AP54&lt;VLOOKUP($C52,$C$3:$D$15,2,FALSE)*AQ$20,AQ53&lt;=VLOOKUP($C52,$C$3:$D$15,2,FALSE)*AQ$20),IF(AQ53-AP54&lt;0,0,AQ53-AP54),
IF(AND(AP54&lt;VLOOKUP($C52,$C$3:$D$15,2,FALSE)*AQ$20,AQ53&gt;VLOOKUP($C52,$C$3:$D$15,2,FALSE)*AQ$20),VLOOKUP($C52,$C$3:$D$15,2,FALSE)*AQ$20-AP54)))</f>
        <v>0</v>
      </c>
      <c r="AR52" s="762">
        <f t="shared" ref="AR52" si="1918" xml:space="preserve">
IF(AQ54&gt;=VLOOKUP($C52,$C$3:$D$15,2,FALSE)*AR$20,0,
IF(AND(AQ54&lt;VLOOKUP($C52,$C$3:$D$15,2,FALSE)*AR$20,AR53&lt;=VLOOKUP($C52,$C$3:$D$15,2,FALSE)*AR$20),IF(AR53-AQ54&lt;0,0,AR53-AQ54),
IF(AND(AQ54&lt;VLOOKUP($C52,$C$3:$D$15,2,FALSE)*AR$20,AR53&gt;VLOOKUP($C52,$C$3:$D$15,2,FALSE)*AR$20),VLOOKUP($C52,$C$3:$D$15,2,FALSE)*AR$20-AQ54)))</f>
        <v>0</v>
      </c>
      <c r="AS52" s="762">
        <f t="shared" ref="AS52" si="1919" xml:space="preserve">
IF(AR54&gt;=VLOOKUP($C52,$C$3:$D$15,2,FALSE)*AS$20,0,
IF(AND(AR54&lt;VLOOKUP($C52,$C$3:$D$15,2,FALSE)*AS$20,AS53&lt;=VLOOKUP($C52,$C$3:$D$15,2,FALSE)*AS$20),IF(AS53-AR54&lt;0,0,AS53-AR54),
IF(AND(AR54&lt;VLOOKUP($C52,$C$3:$D$15,2,FALSE)*AS$20,AS53&gt;VLOOKUP($C52,$C$3:$D$15,2,FALSE)*AS$20),VLOOKUP($C52,$C$3:$D$15,2,FALSE)*AS$20-AR54)))</f>
        <v>0</v>
      </c>
      <c r="AT52" s="762">
        <f t="shared" ref="AT52" si="1920" xml:space="preserve">
IF(AS54&gt;=VLOOKUP($C52,$C$3:$D$15,2,FALSE)*AT$20,0,
IF(AND(AS54&lt;VLOOKUP($C52,$C$3:$D$15,2,FALSE)*AT$20,AT53&lt;=VLOOKUP($C52,$C$3:$D$15,2,FALSE)*AT$20),IF(AT53-AS54&lt;0,0,AT53-AS54),
IF(AND(AS54&lt;VLOOKUP($C52,$C$3:$D$15,2,FALSE)*AT$20,AT53&gt;VLOOKUP($C52,$C$3:$D$15,2,FALSE)*AT$20),VLOOKUP($C52,$C$3:$D$15,2,FALSE)*AT$20-AS54)))</f>
        <v>0</v>
      </c>
      <c r="AU52" s="762">
        <f t="shared" ref="AU52" si="1921" xml:space="preserve">
IF(AT54&gt;=VLOOKUP($C52,$C$3:$D$15,2,FALSE)*AU$20,0,
IF(AND(AT54&lt;VLOOKUP($C52,$C$3:$D$15,2,FALSE)*AU$20,AU53&lt;=VLOOKUP($C52,$C$3:$D$15,2,FALSE)*AU$20),IF(AU53-AT54&lt;0,0,AU53-AT54),
IF(AND(AT54&lt;VLOOKUP($C52,$C$3:$D$15,2,FALSE)*AU$20,AU53&gt;VLOOKUP($C52,$C$3:$D$15,2,FALSE)*AU$20),VLOOKUP($C52,$C$3:$D$15,2,FALSE)*AU$20-AT54)))</f>
        <v>0</v>
      </c>
      <c r="AV52" s="762">
        <f t="shared" ref="AV52" si="1922" xml:space="preserve">
IF(AU54&gt;=VLOOKUP($C52,$C$3:$D$15,2,FALSE)*AV$20,0,
IF(AND(AU54&lt;VLOOKUP($C52,$C$3:$D$15,2,FALSE)*AV$20,AV53&lt;=VLOOKUP($C52,$C$3:$D$15,2,FALSE)*AV$20),IF(AV53-AU54&lt;0,0,AV53-AU54),
IF(AND(AU54&lt;VLOOKUP($C52,$C$3:$D$15,2,FALSE)*AV$20,AV53&gt;VLOOKUP($C52,$C$3:$D$15,2,FALSE)*AV$20),VLOOKUP($C52,$C$3:$D$15,2,FALSE)*AV$20-AU54)))</f>
        <v>0</v>
      </c>
      <c r="AW52" s="762">
        <f t="shared" ref="AW52" si="1923" xml:space="preserve">
IF(AV54&gt;=VLOOKUP($C52,$C$3:$D$15,2,FALSE)*AW$20,0,
IF(AND(AV54&lt;VLOOKUP($C52,$C$3:$D$15,2,FALSE)*AW$20,AW53&lt;=VLOOKUP($C52,$C$3:$D$15,2,FALSE)*AW$20),IF(AW53-AV54&lt;0,0,AW53-AV54),
IF(AND(AV54&lt;VLOOKUP($C52,$C$3:$D$15,2,FALSE)*AW$20,AW53&gt;VLOOKUP($C52,$C$3:$D$15,2,FALSE)*AW$20),VLOOKUP($C52,$C$3:$D$15,2,FALSE)*AW$20-AV54)))</f>
        <v>0</v>
      </c>
      <c r="AX52" s="762">
        <f t="shared" ref="AX52" si="1924" xml:space="preserve">
IF(AW54&gt;=VLOOKUP($C52,$C$3:$D$15,2,FALSE)*AX$20,0,
IF(AND(AW54&lt;VLOOKUP($C52,$C$3:$D$15,2,FALSE)*AX$20,AX53&lt;=VLOOKUP($C52,$C$3:$D$15,2,FALSE)*AX$20),IF(AX53-AW54&lt;0,0,AX53-AW54),
IF(AND(AW54&lt;VLOOKUP($C52,$C$3:$D$15,2,FALSE)*AX$20,AX53&gt;VLOOKUP($C52,$C$3:$D$15,2,FALSE)*AX$20),VLOOKUP($C52,$C$3:$D$15,2,FALSE)*AX$20-AW54)))</f>
        <v>0</v>
      </c>
      <c r="AY52" s="762">
        <f t="shared" ref="AY52" si="1925" xml:space="preserve">
IF(AX54&gt;=VLOOKUP($C52,$C$3:$D$15,2,FALSE)*AY$20,0,
IF(AND(AX54&lt;VLOOKUP($C52,$C$3:$D$15,2,FALSE)*AY$20,AY53&lt;=VLOOKUP($C52,$C$3:$D$15,2,FALSE)*AY$20),IF(AY53-AX54&lt;0,0,AY53-AX54),
IF(AND(AX54&lt;VLOOKUP($C52,$C$3:$D$15,2,FALSE)*AY$20,AY53&gt;VLOOKUP($C52,$C$3:$D$15,2,FALSE)*AY$20),VLOOKUP($C52,$C$3:$D$15,2,FALSE)*AY$20-AX54)))</f>
        <v>0</v>
      </c>
      <c r="AZ52" s="762">
        <f t="shared" ref="AZ52" si="1926" xml:space="preserve">
IF(AY54&gt;=VLOOKUP($C52,$C$3:$D$15,2,FALSE)*AZ$20,0,
IF(AND(AY54&lt;VLOOKUP($C52,$C$3:$D$15,2,FALSE)*AZ$20,AZ53&lt;=VLOOKUP($C52,$C$3:$D$15,2,FALSE)*AZ$20),IF(AZ53-AY54&lt;0,0,AZ53-AY54),
IF(AND(AY54&lt;VLOOKUP($C52,$C$3:$D$15,2,FALSE)*AZ$20,AZ53&gt;VLOOKUP($C52,$C$3:$D$15,2,FALSE)*AZ$20),VLOOKUP($C52,$C$3:$D$15,2,FALSE)*AZ$20-AY54)))</f>
        <v>0</v>
      </c>
      <c r="BA52" s="762">
        <f t="shared" ref="BA52" si="1927" xml:space="preserve">
IF(AZ54&gt;=VLOOKUP($C52,$C$3:$D$15,2,FALSE)*BA$20,0,
IF(AND(AZ54&lt;VLOOKUP($C52,$C$3:$D$15,2,FALSE)*BA$20,BA53&lt;=VLOOKUP($C52,$C$3:$D$15,2,FALSE)*BA$20),IF(BA53-AZ54&lt;0,0,BA53-AZ54),
IF(AND(AZ54&lt;VLOOKUP($C52,$C$3:$D$15,2,FALSE)*BA$20,BA53&gt;VLOOKUP($C52,$C$3:$D$15,2,FALSE)*BA$20),VLOOKUP($C52,$C$3:$D$15,2,FALSE)*BA$20-AZ54)))</f>
        <v>0</v>
      </c>
      <c r="BB52" s="762">
        <f t="shared" ref="BB52" si="1928" xml:space="preserve">
IF(BA54&gt;=VLOOKUP($C52,$C$3:$D$15,2,FALSE)*BB$20,0,
IF(AND(BA54&lt;VLOOKUP($C52,$C$3:$D$15,2,FALSE)*BB$20,BB53&lt;=VLOOKUP($C52,$C$3:$D$15,2,FALSE)*BB$20),IF(BB53-BA54&lt;0,0,BB53-BA54),
IF(AND(BA54&lt;VLOOKUP($C52,$C$3:$D$15,2,FALSE)*BB$20,BB53&gt;VLOOKUP($C52,$C$3:$D$15,2,FALSE)*BB$20),VLOOKUP($C52,$C$3:$D$15,2,FALSE)*BB$20-BA54)))</f>
        <v>0</v>
      </c>
      <c r="BC52" s="762">
        <f t="shared" ref="BC52" si="1929" xml:space="preserve">
IF(BB54&gt;=VLOOKUP($C52,$C$3:$D$15,2,FALSE)*BC$20,0,
IF(AND(BB54&lt;VLOOKUP($C52,$C$3:$D$15,2,FALSE)*BC$20,BC53&lt;=VLOOKUP($C52,$C$3:$D$15,2,FALSE)*BC$20),IF(BC53-BB54&lt;0,0,BC53-BB54),
IF(AND(BB54&lt;VLOOKUP($C52,$C$3:$D$15,2,FALSE)*BC$20,BC53&gt;VLOOKUP($C52,$C$3:$D$15,2,FALSE)*BC$20),VLOOKUP($C52,$C$3:$D$15,2,FALSE)*BC$20-BB54)))</f>
        <v>0</v>
      </c>
      <c r="BD52" s="762">
        <f t="shared" ref="BD52" si="1930" xml:space="preserve">
IF(BC54&gt;=VLOOKUP($C52,$C$3:$D$15,2,FALSE)*BD$20,0,
IF(AND(BC54&lt;VLOOKUP($C52,$C$3:$D$15,2,FALSE)*BD$20,BD53&lt;=VLOOKUP($C52,$C$3:$D$15,2,FALSE)*BD$20),IF(BD53-BC54&lt;0,0,BD53-BC54),
IF(AND(BC54&lt;VLOOKUP($C52,$C$3:$D$15,2,FALSE)*BD$20,BD53&gt;VLOOKUP($C52,$C$3:$D$15,2,FALSE)*BD$20),VLOOKUP($C52,$C$3:$D$15,2,FALSE)*BD$20-BC54)))</f>
        <v>0</v>
      </c>
      <c r="BE52" s="762">
        <f t="shared" ref="BE52" si="1931" xml:space="preserve">
IF(BD54&gt;=VLOOKUP($C52,$C$3:$D$15,2,FALSE)*BE$20,0,
IF(AND(BD54&lt;VLOOKUP($C52,$C$3:$D$15,2,FALSE)*BE$20,BE53&lt;=VLOOKUP($C52,$C$3:$D$15,2,FALSE)*BE$20),IF(BE53-BD54&lt;0,0,BE53-BD54),
IF(AND(BD54&lt;VLOOKUP($C52,$C$3:$D$15,2,FALSE)*BE$20,BE53&gt;VLOOKUP($C52,$C$3:$D$15,2,FALSE)*BE$20),VLOOKUP($C52,$C$3:$D$15,2,FALSE)*BE$20-BD54)))</f>
        <v>0</v>
      </c>
      <c r="BF52" s="762">
        <f t="shared" ref="BF52" si="1932" xml:space="preserve">
IF(BE54&gt;=VLOOKUP($C52,$C$3:$D$15,2,FALSE)*BF$20,0,
IF(AND(BE54&lt;VLOOKUP($C52,$C$3:$D$15,2,FALSE)*BF$20,BF53&lt;=VLOOKUP($C52,$C$3:$D$15,2,FALSE)*BF$20),IF(BF53-BE54&lt;0,0,BF53-BE54),
IF(AND(BE54&lt;VLOOKUP($C52,$C$3:$D$15,2,FALSE)*BF$20,BF53&gt;VLOOKUP($C52,$C$3:$D$15,2,FALSE)*BF$20),VLOOKUP($C52,$C$3:$D$15,2,FALSE)*BF$20-BE54)))</f>
        <v>0</v>
      </c>
      <c r="BG52" s="762">
        <f t="shared" ref="BG52" si="1933" xml:space="preserve">
IF(BF54&gt;=VLOOKUP($C52,$C$3:$D$15,2,FALSE)*BG$20,0,
IF(AND(BF54&lt;VLOOKUP($C52,$C$3:$D$15,2,FALSE)*BG$20,BG53&lt;=VLOOKUP($C52,$C$3:$D$15,2,FALSE)*BG$20),IF(BG53-BF54&lt;0,0,BG53-BF54),
IF(AND(BF54&lt;VLOOKUP($C52,$C$3:$D$15,2,FALSE)*BG$20,BG53&gt;VLOOKUP($C52,$C$3:$D$15,2,FALSE)*BG$20),VLOOKUP($C52,$C$3:$D$15,2,FALSE)*BG$20-BF54)))</f>
        <v>0</v>
      </c>
      <c r="BH52" s="762">
        <f t="shared" ref="BH52" si="1934" xml:space="preserve">
IF(BG54&gt;=VLOOKUP($C52,$C$3:$D$15,2,FALSE)*BH$20,0,
IF(AND(BG54&lt;VLOOKUP($C52,$C$3:$D$15,2,FALSE)*BH$20,BH53&lt;=VLOOKUP($C52,$C$3:$D$15,2,FALSE)*BH$20),IF(BH53-BG54&lt;0,0,BH53-BG54),
IF(AND(BG54&lt;VLOOKUP($C52,$C$3:$D$15,2,FALSE)*BH$20,BH53&gt;VLOOKUP($C52,$C$3:$D$15,2,FALSE)*BH$20),VLOOKUP($C52,$C$3:$D$15,2,FALSE)*BH$20-BG54)))</f>
        <v>0</v>
      </c>
      <c r="BI52" s="762">
        <f t="shared" ref="BI52" si="1935" xml:space="preserve">
IF(BH54&gt;=VLOOKUP($C52,$C$3:$D$15,2,FALSE)*BI$20,0,
IF(AND(BH54&lt;VLOOKUP($C52,$C$3:$D$15,2,FALSE)*BI$20,BI53&lt;=VLOOKUP($C52,$C$3:$D$15,2,FALSE)*BI$20),IF(BI53-BH54&lt;0,0,BI53-BH54),
IF(AND(BH54&lt;VLOOKUP($C52,$C$3:$D$15,2,FALSE)*BI$20,BI53&gt;VLOOKUP($C52,$C$3:$D$15,2,FALSE)*BI$20),VLOOKUP($C52,$C$3:$D$15,2,FALSE)*BI$20-BH54)))</f>
        <v>0</v>
      </c>
      <c r="BJ52" s="762">
        <f t="shared" ref="BJ52" si="1936" xml:space="preserve">
IF(BI54&gt;=VLOOKUP($C52,$C$3:$D$15,2,FALSE)*BJ$20,0,
IF(AND(BI54&lt;VLOOKUP($C52,$C$3:$D$15,2,FALSE)*BJ$20,BJ53&lt;=VLOOKUP($C52,$C$3:$D$15,2,FALSE)*BJ$20),IF(BJ53-BI54&lt;0,0,BJ53-BI54),
IF(AND(BI54&lt;VLOOKUP($C52,$C$3:$D$15,2,FALSE)*BJ$20,BJ53&gt;VLOOKUP($C52,$C$3:$D$15,2,FALSE)*BJ$20),VLOOKUP($C52,$C$3:$D$15,2,FALSE)*BJ$20-BI54)))</f>
        <v>0</v>
      </c>
      <c r="BK52" s="762">
        <f t="shared" ref="BK52" si="1937" xml:space="preserve">
IF(BJ54&gt;=VLOOKUP($C52,$C$3:$D$15,2,FALSE)*BK$20,0,
IF(AND(BJ54&lt;VLOOKUP($C52,$C$3:$D$15,2,FALSE)*BK$20,BK53&lt;=VLOOKUP($C52,$C$3:$D$15,2,FALSE)*BK$20),IF(BK53-BJ54&lt;0,0,BK53-BJ54),
IF(AND(BJ54&lt;VLOOKUP($C52,$C$3:$D$15,2,FALSE)*BK$20,BK53&gt;VLOOKUP($C52,$C$3:$D$15,2,FALSE)*BK$20),VLOOKUP($C52,$C$3:$D$15,2,FALSE)*BK$20-BJ54)))</f>
        <v>0</v>
      </c>
      <c r="BL52" s="762">
        <f t="shared" ref="BL52" si="1938" xml:space="preserve">
IF(BK54&gt;=VLOOKUP($C52,$C$3:$D$15,2,FALSE)*BL$20,0,
IF(AND(BK54&lt;VLOOKUP($C52,$C$3:$D$15,2,FALSE)*BL$20,BL53&lt;=VLOOKUP($C52,$C$3:$D$15,2,FALSE)*BL$20),IF(BL53-BK54&lt;0,0,BL53-BK54),
IF(AND(BK54&lt;VLOOKUP($C52,$C$3:$D$15,2,FALSE)*BL$20,BL53&gt;VLOOKUP($C52,$C$3:$D$15,2,FALSE)*BL$20),VLOOKUP($C52,$C$3:$D$15,2,FALSE)*BL$20-BK54)))</f>
        <v>0</v>
      </c>
      <c r="BM52" s="762">
        <f t="shared" ref="BM52" si="1939" xml:space="preserve">
IF(BL54&gt;=VLOOKUP($C52,$C$3:$D$15,2,FALSE)*BM$20,0,
IF(AND(BL54&lt;VLOOKUP($C52,$C$3:$D$15,2,FALSE)*BM$20,BM53&lt;=VLOOKUP($C52,$C$3:$D$15,2,FALSE)*BM$20),IF(BM53-BL54&lt;0,0,BM53-BL54),
IF(AND(BL54&lt;VLOOKUP($C52,$C$3:$D$15,2,FALSE)*BM$20,BM53&gt;VLOOKUP($C52,$C$3:$D$15,2,FALSE)*BM$20),VLOOKUP($C52,$C$3:$D$15,2,FALSE)*BM$20-BL54)))</f>
        <v>0</v>
      </c>
      <c r="BN52" s="762">
        <f t="shared" ref="BN52" si="1940" xml:space="preserve">
IF(BM54&gt;=VLOOKUP($C52,$C$3:$D$15,2,FALSE)*BN$20,0,
IF(AND(BM54&lt;VLOOKUP($C52,$C$3:$D$15,2,FALSE)*BN$20,BN53&lt;=VLOOKUP($C52,$C$3:$D$15,2,FALSE)*BN$20),IF(BN53-BM54&lt;0,0,BN53-BM54),
IF(AND(BM54&lt;VLOOKUP($C52,$C$3:$D$15,2,FALSE)*BN$20,BN53&gt;VLOOKUP($C52,$C$3:$D$15,2,FALSE)*BN$20),VLOOKUP($C52,$C$3:$D$15,2,FALSE)*BN$20-BM54)))</f>
        <v>0</v>
      </c>
      <c r="BO52" s="762">
        <f t="shared" ref="BO52" si="1941" xml:space="preserve">
IF(BN54&gt;=VLOOKUP($C52,$C$3:$D$15,2,FALSE)*BO$20,0,
IF(AND(BN54&lt;VLOOKUP($C52,$C$3:$D$15,2,FALSE)*BO$20,BO53&lt;=VLOOKUP($C52,$C$3:$D$15,2,FALSE)*BO$20),IF(BO53-BN54&lt;0,0,BO53-BN54),
IF(AND(BN54&lt;VLOOKUP($C52,$C$3:$D$15,2,FALSE)*BO$20,BO53&gt;VLOOKUP($C52,$C$3:$D$15,2,FALSE)*BO$20),VLOOKUP($C52,$C$3:$D$15,2,FALSE)*BO$20-BN54)))</f>
        <v>0</v>
      </c>
      <c r="BP52" s="762">
        <f t="shared" ref="BP52" si="1942" xml:space="preserve">
IF(BO54&gt;=VLOOKUP($C52,$C$3:$D$15,2,FALSE)*BP$20,0,
IF(AND(BO54&lt;VLOOKUP($C52,$C$3:$D$15,2,FALSE)*BP$20,BP53&lt;=VLOOKUP($C52,$C$3:$D$15,2,FALSE)*BP$20),IF(BP53-BO54&lt;0,0,BP53-BO54),
IF(AND(BO54&lt;VLOOKUP($C52,$C$3:$D$15,2,FALSE)*BP$20,BP53&gt;VLOOKUP($C52,$C$3:$D$15,2,FALSE)*BP$20),VLOOKUP($C52,$C$3:$D$15,2,FALSE)*BP$20-BO54)))</f>
        <v>0</v>
      </c>
      <c r="BQ52" s="762">
        <f t="shared" ref="BQ52" si="1943" xml:space="preserve">
IF(BP54&gt;=VLOOKUP($C52,$C$3:$D$15,2,FALSE)*BQ$20,0,
IF(AND(BP54&lt;VLOOKUP($C52,$C$3:$D$15,2,FALSE)*BQ$20,BQ53&lt;=VLOOKUP($C52,$C$3:$D$15,2,FALSE)*BQ$20),IF(BQ53-BP54&lt;0,0,BQ53-BP54),
IF(AND(BP54&lt;VLOOKUP($C52,$C$3:$D$15,2,FALSE)*BQ$20,BQ53&gt;VLOOKUP($C52,$C$3:$D$15,2,FALSE)*BQ$20),VLOOKUP($C52,$C$3:$D$15,2,FALSE)*BQ$20-BP54)))</f>
        <v>0</v>
      </c>
      <c r="BR52" s="762">
        <f t="shared" ref="BR52" si="1944" xml:space="preserve">
IF(BQ54&gt;=VLOOKUP($C52,$C$3:$D$15,2,FALSE)*BR$20,0,
IF(AND(BQ54&lt;VLOOKUP($C52,$C$3:$D$15,2,FALSE)*BR$20,BR53&lt;=VLOOKUP($C52,$C$3:$D$15,2,FALSE)*BR$20),IF(BR53-BQ54&lt;0,0,BR53-BQ54),
IF(AND(BQ54&lt;VLOOKUP($C52,$C$3:$D$15,2,FALSE)*BR$20,BR53&gt;VLOOKUP($C52,$C$3:$D$15,2,FALSE)*BR$20),VLOOKUP($C52,$C$3:$D$15,2,FALSE)*BR$20-BQ54)))</f>
        <v>0</v>
      </c>
      <c r="BS52" s="762">
        <f t="shared" ref="BS52" si="1945" xml:space="preserve">
IF(BR54&gt;=VLOOKUP($C52,$C$3:$D$15,2,FALSE)*BS$20,0,
IF(AND(BR54&lt;VLOOKUP($C52,$C$3:$D$15,2,FALSE)*BS$20,BS53&lt;=VLOOKUP($C52,$C$3:$D$15,2,FALSE)*BS$20),IF(BS53-BR54&lt;0,0,BS53-BR54),
IF(AND(BR54&lt;VLOOKUP($C52,$C$3:$D$15,2,FALSE)*BS$20,BS53&gt;VLOOKUP($C52,$C$3:$D$15,2,FALSE)*BS$20),VLOOKUP($C52,$C$3:$D$15,2,FALSE)*BS$20-BR54)))</f>
        <v>0</v>
      </c>
      <c r="BT52" s="762">
        <f t="shared" ref="BT52" si="1946" xml:space="preserve">
IF(BS54&gt;=VLOOKUP($C52,$C$3:$D$15,2,FALSE)*BT$20,0,
IF(AND(BS54&lt;VLOOKUP($C52,$C$3:$D$15,2,FALSE)*BT$20,BT53&lt;=VLOOKUP($C52,$C$3:$D$15,2,FALSE)*BT$20),IF(BT53-BS54&lt;0,0,BT53-BS54),
IF(AND(BS54&lt;VLOOKUP($C52,$C$3:$D$15,2,FALSE)*BT$20,BT53&gt;VLOOKUP($C52,$C$3:$D$15,2,FALSE)*BT$20),VLOOKUP($C52,$C$3:$D$15,2,FALSE)*BT$20-BS54)))</f>
        <v>0</v>
      </c>
      <c r="BU52" s="762">
        <f t="shared" ref="BU52" si="1947" xml:space="preserve">
IF(BT54&gt;=VLOOKUP($C52,$C$3:$D$15,2,FALSE)*BU$20,0,
IF(AND(BT54&lt;VLOOKUP($C52,$C$3:$D$15,2,FALSE)*BU$20,BU53&lt;=VLOOKUP($C52,$C$3:$D$15,2,FALSE)*BU$20),IF(BU53-BT54&lt;0,0,BU53-BT54),
IF(AND(BT54&lt;VLOOKUP($C52,$C$3:$D$15,2,FALSE)*BU$20,BU53&gt;VLOOKUP($C52,$C$3:$D$15,2,FALSE)*BU$20),VLOOKUP($C52,$C$3:$D$15,2,FALSE)*BU$20-BT54)))</f>
        <v>0</v>
      </c>
      <c r="BV52" s="762">
        <f t="shared" ref="BV52" si="1948" xml:space="preserve">
IF(BU54&gt;=VLOOKUP($C52,$C$3:$D$15,2,FALSE)*BV$20,0,
IF(AND(BU54&lt;VLOOKUP($C52,$C$3:$D$15,2,FALSE)*BV$20,BV53&lt;=VLOOKUP($C52,$C$3:$D$15,2,FALSE)*BV$20),IF(BV53-BU54&lt;0,0,BV53-BU54),
IF(AND(BU54&lt;VLOOKUP($C52,$C$3:$D$15,2,FALSE)*BV$20,BV53&gt;VLOOKUP($C52,$C$3:$D$15,2,FALSE)*BV$20),VLOOKUP($C52,$C$3:$D$15,2,FALSE)*BV$20-BU54)))</f>
        <v>0</v>
      </c>
      <c r="BW52" s="762">
        <f t="shared" ref="BW52" si="1949" xml:space="preserve">
IF(BV54&gt;=VLOOKUP($C52,$C$3:$D$15,2,FALSE)*BW$20,0,
IF(AND(BV54&lt;VLOOKUP($C52,$C$3:$D$15,2,FALSE)*BW$20,BW53&lt;=VLOOKUP($C52,$C$3:$D$15,2,FALSE)*BW$20),IF(BW53-BV54&lt;0,0,BW53-BV54),
IF(AND(BV54&lt;VLOOKUP($C52,$C$3:$D$15,2,FALSE)*BW$20,BW53&gt;VLOOKUP($C52,$C$3:$D$15,2,FALSE)*BW$20),VLOOKUP($C52,$C$3:$D$15,2,FALSE)*BW$20-BV54)))</f>
        <v>0</v>
      </c>
      <c r="BX52" s="762">
        <f t="shared" ref="BX52" si="1950" xml:space="preserve">
IF(BW54&gt;=VLOOKUP($C52,$C$3:$D$15,2,FALSE)*BX$20,0,
IF(AND(BW54&lt;VLOOKUP($C52,$C$3:$D$15,2,FALSE)*BX$20,BX53&lt;=VLOOKUP($C52,$C$3:$D$15,2,FALSE)*BX$20),IF(BX53-BW54&lt;0,0,BX53-BW54),
IF(AND(BW54&lt;VLOOKUP($C52,$C$3:$D$15,2,FALSE)*BX$20,BX53&gt;VLOOKUP($C52,$C$3:$D$15,2,FALSE)*BX$20),VLOOKUP($C52,$C$3:$D$15,2,FALSE)*BX$20-BW54)))</f>
        <v>0</v>
      </c>
      <c r="BY52" s="762">
        <f t="shared" ref="BY52" si="1951" xml:space="preserve">
IF(BX54&gt;=VLOOKUP($C52,$C$3:$D$15,2,FALSE)*BY$20,0,
IF(AND(BX54&lt;VLOOKUP($C52,$C$3:$D$15,2,FALSE)*BY$20,BY53&lt;=VLOOKUP($C52,$C$3:$D$15,2,FALSE)*BY$20),IF(BY53-BX54&lt;0,0,BY53-BX54),
IF(AND(BX54&lt;VLOOKUP($C52,$C$3:$D$15,2,FALSE)*BY$20,BY53&gt;VLOOKUP($C52,$C$3:$D$15,2,FALSE)*BY$20),VLOOKUP($C52,$C$3:$D$15,2,FALSE)*BY$20-BX54)))</f>
        <v>0</v>
      </c>
      <c r="BZ52" s="762">
        <f t="shared" ref="BZ52" si="1952" xml:space="preserve">
IF(BY54&gt;=VLOOKUP($C52,$C$3:$D$15,2,FALSE)*BZ$20,0,
IF(AND(BY54&lt;VLOOKUP($C52,$C$3:$D$15,2,FALSE)*BZ$20,BZ53&lt;=VLOOKUP($C52,$C$3:$D$15,2,FALSE)*BZ$20),IF(BZ53-BY54&lt;0,0,BZ53-BY54),
IF(AND(BY54&lt;VLOOKUP($C52,$C$3:$D$15,2,FALSE)*BZ$20,BZ53&gt;VLOOKUP($C52,$C$3:$D$15,2,FALSE)*BZ$20),VLOOKUP($C52,$C$3:$D$15,2,FALSE)*BZ$20-BY54)))</f>
        <v>0</v>
      </c>
      <c r="CA52" s="762">
        <f t="shared" ref="CA52" si="1953" xml:space="preserve">
IF(BZ54&gt;=VLOOKUP($C52,$C$3:$D$15,2,FALSE)*CA$20,0,
IF(AND(BZ54&lt;VLOOKUP($C52,$C$3:$D$15,2,FALSE)*CA$20,CA53&lt;=VLOOKUP($C52,$C$3:$D$15,2,FALSE)*CA$20),IF(CA53-BZ54&lt;0,0,CA53-BZ54),
IF(AND(BZ54&lt;VLOOKUP($C52,$C$3:$D$15,2,FALSE)*CA$20,CA53&gt;VLOOKUP($C52,$C$3:$D$15,2,FALSE)*CA$20),VLOOKUP($C52,$C$3:$D$15,2,FALSE)*CA$20-BZ54)))</f>
        <v>0</v>
      </c>
      <c r="CB52" s="762">
        <f t="shared" ref="CB52" si="1954" xml:space="preserve">
IF(CA54&gt;=VLOOKUP($C52,$C$3:$D$15,2,FALSE)*CB$20,0,
IF(AND(CA54&lt;VLOOKUP($C52,$C$3:$D$15,2,FALSE)*CB$20,CB53&lt;=VLOOKUP($C52,$C$3:$D$15,2,FALSE)*CB$20),IF(CB53-CA54&lt;0,0,CB53-CA54),
IF(AND(CA54&lt;VLOOKUP($C52,$C$3:$D$15,2,FALSE)*CB$20,CB53&gt;VLOOKUP($C52,$C$3:$D$15,2,FALSE)*CB$20),VLOOKUP($C52,$C$3:$D$15,2,FALSE)*CB$20-CA54)))</f>
        <v>0</v>
      </c>
      <c r="CC52" s="762">
        <f t="shared" ref="CC52" si="1955" xml:space="preserve">
IF(CB54&gt;=VLOOKUP($C52,$C$3:$D$15,2,FALSE)*CC$20,0,
IF(AND(CB54&lt;VLOOKUP($C52,$C$3:$D$15,2,FALSE)*CC$20,CC53&lt;=VLOOKUP($C52,$C$3:$D$15,2,FALSE)*CC$20),IF(CC53-CB54&lt;0,0,CC53-CB54),
IF(AND(CB54&lt;VLOOKUP($C52,$C$3:$D$15,2,FALSE)*CC$20,CC53&gt;VLOOKUP($C52,$C$3:$D$15,2,FALSE)*CC$20),VLOOKUP($C52,$C$3:$D$15,2,FALSE)*CC$20-CB54)))</f>
        <v>0</v>
      </c>
      <c r="CD52" s="762">
        <f t="shared" ref="CD52" si="1956" xml:space="preserve">
IF(CC54&gt;=VLOOKUP($C52,$C$3:$D$15,2,FALSE)*CD$20,0,
IF(AND(CC54&lt;VLOOKUP($C52,$C$3:$D$15,2,FALSE)*CD$20,CD53&lt;=VLOOKUP($C52,$C$3:$D$15,2,FALSE)*CD$20),IF(CD53-CC54&lt;0,0,CD53-CC54),
IF(AND(CC54&lt;VLOOKUP($C52,$C$3:$D$15,2,FALSE)*CD$20,CD53&gt;VLOOKUP($C52,$C$3:$D$15,2,FALSE)*CD$20),VLOOKUP($C52,$C$3:$D$15,2,FALSE)*CD$20-CC54)))</f>
        <v>0</v>
      </c>
      <c r="CE52" s="762">
        <f t="shared" ref="CE52" si="1957" xml:space="preserve">
IF(CD54&gt;=VLOOKUP($C52,$C$3:$D$15,2,FALSE)*CE$20,0,
IF(AND(CD54&lt;VLOOKUP($C52,$C$3:$D$15,2,FALSE)*CE$20,CE53&lt;=VLOOKUP($C52,$C$3:$D$15,2,FALSE)*CE$20),IF(CE53-CD54&lt;0,0,CE53-CD54),
IF(AND(CD54&lt;VLOOKUP($C52,$C$3:$D$15,2,FALSE)*CE$20,CE53&gt;VLOOKUP($C52,$C$3:$D$15,2,FALSE)*CE$20),VLOOKUP($C52,$C$3:$D$15,2,FALSE)*CE$20-CD54)))</f>
        <v>0</v>
      </c>
      <c r="CF52" s="762">
        <f t="shared" ref="CF52" si="1958" xml:space="preserve">
IF(CE54&gt;=VLOOKUP($C52,$C$3:$D$15,2,FALSE)*CF$20,0,
IF(AND(CE54&lt;VLOOKUP($C52,$C$3:$D$15,2,FALSE)*CF$20,CF53&lt;=VLOOKUP($C52,$C$3:$D$15,2,FALSE)*CF$20),IF(CF53-CE54&lt;0,0,CF53-CE54),
IF(AND(CE54&lt;VLOOKUP($C52,$C$3:$D$15,2,FALSE)*CF$20,CF53&gt;VLOOKUP($C52,$C$3:$D$15,2,FALSE)*CF$20),VLOOKUP($C52,$C$3:$D$15,2,FALSE)*CF$20-CE54)))</f>
        <v>0</v>
      </c>
      <c r="CG52" s="762">
        <f t="shared" ref="CG52" si="1959" xml:space="preserve">
IF(CF54&gt;=VLOOKUP($C52,$C$3:$D$15,2,FALSE)*CG$20,0,
IF(AND(CF54&lt;VLOOKUP($C52,$C$3:$D$15,2,FALSE)*CG$20,CG53&lt;=VLOOKUP($C52,$C$3:$D$15,2,FALSE)*CG$20),IF(CG53-CF54&lt;0,0,CG53-CF54),
IF(AND(CF54&lt;VLOOKUP($C52,$C$3:$D$15,2,FALSE)*CG$20,CG53&gt;VLOOKUP($C52,$C$3:$D$15,2,FALSE)*CG$20),VLOOKUP($C52,$C$3:$D$15,2,FALSE)*CG$20-CF54)))</f>
        <v>0</v>
      </c>
      <c r="CH52" s="762">
        <f t="shared" ref="CH52" si="1960" xml:space="preserve">
IF(CG54&gt;=VLOOKUP($C52,$C$3:$D$15,2,FALSE)*CH$20,0,
IF(AND(CG54&lt;VLOOKUP($C52,$C$3:$D$15,2,FALSE)*CH$20,CH53&lt;=VLOOKUP($C52,$C$3:$D$15,2,FALSE)*CH$20),IF(CH53-CG54&lt;0,0,CH53-CG54),
IF(AND(CG54&lt;VLOOKUP($C52,$C$3:$D$15,2,FALSE)*CH$20,CH53&gt;VLOOKUP($C52,$C$3:$D$15,2,FALSE)*CH$20),VLOOKUP($C52,$C$3:$D$15,2,FALSE)*CH$20-CG54)))</f>
        <v>0</v>
      </c>
      <c r="CI52" s="762">
        <f t="shared" ref="CI52" si="1961" xml:space="preserve">
IF(CH54&gt;=VLOOKUP($C52,$C$3:$D$15,2,FALSE)*CI$20,0,
IF(AND(CH54&lt;VLOOKUP($C52,$C$3:$D$15,2,FALSE)*CI$20,CI53&lt;=VLOOKUP($C52,$C$3:$D$15,2,FALSE)*CI$20),IF(CI53-CH54&lt;0,0,CI53-CH54),
IF(AND(CH54&lt;VLOOKUP($C52,$C$3:$D$15,2,FALSE)*CI$20,CI53&gt;VLOOKUP($C52,$C$3:$D$15,2,FALSE)*CI$20),VLOOKUP($C52,$C$3:$D$15,2,FALSE)*CI$20-CH54)))</f>
        <v>0</v>
      </c>
      <c r="CJ52" s="762">
        <f t="shared" ref="CJ52" si="1962" xml:space="preserve">
IF(CI54&gt;=VLOOKUP($C52,$C$3:$D$15,2,FALSE)*CJ$20,0,
IF(AND(CI54&lt;VLOOKUP($C52,$C$3:$D$15,2,FALSE)*CJ$20,CJ53&lt;=VLOOKUP($C52,$C$3:$D$15,2,FALSE)*CJ$20),IF(CJ53-CI54&lt;0,0,CJ53-CI54),
IF(AND(CI54&lt;VLOOKUP($C52,$C$3:$D$15,2,FALSE)*CJ$20,CJ53&gt;VLOOKUP($C52,$C$3:$D$15,2,FALSE)*CJ$20),VLOOKUP($C52,$C$3:$D$15,2,FALSE)*CJ$20-CI54)))</f>
        <v>0</v>
      </c>
      <c r="CK52" s="762">
        <f t="shared" ref="CK52" si="1963" xml:space="preserve">
IF(CJ54&gt;=VLOOKUP($C52,$C$3:$D$15,2,FALSE)*CK$20,0,
IF(AND(CJ54&lt;VLOOKUP($C52,$C$3:$D$15,2,FALSE)*CK$20,CK53&lt;=VLOOKUP($C52,$C$3:$D$15,2,FALSE)*CK$20),IF(CK53-CJ54&lt;0,0,CK53-CJ54),
IF(AND(CJ54&lt;VLOOKUP($C52,$C$3:$D$15,2,FALSE)*CK$20,CK53&gt;VLOOKUP($C52,$C$3:$D$15,2,FALSE)*CK$20),VLOOKUP($C52,$C$3:$D$15,2,FALSE)*CK$20-CJ54)))</f>
        <v>0</v>
      </c>
      <c r="CL52" s="762">
        <f t="shared" ref="CL52" si="1964" xml:space="preserve">
IF(CK54&gt;=VLOOKUP($C52,$C$3:$D$15,2,FALSE)*CL$20,0,
IF(AND(CK54&lt;VLOOKUP($C52,$C$3:$D$15,2,FALSE)*CL$20,CL53&lt;=VLOOKUP($C52,$C$3:$D$15,2,FALSE)*CL$20),IF(CL53-CK54&lt;0,0,CL53-CK54),
IF(AND(CK54&lt;VLOOKUP($C52,$C$3:$D$15,2,FALSE)*CL$20,CL53&gt;VLOOKUP($C52,$C$3:$D$15,2,FALSE)*CL$20),VLOOKUP($C52,$C$3:$D$15,2,FALSE)*CL$20-CK54)))</f>
        <v>0</v>
      </c>
      <c r="CM52" s="762">
        <f t="shared" ref="CM52" si="1965" xml:space="preserve">
IF(CL54&gt;=VLOOKUP($C52,$C$3:$D$15,2,FALSE)*CM$20,0,
IF(AND(CL54&lt;VLOOKUP($C52,$C$3:$D$15,2,FALSE)*CM$20,CM53&lt;=VLOOKUP($C52,$C$3:$D$15,2,FALSE)*CM$20),IF(CM53-CL54&lt;0,0,CM53-CL54),
IF(AND(CL54&lt;VLOOKUP($C52,$C$3:$D$15,2,FALSE)*CM$20,CM53&gt;VLOOKUP($C52,$C$3:$D$15,2,FALSE)*CM$20),VLOOKUP($C52,$C$3:$D$15,2,FALSE)*CM$20-CL54)))</f>
        <v>0</v>
      </c>
      <c r="CN52" s="762">
        <f t="shared" ref="CN52" si="1966" xml:space="preserve">
IF(CM54&gt;=VLOOKUP($C52,$C$3:$D$15,2,FALSE)*CN$20,0,
IF(AND(CM54&lt;VLOOKUP($C52,$C$3:$D$15,2,FALSE)*CN$20,CN53&lt;=VLOOKUP($C52,$C$3:$D$15,2,FALSE)*CN$20),IF(CN53-CM54&lt;0,0,CN53-CM54),
IF(AND(CM54&lt;VLOOKUP($C52,$C$3:$D$15,2,FALSE)*CN$20,CN53&gt;VLOOKUP($C52,$C$3:$D$15,2,FALSE)*CN$20),VLOOKUP($C52,$C$3:$D$15,2,FALSE)*CN$20-CM54)))</f>
        <v>0</v>
      </c>
      <c r="CO52" s="762">
        <f t="shared" ref="CO52" si="1967" xml:space="preserve">
IF(CN54&gt;=VLOOKUP($C52,$C$3:$D$15,2,FALSE)*CO$20,0,
IF(AND(CN54&lt;VLOOKUP($C52,$C$3:$D$15,2,FALSE)*CO$20,CO53&lt;=VLOOKUP($C52,$C$3:$D$15,2,FALSE)*CO$20),IF(CO53-CN54&lt;0,0,CO53-CN54),
IF(AND(CN54&lt;VLOOKUP($C52,$C$3:$D$15,2,FALSE)*CO$20,CO53&gt;VLOOKUP($C52,$C$3:$D$15,2,FALSE)*CO$20),VLOOKUP($C52,$C$3:$D$15,2,FALSE)*CO$20-CN54)))</f>
        <v>0</v>
      </c>
      <c r="CP52" s="762">
        <f t="shared" ref="CP52" si="1968" xml:space="preserve">
IF(CO54&gt;=VLOOKUP($C52,$C$3:$D$15,2,FALSE)*CP$20,0,
IF(AND(CO54&lt;VLOOKUP($C52,$C$3:$D$15,2,FALSE)*CP$20,CP53&lt;=VLOOKUP($C52,$C$3:$D$15,2,FALSE)*CP$20),IF(CP53-CO54&lt;0,0,CP53-CO54),
IF(AND(CO54&lt;VLOOKUP($C52,$C$3:$D$15,2,FALSE)*CP$20,CP53&gt;VLOOKUP($C52,$C$3:$D$15,2,FALSE)*CP$20),VLOOKUP($C52,$C$3:$D$15,2,FALSE)*CP$20-CO54)))</f>
        <v>0</v>
      </c>
      <c r="CQ52" s="762">
        <f t="shared" ref="CQ52" si="1969" xml:space="preserve">
IF(CP54&gt;=VLOOKUP($C52,$C$3:$D$15,2,FALSE)*CQ$20,0,
IF(AND(CP54&lt;VLOOKUP($C52,$C$3:$D$15,2,FALSE)*CQ$20,CQ53&lt;=VLOOKUP($C52,$C$3:$D$15,2,FALSE)*CQ$20),IF(CQ53-CP54&lt;0,0,CQ53-CP54),
IF(AND(CP54&lt;VLOOKUP($C52,$C$3:$D$15,2,FALSE)*CQ$20,CQ53&gt;VLOOKUP($C52,$C$3:$D$15,2,FALSE)*CQ$20),VLOOKUP($C52,$C$3:$D$15,2,FALSE)*CQ$20-CP54)))</f>
        <v>0</v>
      </c>
      <c r="CR52" s="762">
        <f t="shared" ref="CR52" si="1970" xml:space="preserve">
IF(CQ54&gt;=VLOOKUP($C52,$C$3:$D$15,2,FALSE)*CR$20,0,
IF(AND(CQ54&lt;VLOOKUP($C52,$C$3:$D$15,2,FALSE)*CR$20,CR53&lt;=VLOOKUP($C52,$C$3:$D$15,2,FALSE)*CR$20),IF(CR53-CQ54&lt;0,0,CR53-CQ54),
IF(AND(CQ54&lt;VLOOKUP($C52,$C$3:$D$15,2,FALSE)*CR$20,CR53&gt;VLOOKUP($C52,$C$3:$D$15,2,FALSE)*CR$20),VLOOKUP($C52,$C$3:$D$15,2,FALSE)*CR$20-CQ54)))</f>
        <v>0</v>
      </c>
      <c r="CS52" s="762">
        <f t="shared" ref="CS52" si="1971" xml:space="preserve">
IF(CR54&gt;=VLOOKUP($C52,$C$3:$D$15,2,FALSE)*CS$20,0,
IF(AND(CR54&lt;VLOOKUP($C52,$C$3:$D$15,2,FALSE)*CS$20,CS53&lt;=VLOOKUP($C52,$C$3:$D$15,2,FALSE)*CS$20),IF(CS53-CR54&lt;0,0,CS53-CR54),
IF(AND(CR54&lt;VLOOKUP($C52,$C$3:$D$15,2,FALSE)*CS$20,CS53&gt;VLOOKUP($C52,$C$3:$D$15,2,FALSE)*CS$20),VLOOKUP($C52,$C$3:$D$15,2,FALSE)*CS$20-CR54)))</f>
        <v>0</v>
      </c>
      <c r="CT52" s="762">
        <f t="shared" ref="CT52" si="1972" xml:space="preserve">
IF(CS54&gt;=VLOOKUP($C52,$C$3:$D$15,2,FALSE)*CT$20,0,
IF(AND(CS54&lt;VLOOKUP($C52,$C$3:$D$15,2,FALSE)*CT$20,CT53&lt;=VLOOKUP($C52,$C$3:$D$15,2,FALSE)*CT$20),IF(CT53-CS54&lt;0,0,CT53-CS54),
IF(AND(CS54&lt;VLOOKUP($C52,$C$3:$D$15,2,FALSE)*CT$20,CT53&gt;VLOOKUP($C52,$C$3:$D$15,2,FALSE)*CT$20),VLOOKUP($C52,$C$3:$D$15,2,FALSE)*CT$20-CS54)))</f>
        <v>0</v>
      </c>
      <c r="CU52" s="762">
        <f t="shared" ref="CU52" si="1973" xml:space="preserve">
IF(CT54&gt;=VLOOKUP($C52,$C$3:$D$15,2,FALSE)*CU$20,0,
IF(AND(CT54&lt;VLOOKUP($C52,$C$3:$D$15,2,FALSE)*CU$20,CU53&lt;=VLOOKUP($C52,$C$3:$D$15,2,FALSE)*CU$20),IF(CU53-CT54&lt;0,0,CU53-CT54),
IF(AND(CT54&lt;VLOOKUP($C52,$C$3:$D$15,2,FALSE)*CU$20,CU53&gt;VLOOKUP($C52,$C$3:$D$15,2,FALSE)*CU$20),VLOOKUP($C52,$C$3:$D$15,2,FALSE)*CU$20-CT54)))</f>
        <v>0</v>
      </c>
      <c r="CV52" s="762">
        <f t="shared" ref="CV52" si="1974" xml:space="preserve">
IF(CU54&gt;=VLOOKUP($C52,$C$3:$D$15,2,FALSE)*CV$20,0,
IF(AND(CU54&lt;VLOOKUP($C52,$C$3:$D$15,2,FALSE)*CV$20,CV53&lt;=VLOOKUP($C52,$C$3:$D$15,2,FALSE)*CV$20),IF(CV53-CU54&lt;0,0,CV53-CU54),
IF(AND(CU54&lt;VLOOKUP($C52,$C$3:$D$15,2,FALSE)*CV$20,CV53&gt;VLOOKUP($C52,$C$3:$D$15,2,FALSE)*CV$20),VLOOKUP($C52,$C$3:$D$15,2,FALSE)*CV$20-CU54)))</f>
        <v>0</v>
      </c>
      <c r="CW52" s="762">
        <f t="shared" ref="CW52" si="1975" xml:space="preserve">
IF(CV54&gt;=VLOOKUP($C52,$C$3:$D$15,2,FALSE)*CW$20,0,
IF(AND(CV54&lt;VLOOKUP($C52,$C$3:$D$15,2,FALSE)*CW$20,CW53&lt;=VLOOKUP($C52,$C$3:$D$15,2,FALSE)*CW$20),IF(CW53-CV54&lt;0,0,CW53-CV54),
IF(AND(CV54&lt;VLOOKUP($C52,$C$3:$D$15,2,FALSE)*CW$20,CW53&gt;VLOOKUP($C52,$C$3:$D$15,2,FALSE)*CW$20),VLOOKUP($C52,$C$3:$D$15,2,FALSE)*CW$20-CV54)))</f>
        <v>0</v>
      </c>
      <c r="CX52" s="762">
        <f t="shared" ref="CX52" si="1976" xml:space="preserve">
IF(CW54&gt;=VLOOKUP($C52,$C$3:$D$15,2,FALSE)*CX$20,0,
IF(AND(CW54&lt;VLOOKUP($C52,$C$3:$D$15,2,FALSE)*CX$20,CX53&lt;=VLOOKUP($C52,$C$3:$D$15,2,FALSE)*CX$20),IF(CX53-CW54&lt;0,0,CX53-CW54),
IF(AND(CW54&lt;VLOOKUP($C52,$C$3:$D$15,2,FALSE)*CX$20,CX53&gt;VLOOKUP($C52,$C$3:$D$15,2,FALSE)*CX$20),VLOOKUP($C52,$C$3:$D$15,2,FALSE)*CX$20-CW54)))</f>
        <v>0</v>
      </c>
      <c r="CY52" s="762">
        <f t="shared" ref="CY52" si="1977" xml:space="preserve">
IF(CX54&gt;=VLOOKUP($C52,$C$3:$D$15,2,FALSE)*CY$20,0,
IF(AND(CX54&lt;VLOOKUP($C52,$C$3:$D$15,2,FALSE)*CY$20,CY53&lt;=VLOOKUP($C52,$C$3:$D$15,2,FALSE)*CY$20),IF(CY53-CX54&lt;0,0,CY53-CX54),
IF(AND(CX54&lt;VLOOKUP($C52,$C$3:$D$15,2,FALSE)*CY$20,CY53&gt;VLOOKUP($C52,$C$3:$D$15,2,FALSE)*CY$20),VLOOKUP($C52,$C$3:$D$15,2,FALSE)*CY$20-CX54)))</f>
        <v>0</v>
      </c>
      <c r="CZ52" s="762">
        <f t="shared" ref="CZ52" si="1978" xml:space="preserve">
IF(CY54&gt;=VLOOKUP($C52,$C$3:$D$15,2,FALSE)*CZ$20,0,
IF(AND(CY54&lt;VLOOKUP($C52,$C$3:$D$15,2,FALSE)*CZ$20,CZ53&lt;=VLOOKUP($C52,$C$3:$D$15,2,FALSE)*CZ$20),IF(CZ53-CY54&lt;0,0,CZ53-CY54),
IF(AND(CY54&lt;VLOOKUP($C52,$C$3:$D$15,2,FALSE)*CZ$20,CZ53&gt;VLOOKUP($C52,$C$3:$D$15,2,FALSE)*CZ$20),VLOOKUP($C52,$C$3:$D$15,2,FALSE)*CZ$20-CY54)))</f>
        <v>0</v>
      </c>
      <c r="DA52" s="762">
        <f t="shared" ref="DA52" si="1979" xml:space="preserve">
IF(CZ54&gt;=VLOOKUP($C52,$C$3:$D$15,2,FALSE)*DA$20,0,
IF(AND(CZ54&lt;VLOOKUP($C52,$C$3:$D$15,2,FALSE)*DA$20,DA53&lt;=VLOOKUP($C52,$C$3:$D$15,2,FALSE)*DA$20),IF(DA53-CZ54&lt;0,0,DA53-CZ54),
IF(AND(CZ54&lt;VLOOKUP($C52,$C$3:$D$15,2,FALSE)*DA$20,DA53&gt;VLOOKUP($C52,$C$3:$D$15,2,FALSE)*DA$20),VLOOKUP($C52,$C$3:$D$15,2,FALSE)*DA$20-CZ54)))</f>
        <v>0</v>
      </c>
      <c r="DB52" s="762">
        <f t="shared" ref="DB52" si="1980" xml:space="preserve">
IF(DA54&gt;=VLOOKUP($C52,$C$3:$D$15,2,FALSE)*DB$20,0,
IF(AND(DA54&lt;VLOOKUP($C52,$C$3:$D$15,2,FALSE)*DB$20,DB53&lt;=VLOOKUP($C52,$C$3:$D$15,2,FALSE)*DB$20),IF(DB53-DA54&lt;0,0,DB53-DA54),
IF(AND(DA54&lt;VLOOKUP($C52,$C$3:$D$15,2,FALSE)*DB$20,DB53&gt;VLOOKUP($C52,$C$3:$D$15,2,FALSE)*DB$20),VLOOKUP($C52,$C$3:$D$15,2,FALSE)*DB$20-DA54)))</f>
        <v>0</v>
      </c>
      <c r="DC52" s="762">
        <f t="shared" ref="DC52" si="1981" xml:space="preserve">
IF(DB54&gt;=VLOOKUP($C52,$C$3:$D$15,2,FALSE)*DC$20,0,
IF(AND(DB54&lt;VLOOKUP($C52,$C$3:$D$15,2,FALSE)*DC$20,DC53&lt;=VLOOKUP($C52,$C$3:$D$15,2,FALSE)*DC$20),IF(DC53-DB54&lt;0,0,DC53-DB54),
IF(AND(DB54&lt;VLOOKUP($C52,$C$3:$D$15,2,FALSE)*DC$20,DC53&gt;VLOOKUP($C52,$C$3:$D$15,2,FALSE)*DC$20),VLOOKUP($C52,$C$3:$D$15,2,FALSE)*DC$20-DB54)))</f>
        <v>0</v>
      </c>
      <c r="DD52" s="762">
        <f t="shared" ref="DD52" si="1982" xml:space="preserve">
IF(DC54&gt;=VLOOKUP($C52,$C$3:$D$15,2,FALSE)*DD$20,0,
IF(AND(DC54&lt;VLOOKUP($C52,$C$3:$D$15,2,FALSE)*DD$20,DD53&lt;=VLOOKUP($C52,$C$3:$D$15,2,FALSE)*DD$20),IF(DD53-DC54&lt;0,0,DD53-DC54),
IF(AND(DC54&lt;VLOOKUP($C52,$C$3:$D$15,2,FALSE)*DD$20,DD53&gt;VLOOKUP($C52,$C$3:$D$15,2,FALSE)*DD$20),VLOOKUP($C52,$C$3:$D$15,2,FALSE)*DD$20-DC54)))</f>
        <v>0</v>
      </c>
      <c r="DE52" s="762">
        <f t="shared" ref="DE52" si="1983" xml:space="preserve">
IF(DD54&gt;=VLOOKUP($C52,$C$3:$D$15,2,FALSE)*DE$20,0,
IF(AND(DD54&lt;VLOOKUP($C52,$C$3:$D$15,2,FALSE)*DE$20,DE53&lt;=VLOOKUP($C52,$C$3:$D$15,2,FALSE)*DE$20),IF(DE53-DD54&lt;0,0,DE53-DD54),
IF(AND(DD54&lt;VLOOKUP($C52,$C$3:$D$15,2,FALSE)*DE$20,DE53&gt;VLOOKUP($C52,$C$3:$D$15,2,FALSE)*DE$20),VLOOKUP($C52,$C$3:$D$15,2,FALSE)*DE$20-DD54)))</f>
        <v>0</v>
      </c>
      <c r="DF52" s="762">
        <f t="shared" ref="DF52" si="1984" xml:space="preserve">
IF(DE54&gt;=VLOOKUP($C52,$C$3:$D$15,2,FALSE)*DF$20,0,
IF(AND(DE54&lt;VLOOKUP($C52,$C$3:$D$15,2,FALSE)*DF$20,DF53&lt;=VLOOKUP($C52,$C$3:$D$15,2,FALSE)*DF$20),IF(DF53-DE54&lt;0,0,DF53-DE54),
IF(AND(DE54&lt;VLOOKUP($C52,$C$3:$D$15,2,FALSE)*DF$20,DF53&gt;VLOOKUP($C52,$C$3:$D$15,2,FALSE)*DF$20),VLOOKUP($C52,$C$3:$D$15,2,FALSE)*DF$20-DE54)))</f>
        <v>0</v>
      </c>
      <c r="DG52" s="762">
        <f t="shared" ref="DG52" si="1985" xml:space="preserve">
IF(DF54&gt;=VLOOKUP($C52,$C$3:$D$15,2,FALSE)*DG$20,0,
IF(AND(DF54&lt;VLOOKUP($C52,$C$3:$D$15,2,FALSE)*DG$20,DG53&lt;=VLOOKUP($C52,$C$3:$D$15,2,FALSE)*DG$20),IF(DG53-DF54&lt;0,0,DG53-DF54),
IF(AND(DF54&lt;VLOOKUP($C52,$C$3:$D$15,2,FALSE)*DG$20,DG53&gt;VLOOKUP($C52,$C$3:$D$15,2,FALSE)*DG$20),VLOOKUP($C52,$C$3:$D$15,2,FALSE)*DG$20-DF54)))</f>
        <v>0</v>
      </c>
      <c r="DH52" s="762">
        <f t="shared" ref="DH52" si="1986" xml:space="preserve">
IF(DG54&gt;=VLOOKUP($C52,$C$3:$D$15,2,FALSE)*DH$20,0,
IF(AND(DG54&lt;VLOOKUP($C52,$C$3:$D$15,2,FALSE)*DH$20,DH53&lt;=VLOOKUP($C52,$C$3:$D$15,2,FALSE)*DH$20),IF(DH53-DG54&lt;0,0,DH53-DG54),
IF(AND(DG54&lt;VLOOKUP($C52,$C$3:$D$15,2,FALSE)*DH$20,DH53&gt;VLOOKUP($C52,$C$3:$D$15,2,FALSE)*DH$20),VLOOKUP($C52,$C$3:$D$15,2,FALSE)*DH$20-DG54)))</f>
        <v>0</v>
      </c>
      <c r="DI52" s="762">
        <f t="shared" ref="DI52" si="1987" xml:space="preserve">
IF(DH54&gt;=VLOOKUP($C52,$C$3:$D$15,2,FALSE)*DI$20,0,
IF(AND(DH54&lt;VLOOKUP($C52,$C$3:$D$15,2,FALSE)*DI$20,DI53&lt;=VLOOKUP($C52,$C$3:$D$15,2,FALSE)*DI$20),IF(DI53-DH54&lt;0,0,DI53-DH54),
IF(AND(DH54&lt;VLOOKUP($C52,$C$3:$D$15,2,FALSE)*DI$20,DI53&gt;VLOOKUP($C52,$C$3:$D$15,2,FALSE)*DI$20),VLOOKUP($C52,$C$3:$D$15,2,FALSE)*DI$20-DH54)))</f>
        <v>0</v>
      </c>
      <c r="DJ52" s="762">
        <f t="shared" ref="DJ52" si="1988" xml:space="preserve">
IF(DI54&gt;=VLOOKUP($C52,$C$3:$D$15,2,FALSE)*DJ$20,0,
IF(AND(DI54&lt;VLOOKUP($C52,$C$3:$D$15,2,FALSE)*DJ$20,DJ53&lt;=VLOOKUP($C52,$C$3:$D$15,2,FALSE)*DJ$20),IF(DJ53-DI54&lt;0,0,DJ53-DI54),
IF(AND(DI54&lt;VLOOKUP($C52,$C$3:$D$15,2,FALSE)*DJ$20,DJ53&gt;VLOOKUP($C52,$C$3:$D$15,2,FALSE)*DJ$20),VLOOKUP($C52,$C$3:$D$15,2,FALSE)*DJ$20-DI54)))</f>
        <v>0</v>
      </c>
      <c r="DK52" s="762">
        <f t="shared" ref="DK52" si="1989" xml:space="preserve">
IF(DJ54&gt;=VLOOKUP($C52,$C$3:$D$15,2,FALSE)*DK$20,0,
IF(AND(DJ54&lt;VLOOKUP($C52,$C$3:$D$15,2,FALSE)*DK$20,DK53&lt;=VLOOKUP($C52,$C$3:$D$15,2,FALSE)*DK$20),IF(DK53-DJ54&lt;0,0,DK53-DJ54),
IF(AND(DJ54&lt;VLOOKUP($C52,$C$3:$D$15,2,FALSE)*DK$20,DK53&gt;VLOOKUP($C52,$C$3:$D$15,2,FALSE)*DK$20),VLOOKUP($C52,$C$3:$D$15,2,FALSE)*DK$20-DJ54)))</f>
        <v>0</v>
      </c>
      <c r="DL52" s="762">
        <f t="shared" ref="DL52" si="1990" xml:space="preserve">
IF(DK54&gt;=VLOOKUP($C52,$C$3:$D$15,2,FALSE)*DL$20,0,
IF(AND(DK54&lt;VLOOKUP($C52,$C$3:$D$15,2,FALSE)*DL$20,DL53&lt;=VLOOKUP($C52,$C$3:$D$15,2,FALSE)*DL$20),IF(DL53-DK54&lt;0,0,DL53-DK54),
IF(AND(DK54&lt;VLOOKUP($C52,$C$3:$D$15,2,FALSE)*DL$20,DL53&gt;VLOOKUP($C52,$C$3:$D$15,2,FALSE)*DL$20),VLOOKUP($C52,$C$3:$D$15,2,FALSE)*DL$20-DK54)))</f>
        <v>0</v>
      </c>
      <c r="DM52" s="762">
        <f t="shared" ref="DM52" si="1991" xml:space="preserve">
IF(DL54&gt;=VLOOKUP($C52,$C$3:$D$15,2,FALSE)*DM$20,0,
IF(AND(DL54&lt;VLOOKUP($C52,$C$3:$D$15,2,FALSE)*DM$20,DM53&lt;=VLOOKUP($C52,$C$3:$D$15,2,FALSE)*DM$20),IF(DM53-DL54&lt;0,0,DM53-DL54),
IF(AND(DL54&lt;VLOOKUP($C52,$C$3:$D$15,2,FALSE)*DM$20,DM53&gt;VLOOKUP($C52,$C$3:$D$15,2,FALSE)*DM$20),VLOOKUP($C52,$C$3:$D$15,2,FALSE)*DM$20-DL54)))</f>
        <v>0</v>
      </c>
      <c r="DN52" s="762">
        <f t="shared" ref="DN52" si="1992" xml:space="preserve">
IF(DM54&gt;=VLOOKUP($C52,$C$3:$D$15,2,FALSE)*DN$20,0,
IF(AND(DM54&lt;VLOOKUP($C52,$C$3:$D$15,2,FALSE)*DN$20,DN53&lt;=VLOOKUP($C52,$C$3:$D$15,2,FALSE)*DN$20),IF(DN53-DM54&lt;0,0,DN53-DM54),
IF(AND(DM54&lt;VLOOKUP($C52,$C$3:$D$15,2,FALSE)*DN$20,DN53&gt;VLOOKUP($C52,$C$3:$D$15,2,FALSE)*DN$20),VLOOKUP($C52,$C$3:$D$15,2,FALSE)*DN$20-DM54)))</f>
        <v>0</v>
      </c>
      <c r="DO52" s="762">
        <f t="shared" ref="DO52" si="1993" xml:space="preserve">
IF(DN54&gt;=VLOOKUP($C52,$C$3:$D$15,2,FALSE)*DO$20,0,
IF(AND(DN54&lt;VLOOKUP($C52,$C$3:$D$15,2,FALSE)*DO$20,DO53&lt;=VLOOKUP($C52,$C$3:$D$15,2,FALSE)*DO$20),IF(DO53-DN54&lt;0,0,DO53-DN54),
IF(AND(DN54&lt;VLOOKUP($C52,$C$3:$D$15,2,FALSE)*DO$20,DO53&gt;VLOOKUP($C52,$C$3:$D$15,2,FALSE)*DO$20),VLOOKUP($C52,$C$3:$D$15,2,FALSE)*DO$20-DN54)))</f>
        <v>0</v>
      </c>
      <c r="DP52" s="762">
        <f t="shared" ref="DP52" si="1994" xml:space="preserve">
IF(DO54&gt;=VLOOKUP($C52,$C$3:$D$15,2,FALSE)*DP$20,0,
IF(AND(DO54&lt;VLOOKUP($C52,$C$3:$D$15,2,FALSE)*DP$20,DP53&lt;=VLOOKUP($C52,$C$3:$D$15,2,FALSE)*DP$20),IF(DP53-DO54&lt;0,0,DP53-DO54),
IF(AND(DO54&lt;VLOOKUP($C52,$C$3:$D$15,2,FALSE)*DP$20,DP53&gt;VLOOKUP($C52,$C$3:$D$15,2,FALSE)*DP$20),VLOOKUP($C52,$C$3:$D$15,2,FALSE)*DP$20-DO54)))</f>
        <v>0</v>
      </c>
      <c r="DQ52" s="762">
        <f t="shared" ref="DQ52" si="1995" xml:space="preserve">
IF(DP54&gt;=VLOOKUP($C52,$C$3:$D$15,2,FALSE)*DQ$20,0,
IF(AND(DP54&lt;VLOOKUP($C52,$C$3:$D$15,2,FALSE)*DQ$20,DQ53&lt;=VLOOKUP($C52,$C$3:$D$15,2,FALSE)*DQ$20),IF(DQ53-DP54&lt;0,0,DQ53-DP54),
IF(AND(DP54&lt;VLOOKUP($C52,$C$3:$D$15,2,FALSE)*DQ$20,DQ53&gt;VLOOKUP($C52,$C$3:$D$15,2,FALSE)*DQ$20),VLOOKUP($C52,$C$3:$D$15,2,FALSE)*DQ$20-DP54)))</f>
        <v>0</v>
      </c>
      <c r="DR52" s="762">
        <f t="shared" ref="DR52" si="1996" xml:space="preserve">
IF(DQ54&gt;=VLOOKUP($C52,$C$3:$D$15,2,FALSE)*DR$20,0,
IF(AND(DQ54&lt;VLOOKUP($C52,$C$3:$D$15,2,FALSE)*DR$20,DR53&lt;=VLOOKUP($C52,$C$3:$D$15,2,FALSE)*DR$20),IF(DR53-DQ54&lt;0,0,DR53-DQ54),
IF(AND(DQ54&lt;VLOOKUP($C52,$C$3:$D$15,2,FALSE)*DR$20,DR53&gt;VLOOKUP($C52,$C$3:$D$15,2,FALSE)*DR$20),VLOOKUP($C52,$C$3:$D$15,2,FALSE)*DR$20-DQ54)))</f>
        <v>0</v>
      </c>
      <c r="DS52" s="762">
        <f t="shared" ref="DS52" si="1997" xml:space="preserve">
IF(DR54&gt;=VLOOKUP($C52,$C$3:$D$15,2,FALSE)*DS$20,0,
IF(AND(DR54&lt;VLOOKUP($C52,$C$3:$D$15,2,FALSE)*DS$20,DS53&lt;=VLOOKUP($C52,$C$3:$D$15,2,FALSE)*DS$20),IF(DS53-DR54&lt;0,0,DS53-DR54),
IF(AND(DR54&lt;VLOOKUP($C52,$C$3:$D$15,2,FALSE)*DS$20,DS53&gt;VLOOKUP($C52,$C$3:$D$15,2,FALSE)*DS$20),VLOOKUP($C52,$C$3:$D$15,2,FALSE)*DS$20-DR54)))</f>
        <v>0</v>
      </c>
      <c r="DT52" s="762">
        <f t="shared" ref="DT52" si="1998" xml:space="preserve">
IF(DS54&gt;=VLOOKUP($C52,$C$3:$D$15,2,FALSE)*DT$20,0,
IF(AND(DS54&lt;VLOOKUP($C52,$C$3:$D$15,2,FALSE)*DT$20,DT53&lt;=VLOOKUP($C52,$C$3:$D$15,2,FALSE)*DT$20),IF(DT53-DS54&lt;0,0,DT53-DS54),
IF(AND(DS54&lt;VLOOKUP($C52,$C$3:$D$15,2,FALSE)*DT$20,DT53&gt;VLOOKUP($C52,$C$3:$D$15,2,FALSE)*DT$20),VLOOKUP($C52,$C$3:$D$15,2,FALSE)*DT$20-DS54)))</f>
        <v>0</v>
      </c>
      <c r="DU52" s="762">
        <f t="shared" ref="DU52" si="1999" xml:space="preserve">
IF(DT54&gt;=VLOOKUP($C52,$C$3:$D$15,2,FALSE)*DU$20,0,
IF(AND(DT54&lt;VLOOKUP($C52,$C$3:$D$15,2,FALSE)*DU$20,DU53&lt;=VLOOKUP($C52,$C$3:$D$15,2,FALSE)*DU$20),IF(DU53-DT54&lt;0,0,DU53-DT54),
IF(AND(DT54&lt;VLOOKUP($C52,$C$3:$D$15,2,FALSE)*DU$20,DU53&gt;VLOOKUP($C52,$C$3:$D$15,2,FALSE)*DU$20),VLOOKUP($C52,$C$3:$D$15,2,FALSE)*DU$20-DT54)))</f>
        <v>0</v>
      </c>
      <c r="DV52" s="762">
        <f t="shared" ref="DV52" si="2000" xml:space="preserve">
IF(DU54&gt;=VLOOKUP($C52,$C$3:$D$15,2,FALSE)*DV$20,0,
IF(AND(DU54&lt;VLOOKUP($C52,$C$3:$D$15,2,FALSE)*DV$20,DV53&lt;=VLOOKUP($C52,$C$3:$D$15,2,FALSE)*DV$20),IF(DV53-DU54&lt;0,0,DV53-DU54),
IF(AND(DU54&lt;VLOOKUP($C52,$C$3:$D$15,2,FALSE)*DV$20,DV53&gt;VLOOKUP($C52,$C$3:$D$15,2,FALSE)*DV$20),VLOOKUP($C52,$C$3:$D$15,2,FALSE)*DV$20-DU54)))</f>
        <v>0</v>
      </c>
      <c r="DW52" s="762">
        <f t="shared" ref="DW52" si="2001" xml:space="preserve">
IF(DV54&gt;=VLOOKUP($C52,$C$3:$D$15,2,FALSE)*DW$20,0,
IF(AND(DV54&lt;VLOOKUP($C52,$C$3:$D$15,2,FALSE)*DW$20,DW53&lt;=VLOOKUP($C52,$C$3:$D$15,2,FALSE)*DW$20),IF(DW53-DV54&lt;0,0,DW53-DV54),
IF(AND(DV54&lt;VLOOKUP($C52,$C$3:$D$15,2,FALSE)*DW$20,DW53&gt;VLOOKUP($C52,$C$3:$D$15,2,FALSE)*DW$20),VLOOKUP($C52,$C$3:$D$15,2,FALSE)*DW$20-DV54)))</f>
        <v>0</v>
      </c>
      <c r="DX52" s="762">
        <f t="shared" ref="DX52" si="2002" xml:space="preserve">
IF(DW54&gt;=VLOOKUP($C52,$C$3:$D$15,2,FALSE)*DX$20,0,
IF(AND(DW54&lt;VLOOKUP($C52,$C$3:$D$15,2,FALSE)*DX$20,DX53&lt;=VLOOKUP($C52,$C$3:$D$15,2,FALSE)*DX$20),IF(DX53-DW54&lt;0,0,DX53-DW54),
IF(AND(DW54&lt;VLOOKUP($C52,$C$3:$D$15,2,FALSE)*DX$20,DX53&gt;VLOOKUP($C52,$C$3:$D$15,2,FALSE)*DX$20),VLOOKUP($C52,$C$3:$D$15,2,FALSE)*DX$20-DW54)))</f>
        <v>0</v>
      </c>
      <c r="DY52" s="762">
        <f t="shared" ref="DY52" si="2003" xml:space="preserve">
IF(DX54&gt;=VLOOKUP($C52,$C$3:$D$15,2,FALSE)*DY$20,0,
IF(AND(DX54&lt;VLOOKUP($C52,$C$3:$D$15,2,FALSE)*DY$20,DY53&lt;=VLOOKUP($C52,$C$3:$D$15,2,FALSE)*DY$20),IF(DY53-DX54&lt;0,0,DY53-DX54),
IF(AND(DX54&lt;VLOOKUP($C52,$C$3:$D$15,2,FALSE)*DY$20,DY53&gt;VLOOKUP($C52,$C$3:$D$15,2,FALSE)*DY$20),VLOOKUP($C52,$C$3:$D$15,2,FALSE)*DY$20-DX54)))</f>
        <v>0</v>
      </c>
      <c r="DZ52" s="762">
        <f t="shared" ref="DZ52" si="2004" xml:space="preserve">
IF(DY54&gt;=VLOOKUP($C52,$C$3:$D$15,2,FALSE)*DZ$20,0,
IF(AND(DY54&lt;VLOOKUP($C52,$C$3:$D$15,2,FALSE)*DZ$20,DZ53&lt;=VLOOKUP($C52,$C$3:$D$15,2,FALSE)*DZ$20),IF(DZ53-DY54&lt;0,0,DZ53-DY54),
IF(AND(DY54&lt;VLOOKUP($C52,$C$3:$D$15,2,FALSE)*DZ$20,DZ53&gt;VLOOKUP($C52,$C$3:$D$15,2,FALSE)*DZ$20),VLOOKUP($C52,$C$3:$D$15,2,FALSE)*DZ$20-DY54)))</f>
        <v>0</v>
      </c>
      <c r="EA52" s="762">
        <f t="shared" ref="EA52" si="2005" xml:space="preserve">
IF(DZ54&gt;=VLOOKUP($C52,$C$3:$D$15,2,FALSE)*EA$20,0,
IF(AND(DZ54&lt;VLOOKUP($C52,$C$3:$D$15,2,FALSE)*EA$20,EA53&lt;=VLOOKUP($C52,$C$3:$D$15,2,FALSE)*EA$20),IF(EA53-DZ54&lt;0,0,EA53-DZ54),
IF(AND(DZ54&lt;VLOOKUP($C52,$C$3:$D$15,2,FALSE)*EA$20,EA53&gt;VLOOKUP($C52,$C$3:$D$15,2,FALSE)*EA$20),VLOOKUP($C52,$C$3:$D$15,2,FALSE)*EA$20-DZ54)))</f>
        <v>0</v>
      </c>
      <c r="EB52" s="762">
        <f t="shared" ref="EB52" si="2006" xml:space="preserve">
IF(EA54&gt;=VLOOKUP($C52,$C$3:$D$15,2,FALSE)*EB$20,0,
IF(AND(EA54&lt;VLOOKUP($C52,$C$3:$D$15,2,FALSE)*EB$20,EB53&lt;=VLOOKUP($C52,$C$3:$D$15,2,FALSE)*EB$20),IF(EB53-EA54&lt;0,0,EB53-EA54),
IF(AND(EA54&lt;VLOOKUP($C52,$C$3:$D$15,2,FALSE)*EB$20,EB53&gt;VLOOKUP($C52,$C$3:$D$15,2,FALSE)*EB$20),VLOOKUP($C52,$C$3:$D$15,2,FALSE)*EB$20-EA54)))</f>
        <v>0</v>
      </c>
      <c r="EC52" s="762">
        <f t="shared" ref="EC52" si="2007" xml:space="preserve">
IF(EB54&gt;=VLOOKUP($C52,$C$3:$D$15,2,FALSE)*EC$20,0,
IF(AND(EB54&lt;VLOOKUP($C52,$C$3:$D$15,2,FALSE)*EC$20,EC53&lt;=VLOOKUP($C52,$C$3:$D$15,2,FALSE)*EC$20),IF(EC53-EB54&lt;0,0,EC53-EB54),
IF(AND(EB54&lt;VLOOKUP($C52,$C$3:$D$15,2,FALSE)*EC$20,EC53&gt;VLOOKUP($C52,$C$3:$D$15,2,FALSE)*EC$20),VLOOKUP($C52,$C$3:$D$15,2,FALSE)*EC$20-EB54)))</f>
        <v>0</v>
      </c>
      <c r="ED52" s="762">
        <f t="shared" ref="ED52" si="2008" xml:space="preserve">
IF(EC54&gt;=VLOOKUP($C52,$C$3:$D$15,2,FALSE)*ED$20,0,
IF(AND(EC54&lt;VLOOKUP($C52,$C$3:$D$15,2,FALSE)*ED$20,ED53&lt;=VLOOKUP($C52,$C$3:$D$15,2,FALSE)*ED$20),IF(ED53-EC54&lt;0,0,ED53-EC54),
IF(AND(EC54&lt;VLOOKUP($C52,$C$3:$D$15,2,FALSE)*ED$20,ED53&gt;VLOOKUP($C52,$C$3:$D$15,2,FALSE)*ED$20),VLOOKUP($C52,$C$3:$D$15,2,FALSE)*ED$20-EC54)))</f>
        <v>0</v>
      </c>
      <c r="EE52" s="762">
        <f t="shared" ref="EE52" si="2009" xml:space="preserve">
IF(ED54&gt;=VLOOKUP($C52,$C$3:$D$15,2,FALSE)*EE$20,0,
IF(AND(ED54&lt;VLOOKUP($C52,$C$3:$D$15,2,FALSE)*EE$20,EE53&lt;=VLOOKUP($C52,$C$3:$D$15,2,FALSE)*EE$20),IF(EE53-ED54&lt;0,0,EE53-ED54),
IF(AND(ED54&lt;VLOOKUP($C52,$C$3:$D$15,2,FALSE)*EE$20,EE53&gt;VLOOKUP($C52,$C$3:$D$15,2,FALSE)*EE$20),VLOOKUP($C52,$C$3:$D$15,2,FALSE)*EE$20-ED54)))</f>
        <v>0</v>
      </c>
      <c r="EF52" s="762">
        <f t="shared" ref="EF52" si="2010" xml:space="preserve">
IF(EE54&gt;=VLOOKUP($C52,$C$3:$D$15,2,FALSE)*EF$20,0,
IF(AND(EE54&lt;VLOOKUP($C52,$C$3:$D$15,2,FALSE)*EF$20,EF53&lt;=VLOOKUP($C52,$C$3:$D$15,2,FALSE)*EF$20),IF(EF53-EE54&lt;0,0,EF53-EE54),
IF(AND(EE54&lt;VLOOKUP($C52,$C$3:$D$15,2,FALSE)*EF$20,EF53&gt;VLOOKUP($C52,$C$3:$D$15,2,FALSE)*EF$20),VLOOKUP($C52,$C$3:$D$15,2,FALSE)*EF$20-EE54)))</f>
        <v>0</v>
      </c>
      <c r="EG52" s="762">
        <f t="shared" ref="EG52" si="2011" xml:space="preserve">
IF(EF54&gt;=VLOOKUP($C52,$C$3:$D$15,2,FALSE)*EG$20,0,
IF(AND(EF54&lt;VLOOKUP($C52,$C$3:$D$15,2,FALSE)*EG$20,EG53&lt;=VLOOKUP($C52,$C$3:$D$15,2,FALSE)*EG$20),IF(EG53-EF54&lt;0,0,EG53-EF54),
IF(AND(EF54&lt;VLOOKUP($C52,$C$3:$D$15,2,FALSE)*EG$20,EG53&gt;VLOOKUP($C52,$C$3:$D$15,2,FALSE)*EG$20),VLOOKUP($C52,$C$3:$D$15,2,FALSE)*EG$20-EF54)))</f>
        <v>0</v>
      </c>
      <c r="EH52" s="762">
        <f t="shared" ref="EH52" si="2012" xml:space="preserve">
IF(EG54&gt;=VLOOKUP($C52,$C$3:$D$15,2,FALSE)*EH$20,0,
IF(AND(EG54&lt;VLOOKUP($C52,$C$3:$D$15,2,FALSE)*EH$20,EH53&lt;=VLOOKUP($C52,$C$3:$D$15,2,FALSE)*EH$20),IF(EH53-EG54&lt;0,0,EH53-EG54),
IF(AND(EG54&lt;VLOOKUP($C52,$C$3:$D$15,2,FALSE)*EH$20,EH53&gt;VLOOKUP($C52,$C$3:$D$15,2,FALSE)*EH$20),VLOOKUP($C52,$C$3:$D$15,2,FALSE)*EH$20-EG54)))</f>
        <v>0</v>
      </c>
      <c r="EI52" s="762">
        <f t="shared" ref="EI52" si="2013" xml:space="preserve">
IF(EH54&gt;=VLOOKUP($C52,$C$3:$D$15,2,FALSE)*EI$20,0,
IF(AND(EH54&lt;VLOOKUP($C52,$C$3:$D$15,2,FALSE)*EI$20,EI53&lt;=VLOOKUP($C52,$C$3:$D$15,2,FALSE)*EI$20),IF(EI53-EH54&lt;0,0,EI53-EH54),
IF(AND(EH54&lt;VLOOKUP($C52,$C$3:$D$15,2,FALSE)*EI$20,EI53&gt;VLOOKUP($C52,$C$3:$D$15,2,FALSE)*EI$20),VLOOKUP($C52,$C$3:$D$15,2,FALSE)*EI$20-EH54)))</f>
        <v>0</v>
      </c>
      <c r="EJ52" s="762">
        <f t="shared" ref="EJ52" si="2014" xml:space="preserve">
IF(EI54&gt;=VLOOKUP($C52,$C$3:$D$15,2,FALSE)*EJ$20,0,
IF(AND(EI54&lt;VLOOKUP($C52,$C$3:$D$15,2,FALSE)*EJ$20,EJ53&lt;=VLOOKUP($C52,$C$3:$D$15,2,FALSE)*EJ$20),IF(EJ53-EI54&lt;0,0,EJ53-EI54),
IF(AND(EI54&lt;VLOOKUP($C52,$C$3:$D$15,2,FALSE)*EJ$20,EJ53&gt;VLOOKUP($C52,$C$3:$D$15,2,FALSE)*EJ$20),VLOOKUP($C52,$C$3:$D$15,2,FALSE)*EJ$20-EI54)))</f>
        <v>0</v>
      </c>
      <c r="EK52" s="762">
        <f t="shared" ref="EK52" si="2015" xml:space="preserve">
IF(EJ54&gt;=VLOOKUP($C52,$C$3:$D$15,2,FALSE)*EK$20,0,
IF(AND(EJ54&lt;VLOOKUP($C52,$C$3:$D$15,2,FALSE)*EK$20,EK53&lt;=VLOOKUP($C52,$C$3:$D$15,2,FALSE)*EK$20),IF(EK53-EJ54&lt;0,0,EK53-EJ54),
IF(AND(EJ54&lt;VLOOKUP($C52,$C$3:$D$15,2,FALSE)*EK$20,EK53&gt;VLOOKUP($C52,$C$3:$D$15,2,FALSE)*EK$20),VLOOKUP($C52,$C$3:$D$15,2,FALSE)*EK$20-EJ54)))</f>
        <v>0</v>
      </c>
      <c r="EL52" s="762">
        <f t="shared" ref="EL52" si="2016" xml:space="preserve">
IF(EK54&gt;=VLOOKUP($C52,$C$3:$D$15,2,FALSE)*EL$20,0,
IF(AND(EK54&lt;VLOOKUP($C52,$C$3:$D$15,2,FALSE)*EL$20,EL53&lt;=VLOOKUP($C52,$C$3:$D$15,2,FALSE)*EL$20),IF(EL53-EK54&lt;0,0,EL53-EK54),
IF(AND(EK54&lt;VLOOKUP($C52,$C$3:$D$15,2,FALSE)*EL$20,EL53&gt;VLOOKUP($C52,$C$3:$D$15,2,FALSE)*EL$20),VLOOKUP($C52,$C$3:$D$15,2,FALSE)*EL$20-EK54)))</f>
        <v>0</v>
      </c>
      <c r="EM52" s="762">
        <f t="shared" ref="EM52" si="2017" xml:space="preserve">
IF(EL54&gt;=VLOOKUP($C52,$C$3:$D$15,2,FALSE)*EM$20,0,
IF(AND(EL54&lt;VLOOKUP($C52,$C$3:$D$15,2,FALSE)*EM$20,EM53&lt;=VLOOKUP($C52,$C$3:$D$15,2,FALSE)*EM$20),IF(EM53-EL54&lt;0,0,EM53-EL54),
IF(AND(EL54&lt;VLOOKUP($C52,$C$3:$D$15,2,FALSE)*EM$20,EM53&gt;VLOOKUP($C52,$C$3:$D$15,2,FALSE)*EM$20),VLOOKUP($C52,$C$3:$D$15,2,FALSE)*EM$20-EL54)))</f>
        <v>0</v>
      </c>
      <c r="EN52" s="762">
        <f t="shared" ref="EN52" si="2018" xml:space="preserve">
IF(EM54&gt;=VLOOKUP($C52,$C$3:$D$15,2,FALSE)*EN$20,0,
IF(AND(EM54&lt;VLOOKUP($C52,$C$3:$D$15,2,FALSE)*EN$20,EN53&lt;=VLOOKUP($C52,$C$3:$D$15,2,FALSE)*EN$20),IF(EN53-EM54&lt;0,0,EN53-EM54),
IF(AND(EM54&lt;VLOOKUP($C52,$C$3:$D$15,2,FALSE)*EN$20,EN53&gt;VLOOKUP($C52,$C$3:$D$15,2,FALSE)*EN$20),VLOOKUP($C52,$C$3:$D$15,2,FALSE)*EN$20-EM54)))</f>
        <v>0</v>
      </c>
      <c r="EO52" s="762">
        <f t="shared" ref="EO52" si="2019" xml:space="preserve">
IF(EN54&gt;=VLOOKUP($C52,$C$3:$D$15,2,FALSE)*EO$20,0,
IF(AND(EN54&lt;VLOOKUP($C52,$C$3:$D$15,2,FALSE)*EO$20,EO53&lt;=VLOOKUP($C52,$C$3:$D$15,2,FALSE)*EO$20),IF(EO53-EN54&lt;0,0,EO53-EN54),
IF(AND(EN54&lt;VLOOKUP($C52,$C$3:$D$15,2,FALSE)*EO$20,EO53&gt;VLOOKUP($C52,$C$3:$D$15,2,FALSE)*EO$20),VLOOKUP($C52,$C$3:$D$15,2,FALSE)*EO$20-EN54)))</f>
        <v>0</v>
      </c>
      <c r="EP52" s="762">
        <f t="shared" ref="EP52" si="2020" xml:space="preserve">
IF(EO54&gt;=VLOOKUP($C52,$C$3:$D$15,2,FALSE)*EP$20,0,
IF(AND(EO54&lt;VLOOKUP($C52,$C$3:$D$15,2,FALSE)*EP$20,EP53&lt;=VLOOKUP($C52,$C$3:$D$15,2,FALSE)*EP$20),IF(EP53-EO54&lt;0,0,EP53-EO54),
IF(AND(EO54&lt;VLOOKUP($C52,$C$3:$D$15,2,FALSE)*EP$20,EP53&gt;VLOOKUP($C52,$C$3:$D$15,2,FALSE)*EP$20),VLOOKUP($C52,$C$3:$D$15,2,FALSE)*EP$20-EO54)))</f>
        <v>0</v>
      </c>
      <c r="EQ52" s="762">
        <f t="shared" ref="EQ52" si="2021" xml:space="preserve">
IF(EP54&gt;=VLOOKUP($C52,$C$3:$D$15,2,FALSE)*EQ$20,0,
IF(AND(EP54&lt;VLOOKUP($C52,$C$3:$D$15,2,FALSE)*EQ$20,EQ53&lt;=VLOOKUP($C52,$C$3:$D$15,2,FALSE)*EQ$20),IF(EQ53-EP54&lt;0,0,EQ53-EP54),
IF(AND(EP54&lt;VLOOKUP($C52,$C$3:$D$15,2,FALSE)*EQ$20,EQ53&gt;VLOOKUP($C52,$C$3:$D$15,2,FALSE)*EQ$20),VLOOKUP($C52,$C$3:$D$15,2,FALSE)*EQ$20-EP54)))</f>
        <v>0</v>
      </c>
      <c r="ER52" s="762">
        <f t="shared" ref="ER52" si="2022" xml:space="preserve">
IF(EQ54&gt;=VLOOKUP($C52,$C$3:$D$15,2,FALSE)*ER$20,0,
IF(AND(EQ54&lt;VLOOKUP($C52,$C$3:$D$15,2,FALSE)*ER$20,ER53&lt;=VLOOKUP($C52,$C$3:$D$15,2,FALSE)*ER$20),IF(ER53-EQ54&lt;0,0,ER53-EQ54),
IF(AND(EQ54&lt;VLOOKUP($C52,$C$3:$D$15,2,FALSE)*ER$20,ER53&gt;VLOOKUP($C52,$C$3:$D$15,2,FALSE)*ER$20),VLOOKUP($C52,$C$3:$D$15,2,FALSE)*ER$20-EQ54)))</f>
        <v>0</v>
      </c>
      <c r="ES52" s="762">
        <f t="shared" ref="ES52" si="2023" xml:space="preserve">
IF(ER54&gt;=VLOOKUP($C52,$C$3:$D$15,2,FALSE)*ES$20,0,
IF(AND(ER54&lt;VLOOKUP($C52,$C$3:$D$15,2,FALSE)*ES$20,ES53&lt;=VLOOKUP($C52,$C$3:$D$15,2,FALSE)*ES$20),IF(ES53-ER54&lt;0,0,ES53-ER54),
IF(AND(ER54&lt;VLOOKUP($C52,$C$3:$D$15,2,FALSE)*ES$20,ES53&gt;VLOOKUP($C52,$C$3:$D$15,2,FALSE)*ES$20),VLOOKUP($C52,$C$3:$D$15,2,FALSE)*ES$20-ER54)))</f>
        <v>0</v>
      </c>
      <c r="ET52" s="762">
        <f t="shared" ref="ET52" si="2024" xml:space="preserve">
IF(ES54&gt;=VLOOKUP($C52,$C$3:$D$15,2,FALSE)*ET$20,0,
IF(AND(ES54&lt;VLOOKUP($C52,$C$3:$D$15,2,FALSE)*ET$20,ET53&lt;=VLOOKUP($C52,$C$3:$D$15,2,FALSE)*ET$20),IF(ET53-ES54&lt;0,0,ET53-ES54),
IF(AND(ES54&lt;VLOOKUP($C52,$C$3:$D$15,2,FALSE)*ET$20,ET53&gt;VLOOKUP($C52,$C$3:$D$15,2,FALSE)*ET$20),VLOOKUP($C52,$C$3:$D$15,2,FALSE)*ET$20-ES54)))</f>
        <v>0</v>
      </c>
      <c r="EU52" s="762">
        <f t="shared" ref="EU52" si="2025" xml:space="preserve">
IF(ET54&gt;=VLOOKUP($C52,$C$3:$D$15,2,FALSE)*EU$20,0,
IF(AND(ET54&lt;VLOOKUP($C52,$C$3:$D$15,2,FALSE)*EU$20,EU53&lt;=VLOOKUP($C52,$C$3:$D$15,2,FALSE)*EU$20),IF(EU53-ET54&lt;0,0,EU53-ET54),
IF(AND(ET54&lt;VLOOKUP($C52,$C$3:$D$15,2,FALSE)*EU$20,EU53&gt;VLOOKUP($C52,$C$3:$D$15,2,FALSE)*EU$20),VLOOKUP($C52,$C$3:$D$15,2,FALSE)*EU$20-ET54)))</f>
        <v>0</v>
      </c>
      <c r="EV52" s="762">
        <f t="shared" ref="EV52" si="2026" xml:space="preserve">
IF(EU54&gt;=VLOOKUP($C52,$C$3:$D$15,2,FALSE)*EV$20,0,
IF(AND(EU54&lt;VLOOKUP($C52,$C$3:$D$15,2,FALSE)*EV$20,EV53&lt;=VLOOKUP($C52,$C$3:$D$15,2,FALSE)*EV$20),IF(EV53-EU54&lt;0,0,EV53-EU54),
IF(AND(EU54&lt;VLOOKUP($C52,$C$3:$D$15,2,FALSE)*EV$20,EV53&gt;VLOOKUP($C52,$C$3:$D$15,2,FALSE)*EV$20),VLOOKUP($C52,$C$3:$D$15,2,FALSE)*EV$20-EU54)))</f>
        <v>0</v>
      </c>
      <c r="EW52" s="762">
        <f t="shared" ref="EW52" si="2027" xml:space="preserve">
IF(EV54&gt;=VLOOKUP($C52,$C$3:$D$15,2,FALSE)*EW$20,0,
IF(AND(EV54&lt;VLOOKUP($C52,$C$3:$D$15,2,FALSE)*EW$20,EW53&lt;=VLOOKUP($C52,$C$3:$D$15,2,FALSE)*EW$20),IF(EW53-EV54&lt;0,0,EW53-EV54),
IF(AND(EV54&lt;VLOOKUP($C52,$C$3:$D$15,2,FALSE)*EW$20,EW53&gt;VLOOKUP($C52,$C$3:$D$15,2,FALSE)*EW$20),VLOOKUP($C52,$C$3:$D$15,2,FALSE)*EW$20-EV54)))</f>
        <v>0</v>
      </c>
      <c r="EX52" s="762">
        <f t="shared" ref="EX52" si="2028" xml:space="preserve">
IF(EW54&gt;=VLOOKUP($C52,$C$3:$D$15,2,FALSE)*EX$20,0,
IF(AND(EW54&lt;VLOOKUP($C52,$C$3:$D$15,2,FALSE)*EX$20,EX53&lt;=VLOOKUP($C52,$C$3:$D$15,2,FALSE)*EX$20),IF(EX53-EW54&lt;0,0,EX53-EW54),
IF(AND(EW54&lt;VLOOKUP($C52,$C$3:$D$15,2,FALSE)*EX$20,EX53&gt;VLOOKUP($C52,$C$3:$D$15,2,FALSE)*EX$20),VLOOKUP($C52,$C$3:$D$15,2,FALSE)*EX$20-EW54)))</f>
        <v>0</v>
      </c>
      <c r="EY52" s="762">
        <f t="shared" ref="EY52" si="2029" xml:space="preserve">
IF(EX54&gt;=VLOOKUP($C52,$C$3:$D$15,2,FALSE)*EY$20,0,
IF(AND(EX54&lt;VLOOKUP($C52,$C$3:$D$15,2,FALSE)*EY$20,EY53&lt;=VLOOKUP($C52,$C$3:$D$15,2,FALSE)*EY$20),IF(EY53-EX54&lt;0,0,EY53-EX54),
IF(AND(EX54&lt;VLOOKUP($C52,$C$3:$D$15,2,FALSE)*EY$20,EY53&gt;VLOOKUP($C52,$C$3:$D$15,2,FALSE)*EY$20),VLOOKUP($C52,$C$3:$D$15,2,FALSE)*EY$20-EX54)))</f>
        <v>0</v>
      </c>
      <c r="EZ52" s="762">
        <f t="shared" ref="EZ52" si="2030" xml:space="preserve">
IF(EY54&gt;=VLOOKUP($C52,$C$3:$D$15,2,FALSE)*EZ$20,0,
IF(AND(EY54&lt;VLOOKUP($C52,$C$3:$D$15,2,FALSE)*EZ$20,EZ53&lt;=VLOOKUP($C52,$C$3:$D$15,2,FALSE)*EZ$20),IF(EZ53-EY54&lt;0,0,EZ53-EY54),
IF(AND(EY54&lt;VLOOKUP($C52,$C$3:$D$15,2,FALSE)*EZ$20,EZ53&gt;VLOOKUP($C52,$C$3:$D$15,2,FALSE)*EZ$20),VLOOKUP($C52,$C$3:$D$15,2,FALSE)*EZ$20-EY54)))</f>
        <v>0</v>
      </c>
      <c r="FA52" s="762">
        <f t="shared" ref="FA52" si="2031" xml:space="preserve">
IF(EZ54&gt;=VLOOKUP($C52,$C$3:$D$15,2,FALSE)*FA$20,0,
IF(AND(EZ54&lt;VLOOKUP($C52,$C$3:$D$15,2,FALSE)*FA$20,FA53&lt;=VLOOKUP($C52,$C$3:$D$15,2,FALSE)*FA$20),IF(FA53-EZ54&lt;0,0,FA53-EZ54),
IF(AND(EZ54&lt;VLOOKUP($C52,$C$3:$D$15,2,FALSE)*FA$20,FA53&gt;VLOOKUP($C52,$C$3:$D$15,2,FALSE)*FA$20),VLOOKUP($C52,$C$3:$D$15,2,FALSE)*FA$20-EZ54)))</f>
        <v>0</v>
      </c>
      <c r="FB52" s="762">
        <f t="shared" ref="FB52" si="2032" xml:space="preserve">
IF(FA54&gt;=VLOOKUP($C52,$C$3:$D$15,2,FALSE)*FB$20,0,
IF(AND(FA54&lt;VLOOKUP($C52,$C$3:$D$15,2,FALSE)*FB$20,FB53&lt;=VLOOKUP($C52,$C$3:$D$15,2,FALSE)*FB$20),IF(FB53-FA54&lt;0,0,FB53-FA54),
IF(AND(FA54&lt;VLOOKUP($C52,$C$3:$D$15,2,FALSE)*FB$20,FB53&gt;VLOOKUP($C52,$C$3:$D$15,2,FALSE)*FB$20),VLOOKUP($C52,$C$3:$D$15,2,FALSE)*FB$20-FA54)))</f>
        <v>0</v>
      </c>
      <c r="FC52" s="762">
        <f t="shared" ref="FC52" si="2033" xml:space="preserve">
IF(FB54&gt;=VLOOKUP($C52,$C$3:$D$15,2,FALSE)*FC$20,0,
IF(AND(FB54&lt;VLOOKUP($C52,$C$3:$D$15,2,FALSE)*FC$20,FC53&lt;=VLOOKUP($C52,$C$3:$D$15,2,FALSE)*FC$20),IF(FC53-FB54&lt;0,0,FC53-FB54),
IF(AND(FB54&lt;VLOOKUP($C52,$C$3:$D$15,2,FALSE)*FC$20,FC53&gt;VLOOKUP($C52,$C$3:$D$15,2,FALSE)*FC$20),VLOOKUP($C52,$C$3:$D$15,2,FALSE)*FC$20-FB54)))</f>
        <v>0</v>
      </c>
      <c r="FD52" s="762">
        <f t="shared" ref="FD52" si="2034" xml:space="preserve">
IF(FC54&gt;=VLOOKUP($C52,$C$3:$D$15,2,FALSE)*FD$20,0,
IF(AND(FC54&lt;VLOOKUP($C52,$C$3:$D$15,2,FALSE)*FD$20,FD53&lt;=VLOOKUP($C52,$C$3:$D$15,2,FALSE)*FD$20),IF(FD53-FC54&lt;0,0,FD53-FC54),
IF(AND(FC54&lt;VLOOKUP($C52,$C$3:$D$15,2,FALSE)*FD$20,FD53&gt;VLOOKUP($C52,$C$3:$D$15,2,FALSE)*FD$20),VLOOKUP($C52,$C$3:$D$15,2,FALSE)*FD$20-FC54)))</f>
        <v>0</v>
      </c>
      <c r="FE52" s="762">
        <f t="shared" ref="FE52" si="2035" xml:space="preserve">
IF(FD54&gt;=VLOOKUP($C52,$C$3:$D$15,2,FALSE)*FE$20,0,
IF(AND(FD54&lt;VLOOKUP($C52,$C$3:$D$15,2,FALSE)*FE$20,FE53&lt;=VLOOKUP($C52,$C$3:$D$15,2,FALSE)*FE$20),IF(FE53-FD54&lt;0,0,FE53-FD54),
IF(AND(FD54&lt;VLOOKUP($C52,$C$3:$D$15,2,FALSE)*FE$20,FE53&gt;VLOOKUP($C52,$C$3:$D$15,2,FALSE)*FE$20),VLOOKUP($C52,$C$3:$D$15,2,FALSE)*FE$20-FD54)))</f>
        <v>0</v>
      </c>
      <c r="FF52" s="762">
        <f t="shared" ref="FF52" si="2036" xml:space="preserve">
IF(FE54&gt;=VLOOKUP($C52,$C$3:$D$15,2,FALSE)*FF$20,0,
IF(AND(FE54&lt;VLOOKUP($C52,$C$3:$D$15,2,FALSE)*FF$20,FF53&lt;=VLOOKUP($C52,$C$3:$D$15,2,FALSE)*FF$20),IF(FF53-FE54&lt;0,0,FF53-FE54),
IF(AND(FE54&lt;VLOOKUP($C52,$C$3:$D$15,2,FALSE)*FF$20,FF53&gt;VLOOKUP($C52,$C$3:$D$15,2,FALSE)*FF$20),VLOOKUP($C52,$C$3:$D$15,2,FALSE)*FF$20-FE54)))</f>
        <v>0</v>
      </c>
      <c r="FG52" s="762">
        <f t="shared" ref="FG52" si="2037" xml:space="preserve">
IF(FF54&gt;=VLOOKUP($C52,$C$3:$D$15,2,FALSE)*FG$20,0,
IF(AND(FF54&lt;VLOOKUP($C52,$C$3:$D$15,2,FALSE)*FG$20,FG53&lt;=VLOOKUP($C52,$C$3:$D$15,2,FALSE)*FG$20),IF(FG53-FF54&lt;0,0,FG53-FF54),
IF(AND(FF54&lt;VLOOKUP($C52,$C$3:$D$15,2,FALSE)*FG$20,FG53&gt;VLOOKUP($C52,$C$3:$D$15,2,FALSE)*FG$20),VLOOKUP($C52,$C$3:$D$15,2,FALSE)*FG$20-FF54)))</f>
        <v>0</v>
      </c>
      <c r="FH52" s="762">
        <f t="shared" ref="FH52" si="2038" xml:space="preserve">
IF(FG54&gt;=VLOOKUP($C52,$C$3:$D$15,2,FALSE)*FH$20,0,
IF(AND(FG54&lt;VLOOKUP($C52,$C$3:$D$15,2,FALSE)*FH$20,FH53&lt;=VLOOKUP($C52,$C$3:$D$15,2,FALSE)*FH$20),IF(FH53-FG54&lt;0,0,FH53-FG54),
IF(AND(FG54&lt;VLOOKUP($C52,$C$3:$D$15,2,FALSE)*FH$20,FH53&gt;VLOOKUP($C52,$C$3:$D$15,2,FALSE)*FH$20),VLOOKUP($C52,$C$3:$D$15,2,FALSE)*FH$20-FG54)))</f>
        <v>0</v>
      </c>
      <c r="FI52" s="762">
        <f t="shared" ref="FI52" si="2039" xml:space="preserve">
IF(FH54&gt;=VLOOKUP($C52,$C$3:$D$15,2,FALSE)*FI$20,0,
IF(AND(FH54&lt;VLOOKUP($C52,$C$3:$D$15,2,FALSE)*FI$20,FI53&lt;=VLOOKUP($C52,$C$3:$D$15,2,FALSE)*FI$20),IF(FI53-FH54&lt;0,0,FI53-FH54),
IF(AND(FH54&lt;VLOOKUP($C52,$C$3:$D$15,2,FALSE)*FI$20,FI53&gt;VLOOKUP($C52,$C$3:$D$15,2,FALSE)*FI$20),VLOOKUP($C52,$C$3:$D$15,2,FALSE)*FI$20-FH54)))</f>
        <v>0</v>
      </c>
      <c r="FJ52" s="762">
        <f t="shared" ref="FJ52" si="2040" xml:space="preserve">
IF(FI54&gt;=VLOOKUP($C52,$C$3:$D$15,2,FALSE)*FJ$20,0,
IF(AND(FI54&lt;VLOOKUP($C52,$C$3:$D$15,2,FALSE)*FJ$20,FJ53&lt;=VLOOKUP($C52,$C$3:$D$15,2,FALSE)*FJ$20),IF(FJ53-FI54&lt;0,0,FJ53-FI54),
IF(AND(FI54&lt;VLOOKUP($C52,$C$3:$D$15,2,FALSE)*FJ$20,FJ53&gt;VLOOKUP($C52,$C$3:$D$15,2,FALSE)*FJ$20),VLOOKUP($C52,$C$3:$D$15,2,FALSE)*FJ$20-FI54)))</f>
        <v>0</v>
      </c>
      <c r="FK52" s="762">
        <f t="shared" ref="FK52" si="2041" xml:space="preserve">
IF(FJ54&gt;=VLOOKUP($C52,$C$3:$D$15,2,FALSE)*FK$20,0,
IF(AND(FJ54&lt;VLOOKUP($C52,$C$3:$D$15,2,FALSE)*FK$20,FK53&lt;=VLOOKUP($C52,$C$3:$D$15,2,FALSE)*FK$20),IF(FK53-FJ54&lt;0,0,FK53-FJ54),
IF(AND(FJ54&lt;VLOOKUP($C52,$C$3:$D$15,2,FALSE)*FK$20,FK53&gt;VLOOKUP($C52,$C$3:$D$15,2,FALSE)*FK$20),VLOOKUP($C52,$C$3:$D$15,2,FALSE)*FK$20-FJ54)))</f>
        <v>0</v>
      </c>
      <c r="FL52" s="762">
        <f t="shared" ref="FL52" si="2042" xml:space="preserve">
IF(FK54&gt;=VLOOKUP($C52,$C$3:$D$15,2,FALSE)*FL$20,0,
IF(AND(FK54&lt;VLOOKUP($C52,$C$3:$D$15,2,FALSE)*FL$20,FL53&lt;=VLOOKUP($C52,$C$3:$D$15,2,FALSE)*FL$20),IF(FL53-FK54&lt;0,0,FL53-FK54),
IF(AND(FK54&lt;VLOOKUP($C52,$C$3:$D$15,2,FALSE)*FL$20,FL53&gt;VLOOKUP($C52,$C$3:$D$15,2,FALSE)*FL$20),VLOOKUP($C52,$C$3:$D$15,2,FALSE)*FL$20-FK54)))</f>
        <v>0</v>
      </c>
      <c r="FM52" s="762">
        <f t="shared" ref="FM52" si="2043" xml:space="preserve">
IF(FL54&gt;=VLOOKUP($C52,$C$3:$D$15,2,FALSE)*FM$20,0,
IF(AND(FL54&lt;VLOOKUP($C52,$C$3:$D$15,2,FALSE)*FM$20,FM53&lt;=VLOOKUP($C52,$C$3:$D$15,2,FALSE)*FM$20),IF(FM53-FL54&lt;0,0,FM53-FL54),
IF(AND(FL54&lt;VLOOKUP($C52,$C$3:$D$15,2,FALSE)*FM$20,FM53&gt;VLOOKUP($C52,$C$3:$D$15,2,FALSE)*FM$20),VLOOKUP($C52,$C$3:$D$15,2,FALSE)*FM$20-FL54)))</f>
        <v>0</v>
      </c>
      <c r="FN52" s="762">
        <f t="shared" ref="FN52" si="2044" xml:space="preserve">
IF(FM54&gt;=VLOOKUP($C52,$C$3:$D$15,2,FALSE)*FN$20,0,
IF(AND(FM54&lt;VLOOKUP($C52,$C$3:$D$15,2,FALSE)*FN$20,FN53&lt;=VLOOKUP($C52,$C$3:$D$15,2,FALSE)*FN$20),IF(FN53-FM54&lt;0,0,FN53-FM54),
IF(AND(FM54&lt;VLOOKUP($C52,$C$3:$D$15,2,FALSE)*FN$20,FN53&gt;VLOOKUP($C52,$C$3:$D$15,2,FALSE)*FN$20),VLOOKUP($C52,$C$3:$D$15,2,FALSE)*FN$20-FM54)))</f>
        <v>0</v>
      </c>
      <c r="FO52" s="762">
        <f t="shared" ref="FO52" si="2045" xml:space="preserve">
IF(FN54&gt;=VLOOKUP($C52,$C$3:$D$15,2,FALSE)*FO$20,0,
IF(AND(FN54&lt;VLOOKUP($C52,$C$3:$D$15,2,FALSE)*FO$20,FO53&lt;=VLOOKUP($C52,$C$3:$D$15,2,FALSE)*FO$20),IF(FO53-FN54&lt;0,0,FO53-FN54),
IF(AND(FN54&lt;VLOOKUP($C52,$C$3:$D$15,2,FALSE)*FO$20,FO53&gt;VLOOKUP($C52,$C$3:$D$15,2,FALSE)*FO$20),VLOOKUP($C52,$C$3:$D$15,2,FALSE)*FO$20-FN54)))</f>
        <v>0</v>
      </c>
      <c r="FP52" s="762">
        <f t="shared" ref="FP52" si="2046" xml:space="preserve">
IF(FO54&gt;=VLOOKUP($C52,$C$3:$D$15,2,FALSE)*FP$20,0,
IF(AND(FO54&lt;VLOOKUP($C52,$C$3:$D$15,2,FALSE)*FP$20,FP53&lt;=VLOOKUP($C52,$C$3:$D$15,2,FALSE)*FP$20),IF(FP53-FO54&lt;0,0,FP53-FO54),
IF(AND(FO54&lt;VLOOKUP($C52,$C$3:$D$15,2,FALSE)*FP$20,FP53&gt;VLOOKUP($C52,$C$3:$D$15,2,FALSE)*FP$20),VLOOKUP($C52,$C$3:$D$15,2,FALSE)*FP$20-FO54)))</f>
        <v>0</v>
      </c>
      <c r="FQ52" s="762">
        <f t="shared" ref="FQ52" si="2047" xml:space="preserve">
IF(FP54&gt;=VLOOKUP($C52,$C$3:$D$15,2,FALSE)*FQ$20,0,
IF(AND(FP54&lt;VLOOKUP($C52,$C$3:$D$15,2,FALSE)*FQ$20,FQ53&lt;=VLOOKUP($C52,$C$3:$D$15,2,FALSE)*FQ$20),IF(FQ53-FP54&lt;0,0,FQ53-FP54),
IF(AND(FP54&lt;VLOOKUP($C52,$C$3:$D$15,2,FALSE)*FQ$20,FQ53&gt;VLOOKUP($C52,$C$3:$D$15,2,FALSE)*FQ$20),VLOOKUP($C52,$C$3:$D$15,2,FALSE)*FQ$20-FP54)))</f>
        <v>0</v>
      </c>
      <c r="FR52" s="762">
        <f t="shared" ref="FR52" si="2048" xml:space="preserve">
IF(FQ54&gt;=VLOOKUP($C52,$C$3:$D$15,2,FALSE)*FR$20,0,
IF(AND(FQ54&lt;VLOOKUP($C52,$C$3:$D$15,2,FALSE)*FR$20,FR53&lt;=VLOOKUP($C52,$C$3:$D$15,2,FALSE)*FR$20),IF(FR53-FQ54&lt;0,0,FR53-FQ54),
IF(AND(FQ54&lt;VLOOKUP($C52,$C$3:$D$15,2,FALSE)*FR$20,FR53&gt;VLOOKUP($C52,$C$3:$D$15,2,FALSE)*FR$20),VLOOKUP($C52,$C$3:$D$15,2,FALSE)*FR$20-FQ54)))</f>
        <v>0</v>
      </c>
      <c r="FS52" s="762">
        <f t="shared" ref="FS52" si="2049" xml:space="preserve">
IF(FR54&gt;=VLOOKUP($C52,$C$3:$D$15,2,FALSE)*FS$20,0,
IF(AND(FR54&lt;VLOOKUP($C52,$C$3:$D$15,2,FALSE)*FS$20,FS53&lt;=VLOOKUP($C52,$C$3:$D$15,2,FALSE)*FS$20),IF(FS53-FR54&lt;0,0,FS53-FR54),
IF(AND(FR54&lt;VLOOKUP($C52,$C$3:$D$15,2,FALSE)*FS$20,FS53&gt;VLOOKUP($C52,$C$3:$D$15,2,FALSE)*FS$20),VLOOKUP($C52,$C$3:$D$15,2,FALSE)*FS$20-FR54)))</f>
        <v>0</v>
      </c>
      <c r="FT52" s="762">
        <f t="shared" ref="FT52" si="2050" xml:space="preserve">
IF(FS54&gt;=VLOOKUP($C52,$C$3:$D$15,2,FALSE)*FT$20,0,
IF(AND(FS54&lt;VLOOKUP($C52,$C$3:$D$15,2,FALSE)*FT$20,FT53&lt;=VLOOKUP($C52,$C$3:$D$15,2,FALSE)*FT$20),IF(FT53-FS54&lt;0,0,FT53-FS54),
IF(AND(FS54&lt;VLOOKUP($C52,$C$3:$D$15,2,FALSE)*FT$20,FT53&gt;VLOOKUP($C52,$C$3:$D$15,2,FALSE)*FT$20),VLOOKUP($C52,$C$3:$D$15,2,FALSE)*FT$20-FS54)))</f>
        <v>0</v>
      </c>
      <c r="FU52" s="762">
        <f t="shared" ref="FU52" si="2051" xml:space="preserve">
IF(FT54&gt;=VLOOKUP($C52,$C$3:$D$15,2,FALSE)*FU$20,0,
IF(AND(FT54&lt;VLOOKUP($C52,$C$3:$D$15,2,FALSE)*FU$20,FU53&lt;=VLOOKUP($C52,$C$3:$D$15,2,FALSE)*FU$20),IF(FU53-FT54&lt;0,0,FU53-FT54),
IF(AND(FT54&lt;VLOOKUP($C52,$C$3:$D$15,2,FALSE)*FU$20,FU53&gt;VLOOKUP($C52,$C$3:$D$15,2,FALSE)*FU$20),VLOOKUP($C52,$C$3:$D$15,2,FALSE)*FU$20-FT54)))</f>
        <v>0</v>
      </c>
      <c r="FV52" s="762">
        <f t="shared" ref="FV52" si="2052" xml:space="preserve">
IF(FU54&gt;=VLOOKUP($C52,$C$3:$D$15,2,FALSE)*FV$20,0,
IF(AND(FU54&lt;VLOOKUP($C52,$C$3:$D$15,2,FALSE)*FV$20,FV53&lt;=VLOOKUP($C52,$C$3:$D$15,2,FALSE)*FV$20),IF(FV53-FU54&lt;0,0,FV53-FU54),
IF(AND(FU54&lt;VLOOKUP($C52,$C$3:$D$15,2,FALSE)*FV$20,FV53&gt;VLOOKUP($C52,$C$3:$D$15,2,FALSE)*FV$20),VLOOKUP($C52,$C$3:$D$15,2,FALSE)*FV$20-FU54)))</f>
        <v>0</v>
      </c>
      <c r="FW52" s="762">
        <f t="shared" ref="FW52" si="2053" xml:space="preserve">
IF(FV54&gt;=VLOOKUP($C52,$C$3:$D$15,2,FALSE)*FW$20,0,
IF(AND(FV54&lt;VLOOKUP($C52,$C$3:$D$15,2,FALSE)*FW$20,FW53&lt;=VLOOKUP($C52,$C$3:$D$15,2,FALSE)*FW$20),IF(FW53-FV54&lt;0,0,FW53-FV54),
IF(AND(FV54&lt;VLOOKUP($C52,$C$3:$D$15,2,FALSE)*FW$20,FW53&gt;VLOOKUP($C52,$C$3:$D$15,2,FALSE)*FW$20),VLOOKUP($C52,$C$3:$D$15,2,FALSE)*FW$20-FV54)))</f>
        <v>0</v>
      </c>
      <c r="FX52" s="762">
        <f t="shared" ref="FX52" si="2054" xml:space="preserve">
IF(FW54&gt;=VLOOKUP($C52,$C$3:$D$15,2,FALSE)*FX$20,0,
IF(AND(FW54&lt;VLOOKUP($C52,$C$3:$D$15,2,FALSE)*FX$20,FX53&lt;=VLOOKUP($C52,$C$3:$D$15,2,FALSE)*FX$20),IF(FX53-FW54&lt;0,0,FX53-FW54),
IF(AND(FW54&lt;VLOOKUP($C52,$C$3:$D$15,2,FALSE)*FX$20,FX53&gt;VLOOKUP($C52,$C$3:$D$15,2,FALSE)*FX$20),VLOOKUP($C52,$C$3:$D$15,2,FALSE)*FX$20-FW54)))</f>
        <v>0</v>
      </c>
      <c r="FY52" s="762">
        <f t="shared" ref="FY52" si="2055" xml:space="preserve">
IF(FX54&gt;=VLOOKUP($C52,$C$3:$D$15,2,FALSE)*FY$20,0,
IF(AND(FX54&lt;VLOOKUP($C52,$C$3:$D$15,2,FALSE)*FY$20,FY53&lt;=VLOOKUP($C52,$C$3:$D$15,2,FALSE)*FY$20),IF(FY53-FX54&lt;0,0,FY53-FX54),
IF(AND(FX54&lt;VLOOKUP($C52,$C$3:$D$15,2,FALSE)*FY$20,FY53&gt;VLOOKUP($C52,$C$3:$D$15,2,FALSE)*FY$20),VLOOKUP($C52,$C$3:$D$15,2,FALSE)*FY$20-FX54)))</f>
        <v>0</v>
      </c>
      <c r="FZ52" s="762">
        <f t="shared" ref="FZ52" si="2056" xml:space="preserve">
IF(FY54&gt;=VLOOKUP($C52,$C$3:$D$15,2,FALSE)*FZ$20,0,
IF(AND(FY54&lt;VLOOKUP($C52,$C$3:$D$15,2,FALSE)*FZ$20,FZ53&lt;=VLOOKUP($C52,$C$3:$D$15,2,FALSE)*FZ$20),IF(FZ53-FY54&lt;0,0,FZ53-FY54),
IF(AND(FY54&lt;VLOOKUP($C52,$C$3:$D$15,2,FALSE)*FZ$20,FZ53&gt;VLOOKUP($C52,$C$3:$D$15,2,FALSE)*FZ$20),VLOOKUP($C52,$C$3:$D$15,2,FALSE)*FZ$20-FY54)))</f>
        <v>0</v>
      </c>
      <c r="GA52" s="762">
        <f t="shared" ref="GA52" si="2057" xml:space="preserve">
IF(FZ54&gt;=VLOOKUP($C52,$C$3:$D$15,2,FALSE)*GA$20,0,
IF(AND(FZ54&lt;VLOOKUP($C52,$C$3:$D$15,2,FALSE)*GA$20,GA53&lt;=VLOOKUP($C52,$C$3:$D$15,2,FALSE)*GA$20),IF(GA53-FZ54&lt;0,0,GA53-FZ54),
IF(AND(FZ54&lt;VLOOKUP($C52,$C$3:$D$15,2,FALSE)*GA$20,GA53&gt;VLOOKUP($C52,$C$3:$D$15,2,FALSE)*GA$20),VLOOKUP($C52,$C$3:$D$15,2,FALSE)*GA$20-FZ54)))</f>
        <v>0</v>
      </c>
      <c r="GB52" s="762">
        <f t="shared" ref="GB52" si="2058" xml:space="preserve">
IF(GA54&gt;=VLOOKUP($C52,$C$3:$D$15,2,FALSE)*GB$20,0,
IF(AND(GA54&lt;VLOOKUP($C52,$C$3:$D$15,2,FALSE)*GB$20,GB53&lt;=VLOOKUP($C52,$C$3:$D$15,2,FALSE)*GB$20),IF(GB53-GA54&lt;0,0,GB53-GA54),
IF(AND(GA54&lt;VLOOKUP($C52,$C$3:$D$15,2,FALSE)*GB$20,GB53&gt;VLOOKUP($C52,$C$3:$D$15,2,FALSE)*GB$20),VLOOKUP($C52,$C$3:$D$15,2,FALSE)*GB$20-GA54)))</f>
        <v>0</v>
      </c>
      <c r="GC52" s="762">
        <f t="shared" ref="GC52" si="2059" xml:space="preserve">
IF(GB54&gt;=VLOOKUP($C52,$C$3:$D$15,2,FALSE)*GC$20,0,
IF(AND(GB54&lt;VLOOKUP($C52,$C$3:$D$15,2,FALSE)*GC$20,GC53&lt;=VLOOKUP($C52,$C$3:$D$15,2,FALSE)*GC$20),IF(GC53-GB54&lt;0,0,GC53-GB54),
IF(AND(GB54&lt;VLOOKUP($C52,$C$3:$D$15,2,FALSE)*GC$20,GC53&gt;VLOOKUP($C52,$C$3:$D$15,2,FALSE)*GC$20),VLOOKUP($C52,$C$3:$D$15,2,FALSE)*GC$20-GB54)))</f>
        <v>0</v>
      </c>
      <c r="GD52" s="762">
        <f t="shared" ref="GD52" si="2060" xml:space="preserve">
IF(GC54&gt;=VLOOKUP($C52,$C$3:$D$15,2,FALSE)*GD$20,0,
IF(AND(GC54&lt;VLOOKUP($C52,$C$3:$D$15,2,FALSE)*GD$20,GD53&lt;=VLOOKUP($C52,$C$3:$D$15,2,FALSE)*GD$20),IF(GD53-GC54&lt;0,0,GD53-GC54),
IF(AND(GC54&lt;VLOOKUP($C52,$C$3:$D$15,2,FALSE)*GD$20,GD53&gt;VLOOKUP($C52,$C$3:$D$15,2,FALSE)*GD$20),VLOOKUP($C52,$C$3:$D$15,2,FALSE)*GD$20-GC54)))</f>
        <v>0</v>
      </c>
      <c r="GE52" s="762">
        <f t="shared" ref="GE52" si="2061" xml:space="preserve">
IF(GD54&gt;=VLOOKUP($C52,$C$3:$D$15,2,FALSE)*GE$20,0,
IF(AND(GD54&lt;VLOOKUP($C52,$C$3:$D$15,2,FALSE)*GE$20,GE53&lt;=VLOOKUP($C52,$C$3:$D$15,2,FALSE)*GE$20),IF(GE53-GD54&lt;0,0,GE53-GD54),
IF(AND(GD54&lt;VLOOKUP($C52,$C$3:$D$15,2,FALSE)*GE$20,GE53&gt;VLOOKUP($C52,$C$3:$D$15,2,FALSE)*GE$20),VLOOKUP($C52,$C$3:$D$15,2,FALSE)*GE$20-GD54)))</f>
        <v>0</v>
      </c>
      <c r="GF52" s="762">
        <f t="shared" ref="GF52" si="2062" xml:space="preserve">
IF(GE54&gt;=VLOOKUP($C52,$C$3:$D$15,2,FALSE)*GF$20,0,
IF(AND(GE54&lt;VLOOKUP($C52,$C$3:$D$15,2,FALSE)*GF$20,GF53&lt;=VLOOKUP($C52,$C$3:$D$15,2,FALSE)*GF$20),IF(GF53-GE54&lt;0,0,GF53-GE54),
IF(AND(GE54&lt;VLOOKUP($C52,$C$3:$D$15,2,FALSE)*GF$20,GF53&gt;VLOOKUP($C52,$C$3:$D$15,2,FALSE)*GF$20),VLOOKUP($C52,$C$3:$D$15,2,FALSE)*GF$20-GE54)))</f>
        <v>0</v>
      </c>
      <c r="GG52" s="762">
        <f t="shared" ref="GG52" si="2063" xml:space="preserve">
IF(GF54&gt;=VLOOKUP($C52,$C$3:$D$15,2,FALSE)*GG$20,0,
IF(AND(GF54&lt;VLOOKUP($C52,$C$3:$D$15,2,FALSE)*GG$20,GG53&lt;=VLOOKUP($C52,$C$3:$D$15,2,FALSE)*GG$20),IF(GG53-GF54&lt;0,0,GG53-GF54),
IF(AND(GF54&lt;VLOOKUP($C52,$C$3:$D$15,2,FALSE)*GG$20,GG53&gt;VLOOKUP($C52,$C$3:$D$15,2,FALSE)*GG$20),VLOOKUP($C52,$C$3:$D$15,2,FALSE)*GG$20-GF54)))</f>
        <v>0</v>
      </c>
      <c r="GH52" s="762">
        <f t="shared" ref="GH52" si="2064" xml:space="preserve">
IF(GG54&gt;=VLOOKUP($C52,$C$3:$D$15,2,FALSE)*GH$20,0,
IF(AND(GG54&lt;VLOOKUP($C52,$C$3:$D$15,2,FALSE)*GH$20,GH53&lt;=VLOOKUP($C52,$C$3:$D$15,2,FALSE)*GH$20),IF(GH53-GG54&lt;0,0,GH53-GG54),
IF(AND(GG54&lt;VLOOKUP($C52,$C$3:$D$15,2,FALSE)*GH$20,GH53&gt;VLOOKUP($C52,$C$3:$D$15,2,FALSE)*GH$20),VLOOKUP($C52,$C$3:$D$15,2,FALSE)*GH$20-GG54)))</f>
        <v>0</v>
      </c>
      <c r="GI52" s="762">
        <f t="shared" ref="GI52" si="2065" xml:space="preserve">
IF(GH54&gt;=VLOOKUP($C52,$C$3:$D$15,2,FALSE)*GI$20,0,
IF(AND(GH54&lt;VLOOKUP($C52,$C$3:$D$15,2,FALSE)*GI$20,GI53&lt;=VLOOKUP($C52,$C$3:$D$15,2,FALSE)*GI$20),IF(GI53-GH54&lt;0,0,GI53-GH54),
IF(AND(GH54&lt;VLOOKUP($C52,$C$3:$D$15,2,FALSE)*GI$20,GI53&gt;VLOOKUP($C52,$C$3:$D$15,2,FALSE)*GI$20),VLOOKUP($C52,$C$3:$D$15,2,FALSE)*GI$20-GH54)))</f>
        <v>0</v>
      </c>
      <c r="GJ52" s="762">
        <f t="shared" ref="GJ52" si="2066" xml:space="preserve">
IF(GI54&gt;=VLOOKUP($C52,$C$3:$D$15,2,FALSE)*GJ$20,0,
IF(AND(GI54&lt;VLOOKUP($C52,$C$3:$D$15,2,FALSE)*GJ$20,GJ53&lt;=VLOOKUP($C52,$C$3:$D$15,2,FALSE)*GJ$20),IF(GJ53-GI54&lt;0,0,GJ53-GI54),
IF(AND(GI54&lt;VLOOKUP($C52,$C$3:$D$15,2,FALSE)*GJ$20,GJ53&gt;VLOOKUP($C52,$C$3:$D$15,2,FALSE)*GJ$20),VLOOKUP($C52,$C$3:$D$15,2,FALSE)*GJ$20-GI54)))</f>
        <v>0</v>
      </c>
    </row>
    <row r="53" spans="2:192" s="632" customFormat="1">
      <c r="B53" s="633"/>
      <c r="C53" s="625"/>
      <c r="D53" s="701" t="s">
        <v>1424</v>
      </c>
      <c r="E53" s="706"/>
      <c r="F53" s="653"/>
      <c r="G53" s="762">
        <f>SUMIF(防護具!$Y$30:$Y$212,G$17&amp;$C52,防護具!$Q$30:$Q$212)</f>
        <v>0</v>
      </c>
      <c r="H53" s="762">
        <f>IFERROR(
SUM(G53,SUMIF(防護具!$Y$30:$Y$212,H$17&amp;$C52,防護具!$Q$30:$Q$212))-G52,0)</f>
        <v>0</v>
      </c>
      <c r="I53" s="762">
        <f>IFERROR(
SUM(H53,SUMIF(防護具!$Y$30:$Y$212,I$17&amp;$C52,防護具!$Q$30:$Q$212))-H52,0)</f>
        <v>0</v>
      </c>
      <c r="J53" s="762">
        <f>IFERROR(
SUM(I53,SUMIF(防護具!$Y$30:$Y$212,J$17&amp;$C52,防護具!$Q$30:$Q$212))-I52,0)</f>
        <v>0</v>
      </c>
      <c r="K53" s="762">
        <f>IFERROR(
SUM(J53,SUMIF(防護具!$Y$30:$Y$212,K$17&amp;$C52,防護具!$Q$30:$Q$212))-J52,0)</f>
        <v>0</v>
      </c>
      <c r="L53" s="762">
        <f>IFERROR(
SUM(K53,SUMIF(防護具!$Y$30:$Y$212,L$17&amp;$C52,防護具!$Q$30:$Q$212))-K52,0)</f>
        <v>0</v>
      </c>
      <c r="M53" s="762">
        <f>IFERROR(
SUM(L53,SUMIF(防護具!$Y$30:$Y$212,M$17&amp;$C52,防護具!$Q$30:$Q$212))-L52,0)</f>
        <v>0</v>
      </c>
      <c r="N53" s="762">
        <f>IFERROR(
SUM(M53,SUMIF(防護具!$Y$30:$Y$212,N$17&amp;$C52,防護具!$Q$30:$Q$212))-M52,0)</f>
        <v>0</v>
      </c>
      <c r="O53" s="762">
        <f>IFERROR(
SUM(N53,SUMIF(防護具!$Y$30:$Y$212,O$17&amp;$C52,防護具!$Q$30:$Q$212))-N52,0)</f>
        <v>0</v>
      </c>
      <c r="P53" s="762">
        <f>IFERROR(
SUM(O53,SUMIF(防護具!$Y$30:$Y$212,P$17&amp;$C52,防護具!$Q$30:$Q$212))-O52,0)</f>
        <v>0</v>
      </c>
      <c r="Q53" s="762">
        <f>IFERROR(
SUM(P53,SUMIF(防護具!$Y$30:$Y$212,Q$17&amp;$C52,防護具!$Q$30:$Q$212))-P52,0)</f>
        <v>0</v>
      </c>
      <c r="R53" s="762">
        <f>IFERROR(
SUM(Q53,SUMIF(防護具!$Y$30:$Y$212,R$17&amp;$C52,防護具!$Q$30:$Q$212))-Q52,0)</f>
        <v>0</v>
      </c>
      <c r="S53" s="762">
        <f>IFERROR(
SUM(R53,SUMIF(防護具!$Y$30:$Y$212,S$17&amp;$C52,防護具!$Q$30:$Q$212))-R52,0)</f>
        <v>0</v>
      </c>
      <c r="T53" s="762">
        <f>IFERROR(
SUM(S53,SUMIF(防護具!$Y$30:$Y$212,T$17&amp;$C52,防護具!$Q$30:$Q$212))-S52,0)</f>
        <v>0</v>
      </c>
      <c r="U53" s="762">
        <f>IFERROR(
SUM(T53,SUMIF(防護具!$Y$30:$Y$212,U$17&amp;$C52,防護具!$Q$30:$Q$212))-T52,0)</f>
        <v>0</v>
      </c>
      <c r="V53" s="762">
        <f>IFERROR(
SUM(U53,SUMIF(防護具!$Y$30:$Y$212,V$17&amp;$C52,防護具!$Q$30:$Q$212))-U52,0)</f>
        <v>0</v>
      </c>
      <c r="W53" s="762">
        <f>IFERROR(
SUM(V53,SUMIF(防護具!$Y$30:$Y$212,W$17&amp;$C52,防護具!$Q$30:$Q$212))-V52,0)</f>
        <v>0</v>
      </c>
      <c r="X53" s="762">
        <f>IFERROR(
SUM(W53,SUMIF(防護具!$Y$30:$Y$212,X$17&amp;$C52,防護具!$Q$30:$Q$212))-W52,0)</f>
        <v>0</v>
      </c>
      <c r="Y53" s="762">
        <f>IFERROR(
SUM(X53,SUMIF(防護具!$Y$30:$Y$212,Y$17&amp;$C52,防護具!$Q$30:$Q$212))-X52,0)</f>
        <v>0</v>
      </c>
      <c r="Z53" s="762">
        <f>IFERROR(
SUM(Y53,SUMIF(防護具!$Y$30:$Y$212,Z$17&amp;$C52,防護具!$Q$30:$Q$212))-Y52,0)</f>
        <v>0</v>
      </c>
      <c r="AA53" s="762">
        <f>IFERROR(
SUM(Z53,SUMIF(防護具!$Y$30:$Y$212,AA$17&amp;$C52,防護具!$Q$30:$Q$212))-Z52,0)</f>
        <v>0</v>
      </c>
      <c r="AB53" s="762">
        <f>IFERROR(
SUM(AA53,SUMIF(防護具!$Y$30:$Y$212,AB$17&amp;$C52,防護具!$Q$30:$Q$212))-AA52,0)</f>
        <v>0</v>
      </c>
      <c r="AC53" s="762">
        <f>IFERROR(
SUM(AB53,SUMIF(防護具!$Y$30:$Y$212,AC$17&amp;$C52,防護具!$Q$30:$Q$212))-AB52,0)</f>
        <v>0</v>
      </c>
      <c r="AD53" s="762">
        <f>IFERROR(
SUM(AC53,SUMIF(防護具!$Y$30:$Y$212,AD$17&amp;$C52,防護具!$Q$30:$Q$212))-AC52,0)</f>
        <v>0</v>
      </c>
      <c r="AE53" s="762">
        <f>IFERROR(
SUM(AD53,SUMIF(防護具!$Y$30:$Y$212,AE$17&amp;$C52,防護具!$Q$30:$Q$212))-AD52,0)</f>
        <v>0</v>
      </c>
      <c r="AF53" s="762">
        <f>IFERROR(
SUM(AE53,SUMIF(防護具!$Y$30:$Y$212,AF$17&amp;$C52,防護具!$Q$30:$Q$212))-AE52,0)</f>
        <v>0</v>
      </c>
      <c r="AG53" s="762">
        <f>IFERROR(
SUM(AF53,SUMIF(防護具!$Y$30:$Y$212,AG$17&amp;$C52,防護具!$Q$30:$Q$212))-AF52,0)</f>
        <v>0</v>
      </c>
      <c r="AH53" s="762">
        <f>IFERROR(
SUM(AG53,SUMIF(防護具!$Y$30:$Y$212,AH$17&amp;$C52,防護具!$Q$30:$Q$212))-AG52,0)</f>
        <v>0</v>
      </c>
      <c r="AI53" s="762">
        <f>IFERROR(
SUM(AH53,SUMIF(防護具!$Y$30:$Y$212,AI$17&amp;$C52,防護具!$Q$30:$Q$212))-AH52,0)</f>
        <v>0</v>
      </c>
      <c r="AJ53" s="762">
        <f>IFERROR(
SUM(AI53,SUMIF(防護具!$Y$30:$Y$212,AJ$17&amp;$C52,防護具!$Q$30:$Q$212))-AI52,0)</f>
        <v>0</v>
      </c>
      <c r="AK53" s="762">
        <f>IFERROR(
SUM(AJ53,SUMIF(防護具!$Y$30:$Y$212,AK$17&amp;$C52,防護具!$Q$30:$Q$212))-AJ52,0)</f>
        <v>0</v>
      </c>
      <c r="AL53" s="762">
        <f>IFERROR(
SUM(AK53,SUMIF(防護具!$Y$30:$Y$212,AL$17&amp;$C52,防護具!$Q$30:$Q$212))-AK52,0)</f>
        <v>0</v>
      </c>
      <c r="AM53" s="762">
        <f>IFERROR(
SUM(AL53,SUMIF(防護具!$Y$30:$Y$212,AM$17&amp;$C52,防護具!$Q$30:$Q$212))-AL52,0)</f>
        <v>0</v>
      </c>
      <c r="AN53" s="762">
        <f>IFERROR(
SUM(AM53,SUMIF(防護具!$Y$30:$Y$212,AN$17&amp;$C52,防護具!$Q$30:$Q$212))-AM52,0)</f>
        <v>0</v>
      </c>
      <c r="AO53" s="762">
        <f>IFERROR(
SUM(AN53,SUMIF(防護具!$Y$30:$Y$212,AO$17&amp;$C52,防護具!$Q$30:$Q$212))-AN52,0)</f>
        <v>0</v>
      </c>
      <c r="AP53" s="762">
        <f>IFERROR(
SUM(AO53,SUMIF(防護具!$Y$30:$Y$212,AP$17&amp;$C52,防護具!$Q$30:$Q$212))-AO52,0)</f>
        <v>0</v>
      </c>
      <c r="AQ53" s="762">
        <f>IFERROR(
SUM(AP53,SUMIF(防護具!$Y$30:$Y$212,AQ$17&amp;$C52,防護具!$Q$30:$Q$212))-AP52,0)</f>
        <v>0</v>
      </c>
      <c r="AR53" s="762">
        <f>IFERROR(
SUM(AQ53,SUMIF(防護具!$Y$30:$Y$212,AR$17&amp;$C52,防護具!$Q$30:$Q$212))-AQ52,0)</f>
        <v>0</v>
      </c>
      <c r="AS53" s="762">
        <f>IFERROR(
SUM(AR53,SUMIF(防護具!$Y$30:$Y$212,AS$17&amp;$C52,防護具!$Q$30:$Q$212))-AR52,0)</f>
        <v>0</v>
      </c>
      <c r="AT53" s="762">
        <f>IFERROR(
SUM(AS53,SUMIF(防護具!$Y$30:$Y$212,AT$17&amp;$C52,防護具!$Q$30:$Q$212))-AS52,0)</f>
        <v>0</v>
      </c>
      <c r="AU53" s="762">
        <f>IFERROR(
SUM(AT53,SUMIF(防護具!$Y$30:$Y$212,AU$17&amp;$C52,防護具!$Q$30:$Q$212))-AT52,0)</f>
        <v>0</v>
      </c>
      <c r="AV53" s="762">
        <f>IFERROR(
SUM(AU53,SUMIF(防護具!$Y$30:$Y$212,AV$17&amp;$C52,防護具!$Q$30:$Q$212))-AU52,0)</f>
        <v>0</v>
      </c>
      <c r="AW53" s="762">
        <f>IFERROR(
SUM(AV53,SUMIF(防護具!$Y$30:$Y$212,AW$17&amp;$C52,防護具!$Q$30:$Q$212))-AV52,0)</f>
        <v>0</v>
      </c>
      <c r="AX53" s="762">
        <f>IFERROR(
SUM(AW53,SUMIF(防護具!$Y$30:$Y$212,AX$17&amp;$C52,防護具!$Q$30:$Q$212))-AW52,0)</f>
        <v>0</v>
      </c>
      <c r="AY53" s="762">
        <f>IFERROR(
SUM(AX53,SUMIF(防護具!$Y$30:$Y$212,AY$17&amp;$C52,防護具!$Q$30:$Q$212))-AX52,0)</f>
        <v>0</v>
      </c>
      <c r="AZ53" s="762">
        <f>IFERROR(
SUM(AY53,SUMIF(防護具!$Y$30:$Y$212,AZ$17&amp;$C52,防護具!$Q$30:$Q$212))-AY52,0)</f>
        <v>0</v>
      </c>
      <c r="BA53" s="762">
        <f>IFERROR(
SUM(AZ53,SUMIF(防護具!$Y$30:$Y$212,BA$17&amp;$C52,防護具!$Q$30:$Q$212))-AZ52,0)</f>
        <v>0</v>
      </c>
      <c r="BB53" s="762">
        <f>IFERROR(
SUM(BA53,SUMIF(防護具!$Y$30:$Y$212,BB$17&amp;$C52,防護具!$Q$30:$Q$212))-BA52,0)</f>
        <v>0</v>
      </c>
      <c r="BC53" s="762">
        <f>IFERROR(
SUM(BB53,SUMIF(防護具!$Y$30:$Y$212,BC$17&amp;$C52,防護具!$Q$30:$Q$212))-BB52,0)</f>
        <v>0</v>
      </c>
      <c r="BD53" s="762">
        <f>IFERROR(
SUM(BC53,SUMIF(防護具!$Y$30:$Y$212,BD$17&amp;$C52,防護具!$Q$30:$Q$212))-BC52,0)</f>
        <v>0</v>
      </c>
      <c r="BE53" s="762">
        <f>IFERROR(
SUM(BD53,SUMIF(防護具!$Y$30:$Y$212,BE$17&amp;$C52,防護具!$Q$30:$Q$212))-BD52,0)</f>
        <v>0</v>
      </c>
      <c r="BF53" s="762">
        <f>IFERROR(
SUM(BE53,SUMIF(防護具!$Y$30:$Y$212,BF$17&amp;$C52,防護具!$Q$30:$Q$212))-BE52,0)</f>
        <v>0</v>
      </c>
      <c r="BG53" s="762">
        <f>IFERROR(
SUM(BF53,SUMIF(防護具!$Y$30:$Y$212,BG$17&amp;$C52,防護具!$Q$30:$Q$212))-BF52,0)</f>
        <v>0</v>
      </c>
      <c r="BH53" s="762">
        <f>IFERROR(
SUM(BG53,SUMIF(防護具!$Y$30:$Y$212,BH$17&amp;$C52,防護具!$Q$30:$Q$212))-BG52,0)</f>
        <v>0</v>
      </c>
      <c r="BI53" s="762">
        <f>IFERROR(
SUM(BH53,SUMIF(防護具!$Y$30:$Y$212,BI$17&amp;$C52,防護具!$Q$30:$Q$212))-BH52,0)</f>
        <v>0</v>
      </c>
      <c r="BJ53" s="762">
        <f>IFERROR(
SUM(BI53,SUMIF(防護具!$Y$30:$Y$212,BJ$17&amp;$C52,防護具!$Q$30:$Q$212))-BI52,0)</f>
        <v>0</v>
      </c>
      <c r="BK53" s="762">
        <f>IFERROR(
SUM(BJ53,SUMIF(防護具!$Y$30:$Y$212,BK$17&amp;$C52,防護具!$Q$30:$Q$212))-BJ52,0)</f>
        <v>0</v>
      </c>
      <c r="BL53" s="762">
        <f>IFERROR(
SUM(BK53,SUMIF(防護具!$Y$30:$Y$212,BL$17&amp;$C52,防護具!$Q$30:$Q$212))-BK52,0)</f>
        <v>0</v>
      </c>
      <c r="BM53" s="762">
        <f>IFERROR(
SUM(BL53,SUMIF(防護具!$Y$30:$Y$212,BM$17&amp;$C52,防護具!$Q$30:$Q$212))-BL52,0)</f>
        <v>0</v>
      </c>
      <c r="BN53" s="762">
        <f>IFERROR(
SUM(BM53,SUMIF(防護具!$Y$30:$Y$212,BN$17&amp;$C52,防護具!$Q$30:$Q$212))-BM52,0)</f>
        <v>0</v>
      </c>
      <c r="BO53" s="762">
        <f>IFERROR(
SUM(BN53,SUMIF(防護具!$Y$30:$Y$212,BO$17&amp;$C52,防護具!$Q$30:$Q$212))-BN52,0)</f>
        <v>0</v>
      </c>
      <c r="BP53" s="762">
        <f>IFERROR(
SUM(BO53,SUMIF(防護具!$Y$30:$Y$212,BP$17&amp;$C52,防護具!$Q$30:$Q$212))-BO52,0)</f>
        <v>0</v>
      </c>
      <c r="BQ53" s="762">
        <f>IFERROR(
SUM(BP53,SUMIF(防護具!$Y$30:$Y$212,BQ$17&amp;$C52,防護具!$Q$30:$Q$212))-BP52,0)</f>
        <v>0</v>
      </c>
      <c r="BR53" s="762">
        <f>IFERROR(
SUM(BQ53,SUMIF(防護具!$Y$30:$Y$212,BR$17&amp;$C52,防護具!$Q$30:$Q$212))-BQ52,0)</f>
        <v>0</v>
      </c>
      <c r="BS53" s="762">
        <f>IFERROR(
SUM(BR53,SUMIF(防護具!$Y$30:$Y$212,BS$17&amp;$C52,防護具!$Q$30:$Q$212))-BR52,0)</f>
        <v>0</v>
      </c>
      <c r="BT53" s="762">
        <f>IFERROR(
SUM(BS53,SUMIF(防護具!$Y$30:$Y$212,BT$17&amp;$C52,防護具!$Q$30:$Q$212))-BS52,0)</f>
        <v>0</v>
      </c>
      <c r="BU53" s="762">
        <f>IFERROR(
SUM(BT53,SUMIF(防護具!$Y$30:$Y$212,BU$17&amp;$C52,防護具!$Q$30:$Q$212))-BT52,0)</f>
        <v>0</v>
      </c>
      <c r="BV53" s="762">
        <f>IFERROR(
SUM(BU53,SUMIF(防護具!$Y$30:$Y$212,BV$17&amp;$C52,防護具!$Q$30:$Q$212))-BU52,0)</f>
        <v>0</v>
      </c>
      <c r="BW53" s="762">
        <f>IFERROR(
SUM(BV53,SUMIF(防護具!$Y$30:$Y$212,BW$17&amp;$C52,防護具!$Q$30:$Q$212))-BV52,0)</f>
        <v>0</v>
      </c>
      <c r="BX53" s="762">
        <f>IFERROR(
SUM(BW53,SUMIF(防護具!$Y$30:$Y$212,BX$17&amp;$C52,防護具!$Q$30:$Q$212))-BW52,0)</f>
        <v>0</v>
      </c>
      <c r="BY53" s="762">
        <f>IFERROR(
SUM(BX53,SUMIF(防護具!$Y$30:$Y$212,BY$17&amp;$C52,防護具!$Q$30:$Q$212))-BX52,0)</f>
        <v>0</v>
      </c>
      <c r="BZ53" s="762">
        <f>IFERROR(
SUM(BY53,SUMIF(防護具!$Y$30:$Y$212,BZ$17&amp;$C52,防護具!$Q$30:$Q$212))-BY52,0)</f>
        <v>0</v>
      </c>
      <c r="CA53" s="762">
        <f>IFERROR(
SUM(BZ53,SUMIF(防護具!$Y$30:$Y$212,CA$17&amp;$C52,防護具!$Q$30:$Q$212))-BZ52,0)</f>
        <v>0</v>
      </c>
      <c r="CB53" s="762">
        <f>IFERROR(
SUM(CA53,SUMIF(防護具!$Y$30:$Y$212,CB$17&amp;$C52,防護具!$Q$30:$Q$212))-CA52,0)</f>
        <v>0</v>
      </c>
      <c r="CC53" s="762">
        <f>IFERROR(
SUM(CB53,SUMIF(防護具!$Y$30:$Y$212,CC$17&amp;$C52,防護具!$Q$30:$Q$212))-CB52,0)</f>
        <v>0</v>
      </c>
      <c r="CD53" s="762">
        <f>IFERROR(
SUM(CC53,SUMIF(防護具!$Y$30:$Y$212,CD$17&amp;$C52,防護具!$Q$30:$Q$212))-CC52,0)</f>
        <v>0</v>
      </c>
      <c r="CE53" s="762">
        <f>IFERROR(
SUM(CD53,SUMIF(防護具!$Y$30:$Y$212,CE$17&amp;$C52,防護具!$Q$30:$Q$212))-CD52,0)</f>
        <v>0</v>
      </c>
      <c r="CF53" s="762">
        <f>IFERROR(
SUM(CE53,SUMIF(防護具!$Y$30:$Y$212,CF$17&amp;$C52,防護具!$Q$30:$Q$212))-CE52,0)</f>
        <v>0</v>
      </c>
      <c r="CG53" s="762">
        <f>IFERROR(
SUM(CF53,SUMIF(防護具!$Y$30:$Y$212,CG$17&amp;$C52,防護具!$Q$30:$Q$212))-CF52,0)</f>
        <v>0</v>
      </c>
      <c r="CH53" s="762">
        <f>IFERROR(
SUM(CG53,SUMIF(防護具!$Y$30:$Y$212,CH$17&amp;$C52,防護具!$Q$30:$Q$212))-CG52,0)</f>
        <v>0</v>
      </c>
      <c r="CI53" s="762">
        <f>IFERROR(
SUM(CH53,SUMIF(防護具!$Y$30:$Y$212,CI$17&amp;$C52,防護具!$Q$30:$Q$212))-CH52,0)</f>
        <v>0</v>
      </c>
      <c r="CJ53" s="762">
        <f>IFERROR(
SUM(CI53,SUMIF(防護具!$Y$30:$Y$212,CJ$17&amp;$C52,防護具!$Q$30:$Q$212))-CI52,0)</f>
        <v>0</v>
      </c>
      <c r="CK53" s="762">
        <f>IFERROR(
SUM(CJ53,SUMIF(防護具!$Y$30:$Y$212,CK$17&amp;$C52,防護具!$Q$30:$Q$212))-CJ52,0)</f>
        <v>0</v>
      </c>
      <c r="CL53" s="762">
        <f>IFERROR(
SUM(CK53,SUMIF(防護具!$Y$30:$Y$212,CL$17&amp;$C52,防護具!$Q$30:$Q$212))-CK52,0)</f>
        <v>0</v>
      </c>
      <c r="CM53" s="762">
        <f>IFERROR(
SUM(CL53,SUMIF(防護具!$Y$30:$Y$212,CM$17&amp;$C52,防護具!$Q$30:$Q$212))-CL52,0)</f>
        <v>0</v>
      </c>
      <c r="CN53" s="762">
        <f>IFERROR(
SUM(CM53,SUMIF(防護具!$Y$30:$Y$212,CN$17&amp;$C52,防護具!$Q$30:$Q$212))-CM52,0)</f>
        <v>0</v>
      </c>
      <c r="CO53" s="762">
        <f>IFERROR(
SUM(CN53,SUMIF(防護具!$Y$30:$Y$212,CO$17&amp;$C52,防護具!$Q$30:$Q$212))-CN52,0)</f>
        <v>0</v>
      </c>
      <c r="CP53" s="762">
        <f>IFERROR(
SUM(CO53,SUMIF(防護具!$Y$30:$Y$212,CP$17&amp;$C52,防護具!$Q$30:$Q$212))-CO52,0)</f>
        <v>0</v>
      </c>
      <c r="CQ53" s="762">
        <f>IFERROR(
SUM(CP53,SUMIF(防護具!$Y$30:$Y$212,CQ$17&amp;$C52,防護具!$Q$30:$Q$212))-CP52,0)</f>
        <v>0</v>
      </c>
      <c r="CR53" s="762">
        <f>IFERROR(
SUM(CQ53,SUMIF(防護具!$Y$30:$Y$212,CR$17&amp;$C52,防護具!$Q$30:$Q$212))-CQ52,0)</f>
        <v>0</v>
      </c>
      <c r="CS53" s="762">
        <f>IFERROR(
SUM(CR53,SUMIF(防護具!$Y$30:$Y$212,CS$17&amp;$C52,防護具!$Q$30:$Q$212))-CR52,0)</f>
        <v>0</v>
      </c>
      <c r="CT53" s="762">
        <f>IFERROR(
SUM(CS53,SUMIF(防護具!$Y$30:$Y$212,CT$17&amp;$C52,防護具!$Q$30:$Q$212))-CS52,0)</f>
        <v>0</v>
      </c>
      <c r="CU53" s="762">
        <f>IFERROR(
SUM(CT53,SUMIF(防護具!$Y$30:$Y$212,CU$17&amp;$C52,防護具!$Q$30:$Q$212))-CT52,0)</f>
        <v>0</v>
      </c>
      <c r="CV53" s="762">
        <f>IFERROR(
SUM(CU53,SUMIF(防護具!$Y$30:$Y$212,CV$17&amp;$C52,防護具!$Q$30:$Q$212))-CU52,0)</f>
        <v>0</v>
      </c>
      <c r="CW53" s="762">
        <f>IFERROR(
SUM(CV53,SUMIF(防護具!$Y$30:$Y$212,CW$17&amp;$C52,防護具!$Q$30:$Q$212))-CV52,0)</f>
        <v>0</v>
      </c>
      <c r="CX53" s="762">
        <f>IFERROR(
SUM(CW53,SUMIF(防護具!$Y$30:$Y$212,CX$17&amp;$C52,防護具!$Q$30:$Q$212))-CW52,0)</f>
        <v>0</v>
      </c>
      <c r="CY53" s="762">
        <f>IFERROR(
SUM(CX53,SUMIF(防護具!$Y$30:$Y$212,CY$17&amp;$C52,防護具!$Q$30:$Q$212))-CX52,0)</f>
        <v>0</v>
      </c>
      <c r="CZ53" s="762">
        <f>IFERROR(
SUM(CY53,SUMIF(防護具!$Y$30:$Y$212,CZ$17&amp;$C52,防護具!$Q$30:$Q$212))-CY52,0)</f>
        <v>0</v>
      </c>
      <c r="DA53" s="762">
        <f>IFERROR(
SUM(CZ53,SUMIF(防護具!$Y$30:$Y$212,DA$17&amp;$C52,防護具!$Q$30:$Q$212))-CZ52,0)</f>
        <v>0</v>
      </c>
      <c r="DB53" s="762">
        <f>IFERROR(
SUM(DA53,SUMIF(防護具!$Y$30:$Y$212,DB$17&amp;$C52,防護具!$Q$30:$Q$212))-DA52,0)</f>
        <v>0</v>
      </c>
      <c r="DC53" s="762">
        <f>IFERROR(
SUM(DB53,SUMIF(防護具!$Y$30:$Y$212,DC$17&amp;$C52,防護具!$Q$30:$Q$212))-DB52,0)</f>
        <v>0</v>
      </c>
      <c r="DD53" s="762">
        <f>IFERROR(
SUM(DC53,SUMIF(防護具!$Y$30:$Y$212,DD$17&amp;$C52,防護具!$Q$30:$Q$212))-DC52,0)</f>
        <v>0</v>
      </c>
      <c r="DE53" s="762">
        <f>IFERROR(
SUM(DD53,SUMIF(防護具!$Y$30:$Y$212,DE$17&amp;$C52,防護具!$Q$30:$Q$212))-DD52,0)</f>
        <v>0</v>
      </c>
      <c r="DF53" s="762">
        <f>IFERROR(
SUM(DE53,SUMIF(防護具!$Y$30:$Y$212,DF$17&amp;$C52,防護具!$Q$30:$Q$212))-DE52,0)</f>
        <v>0</v>
      </c>
      <c r="DG53" s="762">
        <f>IFERROR(
SUM(DF53,SUMIF(防護具!$Y$30:$Y$212,DG$17&amp;$C52,防護具!$Q$30:$Q$212))-DF52,0)</f>
        <v>0</v>
      </c>
      <c r="DH53" s="762">
        <f>IFERROR(
SUM(DG53,SUMIF(防護具!$Y$30:$Y$212,DH$17&amp;$C52,防護具!$Q$30:$Q$212))-DG52,0)</f>
        <v>0</v>
      </c>
      <c r="DI53" s="762">
        <f>IFERROR(
SUM(DH53,SUMIF(防護具!$Y$30:$Y$212,DI$17&amp;$C52,防護具!$Q$30:$Q$212))-DH52,0)</f>
        <v>0</v>
      </c>
      <c r="DJ53" s="762">
        <f>IFERROR(
SUM(DI53,SUMIF(防護具!$Y$30:$Y$212,DJ$17&amp;$C52,防護具!$Q$30:$Q$212))-DI52,0)</f>
        <v>0</v>
      </c>
      <c r="DK53" s="762">
        <f>IFERROR(
SUM(DJ53,SUMIF(防護具!$Y$30:$Y$212,DK$17&amp;$C52,防護具!$Q$30:$Q$212))-DJ52,0)</f>
        <v>0</v>
      </c>
      <c r="DL53" s="762">
        <f>IFERROR(
SUM(DK53,SUMIF(防護具!$Y$30:$Y$212,DL$17&amp;$C52,防護具!$Q$30:$Q$212))-DK52,0)</f>
        <v>0</v>
      </c>
      <c r="DM53" s="762">
        <f>IFERROR(
SUM(DL53,SUMIF(防護具!$Y$30:$Y$212,DM$17&amp;$C52,防護具!$Q$30:$Q$212))-DL52,0)</f>
        <v>0</v>
      </c>
      <c r="DN53" s="762">
        <f>IFERROR(
SUM(DM53,SUMIF(防護具!$Y$30:$Y$212,DN$17&amp;$C52,防護具!$Q$30:$Q$212))-DM52,0)</f>
        <v>0</v>
      </c>
      <c r="DO53" s="762">
        <f>IFERROR(
SUM(DN53,SUMIF(防護具!$Y$30:$Y$212,DO$17&amp;$C52,防護具!$Q$30:$Q$212))-DN52,0)</f>
        <v>0</v>
      </c>
      <c r="DP53" s="762">
        <f>IFERROR(
SUM(DO53,SUMIF(防護具!$Y$30:$Y$212,DP$17&amp;$C52,防護具!$Q$30:$Q$212))-DO52,0)</f>
        <v>0</v>
      </c>
      <c r="DQ53" s="762">
        <f>IFERROR(
SUM(DP53,SUMIF(防護具!$Y$30:$Y$212,DQ$17&amp;$C52,防護具!$Q$30:$Q$212))-DP52,0)</f>
        <v>0</v>
      </c>
      <c r="DR53" s="762">
        <f>IFERROR(
SUM(DQ53,SUMIF(防護具!$Y$30:$Y$212,DR$17&amp;$C52,防護具!$Q$30:$Q$212))-DQ52,0)</f>
        <v>0</v>
      </c>
      <c r="DS53" s="762">
        <f>IFERROR(
SUM(DR53,SUMIF(防護具!$Y$30:$Y$212,DS$17&amp;$C52,防護具!$Q$30:$Q$212))-DR52,0)</f>
        <v>0</v>
      </c>
      <c r="DT53" s="762">
        <f>IFERROR(
SUM(DS53,SUMIF(防護具!$Y$30:$Y$212,DT$17&amp;$C52,防護具!$Q$30:$Q$212))-DS52,0)</f>
        <v>0</v>
      </c>
      <c r="DU53" s="762">
        <f>IFERROR(
SUM(DT53,SUMIF(防護具!$Y$30:$Y$212,DU$17&amp;$C52,防護具!$Q$30:$Q$212))-DT52,0)</f>
        <v>0</v>
      </c>
      <c r="DV53" s="762">
        <f>IFERROR(
SUM(DU53,SUMIF(防護具!$Y$30:$Y$212,DV$17&amp;$C52,防護具!$Q$30:$Q$212))-DU52,0)</f>
        <v>0</v>
      </c>
      <c r="DW53" s="762">
        <f>IFERROR(
SUM(DV53,SUMIF(防護具!$Y$30:$Y$212,DW$17&amp;$C52,防護具!$Q$30:$Q$212))-DV52,0)</f>
        <v>0</v>
      </c>
      <c r="DX53" s="762">
        <f>IFERROR(
SUM(DW53,SUMIF(防護具!$Y$30:$Y$212,DX$17&amp;$C52,防護具!$Q$30:$Q$212))-DW52,0)</f>
        <v>0</v>
      </c>
      <c r="DY53" s="762">
        <f>IFERROR(
SUM(DX53,SUMIF(防護具!$Y$30:$Y$212,DY$17&amp;$C52,防護具!$Q$30:$Q$212))-DX52,0)</f>
        <v>0</v>
      </c>
      <c r="DZ53" s="762">
        <f>IFERROR(
SUM(DY53,SUMIF(防護具!$Y$30:$Y$212,DZ$17&amp;$C52,防護具!$Q$30:$Q$212))-DY52,0)</f>
        <v>0</v>
      </c>
      <c r="EA53" s="762">
        <f>IFERROR(
SUM(DZ53,SUMIF(防護具!$Y$30:$Y$212,EA$17&amp;$C52,防護具!$Q$30:$Q$212))-DZ52,0)</f>
        <v>0</v>
      </c>
      <c r="EB53" s="762">
        <f>IFERROR(
SUM(EA53,SUMIF(防護具!$Y$30:$Y$212,EB$17&amp;$C52,防護具!$Q$30:$Q$212))-EA52,0)</f>
        <v>0</v>
      </c>
      <c r="EC53" s="762">
        <f>IFERROR(
SUM(EB53,SUMIF(防護具!$Y$30:$Y$212,EC$17&amp;$C52,防護具!$Q$30:$Q$212))-EB52,0)</f>
        <v>0</v>
      </c>
      <c r="ED53" s="762">
        <f>IFERROR(
SUM(EC53,SUMIF(防護具!$Y$30:$Y$212,ED$17&amp;$C52,防護具!$Q$30:$Q$212))-EC52,0)</f>
        <v>0</v>
      </c>
      <c r="EE53" s="762">
        <f>IFERROR(
SUM(ED53,SUMIF(防護具!$Y$30:$Y$212,EE$17&amp;$C52,防護具!$Q$30:$Q$212))-ED52,0)</f>
        <v>0</v>
      </c>
      <c r="EF53" s="762">
        <f>IFERROR(
SUM(EE53,SUMIF(防護具!$Y$30:$Y$212,EF$17&amp;$C52,防護具!$Q$30:$Q$212))-EE52,0)</f>
        <v>0</v>
      </c>
      <c r="EG53" s="762">
        <f>IFERROR(
SUM(EF53,SUMIF(防護具!$Y$30:$Y$212,EG$17&amp;$C52,防護具!$Q$30:$Q$212))-EF52,0)</f>
        <v>0</v>
      </c>
      <c r="EH53" s="762">
        <f>IFERROR(
SUM(EG53,SUMIF(防護具!$Y$30:$Y$212,EH$17&amp;$C52,防護具!$Q$30:$Q$212))-EG52,0)</f>
        <v>0</v>
      </c>
      <c r="EI53" s="762">
        <f>IFERROR(
SUM(EH53,SUMIF(防護具!$Y$30:$Y$212,EI$17&amp;$C52,防護具!$Q$30:$Q$212))-EH52,0)</f>
        <v>0</v>
      </c>
      <c r="EJ53" s="762">
        <f>IFERROR(
SUM(EI53,SUMIF(防護具!$Y$30:$Y$212,EJ$17&amp;$C52,防護具!$Q$30:$Q$212))-EI52,0)</f>
        <v>0</v>
      </c>
      <c r="EK53" s="762">
        <f>IFERROR(
SUM(EJ53,SUMIF(防護具!$Y$30:$Y$212,EK$17&amp;$C52,防護具!$Q$30:$Q$212))-EJ52,0)</f>
        <v>0</v>
      </c>
      <c r="EL53" s="762">
        <f>IFERROR(
SUM(EK53,SUMIF(防護具!$Y$30:$Y$212,EL$17&amp;$C52,防護具!$Q$30:$Q$212))-EK52,0)</f>
        <v>0</v>
      </c>
      <c r="EM53" s="762">
        <f>IFERROR(
SUM(EL53,SUMIF(防護具!$Y$30:$Y$212,EM$17&amp;$C52,防護具!$Q$30:$Q$212))-EL52,0)</f>
        <v>0</v>
      </c>
      <c r="EN53" s="762">
        <f>IFERROR(
SUM(EM53,SUMIF(防護具!$Y$30:$Y$212,EN$17&amp;$C52,防護具!$Q$30:$Q$212))-EM52,0)</f>
        <v>0</v>
      </c>
      <c r="EO53" s="762">
        <f>IFERROR(
SUM(EN53,SUMIF(防護具!$Y$30:$Y$212,EO$17&amp;$C52,防護具!$Q$30:$Q$212))-EN52,0)</f>
        <v>0</v>
      </c>
      <c r="EP53" s="762">
        <f>IFERROR(
SUM(EO53,SUMIF(防護具!$Y$30:$Y$212,EP$17&amp;$C52,防護具!$Q$30:$Q$212))-EO52,0)</f>
        <v>0</v>
      </c>
      <c r="EQ53" s="762">
        <f>IFERROR(
SUM(EP53,SUMIF(防護具!$Y$30:$Y$212,EQ$17&amp;$C52,防護具!$Q$30:$Q$212))-EP52,0)</f>
        <v>0</v>
      </c>
      <c r="ER53" s="762">
        <f>IFERROR(
SUM(EQ53,SUMIF(防護具!$Y$30:$Y$212,ER$17&amp;$C52,防護具!$Q$30:$Q$212))-EQ52,0)</f>
        <v>0</v>
      </c>
      <c r="ES53" s="762">
        <f>IFERROR(
SUM(ER53,SUMIF(防護具!$Y$30:$Y$212,ES$17&amp;$C52,防護具!$Q$30:$Q$212))-ER52,0)</f>
        <v>0</v>
      </c>
      <c r="ET53" s="762">
        <f>IFERROR(
SUM(ES53,SUMIF(防護具!$Y$30:$Y$212,ET$17&amp;$C52,防護具!$Q$30:$Q$212))-ES52,0)</f>
        <v>0</v>
      </c>
      <c r="EU53" s="762">
        <f>IFERROR(
SUM(ET53,SUMIF(防護具!$Y$30:$Y$212,EU$17&amp;$C52,防護具!$Q$30:$Q$212))-ET52,0)</f>
        <v>0</v>
      </c>
      <c r="EV53" s="762">
        <f>IFERROR(
SUM(EU53,SUMIF(防護具!$Y$30:$Y$212,EV$17&amp;$C52,防護具!$Q$30:$Q$212))-EU52,0)</f>
        <v>0</v>
      </c>
      <c r="EW53" s="762">
        <f>IFERROR(
SUM(EV53,SUMIF(防護具!$Y$30:$Y$212,EW$17&amp;$C52,防護具!$Q$30:$Q$212))-EV52,0)</f>
        <v>0</v>
      </c>
      <c r="EX53" s="762">
        <f>IFERROR(
SUM(EW53,SUMIF(防護具!$Y$30:$Y$212,EX$17&amp;$C52,防護具!$Q$30:$Q$212))-EW52,0)</f>
        <v>0</v>
      </c>
      <c r="EY53" s="762">
        <f>IFERROR(
SUM(EX53,SUMIF(防護具!$Y$30:$Y$212,EY$17&amp;$C52,防護具!$Q$30:$Q$212))-EX52,0)</f>
        <v>0</v>
      </c>
      <c r="EZ53" s="762">
        <f>IFERROR(
SUM(EY53,SUMIF(防護具!$Y$30:$Y$212,EZ$17&amp;$C52,防護具!$Q$30:$Q$212))-EY52,0)</f>
        <v>0</v>
      </c>
      <c r="FA53" s="762">
        <f>IFERROR(
SUM(EZ53,SUMIF(防護具!$Y$30:$Y$212,FA$17&amp;$C52,防護具!$Q$30:$Q$212))-EZ52,0)</f>
        <v>0</v>
      </c>
      <c r="FB53" s="762">
        <f>IFERROR(
SUM(FA53,SUMIF(防護具!$Y$30:$Y$212,FB$17&amp;$C52,防護具!$Q$30:$Q$212))-FA52,0)</f>
        <v>0</v>
      </c>
      <c r="FC53" s="762">
        <f>IFERROR(
SUM(FB53,SUMIF(防護具!$Y$30:$Y$212,FC$17&amp;$C52,防護具!$Q$30:$Q$212))-FB52,0)</f>
        <v>0</v>
      </c>
      <c r="FD53" s="762">
        <f>IFERROR(
SUM(FC53,SUMIF(防護具!$Y$30:$Y$212,FD$17&amp;$C52,防護具!$Q$30:$Q$212))-FC52,0)</f>
        <v>0</v>
      </c>
      <c r="FE53" s="762">
        <f>IFERROR(
SUM(FD53,SUMIF(防護具!$Y$30:$Y$212,FE$17&amp;$C52,防護具!$Q$30:$Q$212))-FD52,0)</f>
        <v>0</v>
      </c>
      <c r="FF53" s="762">
        <f>IFERROR(
SUM(FE53,SUMIF(防護具!$Y$30:$Y$212,FF$17&amp;$C52,防護具!$Q$30:$Q$212))-FE52,0)</f>
        <v>0</v>
      </c>
      <c r="FG53" s="762">
        <f>IFERROR(
SUM(FF53,SUMIF(防護具!$Y$30:$Y$212,FG$17&amp;$C52,防護具!$Q$30:$Q$212))-FF52,0)</f>
        <v>0</v>
      </c>
      <c r="FH53" s="762">
        <f>IFERROR(
SUM(FG53,SUMIF(防護具!$Y$30:$Y$212,FH$17&amp;$C52,防護具!$Q$30:$Q$212))-FG52,0)</f>
        <v>0</v>
      </c>
      <c r="FI53" s="762">
        <f>IFERROR(
SUM(FH53,SUMIF(防護具!$Y$30:$Y$212,FI$17&amp;$C52,防護具!$Q$30:$Q$212))-FH52,0)</f>
        <v>0</v>
      </c>
      <c r="FJ53" s="762">
        <f>IFERROR(
SUM(FI53,SUMIF(防護具!$Y$30:$Y$212,FJ$17&amp;$C52,防護具!$Q$30:$Q$212))-FI52,0)</f>
        <v>0</v>
      </c>
      <c r="FK53" s="762">
        <f>IFERROR(
SUM(FJ53,SUMIF(防護具!$Y$30:$Y$212,FK$17&amp;$C52,防護具!$Q$30:$Q$212))-FJ52,0)</f>
        <v>0</v>
      </c>
      <c r="FL53" s="762">
        <f>IFERROR(
SUM(FK53,SUMIF(防護具!$Y$30:$Y$212,FL$17&amp;$C52,防護具!$Q$30:$Q$212))-FK52,0)</f>
        <v>0</v>
      </c>
      <c r="FM53" s="762">
        <f>IFERROR(
SUM(FL53,SUMIF(防護具!$Y$30:$Y$212,FM$17&amp;$C52,防護具!$Q$30:$Q$212))-FL52,0)</f>
        <v>0</v>
      </c>
      <c r="FN53" s="762">
        <f>IFERROR(
SUM(FM53,SUMIF(防護具!$Y$30:$Y$212,FN$17&amp;$C52,防護具!$Q$30:$Q$212))-FM52,0)</f>
        <v>0</v>
      </c>
      <c r="FO53" s="762">
        <f>IFERROR(
SUM(FN53,SUMIF(防護具!$Y$30:$Y$212,FO$17&amp;$C52,防護具!$Q$30:$Q$212))-FN52,0)</f>
        <v>0</v>
      </c>
      <c r="FP53" s="762">
        <f>IFERROR(
SUM(FO53,SUMIF(防護具!$Y$30:$Y$212,FP$17&amp;$C52,防護具!$Q$30:$Q$212))-FO52,0)</f>
        <v>0</v>
      </c>
      <c r="FQ53" s="762">
        <f>IFERROR(
SUM(FP53,SUMIF(防護具!$Y$30:$Y$212,FQ$17&amp;$C52,防護具!$Q$30:$Q$212))-FP52,0)</f>
        <v>0</v>
      </c>
      <c r="FR53" s="762">
        <f>IFERROR(
SUM(FQ53,SUMIF(防護具!$Y$30:$Y$212,FR$17&amp;$C52,防護具!$Q$30:$Q$212))-FQ52,0)</f>
        <v>0</v>
      </c>
      <c r="FS53" s="762">
        <f>IFERROR(
SUM(FR53,SUMIF(防護具!$Y$30:$Y$212,FS$17&amp;$C52,防護具!$Q$30:$Q$212))-FR52,0)</f>
        <v>0</v>
      </c>
      <c r="FT53" s="762">
        <f>IFERROR(
SUM(FS53,SUMIF(防護具!$Y$30:$Y$212,FT$17&amp;$C52,防護具!$Q$30:$Q$212))-FS52,0)</f>
        <v>0</v>
      </c>
      <c r="FU53" s="762">
        <f>IFERROR(
SUM(FT53,SUMIF(防護具!$Y$30:$Y$212,FU$17&amp;$C52,防護具!$Q$30:$Q$212))-FT52,0)</f>
        <v>0</v>
      </c>
      <c r="FV53" s="762">
        <f>IFERROR(
SUM(FU53,SUMIF(防護具!$Y$30:$Y$212,FV$17&amp;$C52,防護具!$Q$30:$Q$212))-FU52,0)</f>
        <v>0</v>
      </c>
      <c r="FW53" s="762">
        <f>IFERROR(
SUM(FV53,SUMIF(防護具!$Y$30:$Y$212,FW$17&amp;$C52,防護具!$Q$30:$Q$212))-FV52,0)</f>
        <v>0</v>
      </c>
      <c r="FX53" s="762">
        <f>IFERROR(
SUM(FW53,SUMIF(防護具!$Y$30:$Y$212,FX$17&amp;$C52,防護具!$Q$30:$Q$212))-FW52,0)</f>
        <v>0</v>
      </c>
      <c r="FY53" s="762">
        <f>IFERROR(
SUM(FX53,SUMIF(防護具!$Y$30:$Y$212,FY$17&amp;$C52,防護具!$Q$30:$Q$212))-FX52,0)</f>
        <v>0</v>
      </c>
      <c r="FZ53" s="762">
        <f>IFERROR(
SUM(FY53,SUMIF(防護具!$Y$30:$Y$212,FZ$17&amp;$C52,防護具!$Q$30:$Q$212))-FY52,0)</f>
        <v>0</v>
      </c>
      <c r="GA53" s="762">
        <f>IFERROR(
SUM(FZ53,SUMIF(防護具!$Y$30:$Y$212,GA$17&amp;$C52,防護具!$Q$30:$Q$212))-FZ52,0)</f>
        <v>0</v>
      </c>
      <c r="GB53" s="762">
        <f>IFERROR(
SUM(GA53,SUMIF(防護具!$Y$30:$Y$212,GB$17&amp;$C52,防護具!$Q$30:$Q$212))-GA52,0)</f>
        <v>0</v>
      </c>
      <c r="GC53" s="762">
        <f>IFERROR(
SUM(GB53,SUMIF(防護具!$Y$30:$Y$212,GC$17&amp;$C52,防護具!$Q$30:$Q$212))-GB52,0)</f>
        <v>0</v>
      </c>
      <c r="GD53" s="762">
        <f>IFERROR(
SUM(GC53,SUMIF(防護具!$Y$30:$Y$212,GD$17&amp;$C52,防護具!$Q$30:$Q$212))-GC52,0)</f>
        <v>0</v>
      </c>
      <c r="GE53" s="762">
        <f>IFERROR(
SUM(GD53,SUMIF(防護具!$Y$30:$Y$212,GE$17&amp;$C52,防護具!$Q$30:$Q$212))-GD52,0)</f>
        <v>0</v>
      </c>
      <c r="GF53" s="762">
        <f>IFERROR(
SUM(GE53,SUMIF(防護具!$Y$30:$Y$212,GF$17&amp;$C52,防護具!$Q$30:$Q$212))-GE52,0)</f>
        <v>0</v>
      </c>
      <c r="GG53" s="762">
        <f>IFERROR(
SUM(GF53,SUMIF(防護具!$Y$30:$Y$212,GG$17&amp;$C52,防護具!$Q$30:$Q$212))-GF52,0)</f>
        <v>0</v>
      </c>
      <c r="GH53" s="762">
        <f>IFERROR(
SUM(GG53,SUMIF(防護具!$Y$30:$Y$212,GH$17&amp;$C52,防護具!$Q$30:$Q$212))-GG52,0)</f>
        <v>0</v>
      </c>
      <c r="GI53" s="762">
        <f>IFERROR(
SUM(GH53,SUMIF(防護具!$Y$30:$Y$212,GI$17&amp;$C52,防護具!$Q$30:$Q$212))-GH52,0)</f>
        <v>0</v>
      </c>
      <c r="GJ53" s="762">
        <f>IFERROR(
SUM(GI53,SUMIF(防護具!$Y$30:$Y$212,GJ$17&amp;$C52,防護具!$Q$30:$Q$212))-GI52,0)</f>
        <v>0</v>
      </c>
    </row>
    <row r="54" spans="2:192" s="632" customFormat="1">
      <c r="B54" s="633"/>
      <c r="C54" s="625"/>
      <c r="D54" s="701" t="s">
        <v>1425</v>
      </c>
      <c r="E54" s="706"/>
      <c r="F54" s="653"/>
      <c r="G54" s="762">
        <f xml:space="preserve">
IF(
SUM(SUMIF(防護具!$Y$13:$Y$29,G$17&amp;$C52,防護具!$Q$13:$Q$29),F54)-VLOOKUP($C52,$C$3:$D$15,2,FALSE)*F50&lt;0,0,
SUM(SUMIF(防護具!$Y$13:$Y$29,G$17&amp;$C52,防護具!$Q$13:$Q$29),F54)-VLOOKUP($C52,$C$3:$D$15,2,FALSE)*F50)</f>
        <v>0</v>
      </c>
      <c r="H54" s="762">
        <f xml:space="preserve">
IF(
SUM(SUMIF(防護具!$Y$13:$Y$29,H$17&amp;$C52,防護具!$Q$13:$Q$29),G54)-VLOOKUP($C52,$C$3:$D$15,2,FALSE)*G50&lt;0,0,
SUM(SUMIF(防護具!$Y$13:$Y$29,H$17&amp;$C52,防護具!$Q$13:$Q$29),G54)-VLOOKUP($C52,$C$3:$D$15,2,FALSE)*G50)</f>
        <v>0</v>
      </c>
      <c r="I54" s="762">
        <f xml:space="preserve">
IF(
SUM(SUMIF(防護具!$Y$13:$Y$29,I$17&amp;$C52,防護具!$Q$13:$Q$29),H54)-VLOOKUP($C52,$C$3:$D$15,2,FALSE)*H50&lt;0,0,
SUM(SUMIF(防護具!$Y$13:$Y$29,I$17&amp;$C52,防護具!$Q$13:$Q$29),H54)-VLOOKUP($C52,$C$3:$D$15,2,FALSE)*H50)</f>
        <v>0</v>
      </c>
      <c r="J54" s="762">
        <f xml:space="preserve">
IF(
SUM(SUMIF(防護具!$Y$13:$Y$29,J$17&amp;$C52,防護具!$Q$13:$Q$29),I54)-VLOOKUP($C52,$C$3:$D$15,2,FALSE)*I50&lt;0,0,
SUM(SUMIF(防護具!$Y$13:$Y$29,J$17&amp;$C52,防護具!$Q$13:$Q$29),I54)-VLOOKUP($C52,$C$3:$D$15,2,FALSE)*I50)</f>
        <v>0</v>
      </c>
      <c r="K54" s="762">
        <f xml:space="preserve">
IF(
SUM(SUMIF(防護具!$Y$13:$Y$29,K$17&amp;$C52,防護具!$Q$13:$Q$29),J54)-VLOOKUP($C52,$C$3:$D$15,2,FALSE)*J50&lt;0,0,
SUM(SUMIF(防護具!$Y$13:$Y$29,K$17&amp;$C52,防護具!$Q$13:$Q$29),J54)-VLOOKUP($C52,$C$3:$D$15,2,FALSE)*J50)</f>
        <v>0</v>
      </c>
      <c r="L54" s="762">
        <f xml:space="preserve">
IF(
SUM(SUMIF(防護具!$Y$13:$Y$29,L$17&amp;$C52,防護具!$Q$13:$Q$29),K54)-VLOOKUP($C52,$C$3:$D$15,2,FALSE)*K50&lt;0,0,
SUM(SUMIF(防護具!$Y$13:$Y$29,L$17&amp;$C52,防護具!$Q$13:$Q$29),K54)-VLOOKUP($C52,$C$3:$D$15,2,FALSE)*K50)</f>
        <v>0</v>
      </c>
      <c r="M54" s="762">
        <f xml:space="preserve">
IF(
SUM(SUMIF(防護具!$Y$13:$Y$29,M$17&amp;$C52,防護具!$Q$13:$Q$29),L54)-VLOOKUP($C52,$C$3:$D$15,2,FALSE)*L50&lt;0,0,
SUM(SUMIF(防護具!$Y$13:$Y$29,M$17&amp;$C52,防護具!$Q$13:$Q$29),L54)-VLOOKUP($C52,$C$3:$D$15,2,FALSE)*L50)</f>
        <v>0</v>
      </c>
      <c r="N54" s="762">
        <f xml:space="preserve">
IF(
SUM(SUMIF(防護具!$Y$13:$Y$29,N$17&amp;$C52,防護具!$Q$13:$Q$29),M54)-VLOOKUP($C52,$C$3:$D$15,2,FALSE)*M50&lt;0,0,
SUM(SUMIF(防護具!$Y$13:$Y$29,N$17&amp;$C52,防護具!$Q$13:$Q$29),M54)-VLOOKUP($C52,$C$3:$D$15,2,FALSE)*M50)</f>
        <v>0</v>
      </c>
      <c r="O54" s="762">
        <f xml:space="preserve">
IF(
SUM(SUMIF(防護具!$Y$13:$Y$29,O$17&amp;$C52,防護具!$Q$13:$Q$29),N54)-VLOOKUP($C52,$C$3:$D$15,2,FALSE)*N50&lt;0,0,
SUM(SUMIF(防護具!$Y$13:$Y$29,O$17&amp;$C52,防護具!$Q$13:$Q$29),N54)-VLOOKUP($C52,$C$3:$D$15,2,FALSE)*N50)</f>
        <v>0</v>
      </c>
      <c r="P54" s="762">
        <f xml:space="preserve">
IF(
SUM(SUMIF(防護具!$Y$13:$Y$29,P$17&amp;$C52,防護具!$Q$13:$Q$29),O54)-VLOOKUP($C52,$C$3:$D$15,2,FALSE)*O50&lt;0,0,
SUM(SUMIF(防護具!$Y$13:$Y$29,P$17&amp;$C52,防護具!$Q$13:$Q$29),O54)-VLOOKUP($C52,$C$3:$D$15,2,FALSE)*O50)</f>
        <v>0</v>
      </c>
      <c r="Q54" s="762">
        <f xml:space="preserve">
IF(
SUM(SUMIF(防護具!$Y$13:$Y$29,Q$17&amp;$C52,防護具!$Q$13:$Q$29),P54)-VLOOKUP($C52,$C$3:$D$15,2,FALSE)*P$20&lt;0,0,
SUM(SUMIF(防護具!$Y$13:$Y$29,Q$17&amp;$C52,防護具!$Q$13:$Q$29),P54)-VLOOKUP($C52,$C$3:$D$15,2,FALSE)*P$20)</f>
        <v>0</v>
      </c>
      <c r="R54" s="762">
        <f xml:space="preserve">
IF(
SUM(SUMIF(防護具!$Y$13:$Y$29,R$17&amp;$C52,防護具!$Q$13:$Q$29),Q54)-VLOOKUP($C52,$C$3:$D$15,2,FALSE)*Q$20&lt;0,0,
SUM(SUMIF(防護具!$Y$13:$Y$29,R$17&amp;$C52,防護具!$Q$13:$Q$29),Q54)-VLOOKUP($C52,$C$3:$D$15,2,FALSE)*Q$20)</f>
        <v>0</v>
      </c>
      <c r="S54" s="762">
        <f xml:space="preserve">
IF(
SUM(SUMIF(防護具!$Y$13:$Y$29,S$17&amp;$C52,防護具!$Q$13:$Q$29),R54)-VLOOKUP($C52,$C$3:$D$15,2,FALSE)*R$20&lt;0,0,
SUM(SUMIF(防護具!$Y$13:$Y$29,S$17&amp;$C52,防護具!$Q$13:$Q$29),R54)-VLOOKUP($C52,$C$3:$D$15,2,FALSE)*R$20)</f>
        <v>0</v>
      </c>
      <c r="T54" s="762">
        <f xml:space="preserve">
IF(
SUM(SUMIF(防護具!$Y$13:$Y$29,T$17&amp;$C52,防護具!$Q$13:$Q$29),S54)-VLOOKUP($C52,$C$3:$D$15,2,FALSE)*S$20&lt;0,0,
SUM(SUMIF(防護具!$Y$13:$Y$29,T$17&amp;$C52,防護具!$Q$13:$Q$29),S54)-VLOOKUP($C52,$C$3:$D$15,2,FALSE)*S$20)</f>
        <v>0</v>
      </c>
      <c r="U54" s="762">
        <f xml:space="preserve">
IF(
SUM(SUMIF(防護具!$Y$13:$Y$29,U$17&amp;$C52,防護具!$Q$13:$Q$29),T54)-VLOOKUP($C52,$C$3:$D$15,2,FALSE)*T$20&lt;0,0,
SUM(SUMIF(防護具!$Y$13:$Y$29,U$17&amp;$C52,防護具!$Q$13:$Q$29),T54)-VLOOKUP($C52,$C$3:$D$15,2,FALSE)*T$20)</f>
        <v>0</v>
      </c>
      <c r="V54" s="762">
        <f xml:space="preserve">
IF(
SUM(SUMIF(防護具!$Y$13:$Y$29,V$17&amp;$C52,防護具!$Q$13:$Q$29),U54)-VLOOKUP($C52,$C$3:$D$15,2,FALSE)*U$20&lt;0,0,
SUM(SUMIF(防護具!$Y$13:$Y$29,V$17&amp;$C52,防護具!$Q$13:$Q$29),U54)-VLOOKUP($C52,$C$3:$D$15,2,FALSE)*U$20)</f>
        <v>0</v>
      </c>
      <c r="W54" s="762">
        <f xml:space="preserve">
IF(
SUM(SUMIF(防護具!$Y$13:$Y$29,W$17&amp;$C52,防護具!$Q$13:$Q$29),V54)-VLOOKUP($C52,$C$3:$D$15,2,FALSE)*V$20&lt;0,0,
SUM(SUMIF(防護具!$Y$13:$Y$29,W$17&amp;$C52,防護具!$Q$13:$Q$29),V54)-VLOOKUP($C52,$C$3:$D$15,2,FALSE)*V$20)</f>
        <v>0</v>
      </c>
      <c r="X54" s="762">
        <f xml:space="preserve">
IF(
SUM(SUMIF(防護具!$Y$13:$Y$29,X$17&amp;$C52,防護具!$Q$13:$Q$29),W54)-VLOOKUP($C52,$C$3:$D$15,2,FALSE)*W$20&lt;0,0,
SUM(SUMIF(防護具!$Y$13:$Y$29,X$17&amp;$C52,防護具!$Q$13:$Q$29),W54)-VLOOKUP($C52,$C$3:$D$15,2,FALSE)*W$20)</f>
        <v>0</v>
      </c>
      <c r="Y54" s="762">
        <f xml:space="preserve">
IF(
SUM(SUMIF(防護具!$Y$13:$Y$29,Y$17&amp;$C52,防護具!$Q$13:$Q$29),X54)-VLOOKUP($C52,$C$3:$D$15,2,FALSE)*X$20&lt;0,0,
SUM(SUMIF(防護具!$Y$13:$Y$29,Y$17&amp;$C52,防護具!$Q$13:$Q$29),X54)-VLOOKUP($C52,$C$3:$D$15,2,FALSE)*X$20)</f>
        <v>0</v>
      </c>
      <c r="Z54" s="762">
        <f xml:space="preserve">
IF(
SUM(SUMIF(防護具!$Y$13:$Y$29,Z$17&amp;$C52,防護具!$Q$13:$Q$29),Y54)-VLOOKUP($C52,$C$3:$D$15,2,FALSE)*Y$20&lt;0,0,
SUM(SUMIF(防護具!$Y$13:$Y$29,Z$17&amp;$C52,防護具!$Q$13:$Q$29),Y54)-VLOOKUP($C52,$C$3:$D$15,2,FALSE)*Y$20)</f>
        <v>0</v>
      </c>
      <c r="AA54" s="762">
        <f xml:space="preserve">
IF(
SUM(SUMIF(防護具!$Y$13:$Y$29,AA$17&amp;$C52,防護具!$Q$13:$Q$29),Z54)-VLOOKUP($C52,$C$3:$D$15,2,FALSE)*Z$20&lt;0,0,
SUM(SUMIF(防護具!$Y$13:$Y$29,AA$17&amp;$C52,防護具!$Q$13:$Q$29),Z54)-VLOOKUP($C52,$C$3:$D$15,2,FALSE)*Z$20)</f>
        <v>0</v>
      </c>
      <c r="AB54" s="762">
        <f xml:space="preserve">
IF(
SUM(SUMIF(防護具!$Y$13:$Y$29,AB$17&amp;$C52,防護具!$Q$13:$Q$29),AA54)-VLOOKUP($C52,$C$3:$D$15,2,FALSE)*AA$20&lt;0,0,
SUM(SUMIF(防護具!$Y$13:$Y$29,AB$17&amp;$C52,防護具!$Q$13:$Q$29),AA54)-VLOOKUP($C52,$C$3:$D$15,2,FALSE)*AA$20)</f>
        <v>0</v>
      </c>
      <c r="AC54" s="762">
        <f xml:space="preserve">
IF(
SUM(SUMIF(防護具!$Y$13:$Y$29,AC$17&amp;$C52,防護具!$Q$13:$Q$29),AB54)-VLOOKUP($C52,$C$3:$D$15,2,FALSE)*AB$20&lt;0,0,
SUM(SUMIF(防護具!$Y$13:$Y$29,AC$17&amp;$C52,防護具!$Q$13:$Q$29),AB54)-VLOOKUP($C52,$C$3:$D$15,2,FALSE)*AB$20)</f>
        <v>0</v>
      </c>
      <c r="AD54" s="762">
        <f xml:space="preserve">
IF(
SUM(SUMIF(防護具!$Y$13:$Y$29,AD$17&amp;$C52,防護具!$Q$13:$Q$29),AC54)-VLOOKUP($C52,$C$3:$D$15,2,FALSE)*AC$20&lt;0,0,
SUM(SUMIF(防護具!$Y$13:$Y$29,AD$17&amp;$C52,防護具!$Q$13:$Q$29),AC54)-VLOOKUP($C52,$C$3:$D$15,2,FALSE)*AC$20)</f>
        <v>0</v>
      </c>
      <c r="AE54" s="762">
        <f xml:space="preserve">
IF(
SUM(SUMIF(防護具!$Y$13:$Y$29,AE$17&amp;$C52,防護具!$Q$13:$Q$29),AD54)-VLOOKUP($C52,$C$3:$D$15,2,FALSE)*AD$20&lt;0,0,
SUM(SUMIF(防護具!$Y$13:$Y$29,AE$17&amp;$C52,防護具!$Q$13:$Q$29),AD54)-VLOOKUP($C52,$C$3:$D$15,2,FALSE)*AD$20)</f>
        <v>0</v>
      </c>
      <c r="AF54" s="762">
        <f xml:space="preserve">
IF(
SUM(SUMIF(防護具!$Y$13:$Y$29,AF$17&amp;$C52,防護具!$Q$13:$Q$29),AE54)-VLOOKUP($C52,$C$3:$D$15,2,FALSE)*AE$20&lt;0,0,
SUM(SUMIF(防護具!$Y$13:$Y$29,AF$17&amp;$C52,防護具!$Q$13:$Q$29),AE54)-VLOOKUP($C52,$C$3:$D$15,2,FALSE)*AE$20)</f>
        <v>0</v>
      </c>
      <c r="AG54" s="762">
        <f xml:space="preserve">
IF(
SUM(SUMIF(防護具!$Y$13:$Y$29,AG$17&amp;$C52,防護具!$Q$13:$Q$29),AF54)-VLOOKUP($C52,$C$3:$D$15,2,FALSE)*AF$20&lt;0,0,
SUM(SUMIF(防護具!$Y$13:$Y$29,AG$17&amp;$C52,防護具!$Q$13:$Q$29),AF54)-VLOOKUP($C52,$C$3:$D$15,2,FALSE)*AF$20)</f>
        <v>0</v>
      </c>
      <c r="AH54" s="762">
        <f xml:space="preserve">
IF(
SUM(SUMIF(防護具!$Y$13:$Y$29,AH$17&amp;$C52,防護具!$Q$13:$Q$29),AG54)-VLOOKUP($C52,$C$3:$D$15,2,FALSE)*AG$20&lt;0,0,
SUM(SUMIF(防護具!$Y$13:$Y$29,AH$17&amp;$C52,防護具!$Q$13:$Q$29),AG54)-VLOOKUP($C52,$C$3:$D$15,2,FALSE)*AG$20)</f>
        <v>0</v>
      </c>
      <c r="AI54" s="762">
        <f xml:space="preserve">
IF(
SUM(SUMIF(防護具!$Y$13:$Y$29,AI$17&amp;$C52,防護具!$Q$13:$Q$29),AH54)-VLOOKUP($C52,$C$3:$D$15,2,FALSE)*AH$20&lt;0,0,
SUM(SUMIF(防護具!$Y$13:$Y$29,AI$17&amp;$C52,防護具!$Q$13:$Q$29),AH54)-VLOOKUP($C52,$C$3:$D$15,2,FALSE)*AH$20)</f>
        <v>0</v>
      </c>
      <c r="AJ54" s="762">
        <f xml:space="preserve">
IF(
SUM(SUMIF(防護具!$Y$13:$Y$29,AJ$17&amp;$C52,防護具!$Q$13:$Q$29),AI54)-VLOOKUP($C52,$C$3:$D$15,2,FALSE)*AI$20&lt;0,0,
SUM(SUMIF(防護具!$Y$13:$Y$29,AJ$17&amp;$C52,防護具!$Q$13:$Q$29),AI54)-VLOOKUP($C52,$C$3:$D$15,2,FALSE)*AI$20)</f>
        <v>0</v>
      </c>
      <c r="AK54" s="762">
        <f xml:space="preserve">
IF(
SUM(SUMIF(防護具!$Y$13:$Y$29,AK$17&amp;$C52,防護具!$Q$13:$Q$29),AJ54)-VLOOKUP($C52,$C$3:$D$15,2,FALSE)*AJ$20&lt;0,0,
SUM(SUMIF(防護具!$Y$13:$Y$29,AK$17&amp;$C52,防護具!$Q$13:$Q$29),AJ54)-VLOOKUP($C52,$C$3:$D$15,2,FALSE)*AJ$20)</f>
        <v>0</v>
      </c>
      <c r="AL54" s="762">
        <f xml:space="preserve">
IF(
SUM(SUMIF(防護具!$Y$13:$Y$29,AL$17&amp;$C52,防護具!$Q$13:$Q$29),AK54)-VLOOKUP($C52,$C$3:$D$15,2,FALSE)*AK$20&lt;0,0,
SUM(SUMIF(防護具!$Y$13:$Y$29,AL$17&amp;$C52,防護具!$Q$13:$Q$29),AK54)-VLOOKUP($C52,$C$3:$D$15,2,FALSE)*AK$20)</f>
        <v>0</v>
      </c>
      <c r="AM54" s="762">
        <f xml:space="preserve">
IF(
SUM(SUMIF(防護具!$Y$13:$Y$29,AM$17&amp;$C52,防護具!$Q$13:$Q$29),AL54)-VLOOKUP($C52,$C$3:$D$15,2,FALSE)*AL$20&lt;0,0,
SUM(SUMIF(防護具!$Y$13:$Y$29,AM$17&amp;$C52,防護具!$Q$13:$Q$29),AL54)-VLOOKUP($C52,$C$3:$D$15,2,FALSE)*AL$20)</f>
        <v>0</v>
      </c>
      <c r="AN54" s="762">
        <f xml:space="preserve">
IF(
SUM(SUMIF(防護具!$Y$13:$Y$29,AN$17&amp;$C52,防護具!$Q$13:$Q$29),AM54)-VLOOKUP($C52,$C$3:$D$15,2,FALSE)*AM$20&lt;0,0,
SUM(SUMIF(防護具!$Y$13:$Y$29,AN$17&amp;$C52,防護具!$Q$13:$Q$29),AM54)-VLOOKUP($C52,$C$3:$D$15,2,FALSE)*AM$20)</f>
        <v>0</v>
      </c>
      <c r="AO54" s="762">
        <f xml:space="preserve">
IF(
SUM(SUMIF(防護具!$Y$13:$Y$29,AO$17&amp;$C52,防護具!$Q$13:$Q$29),AN54)-VLOOKUP($C52,$C$3:$D$15,2,FALSE)*AN$20&lt;0,0,
SUM(SUMIF(防護具!$Y$13:$Y$29,AO$17&amp;$C52,防護具!$Q$13:$Q$29),AN54)-VLOOKUP($C52,$C$3:$D$15,2,FALSE)*AN$20)</f>
        <v>0</v>
      </c>
      <c r="AP54" s="762">
        <f xml:space="preserve">
IF(
SUM(SUMIF(防護具!$Y$13:$Y$29,AP$17&amp;$C52,防護具!$Q$13:$Q$29),AO54)-VLOOKUP($C52,$C$3:$D$15,2,FALSE)*AO$20&lt;0,0,
SUM(SUMIF(防護具!$Y$13:$Y$29,AP$17&amp;$C52,防護具!$Q$13:$Q$29),AO54)-VLOOKUP($C52,$C$3:$D$15,2,FALSE)*AO$20)</f>
        <v>0</v>
      </c>
      <c r="AQ54" s="762">
        <f xml:space="preserve">
IF(
SUM(SUMIF(防護具!$Y$13:$Y$29,AQ$17&amp;$C52,防護具!$Q$13:$Q$29),AP54)-VLOOKUP($C52,$C$3:$D$15,2,FALSE)*AP$20&lt;0,0,
SUM(SUMIF(防護具!$Y$13:$Y$29,AQ$17&amp;$C52,防護具!$Q$13:$Q$29),AP54)-VLOOKUP($C52,$C$3:$D$15,2,FALSE)*AP$20)</f>
        <v>0</v>
      </c>
      <c r="AR54" s="762">
        <f xml:space="preserve">
IF(
SUM(SUMIF(防護具!$Y$13:$Y$29,AR$17&amp;$C52,防護具!$Q$13:$Q$29),AQ54)-VLOOKUP($C52,$C$3:$D$15,2,FALSE)*AQ$20&lt;0,0,
SUM(SUMIF(防護具!$Y$13:$Y$29,AR$17&amp;$C52,防護具!$Q$13:$Q$29),AQ54)-VLOOKUP($C52,$C$3:$D$15,2,FALSE)*AQ$20)</f>
        <v>0</v>
      </c>
      <c r="AS54" s="762">
        <f xml:space="preserve">
IF(
SUM(SUMIF(防護具!$Y$13:$Y$29,AS$17&amp;$C52,防護具!$Q$13:$Q$29),AR54)-VLOOKUP($C52,$C$3:$D$15,2,FALSE)*AR$20&lt;0,0,
SUM(SUMIF(防護具!$Y$13:$Y$29,AS$17&amp;$C52,防護具!$Q$13:$Q$29),AR54)-VLOOKUP($C52,$C$3:$D$15,2,FALSE)*AR$20)</f>
        <v>0</v>
      </c>
      <c r="AT54" s="762">
        <f xml:space="preserve">
IF(
SUM(SUMIF(防護具!$Y$13:$Y$29,AT$17&amp;$C52,防護具!$Q$13:$Q$29),AS54)-VLOOKUP($C52,$C$3:$D$15,2,FALSE)*AS$20&lt;0,0,
SUM(SUMIF(防護具!$Y$13:$Y$29,AT$17&amp;$C52,防護具!$Q$13:$Q$29),AS54)-VLOOKUP($C52,$C$3:$D$15,2,FALSE)*AS$20)</f>
        <v>0</v>
      </c>
      <c r="AU54" s="762">
        <f xml:space="preserve">
IF(
SUM(SUMIF(防護具!$Y$13:$Y$29,AU$17&amp;$C52,防護具!$Q$13:$Q$29),AT54)-VLOOKUP($C52,$C$3:$D$15,2,FALSE)*AT$20&lt;0,0,
SUM(SUMIF(防護具!$Y$13:$Y$29,AU$17&amp;$C52,防護具!$Q$13:$Q$29),AT54)-VLOOKUP($C52,$C$3:$D$15,2,FALSE)*AT$20)</f>
        <v>0</v>
      </c>
      <c r="AV54" s="762">
        <f xml:space="preserve">
IF(
SUM(SUMIF(防護具!$Y$13:$Y$29,AV$17&amp;$C52,防護具!$Q$13:$Q$29),AU54)-VLOOKUP($C52,$C$3:$D$15,2,FALSE)*AU$20&lt;0,0,
SUM(SUMIF(防護具!$Y$13:$Y$29,AV$17&amp;$C52,防護具!$Q$13:$Q$29),AU54)-VLOOKUP($C52,$C$3:$D$15,2,FALSE)*AU$20)</f>
        <v>0</v>
      </c>
      <c r="AW54" s="762">
        <f xml:space="preserve">
IF(
SUM(SUMIF(防護具!$Y$13:$Y$29,AW$17&amp;$C52,防護具!$Q$13:$Q$29),AV54)-VLOOKUP($C52,$C$3:$D$15,2,FALSE)*AV$20&lt;0,0,
SUM(SUMIF(防護具!$Y$13:$Y$29,AW$17&amp;$C52,防護具!$Q$13:$Q$29),AV54)-VLOOKUP($C52,$C$3:$D$15,2,FALSE)*AV$20)</f>
        <v>0</v>
      </c>
      <c r="AX54" s="762">
        <f xml:space="preserve">
IF(
SUM(SUMIF(防護具!$Y$13:$Y$29,AX$17&amp;$C52,防護具!$Q$13:$Q$29),AW54)-VLOOKUP($C52,$C$3:$D$15,2,FALSE)*AW$20&lt;0,0,
SUM(SUMIF(防護具!$Y$13:$Y$29,AX$17&amp;$C52,防護具!$Q$13:$Q$29),AW54)-VLOOKUP($C52,$C$3:$D$15,2,FALSE)*AW$20)</f>
        <v>0</v>
      </c>
      <c r="AY54" s="762">
        <f xml:space="preserve">
IF(
SUM(SUMIF(防護具!$Y$13:$Y$29,AY$17&amp;$C52,防護具!$Q$13:$Q$29),AX54)-VLOOKUP($C52,$C$3:$D$15,2,FALSE)*AX$20&lt;0,0,
SUM(SUMIF(防護具!$Y$13:$Y$29,AY$17&amp;$C52,防護具!$Q$13:$Q$29),AX54)-VLOOKUP($C52,$C$3:$D$15,2,FALSE)*AX$20)</f>
        <v>0</v>
      </c>
      <c r="AZ54" s="762">
        <f xml:space="preserve">
IF(
SUM(SUMIF(防護具!$Y$13:$Y$29,AZ$17&amp;$C52,防護具!$Q$13:$Q$29),AY54)-VLOOKUP($C52,$C$3:$D$15,2,FALSE)*AY$20&lt;0,0,
SUM(SUMIF(防護具!$Y$13:$Y$29,AZ$17&amp;$C52,防護具!$Q$13:$Q$29),AY54)-VLOOKUP($C52,$C$3:$D$15,2,FALSE)*AY$20)</f>
        <v>0</v>
      </c>
      <c r="BA54" s="762">
        <f xml:space="preserve">
IF(
SUM(SUMIF(防護具!$Y$13:$Y$29,BA$17&amp;$C52,防護具!$Q$13:$Q$29),AZ54)-VLOOKUP($C52,$C$3:$D$15,2,FALSE)*AZ$20&lt;0,0,
SUM(SUMIF(防護具!$Y$13:$Y$29,BA$17&amp;$C52,防護具!$Q$13:$Q$29),AZ54)-VLOOKUP($C52,$C$3:$D$15,2,FALSE)*AZ$20)</f>
        <v>0</v>
      </c>
      <c r="BB54" s="762">
        <f xml:space="preserve">
IF(
SUM(SUMIF(防護具!$Y$13:$Y$29,BB$17&amp;$C52,防護具!$Q$13:$Q$29),BA54)-VLOOKUP($C52,$C$3:$D$15,2,FALSE)*BA$20&lt;0,0,
SUM(SUMIF(防護具!$Y$13:$Y$29,BB$17&amp;$C52,防護具!$Q$13:$Q$29),BA54)-VLOOKUP($C52,$C$3:$D$15,2,FALSE)*BA$20)</f>
        <v>0</v>
      </c>
      <c r="BC54" s="762">
        <f xml:space="preserve">
IF(
SUM(SUMIF(防護具!$Y$13:$Y$29,BC$17&amp;$C52,防護具!$Q$13:$Q$29),BB54)-VLOOKUP($C52,$C$3:$D$15,2,FALSE)*BB$20&lt;0,0,
SUM(SUMIF(防護具!$Y$13:$Y$29,BC$17&amp;$C52,防護具!$Q$13:$Q$29),BB54)-VLOOKUP($C52,$C$3:$D$15,2,FALSE)*BB$20)</f>
        <v>0</v>
      </c>
      <c r="BD54" s="762">
        <f xml:space="preserve">
IF(
SUM(SUMIF(防護具!$Y$13:$Y$29,BD$17&amp;$C52,防護具!$Q$13:$Q$29),BC54)-VLOOKUP($C52,$C$3:$D$15,2,FALSE)*BC$20&lt;0,0,
SUM(SUMIF(防護具!$Y$13:$Y$29,BD$17&amp;$C52,防護具!$Q$13:$Q$29),BC54)-VLOOKUP($C52,$C$3:$D$15,2,FALSE)*BC$20)</f>
        <v>0</v>
      </c>
      <c r="BE54" s="762">
        <f xml:space="preserve">
IF(
SUM(SUMIF(防護具!$Y$13:$Y$29,BE$17&amp;$C52,防護具!$Q$13:$Q$29),BD54)-VLOOKUP($C52,$C$3:$D$15,2,FALSE)*BD$20&lt;0,0,
SUM(SUMIF(防護具!$Y$13:$Y$29,BE$17&amp;$C52,防護具!$Q$13:$Q$29),BD54)-VLOOKUP($C52,$C$3:$D$15,2,FALSE)*BD$20)</f>
        <v>0</v>
      </c>
      <c r="BF54" s="762">
        <f xml:space="preserve">
IF(
SUM(SUMIF(防護具!$Y$13:$Y$29,BF$17&amp;$C52,防護具!$Q$13:$Q$29),BE54)-VLOOKUP($C52,$C$3:$D$15,2,FALSE)*BE$20&lt;0,0,
SUM(SUMIF(防護具!$Y$13:$Y$29,BF$17&amp;$C52,防護具!$Q$13:$Q$29),BE54)-VLOOKUP($C52,$C$3:$D$15,2,FALSE)*BE$20)</f>
        <v>0</v>
      </c>
      <c r="BG54" s="762">
        <f xml:space="preserve">
IF(
SUM(SUMIF(防護具!$Y$13:$Y$29,BG$17&amp;$C52,防護具!$Q$13:$Q$29),BF54)-VLOOKUP($C52,$C$3:$D$15,2,FALSE)*BF$20&lt;0,0,
SUM(SUMIF(防護具!$Y$13:$Y$29,BG$17&amp;$C52,防護具!$Q$13:$Q$29),BF54)-VLOOKUP($C52,$C$3:$D$15,2,FALSE)*BF$20)</f>
        <v>0</v>
      </c>
      <c r="BH54" s="762">
        <f xml:space="preserve">
IF(
SUM(SUMIF(防護具!$Y$13:$Y$29,BH$17&amp;$C52,防護具!$Q$13:$Q$29),BG54)-VLOOKUP($C52,$C$3:$D$15,2,FALSE)*BG$20&lt;0,0,
SUM(SUMIF(防護具!$Y$13:$Y$29,BH$17&amp;$C52,防護具!$Q$13:$Q$29),BG54)-VLOOKUP($C52,$C$3:$D$15,2,FALSE)*BG$20)</f>
        <v>0</v>
      </c>
      <c r="BI54" s="762">
        <f xml:space="preserve">
IF(
SUM(SUMIF(防護具!$Y$13:$Y$29,BI$17&amp;$C52,防護具!$Q$13:$Q$29),BH54)-VLOOKUP($C52,$C$3:$D$15,2,FALSE)*BH$20&lt;0,0,
SUM(SUMIF(防護具!$Y$13:$Y$29,BI$17&amp;$C52,防護具!$Q$13:$Q$29),BH54)-VLOOKUP($C52,$C$3:$D$15,2,FALSE)*BH$20)</f>
        <v>0</v>
      </c>
      <c r="BJ54" s="762">
        <f xml:space="preserve">
IF(
SUM(SUMIF(防護具!$Y$13:$Y$29,BJ$17&amp;$C52,防護具!$Q$13:$Q$29),BI54)-VLOOKUP($C52,$C$3:$D$15,2,FALSE)*BI$20&lt;0,0,
SUM(SUMIF(防護具!$Y$13:$Y$29,BJ$17&amp;$C52,防護具!$Q$13:$Q$29),BI54)-VLOOKUP($C52,$C$3:$D$15,2,FALSE)*BI$20)</f>
        <v>0</v>
      </c>
      <c r="BK54" s="762">
        <f xml:space="preserve">
IF(
SUM(SUMIF(防護具!$Y$13:$Y$29,BK$17&amp;$C52,防護具!$Q$13:$Q$29),BJ54)-VLOOKUP($C52,$C$3:$D$15,2,FALSE)*BJ$20&lt;0,0,
SUM(SUMIF(防護具!$Y$13:$Y$29,BK$17&amp;$C52,防護具!$Q$13:$Q$29),BJ54)-VLOOKUP($C52,$C$3:$D$15,2,FALSE)*BJ$20)</f>
        <v>0</v>
      </c>
      <c r="BL54" s="762">
        <f xml:space="preserve">
IF(
SUM(SUMIF(防護具!$Y$13:$Y$29,BL$17&amp;$C52,防護具!$Q$13:$Q$29),BK54)-VLOOKUP($C52,$C$3:$D$15,2,FALSE)*BK$20&lt;0,0,
SUM(SUMIF(防護具!$Y$13:$Y$29,BL$17&amp;$C52,防護具!$Q$13:$Q$29),BK54)-VLOOKUP($C52,$C$3:$D$15,2,FALSE)*BK$20)</f>
        <v>0</v>
      </c>
      <c r="BM54" s="762">
        <f xml:space="preserve">
IF(
SUM(SUMIF(防護具!$Y$13:$Y$29,BM$17&amp;$C52,防護具!$Q$13:$Q$29),BL54)-VLOOKUP($C52,$C$3:$D$15,2,FALSE)*BL$20&lt;0,0,
SUM(SUMIF(防護具!$Y$13:$Y$29,BM$17&amp;$C52,防護具!$Q$13:$Q$29),BL54)-VLOOKUP($C52,$C$3:$D$15,2,FALSE)*BL$20)</f>
        <v>0</v>
      </c>
      <c r="BN54" s="762">
        <f xml:space="preserve">
IF(
SUM(SUMIF(防護具!$Y$13:$Y$29,BN$17&amp;$C52,防護具!$Q$13:$Q$29),BM54)-VLOOKUP($C52,$C$3:$D$15,2,FALSE)*BM$20&lt;0,0,
SUM(SUMIF(防護具!$Y$13:$Y$29,BN$17&amp;$C52,防護具!$Q$13:$Q$29),BM54)-VLOOKUP($C52,$C$3:$D$15,2,FALSE)*BM$20)</f>
        <v>0</v>
      </c>
      <c r="BO54" s="762">
        <f xml:space="preserve">
IF(
SUM(SUMIF(防護具!$Y$13:$Y$29,BO$17&amp;$C52,防護具!$Q$13:$Q$29),BN54)-VLOOKUP($C52,$C$3:$D$15,2,FALSE)*BN$20&lt;0,0,
SUM(SUMIF(防護具!$Y$13:$Y$29,BO$17&amp;$C52,防護具!$Q$13:$Q$29),BN54)-VLOOKUP($C52,$C$3:$D$15,2,FALSE)*BN$20)</f>
        <v>0</v>
      </c>
      <c r="BP54" s="762">
        <f xml:space="preserve">
IF(
SUM(SUMIF(防護具!$Y$13:$Y$29,BP$17&amp;$C52,防護具!$Q$13:$Q$29),BO54)-VLOOKUP($C52,$C$3:$D$15,2,FALSE)*BO$20&lt;0,0,
SUM(SUMIF(防護具!$Y$13:$Y$29,BP$17&amp;$C52,防護具!$Q$13:$Q$29),BO54)-VLOOKUP($C52,$C$3:$D$15,2,FALSE)*BO$20)</f>
        <v>0</v>
      </c>
      <c r="BQ54" s="762">
        <f xml:space="preserve">
IF(
SUM(SUMIF(防護具!$Y$13:$Y$29,BQ$17&amp;$C52,防護具!$Q$13:$Q$29),BP54)-VLOOKUP($C52,$C$3:$D$15,2,FALSE)*BP$20&lt;0,0,
SUM(SUMIF(防護具!$Y$13:$Y$29,BQ$17&amp;$C52,防護具!$Q$13:$Q$29),BP54)-VLOOKUP($C52,$C$3:$D$15,2,FALSE)*BP$20)</f>
        <v>0</v>
      </c>
      <c r="BR54" s="762">
        <f xml:space="preserve">
IF(
SUM(SUMIF(防護具!$Y$13:$Y$29,BR$17&amp;$C52,防護具!$Q$13:$Q$29),BQ54)-VLOOKUP($C52,$C$3:$D$15,2,FALSE)*BQ$20&lt;0,0,
SUM(SUMIF(防護具!$Y$13:$Y$29,BR$17&amp;$C52,防護具!$Q$13:$Q$29),BQ54)-VLOOKUP($C52,$C$3:$D$15,2,FALSE)*BQ$20)</f>
        <v>0</v>
      </c>
      <c r="BS54" s="762">
        <f xml:space="preserve">
IF(
SUM(SUMIF(防護具!$Y$13:$Y$29,BS$17&amp;$C52,防護具!$Q$13:$Q$29),BR54)-VLOOKUP($C52,$C$3:$D$15,2,FALSE)*BR$20&lt;0,0,
SUM(SUMIF(防護具!$Y$13:$Y$29,BS$17&amp;$C52,防護具!$Q$13:$Q$29),BR54)-VLOOKUP($C52,$C$3:$D$15,2,FALSE)*BR$20)</f>
        <v>0</v>
      </c>
      <c r="BT54" s="762">
        <f xml:space="preserve">
IF(
SUM(SUMIF(防護具!$Y$13:$Y$29,BT$17&amp;$C52,防護具!$Q$13:$Q$29),BS54)-VLOOKUP($C52,$C$3:$D$15,2,FALSE)*BS$20&lt;0,0,
SUM(SUMIF(防護具!$Y$13:$Y$29,BT$17&amp;$C52,防護具!$Q$13:$Q$29),BS54)-VLOOKUP($C52,$C$3:$D$15,2,FALSE)*BS$20)</f>
        <v>0</v>
      </c>
      <c r="BU54" s="762">
        <f xml:space="preserve">
IF(
SUM(SUMIF(防護具!$Y$13:$Y$29,BU$17&amp;$C52,防護具!$Q$13:$Q$29),BT54)-VLOOKUP($C52,$C$3:$D$15,2,FALSE)*BT$20&lt;0,0,
SUM(SUMIF(防護具!$Y$13:$Y$29,BU$17&amp;$C52,防護具!$Q$13:$Q$29),BT54)-VLOOKUP($C52,$C$3:$D$15,2,FALSE)*BT$20)</f>
        <v>0</v>
      </c>
      <c r="BV54" s="762">
        <f xml:space="preserve">
IF(
SUM(SUMIF(防護具!$Y$13:$Y$29,BV$17&amp;$C52,防護具!$Q$13:$Q$29),BU54)-VLOOKUP($C52,$C$3:$D$15,2,FALSE)*BU$20&lt;0,0,
SUM(SUMIF(防護具!$Y$13:$Y$29,BV$17&amp;$C52,防護具!$Q$13:$Q$29),BU54)-VLOOKUP($C52,$C$3:$D$15,2,FALSE)*BU$20)</f>
        <v>0</v>
      </c>
      <c r="BW54" s="762">
        <f xml:space="preserve">
IF(
SUM(SUMIF(防護具!$Y$13:$Y$29,BW$17&amp;$C52,防護具!$Q$13:$Q$29),BV54)-VLOOKUP($C52,$C$3:$D$15,2,FALSE)*BV$20&lt;0,0,
SUM(SUMIF(防護具!$Y$13:$Y$29,BW$17&amp;$C52,防護具!$Q$13:$Q$29),BV54)-VLOOKUP($C52,$C$3:$D$15,2,FALSE)*BV$20)</f>
        <v>0</v>
      </c>
      <c r="BX54" s="762">
        <f xml:space="preserve">
IF(
SUM(SUMIF(防護具!$Y$13:$Y$29,BX$17&amp;$C52,防護具!$Q$13:$Q$29),BW54)-VLOOKUP($C52,$C$3:$D$15,2,FALSE)*BW$20&lt;0,0,
SUM(SUMIF(防護具!$Y$13:$Y$29,BX$17&amp;$C52,防護具!$Q$13:$Q$29),BW54)-VLOOKUP($C52,$C$3:$D$15,2,FALSE)*BW$20)</f>
        <v>0</v>
      </c>
      <c r="BY54" s="762">
        <f xml:space="preserve">
IF(
SUM(SUMIF(防護具!$Y$13:$Y$29,BY$17&amp;$C52,防護具!$Q$13:$Q$29),BX54)-VLOOKUP($C52,$C$3:$D$15,2,FALSE)*BX$20&lt;0,0,
SUM(SUMIF(防護具!$Y$13:$Y$29,BY$17&amp;$C52,防護具!$Q$13:$Q$29),BX54)-VLOOKUP($C52,$C$3:$D$15,2,FALSE)*BX$20)</f>
        <v>0</v>
      </c>
      <c r="BZ54" s="762">
        <f xml:space="preserve">
IF(
SUM(SUMIF(防護具!$Y$13:$Y$29,BZ$17&amp;$C52,防護具!$Q$13:$Q$29),BY54)-VLOOKUP($C52,$C$3:$D$15,2,FALSE)*BY$20&lt;0,0,
SUM(SUMIF(防護具!$Y$13:$Y$29,BZ$17&amp;$C52,防護具!$Q$13:$Q$29),BY54)-VLOOKUP($C52,$C$3:$D$15,2,FALSE)*BY$20)</f>
        <v>0</v>
      </c>
      <c r="CA54" s="762">
        <f xml:space="preserve">
IF(
SUM(SUMIF(防護具!$Y$13:$Y$29,CA$17&amp;$C52,防護具!$Q$13:$Q$29),BZ54)-VLOOKUP($C52,$C$3:$D$15,2,FALSE)*BZ$20&lt;0,0,
SUM(SUMIF(防護具!$Y$13:$Y$29,CA$17&amp;$C52,防護具!$Q$13:$Q$29),BZ54)-VLOOKUP($C52,$C$3:$D$15,2,FALSE)*BZ$20)</f>
        <v>0</v>
      </c>
      <c r="CB54" s="762">
        <f xml:space="preserve">
IF(
SUM(SUMIF(防護具!$Y$13:$Y$29,CB$17&amp;$C52,防護具!$Q$13:$Q$29),CA54)-VLOOKUP($C52,$C$3:$D$15,2,FALSE)*CA$20&lt;0,0,
SUM(SUMIF(防護具!$Y$13:$Y$29,CB$17&amp;$C52,防護具!$Q$13:$Q$29),CA54)-VLOOKUP($C52,$C$3:$D$15,2,FALSE)*CA$20)</f>
        <v>0</v>
      </c>
      <c r="CC54" s="762">
        <f xml:space="preserve">
IF(
SUM(SUMIF(防護具!$Y$13:$Y$29,CC$17&amp;$C52,防護具!$Q$13:$Q$29),CB54)-VLOOKUP($C52,$C$3:$D$15,2,FALSE)*CB$20&lt;0,0,
SUM(SUMIF(防護具!$Y$13:$Y$29,CC$17&amp;$C52,防護具!$Q$13:$Q$29),CB54)-VLOOKUP($C52,$C$3:$D$15,2,FALSE)*CB$20)</f>
        <v>0</v>
      </c>
      <c r="CD54" s="762">
        <f xml:space="preserve">
IF(
SUM(SUMIF(防護具!$Y$13:$Y$29,CD$17&amp;$C52,防護具!$Q$13:$Q$29),CC54)-VLOOKUP($C52,$C$3:$D$15,2,FALSE)*CC$20&lt;0,0,
SUM(SUMIF(防護具!$Y$13:$Y$29,CD$17&amp;$C52,防護具!$Q$13:$Q$29),CC54)-VLOOKUP($C52,$C$3:$D$15,2,FALSE)*CC$20)</f>
        <v>0</v>
      </c>
      <c r="CE54" s="762">
        <f xml:space="preserve">
IF(
SUM(SUMIF(防護具!$Y$13:$Y$29,CE$17&amp;$C52,防護具!$Q$13:$Q$29),CD54)-VLOOKUP($C52,$C$3:$D$15,2,FALSE)*CD$20&lt;0,0,
SUM(SUMIF(防護具!$Y$13:$Y$29,CE$17&amp;$C52,防護具!$Q$13:$Q$29),CD54)-VLOOKUP($C52,$C$3:$D$15,2,FALSE)*CD$20)</f>
        <v>0</v>
      </c>
      <c r="CF54" s="762">
        <f xml:space="preserve">
IF(
SUM(SUMIF(防護具!$Y$13:$Y$29,CF$17&amp;$C52,防護具!$Q$13:$Q$29),CE54)-VLOOKUP($C52,$C$3:$D$15,2,FALSE)*CE$20&lt;0,0,
SUM(SUMIF(防護具!$Y$13:$Y$29,CF$17&amp;$C52,防護具!$Q$13:$Q$29),CE54)-VLOOKUP($C52,$C$3:$D$15,2,FALSE)*CE$20)</f>
        <v>0</v>
      </c>
      <c r="CG54" s="762">
        <f xml:space="preserve">
IF(
SUM(SUMIF(防護具!$Y$13:$Y$29,CG$17&amp;$C52,防護具!$Q$13:$Q$29),CF54)-VLOOKUP($C52,$C$3:$D$15,2,FALSE)*CF$20&lt;0,0,
SUM(SUMIF(防護具!$Y$13:$Y$29,CG$17&amp;$C52,防護具!$Q$13:$Q$29),CF54)-VLOOKUP($C52,$C$3:$D$15,2,FALSE)*CF$20)</f>
        <v>0</v>
      </c>
      <c r="CH54" s="762">
        <f xml:space="preserve">
IF(
SUM(SUMIF(防護具!$Y$13:$Y$29,CH$17&amp;$C52,防護具!$Q$13:$Q$29),CG54)-VLOOKUP($C52,$C$3:$D$15,2,FALSE)*CG$20&lt;0,0,
SUM(SUMIF(防護具!$Y$13:$Y$29,CH$17&amp;$C52,防護具!$Q$13:$Q$29),CG54)-VLOOKUP($C52,$C$3:$D$15,2,FALSE)*CG$20)</f>
        <v>0</v>
      </c>
      <c r="CI54" s="762">
        <f xml:space="preserve">
IF(
SUM(SUMIF(防護具!$Y$13:$Y$29,CI$17&amp;$C52,防護具!$Q$13:$Q$29),CH54)-VLOOKUP($C52,$C$3:$D$15,2,FALSE)*CH$20&lt;0,0,
SUM(SUMIF(防護具!$Y$13:$Y$29,CI$17&amp;$C52,防護具!$Q$13:$Q$29),CH54)-VLOOKUP($C52,$C$3:$D$15,2,FALSE)*CH$20)</f>
        <v>0</v>
      </c>
      <c r="CJ54" s="762">
        <f xml:space="preserve">
IF(
SUM(SUMIF(防護具!$Y$13:$Y$29,CJ$17&amp;$C52,防護具!$Q$13:$Q$29),CI54)-VLOOKUP($C52,$C$3:$D$15,2,FALSE)*CI$20&lt;0,0,
SUM(SUMIF(防護具!$Y$13:$Y$29,CJ$17&amp;$C52,防護具!$Q$13:$Q$29),CI54)-VLOOKUP($C52,$C$3:$D$15,2,FALSE)*CI$20)</f>
        <v>0</v>
      </c>
      <c r="CK54" s="762">
        <f xml:space="preserve">
IF(
SUM(SUMIF(防護具!$Y$13:$Y$29,CK$17&amp;$C52,防護具!$Q$13:$Q$29),CJ54)-VLOOKUP($C52,$C$3:$D$15,2,FALSE)*CJ$20&lt;0,0,
SUM(SUMIF(防護具!$Y$13:$Y$29,CK$17&amp;$C52,防護具!$Q$13:$Q$29),CJ54)-VLOOKUP($C52,$C$3:$D$15,2,FALSE)*CJ$20)</f>
        <v>0</v>
      </c>
      <c r="CL54" s="762">
        <f xml:space="preserve">
IF(
SUM(SUMIF(防護具!$Y$13:$Y$29,CL$17&amp;$C52,防護具!$Q$13:$Q$29),CK54)-VLOOKUP($C52,$C$3:$D$15,2,FALSE)*CK$20&lt;0,0,
SUM(SUMIF(防護具!$Y$13:$Y$29,CL$17&amp;$C52,防護具!$Q$13:$Q$29),CK54)-VLOOKUP($C52,$C$3:$D$15,2,FALSE)*CK$20)</f>
        <v>0</v>
      </c>
      <c r="CM54" s="762">
        <f xml:space="preserve">
IF(
SUM(SUMIF(防護具!$Y$13:$Y$29,CM$17&amp;$C52,防護具!$Q$13:$Q$29),CL54)-VLOOKUP($C52,$C$3:$D$15,2,FALSE)*CL$20&lt;0,0,
SUM(SUMIF(防護具!$Y$13:$Y$29,CM$17&amp;$C52,防護具!$Q$13:$Q$29),CL54)-VLOOKUP($C52,$C$3:$D$15,2,FALSE)*CL$20)</f>
        <v>0</v>
      </c>
      <c r="CN54" s="762">
        <f xml:space="preserve">
IF(
SUM(SUMIF(防護具!$Y$13:$Y$29,CN$17&amp;$C52,防護具!$Q$13:$Q$29),CM54)-VLOOKUP($C52,$C$3:$D$15,2,FALSE)*CM$20&lt;0,0,
SUM(SUMIF(防護具!$Y$13:$Y$29,CN$17&amp;$C52,防護具!$Q$13:$Q$29),CM54)-VLOOKUP($C52,$C$3:$D$15,2,FALSE)*CM$20)</f>
        <v>0</v>
      </c>
      <c r="CO54" s="762">
        <f xml:space="preserve">
IF(
SUM(SUMIF(防護具!$Y$13:$Y$29,CO$17&amp;$C52,防護具!$Q$13:$Q$29),CN54)-VLOOKUP($C52,$C$3:$D$15,2,FALSE)*CN$20&lt;0,0,
SUM(SUMIF(防護具!$Y$13:$Y$29,CO$17&amp;$C52,防護具!$Q$13:$Q$29),CN54)-VLOOKUP($C52,$C$3:$D$15,2,FALSE)*CN$20)</f>
        <v>0</v>
      </c>
      <c r="CP54" s="762">
        <f xml:space="preserve">
IF(
SUM(SUMIF(防護具!$Y$13:$Y$29,CP$17&amp;$C52,防護具!$Q$13:$Q$29),CO54)-VLOOKUP($C52,$C$3:$D$15,2,FALSE)*CO$20&lt;0,0,
SUM(SUMIF(防護具!$Y$13:$Y$29,CP$17&amp;$C52,防護具!$Q$13:$Q$29),CO54)-VLOOKUP($C52,$C$3:$D$15,2,FALSE)*CO$20)</f>
        <v>0</v>
      </c>
      <c r="CQ54" s="762">
        <f xml:space="preserve">
IF(
SUM(SUMIF(防護具!$Y$13:$Y$29,CQ$17&amp;$C52,防護具!$Q$13:$Q$29),CP54)-VLOOKUP($C52,$C$3:$D$15,2,FALSE)*CP$20&lt;0,0,
SUM(SUMIF(防護具!$Y$13:$Y$29,CQ$17&amp;$C52,防護具!$Q$13:$Q$29),CP54)-VLOOKUP($C52,$C$3:$D$15,2,FALSE)*CP$20)</f>
        <v>0</v>
      </c>
      <c r="CR54" s="762">
        <f xml:space="preserve">
IF(
SUM(SUMIF(防護具!$Y$13:$Y$29,CR$17&amp;$C52,防護具!$Q$13:$Q$29),CQ54)-VLOOKUP($C52,$C$3:$D$15,2,FALSE)*CQ$20&lt;0,0,
SUM(SUMIF(防護具!$Y$13:$Y$29,CR$17&amp;$C52,防護具!$Q$13:$Q$29),CQ54)-VLOOKUP($C52,$C$3:$D$15,2,FALSE)*CQ$20)</f>
        <v>0</v>
      </c>
      <c r="CS54" s="762">
        <f xml:space="preserve">
IF(
SUM(SUMIF(防護具!$Y$13:$Y$29,CS$17&amp;$C52,防護具!$Q$13:$Q$29),CR54)-VLOOKUP($C52,$C$3:$D$15,2,FALSE)*CR$20&lt;0,0,
SUM(SUMIF(防護具!$Y$13:$Y$29,CS$17&amp;$C52,防護具!$Q$13:$Q$29),CR54)-VLOOKUP($C52,$C$3:$D$15,2,FALSE)*CR$20)</f>
        <v>0</v>
      </c>
      <c r="CT54" s="762">
        <f xml:space="preserve">
IF(
SUM(SUMIF(防護具!$Y$13:$Y$29,CT$17&amp;$C52,防護具!$Q$13:$Q$29),CS54)-VLOOKUP($C52,$C$3:$D$15,2,FALSE)*CS$20&lt;0,0,
SUM(SUMIF(防護具!$Y$13:$Y$29,CT$17&amp;$C52,防護具!$Q$13:$Q$29),CS54)-VLOOKUP($C52,$C$3:$D$15,2,FALSE)*CS$20)</f>
        <v>0</v>
      </c>
      <c r="CU54" s="762">
        <f xml:space="preserve">
IF(
SUM(SUMIF(防護具!$Y$13:$Y$29,CU$17&amp;$C52,防護具!$Q$13:$Q$29),CT54)-VLOOKUP($C52,$C$3:$D$15,2,FALSE)*CT$20&lt;0,0,
SUM(SUMIF(防護具!$Y$13:$Y$29,CU$17&amp;$C52,防護具!$Q$13:$Q$29),CT54)-VLOOKUP($C52,$C$3:$D$15,2,FALSE)*CT$20)</f>
        <v>0</v>
      </c>
      <c r="CV54" s="762">
        <f xml:space="preserve">
IF(
SUM(SUMIF(防護具!$Y$13:$Y$29,CV$17&amp;$C52,防護具!$Q$13:$Q$29),CU54)-VLOOKUP($C52,$C$3:$D$15,2,FALSE)*CU$20&lt;0,0,
SUM(SUMIF(防護具!$Y$13:$Y$29,CV$17&amp;$C52,防護具!$Q$13:$Q$29),CU54)-VLOOKUP($C52,$C$3:$D$15,2,FALSE)*CU$20)</f>
        <v>0</v>
      </c>
      <c r="CW54" s="762">
        <f xml:space="preserve">
IF(
SUM(SUMIF(防護具!$Y$13:$Y$29,CW$17&amp;$C52,防護具!$Q$13:$Q$29),CV54)-VLOOKUP($C52,$C$3:$D$15,2,FALSE)*CV$20&lt;0,0,
SUM(SUMIF(防護具!$Y$13:$Y$29,CW$17&amp;$C52,防護具!$Q$13:$Q$29),CV54)-VLOOKUP($C52,$C$3:$D$15,2,FALSE)*CV$20)</f>
        <v>0</v>
      </c>
      <c r="CX54" s="762">
        <f xml:space="preserve">
IF(
SUM(SUMIF(防護具!$Y$13:$Y$29,CX$17&amp;$C52,防護具!$Q$13:$Q$29),CW54)-VLOOKUP($C52,$C$3:$D$15,2,FALSE)*CW$20&lt;0,0,
SUM(SUMIF(防護具!$Y$13:$Y$29,CX$17&amp;$C52,防護具!$Q$13:$Q$29),CW54)-VLOOKUP($C52,$C$3:$D$15,2,FALSE)*CW$20)</f>
        <v>0</v>
      </c>
      <c r="CY54" s="762">
        <f xml:space="preserve">
IF(
SUM(SUMIF(防護具!$Y$13:$Y$29,CY$17&amp;$C52,防護具!$Q$13:$Q$29),CX54)-VLOOKUP($C52,$C$3:$D$15,2,FALSE)*CX$20&lt;0,0,
SUM(SUMIF(防護具!$Y$13:$Y$29,CY$17&amp;$C52,防護具!$Q$13:$Q$29),CX54)-VLOOKUP($C52,$C$3:$D$15,2,FALSE)*CX$20)</f>
        <v>0</v>
      </c>
      <c r="CZ54" s="762">
        <f xml:space="preserve">
IF(
SUM(SUMIF(防護具!$Y$13:$Y$29,CZ$17&amp;$C52,防護具!$Q$13:$Q$29),CY54)-VLOOKUP($C52,$C$3:$D$15,2,FALSE)*CY$20&lt;0,0,
SUM(SUMIF(防護具!$Y$13:$Y$29,CZ$17&amp;$C52,防護具!$Q$13:$Q$29),CY54)-VLOOKUP($C52,$C$3:$D$15,2,FALSE)*CY$20)</f>
        <v>0</v>
      </c>
      <c r="DA54" s="762">
        <f xml:space="preserve">
IF(
SUM(SUMIF(防護具!$Y$13:$Y$29,DA$17&amp;$C52,防護具!$Q$13:$Q$29),CZ54)-VLOOKUP($C52,$C$3:$D$15,2,FALSE)*CZ$20&lt;0,0,
SUM(SUMIF(防護具!$Y$13:$Y$29,DA$17&amp;$C52,防護具!$Q$13:$Q$29),CZ54)-VLOOKUP($C52,$C$3:$D$15,2,FALSE)*CZ$20)</f>
        <v>0</v>
      </c>
      <c r="DB54" s="762">
        <f xml:space="preserve">
IF(
SUM(SUMIF(防護具!$Y$13:$Y$29,DB$17&amp;$C52,防護具!$Q$13:$Q$29),DA54)-VLOOKUP($C52,$C$3:$D$15,2,FALSE)*DA$20&lt;0,0,
SUM(SUMIF(防護具!$Y$13:$Y$29,DB$17&amp;$C52,防護具!$Q$13:$Q$29),DA54)-VLOOKUP($C52,$C$3:$D$15,2,FALSE)*DA$20)</f>
        <v>0</v>
      </c>
      <c r="DC54" s="762">
        <f xml:space="preserve">
IF(
SUM(SUMIF(防護具!$Y$13:$Y$29,DC$17&amp;$C52,防護具!$Q$13:$Q$29),DB54)-VLOOKUP($C52,$C$3:$D$15,2,FALSE)*DB$20&lt;0,0,
SUM(SUMIF(防護具!$Y$13:$Y$29,DC$17&amp;$C52,防護具!$Q$13:$Q$29),DB54)-VLOOKUP($C52,$C$3:$D$15,2,FALSE)*DB$20)</f>
        <v>0</v>
      </c>
      <c r="DD54" s="762">
        <f xml:space="preserve">
IF(
SUM(SUMIF(防護具!$Y$13:$Y$29,DD$17&amp;$C52,防護具!$Q$13:$Q$29),DC54)-VLOOKUP($C52,$C$3:$D$15,2,FALSE)*DC$20&lt;0,0,
SUM(SUMIF(防護具!$Y$13:$Y$29,DD$17&amp;$C52,防護具!$Q$13:$Q$29),DC54)-VLOOKUP($C52,$C$3:$D$15,2,FALSE)*DC$20)</f>
        <v>0</v>
      </c>
      <c r="DE54" s="762">
        <f xml:space="preserve">
IF(
SUM(SUMIF(防護具!$Y$13:$Y$29,DE$17&amp;$C52,防護具!$Q$13:$Q$29),DD54)-VLOOKUP($C52,$C$3:$D$15,2,FALSE)*DD$20&lt;0,0,
SUM(SUMIF(防護具!$Y$13:$Y$29,DE$17&amp;$C52,防護具!$Q$13:$Q$29),DD54)-VLOOKUP($C52,$C$3:$D$15,2,FALSE)*DD$20)</f>
        <v>0</v>
      </c>
      <c r="DF54" s="762">
        <f xml:space="preserve">
IF(
SUM(SUMIF(防護具!$Y$13:$Y$29,DF$17&amp;$C52,防護具!$Q$13:$Q$29),DE54)-VLOOKUP($C52,$C$3:$D$15,2,FALSE)*DE$20&lt;0,0,
SUM(SUMIF(防護具!$Y$13:$Y$29,DF$17&amp;$C52,防護具!$Q$13:$Q$29),DE54)-VLOOKUP($C52,$C$3:$D$15,2,FALSE)*DE$20)</f>
        <v>0</v>
      </c>
      <c r="DG54" s="762">
        <f xml:space="preserve">
IF(
SUM(SUMIF(防護具!$Y$13:$Y$29,DG$17&amp;$C52,防護具!$Q$13:$Q$29),DF54)-VLOOKUP($C52,$C$3:$D$15,2,FALSE)*DF$20&lt;0,0,
SUM(SUMIF(防護具!$Y$13:$Y$29,DG$17&amp;$C52,防護具!$Q$13:$Q$29),DF54)-VLOOKUP($C52,$C$3:$D$15,2,FALSE)*DF$20)</f>
        <v>0</v>
      </c>
      <c r="DH54" s="762">
        <f xml:space="preserve">
IF(
SUM(SUMIF(防護具!$Y$13:$Y$29,DH$17&amp;$C52,防護具!$Q$13:$Q$29),DG54)-VLOOKUP($C52,$C$3:$D$15,2,FALSE)*DG$20&lt;0,0,
SUM(SUMIF(防護具!$Y$13:$Y$29,DH$17&amp;$C52,防護具!$Q$13:$Q$29),DG54)-VLOOKUP($C52,$C$3:$D$15,2,FALSE)*DG$20)</f>
        <v>0</v>
      </c>
      <c r="DI54" s="762">
        <f xml:space="preserve">
IF(
SUM(SUMIF(防護具!$Y$13:$Y$29,DI$17&amp;$C52,防護具!$Q$13:$Q$29),DH54)-VLOOKUP($C52,$C$3:$D$15,2,FALSE)*DH$20&lt;0,0,
SUM(SUMIF(防護具!$Y$13:$Y$29,DI$17&amp;$C52,防護具!$Q$13:$Q$29),DH54)-VLOOKUP($C52,$C$3:$D$15,2,FALSE)*DH$20)</f>
        <v>0</v>
      </c>
      <c r="DJ54" s="762">
        <f xml:space="preserve">
IF(
SUM(SUMIF(防護具!$Y$13:$Y$29,DJ$17&amp;$C52,防護具!$Q$13:$Q$29),DI54)-VLOOKUP($C52,$C$3:$D$15,2,FALSE)*DI$20&lt;0,0,
SUM(SUMIF(防護具!$Y$13:$Y$29,DJ$17&amp;$C52,防護具!$Q$13:$Q$29),DI54)-VLOOKUP($C52,$C$3:$D$15,2,FALSE)*DI$20)</f>
        <v>0</v>
      </c>
      <c r="DK54" s="762">
        <f xml:space="preserve">
IF(
SUM(SUMIF(防護具!$Y$13:$Y$29,DK$17&amp;$C52,防護具!$Q$13:$Q$29),DJ54)-VLOOKUP($C52,$C$3:$D$15,2,FALSE)*DJ$20&lt;0,0,
SUM(SUMIF(防護具!$Y$13:$Y$29,DK$17&amp;$C52,防護具!$Q$13:$Q$29),DJ54)-VLOOKUP($C52,$C$3:$D$15,2,FALSE)*DJ$20)</f>
        <v>0</v>
      </c>
      <c r="DL54" s="762">
        <f xml:space="preserve">
IF(
SUM(SUMIF(防護具!$Y$13:$Y$29,DL$17&amp;$C52,防護具!$Q$13:$Q$29),DK54)-VLOOKUP($C52,$C$3:$D$15,2,FALSE)*DK$20&lt;0,0,
SUM(SUMIF(防護具!$Y$13:$Y$29,DL$17&amp;$C52,防護具!$Q$13:$Q$29),DK54)-VLOOKUP($C52,$C$3:$D$15,2,FALSE)*DK$20)</f>
        <v>0</v>
      </c>
      <c r="DM54" s="762">
        <f xml:space="preserve">
IF(
SUM(SUMIF(防護具!$Y$13:$Y$29,DM$17&amp;$C52,防護具!$Q$13:$Q$29),DL54)-VLOOKUP($C52,$C$3:$D$15,2,FALSE)*DL$20&lt;0,0,
SUM(SUMIF(防護具!$Y$13:$Y$29,DM$17&amp;$C52,防護具!$Q$13:$Q$29),DL54)-VLOOKUP($C52,$C$3:$D$15,2,FALSE)*DL$20)</f>
        <v>0</v>
      </c>
      <c r="DN54" s="762">
        <f xml:space="preserve">
IF(
SUM(SUMIF(防護具!$Y$13:$Y$29,DN$17&amp;$C52,防護具!$Q$13:$Q$29),DM54)-VLOOKUP($C52,$C$3:$D$15,2,FALSE)*DM$20&lt;0,0,
SUM(SUMIF(防護具!$Y$13:$Y$29,DN$17&amp;$C52,防護具!$Q$13:$Q$29),DM54)-VLOOKUP($C52,$C$3:$D$15,2,FALSE)*DM$20)</f>
        <v>0</v>
      </c>
      <c r="DO54" s="762">
        <f xml:space="preserve">
IF(
SUM(SUMIF(防護具!$Y$13:$Y$29,DO$17&amp;$C52,防護具!$Q$13:$Q$29),DN54)-VLOOKUP($C52,$C$3:$D$15,2,FALSE)*DN$20&lt;0,0,
SUM(SUMIF(防護具!$Y$13:$Y$29,DO$17&amp;$C52,防護具!$Q$13:$Q$29),DN54)-VLOOKUP($C52,$C$3:$D$15,2,FALSE)*DN$20)</f>
        <v>0</v>
      </c>
      <c r="DP54" s="762">
        <f xml:space="preserve">
IF(
SUM(SUMIF(防護具!$Y$13:$Y$29,DP$17&amp;$C52,防護具!$Q$13:$Q$29),DO54)-VLOOKUP($C52,$C$3:$D$15,2,FALSE)*DO$20&lt;0,0,
SUM(SUMIF(防護具!$Y$13:$Y$29,DP$17&amp;$C52,防護具!$Q$13:$Q$29),DO54)-VLOOKUP($C52,$C$3:$D$15,2,FALSE)*DO$20)</f>
        <v>0</v>
      </c>
      <c r="DQ54" s="762">
        <f xml:space="preserve">
IF(
SUM(SUMIF(防護具!$Y$13:$Y$29,DQ$17&amp;$C52,防護具!$Q$13:$Q$29),DP54)-VLOOKUP($C52,$C$3:$D$15,2,FALSE)*DP$20&lt;0,0,
SUM(SUMIF(防護具!$Y$13:$Y$29,DQ$17&amp;$C52,防護具!$Q$13:$Q$29),DP54)-VLOOKUP($C52,$C$3:$D$15,2,FALSE)*DP$20)</f>
        <v>0</v>
      </c>
      <c r="DR54" s="762">
        <f xml:space="preserve">
IF(
SUM(SUMIF(防護具!$Y$13:$Y$29,DR$17&amp;$C52,防護具!$Q$13:$Q$29),DQ54)-VLOOKUP($C52,$C$3:$D$15,2,FALSE)*DQ$20&lt;0,0,
SUM(SUMIF(防護具!$Y$13:$Y$29,DR$17&amp;$C52,防護具!$Q$13:$Q$29),DQ54)-VLOOKUP($C52,$C$3:$D$15,2,FALSE)*DQ$20)</f>
        <v>0</v>
      </c>
      <c r="DS54" s="762">
        <f xml:space="preserve">
IF(
SUM(SUMIF(防護具!$Y$13:$Y$29,DS$17&amp;$C52,防護具!$Q$13:$Q$29),DR54)-VLOOKUP($C52,$C$3:$D$15,2,FALSE)*DR$20&lt;0,0,
SUM(SUMIF(防護具!$Y$13:$Y$29,DS$17&amp;$C52,防護具!$Q$13:$Q$29),DR54)-VLOOKUP($C52,$C$3:$D$15,2,FALSE)*DR$20)</f>
        <v>0</v>
      </c>
      <c r="DT54" s="762">
        <f xml:space="preserve">
IF(
SUM(SUMIF(防護具!$Y$13:$Y$29,DT$17&amp;$C52,防護具!$Q$13:$Q$29),DS54)-VLOOKUP($C52,$C$3:$D$15,2,FALSE)*DS$20&lt;0,0,
SUM(SUMIF(防護具!$Y$13:$Y$29,DT$17&amp;$C52,防護具!$Q$13:$Q$29),DS54)-VLOOKUP($C52,$C$3:$D$15,2,FALSE)*DS$20)</f>
        <v>0</v>
      </c>
      <c r="DU54" s="762">
        <f xml:space="preserve">
IF(
SUM(SUMIF(防護具!$Y$13:$Y$29,DU$17&amp;$C52,防護具!$Q$13:$Q$29),DT54)-VLOOKUP($C52,$C$3:$D$15,2,FALSE)*DT$20&lt;0,0,
SUM(SUMIF(防護具!$Y$13:$Y$29,DU$17&amp;$C52,防護具!$Q$13:$Q$29),DT54)-VLOOKUP($C52,$C$3:$D$15,2,FALSE)*DT$20)</f>
        <v>0</v>
      </c>
      <c r="DV54" s="762">
        <f xml:space="preserve">
IF(
SUM(SUMIF(防護具!$Y$13:$Y$29,DV$17&amp;$C52,防護具!$Q$13:$Q$29),DU54)-VLOOKUP($C52,$C$3:$D$15,2,FALSE)*DU$20&lt;0,0,
SUM(SUMIF(防護具!$Y$13:$Y$29,DV$17&amp;$C52,防護具!$Q$13:$Q$29),DU54)-VLOOKUP($C52,$C$3:$D$15,2,FALSE)*DU$20)</f>
        <v>0</v>
      </c>
      <c r="DW54" s="762">
        <f xml:space="preserve">
IF(
SUM(SUMIF(防護具!$Y$13:$Y$29,DW$17&amp;$C52,防護具!$Q$13:$Q$29),DV54)-VLOOKUP($C52,$C$3:$D$15,2,FALSE)*DV$20&lt;0,0,
SUM(SUMIF(防護具!$Y$13:$Y$29,DW$17&amp;$C52,防護具!$Q$13:$Q$29),DV54)-VLOOKUP($C52,$C$3:$D$15,2,FALSE)*DV$20)</f>
        <v>0</v>
      </c>
      <c r="DX54" s="762">
        <f xml:space="preserve">
IF(
SUM(SUMIF(防護具!$Y$13:$Y$29,DX$17&amp;$C52,防護具!$Q$13:$Q$29),DW54)-VLOOKUP($C52,$C$3:$D$15,2,FALSE)*DW$20&lt;0,0,
SUM(SUMIF(防護具!$Y$13:$Y$29,DX$17&amp;$C52,防護具!$Q$13:$Q$29),DW54)-VLOOKUP($C52,$C$3:$D$15,2,FALSE)*DW$20)</f>
        <v>0</v>
      </c>
      <c r="DY54" s="762">
        <f xml:space="preserve">
IF(
SUM(SUMIF(防護具!$Y$13:$Y$29,DY$17&amp;$C52,防護具!$Q$13:$Q$29),DX54)-VLOOKUP($C52,$C$3:$D$15,2,FALSE)*DX$20&lt;0,0,
SUM(SUMIF(防護具!$Y$13:$Y$29,DY$17&amp;$C52,防護具!$Q$13:$Q$29),DX54)-VLOOKUP($C52,$C$3:$D$15,2,FALSE)*DX$20)</f>
        <v>0</v>
      </c>
      <c r="DZ54" s="762">
        <f xml:space="preserve">
IF(
SUM(SUMIF(防護具!$Y$13:$Y$29,DZ$17&amp;$C52,防護具!$Q$13:$Q$29),DY54)-VLOOKUP($C52,$C$3:$D$15,2,FALSE)*DY$20&lt;0,0,
SUM(SUMIF(防護具!$Y$13:$Y$29,DZ$17&amp;$C52,防護具!$Q$13:$Q$29),DY54)-VLOOKUP($C52,$C$3:$D$15,2,FALSE)*DY$20)</f>
        <v>0</v>
      </c>
      <c r="EA54" s="762">
        <f xml:space="preserve">
IF(
SUM(SUMIF(防護具!$Y$13:$Y$29,EA$17&amp;$C52,防護具!$Q$13:$Q$29),DZ54)-VLOOKUP($C52,$C$3:$D$15,2,FALSE)*DZ$20&lt;0,0,
SUM(SUMIF(防護具!$Y$13:$Y$29,EA$17&amp;$C52,防護具!$Q$13:$Q$29),DZ54)-VLOOKUP($C52,$C$3:$D$15,2,FALSE)*DZ$20)</f>
        <v>0</v>
      </c>
      <c r="EB54" s="762">
        <f xml:space="preserve">
IF(
SUM(SUMIF(防護具!$Y$13:$Y$29,EB$17&amp;$C52,防護具!$Q$13:$Q$29),EA54)-VLOOKUP($C52,$C$3:$D$15,2,FALSE)*EA$20&lt;0,0,
SUM(SUMIF(防護具!$Y$13:$Y$29,EB$17&amp;$C52,防護具!$Q$13:$Q$29),EA54)-VLOOKUP($C52,$C$3:$D$15,2,FALSE)*EA$20)</f>
        <v>0</v>
      </c>
      <c r="EC54" s="762">
        <f xml:space="preserve">
IF(
SUM(SUMIF(防護具!$Y$13:$Y$29,EC$17&amp;$C52,防護具!$Q$13:$Q$29),EB54)-VLOOKUP($C52,$C$3:$D$15,2,FALSE)*EB$20&lt;0,0,
SUM(SUMIF(防護具!$Y$13:$Y$29,EC$17&amp;$C52,防護具!$Q$13:$Q$29),EB54)-VLOOKUP($C52,$C$3:$D$15,2,FALSE)*EB$20)</f>
        <v>0</v>
      </c>
      <c r="ED54" s="762">
        <f xml:space="preserve">
IF(
SUM(SUMIF(防護具!$Y$13:$Y$29,ED$17&amp;$C52,防護具!$Q$13:$Q$29),EC54)-VLOOKUP($C52,$C$3:$D$15,2,FALSE)*EC$20&lt;0,0,
SUM(SUMIF(防護具!$Y$13:$Y$29,ED$17&amp;$C52,防護具!$Q$13:$Q$29),EC54)-VLOOKUP($C52,$C$3:$D$15,2,FALSE)*EC$20)</f>
        <v>0</v>
      </c>
      <c r="EE54" s="762">
        <f xml:space="preserve">
IF(
SUM(SUMIF(防護具!$Y$13:$Y$29,EE$17&amp;$C52,防護具!$Q$13:$Q$29),ED54)-VLOOKUP($C52,$C$3:$D$15,2,FALSE)*ED$20&lt;0,0,
SUM(SUMIF(防護具!$Y$13:$Y$29,EE$17&amp;$C52,防護具!$Q$13:$Q$29),ED54)-VLOOKUP($C52,$C$3:$D$15,2,FALSE)*ED$20)</f>
        <v>0</v>
      </c>
      <c r="EF54" s="762">
        <f xml:space="preserve">
IF(
SUM(SUMIF(防護具!$Y$13:$Y$29,EF$17&amp;$C52,防護具!$Q$13:$Q$29),EE54)-VLOOKUP($C52,$C$3:$D$15,2,FALSE)*EE$20&lt;0,0,
SUM(SUMIF(防護具!$Y$13:$Y$29,EF$17&amp;$C52,防護具!$Q$13:$Q$29),EE54)-VLOOKUP($C52,$C$3:$D$15,2,FALSE)*EE$20)</f>
        <v>0</v>
      </c>
      <c r="EG54" s="762">
        <f xml:space="preserve">
IF(
SUM(SUMIF(防護具!$Y$13:$Y$29,EG$17&amp;$C52,防護具!$Q$13:$Q$29),EF54)-VLOOKUP($C52,$C$3:$D$15,2,FALSE)*EF$20&lt;0,0,
SUM(SUMIF(防護具!$Y$13:$Y$29,EG$17&amp;$C52,防護具!$Q$13:$Q$29),EF54)-VLOOKUP($C52,$C$3:$D$15,2,FALSE)*EF$20)</f>
        <v>0</v>
      </c>
      <c r="EH54" s="762">
        <f xml:space="preserve">
IF(
SUM(SUMIF(防護具!$Y$13:$Y$29,EH$17&amp;$C52,防護具!$Q$13:$Q$29),EG54)-VLOOKUP($C52,$C$3:$D$15,2,FALSE)*EG$20&lt;0,0,
SUM(SUMIF(防護具!$Y$13:$Y$29,EH$17&amp;$C52,防護具!$Q$13:$Q$29),EG54)-VLOOKUP($C52,$C$3:$D$15,2,FALSE)*EG$20)</f>
        <v>0</v>
      </c>
      <c r="EI54" s="762">
        <f xml:space="preserve">
IF(
SUM(SUMIF(防護具!$Y$13:$Y$29,EI$17&amp;$C52,防護具!$Q$13:$Q$29),EH54)-VLOOKUP($C52,$C$3:$D$15,2,FALSE)*EH$20&lt;0,0,
SUM(SUMIF(防護具!$Y$13:$Y$29,EI$17&amp;$C52,防護具!$Q$13:$Q$29),EH54)-VLOOKUP($C52,$C$3:$D$15,2,FALSE)*EH$20)</f>
        <v>0</v>
      </c>
      <c r="EJ54" s="762">
        <f xml:space="preserve">
IF(
SUM(SUMIF(防護具!$Y$13:$Y$29,EJ$17&amp;$C52,防護具!$Q$13:$Q$29),EI54)-VLOOKUP($C52,$C$3:$D$15,2,FALSE)*EI$20&lt;0,0,
SUM(SUMIF(防護具!$Y$13:$Y$29,EJ$17&amp;$C52,防護具!$Q$13:$Q$29),EI54)-VLOOKUP($C52,$C$3:$D$15,2,FALSE)*EI$20)</f>
        <v>0</v>
      </c>
      <c r="EK54" s="762">
        <f xml:space="preserve">
IF(
SUM(SUMIF(防護具!$Y$13:$Y$29,EK$17&amp;$C52,防護具!$Q$13:$Q$29),EJ54)-VLOOKUP($C52,$C$3:$D$15,2,FALSE)*EJ$20&lt;0,0,
SUM(SUMIF(防護具!$Y$13:$Y$29,EK$17&amp;$C52,防護具!$Q$13:$Q$29),EJ54)-VLOOKUP($C52,$C$3:$D$15,2,FALSE)*EJ$20)</f>
        <v>0</v>
      </c>
      <c r="EL54" s="762">
        <f xml:space="preserve">
IF(
SUM(SUMIF(防護具!$Y$13:$Y$29,EL$17&amp;$C52,防護具!$Q$13:$Q$29),EK54)-VLOOKUP($C52,$C$3:$D$15,2,FALSE)*EK$20&lt;0,0,
SUM(SUMIF(防護具!$Y$13:$Y$29,EL$17&amp;$C52,防護具!$Q$13:$Q$29),EK54)-VLOOKUP($C52,$C$3:$D$15,2,FALSE)*EK$20)</f>
        <v>0</v>
      </c>
      <c r="EM54" s="762">
        <f xml:space="preserve">
IF(
SUM(SUMIF(防護具!$Y$13:$Y$29,EM$17&amp;$C52,防護具!$Q$13:$Q$29),EL54)-VLOOKUP($C52,$C$3:$D$15,2,FALSE)*EL$20&lt;0,0,
SUM(SUMIF(防護具!$Y$13:$Y$29,EM$17&amp;$C52,防護具!$Q$13:$Q$29),EL54)-VLOOKUP($C52,$C$3:$D$15,2,FALSE)*EL$20)</f>
        <v>0</v>
      </c>
      <c r="EN54" s="762">
        <f xml:space="preserve">
IF(
SUM(SUMIF(防護具!$Y$13:$Y$29,EN$17&amp;$C52,防護具!$Q$13:$Q$29),EM54)-VLOOKUP($C52,$C$3:$D$15,2,FALSE)*EM$20&lt;0,0,
SUM(SUMIF(防護具!$Y$13:$Y$29,EN$17&amp;$C52,防護具!$Q$13:$Q$29),EM54)-VLOOKUP($C52,$C$3:$D$15,2,FALSE)*EM$20)</f>
        <v>0</v>
      </c>
      <c r="EO54" s="762">
        <f xml:space="preserve">
IF(
SUM(SUMIF(防護具!$Y$13:$Y$29,EO$17&amp;$C52,防護具!$Q$13:$Q$29),EN54)-VLOOKUP($C52,$C$3:$D$15,2,FALSE)*EN$20&lt;0,0,
SUM(SUMIF(防護具!$Y$13:$Y$29,EO$17&amp;$C52,防護具!$Q$13:$Q$29),EN54)-VLOOKUP($C52,$C$3:$D$15,2,FALSE)*EN$20)</f>
        <v>0</v>
      </c>
      <c r="EP54" s="762">
        <f xml:space="preserve">
IF(
SUM(SUMIF(防護具!$Y$13:$Y$29,EP$17&amp;$C52,防護具!$Q$13:$Q$29),EO54)-VLOOKUP($C52,$C$3:$D$15,2,FALSE)*EO$20&lt;0,0,
SUM(SUMIF(防護具!$Y$13:$Y$29,EP$17&amp;$C52,防護具!$Q$13:$Q$29),EO54)-VLOOKUP($C52,$C$3:$D$15,2,FALSE)*EO$20)</f>
        <v>0</v>
      </c>
      <c r="EQ54" s="762">
        <f xml:space="preserve">
IF(
SUM(SUMIF(防護具!$Y$13:$Y$29,EQ$17&amp;$C52,防護具!$Q$13:$Q$29),EP54)-VLOOKUP($C52,$C$3:$D$15,2,FALSE)*EP$20&lt;0,0,
SUM(SUMIF(防護具!$Y$13:$Y$29,EQ$17&amp;$C52,防護具!$Q$13:$Q$29),EP54)-VLOOKUP($C52,$C$3:$D$15,2,FALSE)*EP$20)</f>
        <v>0</v>
      </c>
      <c r="ER54" s="762">
        <f xml:space="preserve">
IF(
SUM(SUMIF(防護具!$Y$13:$Y$29,ER$17&amp;$C52,防護具!$Q$13:$Q$29),EQ54)-VLOOKUP($C52,$C$3:$D$15,2,FALSE)*EQ$20&lt;0,0,
SUM(SUMIF(防護具!$Y$13:$Y$29,ER$17&amp;$C52,防護具!$Q$13:$Q$29),EQ54)-VLOOKUP($C52,$C$3:$D$15,2,FALSE)*EQ$20)</f>
        <v>0</v>
      </c>
      <c r="ES54" s="762">
        <f xml:space="preserve">
IF(
SUM(SUMIF(防護具!$Y$13:$Y$29,ES$17&amp;$C52,防護具!$Q$13:$Q$29),ER54)-VLOOKUP($C52,$C$3:$D$15,2,FALSE)*ER$20&lt;0,0,
SUM(SUMIF(防護具!$Y$13:$Y$29,ES$17&amp;$C52,防護具!$Q$13:$Q$29),ER54)-VLOOKUP($C52,$C$3:$D$15,2,FALSE)*ER$20)</f>
        <v>0</v>
      </c>
      <c r="ET54" s="762">
        <f xml:space="preserve">
IF(
SUM(SUMIF(防護具!$Y$13:$Y$29,ET$17&amp;$C52,防護具!$Q$13:$Q$29),ES54)-VLOOKUP($C52,$C$3:$D$15,2,FALSE)*ES$20&lt;0,0,
SUM(SUMIF(防護具!$Y$13:$Y$29,ET$17&amp;$C52,防護具!$Q$13:$Q$29),ES54)-VLOOKUP($C52,$C$3:$D$15,2,FALSE)*ES$20)</f>
        <v>0</v>
      </c>
      <c r="EU54" s="762">
        <f xml:space="preserve">
IF(
SUM(SUMIF(防護具!$Y$13:$Y$29,EU$17&amp;$C52,防護具!$Q$13:$Q$29),ET54)-VLOOKUP($C52,$C$3:$D$15,2,FALSE)*ET$20&lt;0,0,
SUM(SUMIF(防護具!$Y$13:$Y$29,EU$17&amp;$C52,防護具!$Q$13:$Q$29),ET54)-VLOOKUP($C52,$C$3:$D$15,2,FALSE)*ET$20)</f>
        <v>0</v>
      </c>
      <c r="EV54" s="762">
        <f xml:space="preserve">
IF(
SUM(SUMIF(防護具!$Y$13:$Y$29,EV$17&amp;$C52,防護具!$Q$13:$Q$29),EU54)-VLOOKUP($C52,$C$3:$D$15,2,FALSE)*EU$20&lt;0,0,
SUM(SUMIF(防護具!$Y$13:$Y$29,EV$17&amp;$C52,防護具!$Q$13:$Q$29),EU54)-VLOOKUP($C52,$C$3:$D$15,2,FALSE)*EU$20)</f>
        <v>0</v>
      </c>
      <c r="EW54" s="762">
        <f xml:space="preserve">
IF(
SUM(SUMIF(防護具!$Y$13:$Y$29,EW$17&amp;$C52,防護具!$Q$13:$Q$29),EV54)-VLOOKUP($C52,$C$3:$D$15,2,FALSE)*EV$20&lt;0,0,
SUM(SUMIF(防護具!$Y$13:$Y$29,EW$17&amp;$C52,防護具!$Q$13:$Q$29),EV54)-VLOOKUP($C52,$C$3:$D$15,2,FALSE)*EV$20)</f>
        <v>0</v>
      </c>
      <c r="EX54" s="762">
        <f xml:space="preserve">
IF(
SUM(SUMIF(防護具!$Y$13:$Y$29,EX$17&amp;$C52,防護具!$Q$13:$Q$29),EW54)-VLOOKUP($C52,$C$3:$D$15,2,FALSE)*EW$20&lt;0,0,
SUM(SUMIF(防護具!$Y$13:$Y$29,EX$17&amp;$C52,防護具!$Q$13:$Q$29),EW54)-VLOOKUP($C52,$C$3:$D$15,2,FALSE)*EW$20)</f>
        <v>0</v>
      </c>
      <c r="EY54" s="762">
        <f xml:space="preserve">
IF(
SUM(SUMIF(防護具!$Y$13:$Y$29,EY$17&amp;$C52,防護具!$Q$13:$Q$29),EX54)-VLOOKUP($C52,$C$3:$D$15,2,FALSE)*EX$20&lt;0,0,
SUM(SUMIF(防護具!$Y$13:$Y$29,EY$17&amp;$C52,防護具!$Q$13:$Q$29),EX54)-VLOOKUP($C52,$C$3:$D$15,2,FALSE)*EX$20)</f>
        <v>0</v>
      </c>
      <c r="EZ54" s="762">
        <f xml:space="preserve">
IF(
SUM(SUMIF(防護具!$Y$13:$Y$29,EZ$17&amp;$C52,防護具!$Q$13:$Q$29),EY54)-VLOOKUP($C52,$C$3:$D$15,2,FALSE)*EY$20&lt;0,0,
SUM(SUMIF(防護具!$Y$13:$Y$29,EZ$17&amp;$C52,防護具!$Q$13:$Q$29),EY54)-VLOOKUP($C52,$C$3:$D$15,2,FALSE)*EY$20)</f>
        <v>0</v>
      </c>
      <c r="FA54" s="762">
        <f xml:space="preserve">
IF(
SUM(SUMIF(防護具!$Y$13:$Y$29,FA$17&amp;$C52,防護具!$Q$13:$Q$29),EZ54)-VLOOKUP($C52,$C$3:$D$15,2,FALSE)*EZ$20&lt;0,0,
SUM(SUMIF(防護具!$Y$13:$Y$29,FA$17&amp;$C52,防護具!$Q$13:$Q$29),EZ54)-VLOOKUP($C52,$C$3:$D$15,2,FALSE)*EZ$20)</f>
        <v>0</v>
      </c>
      <c r="FB54" s="762">
        <f xml:space="preserve">
IF(
SUM(SUMIF(防護具!$Y$13:$Y$29,FB$17&amp;$C52,防護具!$Q$13:$Q$29),FA54)-VLOOKUP($C52,$C$3:$D$15,2,FALSE)*FA$20&lt;0,0,
SUM(SUMIF(防護具!$Y$13:$Y$29,FB$17&amp;$C52,防護具!$Q$13:$Q$29),FA54)-VLOOKUP($C52,$C$3:$D$15,2,FALSE)*FA$20)</f>
        <v>0</v>
      </c>
      <c r="FC54" s="762">
        <f xml:space="preserve">
IF(
SUM(SUMIF(防護具!$Y$13:$Y$29,FC$17&amp;$C52,防護具!$Q$13:$Q$29),FB54)-VLOOKUP($C52,$C$3:$D$15,2,FALSE)*FB$20&lt;0,0,
SUM(SUMIF(防護具!$Y$13:$Y$29,FC$17&amp;$C52,防護具!$Q$13:$Q$29),FB54)-VLOOKUP($C52,$C$3:$D$15,2,FALSE)*FB$20)</f>
        <v>0</v>
      </c>
      <c r="FD54" s="762">
        <f xml:space="preserve">
IF(
SUM(SUMIF(防護具!$Y$13:$Y$29,FD$17&amp;$C52,防護具!$Q$13:$Q$29),FC54)-VLOOKUP($C52,$C$3:$D$15,2,FALSE)*FC$20&lt;0,0,
SUM(SUMIF(防護具!$Y$13:$Y$29,FD$17&amp;$C52,防護具!$Q$13:$Q$29),FC54)-VLOOKUP($C52,$C$3:$D$15,2,FALSE)*FC$20)</f>
        <v>0</v>
      </c>
      <c r="FE54" s="762">
        <f xml:space="preserve">
IF(
SUM(SUMIF(防護具!$Y$13:$Y$29,FE$17&amp;$C52,防護具!$Q$13:$Q$29),FD54)-VLOOKUP($C52,$C$3:$D$15,2,FALSE)*FD$20&lt;0,0,
SUM(SUMIF(防護具!$Y$13:$Y$29,FE$17&amp;$C52,防護具!$Q$13:$Q$29),FD54)-VLOOKUP($C52,$C$3:$D$15,2,FALSE)*FD$20)</f>
        <v>0</v>
      </c>
      <c r="FF54" s="762">
        <f xml:space="preserve">
IF(
SUM(SUMIF(防護具!$Y$13:$Y$29,FF$17&amp;$C52,防護具!$Q$13:$Q$29),FE54)-VLOOKUP($C52,$C$3:$D$15,2,FALSE)*FE$20&lt;0,0,
SUM(SUMIF(防護具!$Y$13:$Y$29,FF$17&amp;$C52,防護具!$Q$13:$Q$29),FE54)-VLOOKUP($C52,$C$3:$D$15,2,FALSE)*FE$20)</f>
        <v>0</v>
      </c>
      <c r="FG54" s="762">
        <f xml:space="preserve">
IF(
SUM(SUMIF(防護具!$Y$13:$Y$29,FG$17&amp;$C52,防護具!$Q$13:$Q$29),FF54)-VLOOKUP($C52,$C$3:$D$15,2,FALSE)*FF$20&lt;0,0,
SUM(SUMIF(防護具!$Y$13:$Y$29,FG$17&amp;$C52,防護具!$Q$13:$Q$29),FF54)-VLOOKUP($C52,$C$3:$D$15,2,FALSE)*FF$20)</f>
        <v>0</v>
      </c>
      <c r="FH54" s="762">
        <f xml:space="preserve">
IF(
SUM(SUMIF(防護具!$Y$13:$Y$29,FH$17&amp;$C52,防護具!$Q$13:$Q$29),FG54)-VLOOKUP($C52,$C$3:$D$15,2,FALSE)*FG$20&lt;0,0,
SUM(SUMIF(防護具!$Y$13:$Y$29,FH$17&amp;$C52,防護具!$Q$13:$Q$29),FG54)-VLOOKUP($C52,$C$3:$D$15,2,FALSE)*FG$20)</f>
        <v>0</v>
      </c>
      <c r="FI54" s="762">
        <f xml:space="preserve">
IF(
SUM(SUMIF(防護具!$Y$13:$Y$29,FI$17&amp;$C52,防護具!$Q$13:$Q$29),FH54)-VLOOKUP($C52,$C$3:$D$15,2,FALSE)*FH$20&lt;0,0,
SUM(SUMIF(防護具!$Y$13:$Y$29,FI$17&amp;$C52,防護具!$Q$13:$Q$29),FH54)-VLOOKUP($C52,$C$3:$D$15,2,FALSE)*FH$20)</f>
        <v>0</v>
      </c>
      <c r="FJ54" s="762">
        <f xml:space="preserve">
IF(
SUM(SUMIF(防護具!$Y$13:$Y$29,FJ$17&amp;$C52,防護具!$Q$13:$Q$29),FI54)-VLOOKUP($C52,$C$3:$D$15,2,FALSE)*FI$20&lt;0,0,
SUM(SUMIF(防護具!$Y$13:$Y$29,FJ$17&amp;$C52,防護具!$Q$13:$Q$29),FI54)-VLOOKUP($C52,$C$3:$D$15,2,FALSE)*FI$20)</f>
        <v>0</v>
      </c>
      <c r="FK54" s="762">
        <f xml:space="preserve">
IF(
SUM(SUMIF(防護具!$Y$13:$Y$29,FK$17&amp;$C52,防護具!$Q$13:$Q$29),FJ54)-VLOOKUP($C52,$C$3:$D$15,2,FALSE)*FJ$20&lt;0,0,
SUM(SUMIF(防護具!$Y$13:$Y$29,FK$17&amp;$C52,防護具!$Q$13:$Q$29),FJ54)-VLOOKUP($C52,$C$3:$D$15,2,FALSE)*FJ$20)</f>
        <v>0</v>
      </c>
      <c r="FL54" s="762">
        <f xml:space="preserve">
IF(
SUM(SUMIF(防護具!$Y$13:$Y$29,FL$17&amp;$C52,防護具!$Q$13:$Q$29),FK54)-VLOOKUP($C52,$C$3:$D$15,2,FALSE)*FK$20&lt;0,0,
SUM(SUMIF(防護具!$Y$13:$Y$29,FL$17&amp;$C52,防護具!$Q$13:$Q$29),FK54)-VLOOKUP($C52,$C$3:$D$15,2,FALSE)*FK$20)</f>
        <v>0</v>
      </c>
      <c r="FM54" s="762">
        <f xml:space="preserve">
IF(
SUM(SUMIF(防護具!$Y$13:$Y$29,FM$17&amp;$C52,防護具!$Q$13:$Q$29),FL54)-VLOOKUP($C52,$C$3:$D$15,2,FALSE)*FL$20&lt;0,0,
SUM(SUMIF(防護具!$Y$13:$Y$29,FM$17&amp;$C52,防護具!$Q$13:$Q$29),FL54)-VLOOKUP($C52,$C$3:$D$15,2,FALSE)*FL$20)</f>
        <v>0</v>
      </c>
      <c r="FN54" s="762">
        <f xml:space="preserve">
IF(
SUM(SUMIF(防護具!$Y$13:$Y$29,FN$17&amp;$C52,防護具!$Q$13:$Q$29),FM54)-VLOOKUP($C52,$C$3:$D$15,2,FALSE)*FM$20&lt;0,0,
SUM(SUMIF(防護具!$Y$13:$Y$29,FN$17&amp;$C52,防護具!$Q$13:$Q$29),FM54)-VLOOKUP($C52,$C$3:$D$15,2,FALSE)*FM$20)</f>
        <v>0</v>
      </c>
      <c r="FO54" s="762">
        <f xml:space="preserve">
IF(
SUM(SUMIF(防護具!$Y$13:$Y$29,FO$17&amp;$C52,防護具!$Q$13:$Q$29),FN54)-VLOOKUP($C52,$C$3:$D$15,2,FALSE)*FN$20&lt;0,0,
SUM(SUMIF(防護具!$Y$13:$Y$29,FO$17&amp;$C52,防護具!$Q$13:$Q$29),FN54)-VLOOKUP($C52,$C$3:$D$15,2,FALSE)*FN$20)</f>
        <v>0</v>
      </c>
      <c r="FP54" s="762">
        <f xml:space="preserve">
IF(
SUM(SUMIF(防護具!$Y$13:$Y$29,FP$17&amp;$C52,防護具!$Q$13:$Q$29),FO54)-VLOOKUP($C52,$C$3:$D$15,2,FALSE)*FO$20&lt;0,0,
SUM(SUMIF(防護具!$Y$13:$Y$29,FP$17&amp;$C52,防護具!$Q$13:$Q$29),FO54)-VLOOKUP($C52,$C$3:$D$15,2,FALSE)*FO$20)</f>
        <v>0</v>
      </c>
      <c r="FQ54" s="762">
        <f xml:space="preserve">
IF(
SUM(SUMIF(防護具!$Y$13:$Y$29,FQ$17&amp;$C52,防護具!$Q$13:$Q$29),FP54)-VLOOKUP($C52,$C$3:$D$15,2,FALSE)*FP$20&lt;0,0,
SUM(SUMIF(防護具!$Y$13:$Y$29,FQ$17&amp;$C52,防護具!$Q$13:$Q$29),FP54)-VLOOKUP($C52,$C$3:$D$15,2,FALSE)*FP$20)</f>
        <v>0</v>
      </c>
      <c r="FR54" s="762">
        <f xml:space="preserve">
IF(
SUM(SUMIF(防護具!$Y$13:$Y$29,FR$17&amp;$C52,防護具!$Q$13:$Q$29),FQ54)-VLOOKUP($C52,$C$3:$D$15,2,FALSE)*FQ$20&lt;0,0,
SUM(SUMIF(防護具!$Y$13:$Y$29,FR$17&amp;$C52,防護具!$Q$13:$Q$29),FQ54)-VLOOKUP($C52,$C$3:$D$15,2,FALSE)*FQ$20)</f>
        <v>0</v>
      </c>
      <c r="FS54" s="762">
        <f xml:space="preserve">
IF(
SUM(SUMIF(防護具!$Y$13:$Y$29,FS$17&amp;$C52,防護具!$Q$13:$Q$29),FR54)-VLOOKUP($C52,$C$3:$D$15,2,FALSE)*FR$20&lt;0,0,
SUM(SUMIF(防護具!$Y$13:$Y$29,FS$17&amp;$C52,防護具!$Q$13:$Q$29),FR54)-VLOOKUP($C52,$C$3:$D$15,2,FALSE)*FR$20)</f>
        <v>0</v>
      </c>
      <c r="FT54" s="762">
        <f xml:space="preserve">
IF(
SUM(SUMIF(防護具!$Y$13:$Y$29,FT$17&amp;$C52,防護具!$Q$13:$Q$29),FS54)-VLOOKUP($C52,$C$3:$D$15,2,FALSE)*FS$20&lt;0,0,
SUM(SUMIF(防護具!$Y$13:$Y$29,FT$17&amp;$C52,防護具!$Q$13:$Q$29),FS54)-VLOOKUP($C52,$C$3:$D$15,2,FALSE)*FS$20)</f>
        <v>0</v>
      </c>
      <c r="FU54" s="762">
        <f xml:space="preserve">
IF(
SUM(SUMIF(防護具!$Y$13:$Y$29,FU$17&amp;$C52,防護具!$Q$13:$Q$29),FT54)-VLOOKUP($C52,$C$3:$D$15,2,FALSE)*FT$20&lt;0,0,
SUM(SUMIF(防護具!$Y$13:$Y$29,FU$17&amp;$C52,防護具!$Q$13:$Q$29),FT54)-VLOOKUP($C52,$C$3:$D$15,2,FALSE)*FT$20)</f>
        <v>0</v>
      </c>
      <c r="FV54" s="762">
        <f xml:space="preserve">
IF(
SUM(SUMIF(防護具!$Y$13:$Y$29,FV$17&amp;$C52,防護具!$Q$13:$Q$29),FU54)-VLOOKUP($C52,$C$3:$D$15,2,FALSE)*FU$20&lt;0,0,
SUM(SUMIF(防護具!$Y$13:$Y$29,FV$17&amp;$C52,防護具!$Q$13:$Q$29),FU54)-VLOOKUP($C52,$C$3:$D$15,2,FALSE)*FU$20)</f>
        <v>0</v>
      </c>
      <c r="FW54" s="762">
        <f xml:space="preserve">
IF(
SUM(SUMIF(防護具!$Y$13:$Y$29,FW$17&amp;$C52,防護具!$Q$13:$Q$29),FV54)-VLOOKUP($C52,$C$3:$D$15,2,FALSE)*FV$20&lt;0,0,
SUM(SUMIF(防護具!$Y$13:$Y$29,FW$17&amp;$C52,防護具!$Q$13:$Q$29),FV54)-VLOOKUP($C52,$C$3:$D$15,2,FALSE)*FV$20)</f>
        <v>0</v>
      </c>
      <c r="FX54" s="762">
        <f xml:space="preserve">
IF(
SUM(SUMIF(防護具!$Y$13:$Y$29,FX$17&amp;$C52,防護具!$Q$13:$Q$29),FW54)-VLOOKUP($C52,$C$3:$D$15,2,FALSE)*FW$20&lt;0,0,
SUM(SUMIF(防護具!$Y$13:$Y$29,FX$17&amp;$C52,防護具!$Q$13:$Q$29),FW54)-VLOOKUP($C52,$C$3:$D$15,2,FALSE)*FW$20)</f>
        <v>0</v>
      </c>
      <c r="FY54" s="762">
        <f xml:space="preserve">
IF(
SUM(SUMIF(防護具!$Y$13:$Y$29,FY$17&amp;$C52,防護具!$Q$13:$Q$29),FX54)-VLOOKUP($C52,$C$3:$D$15,2,FALSE)*FX$20&lt;0,0,
SUM(SUMIF(防護具!$Y$13:$Y$29,FY$17&amp;$C52,防護具!$Q$13:$Q$29),FX54)-VLOOKUP($C52,$C$3:$D$15,2,FALSE)*FX$20)</f>
        <v>0</v>
      </c>
      <c r="FZ54" s="762">
        <f xml:space="preserve">
IF(
SUM(SUMIF(防護具!$Y$13:$Y$29,FZ$17&amp;$C52,防護具!$Q$13:$Q$29),FY54)-VLOOKUP($C52,$C$3:$D$15,2,FALSE)*FY$20&lt;0,0,
SUM(SUMIF(防護具!$Y$13:$Y$29,FZ$17&amp;$C52,防護具!$Q$13:$Q$29),FY54)-VLOOKUP($C52,$C$3:$D$15,2,FALSE)*FY$20)</f>
        <v>0</v>
      </c>
      <c r="GA54" s="762">
        <f xml:space="preserve">
IF(
SUM(SUMIF(防護具!$Y$13:$Y$29,GA$17&amp;$C52,防護具!$Q$13:$Q$29),FZ54)-VLOOKUP($C52,$C$3:$D$15,2,FALSE)*FZ$20&lt;0,0,
SUM(SUMIF(防護具!$Y$13:$Y$29,GA$17&amp;$C52,防護具!$Q$13:$Q$29),FZ54)-VLOOKUP($C52,$C$3:$D$15,2,FALSE)*FZ$20)</f>
        <v>0</v>
      </c>
      <c r="GB54" s="762">
        <f xml:space="preserve">
IF(
SUM(SUMIF(防護具!$Y$13:$Y$29,GB$17&amp;$C52,防護具!$Q$13:$Q$29),GA54)-VLOOKUP($C52,$C$3:$D$15,2,FALSE)*GA$20&lt;0,0,
SUM(SUMIF(防護具!$Y$13:$Y$29,GB$17&amp;$C52,防護具!$Q$13:$Q$29),GA54)-VLOOKUP($C52,$C$3:$D$15,2,FALSE)*GA$20)</f>
        <v>0</v>
      </c>
      <c r="GC54" s="762">
        <f xml:space="preserve">
IF(
SUM(SUMIF(防護具!$Y$13:$Y$29,GC$17&amp;$C52,防護具!$Q$13:$Q$29),GB54)-VLOOKUP($C52,$C$3:$D$15,2,FALSE)*GB$20&lt;0,0,
SUM(SUMIF(防護具!$Y$13:$Y$29,GC$17&amp;$C52,防護具!$Q$13:$Q$29),GB54)-VLOOKUP($C52,$C$3:$D$15,2,FALSE)*GB$20)</f>
        <v>0</v>
      </c>
      <c r="GD54" s="762">
        <f xml:space="preserve">
IF(
SUM(SUMIF(防護具!$Y$13:$Y$29,GD$17&amp;$C52,防護具!$Q$13:$Q$29),GC54)-VLOOKUP($C52,$C$3:$D$15,2,FALSE)*GC$20&lt;0,0,
SUM(SUMIF(防護具!$Y$13:$Y$29,GD$17&amp;$C52,防護具!$Q$13:$Q$29),GC54)-VLOOKUP($C52,$C$3:$D$15,2,FALSE)*GC$20)</f>
        <v>0</v>
      </c>
      <c r="GE54" s="762">
        <f xml:space="preserve">
IF(
SUM(SUMIF(防護具!$Y$13:$Y$29,GE$17&amp;$C52,防護具!$Q$13:$Q$29),GD54)-VLOOKUP($C52,$C$3:$D$15,2,FALSE)*GD$20&lt;0,0,
SUM(SUMIF(防護具!$Y$13:$Y$29,GE$17&amp;$C52,防護具!$Q$13:$Q$29),GD54)-VLOOKUP($C52,$C$3:$D$15,2,FALSE)*GD$20)</f>
        <v>0</v>
      </c>
      <c r="GF54" s="762">
        <f xml:space="preserve">
IF(
SUM(SUMIF(防護具!$Y$13:$Y$29,GF$17&amp;$C52,防護具!$Q$13:$Q$29),GE54)-VLOOKUP($C52,$C$3:$D$15,2,FALSE)*GE$20&lt;0,0,
SUM(SUMIF(防護具!$Y$13:$Y$29,GF$17&amp;$C52,防護具!$Q$13:$Q$29),GE54)-VLOOKUP($C52,$C$3:$D$15,2,FALSE)*GE$20)</f>
        <v>0</v>
      </c>
      <c r="GG54" s="762">
        <f xml:space="preserve">
IF(
SUM(SUMIF(防護具!$Y$13:$Y$29,GG$17&amp;$C52,防護具!$Q$13:$Q$29),GF54)-VLOOKUP($C52,$C$3:$D$15,2,FALSE)*GF$20&lt;0,0,
SUM(SUMIF(防護具!$Y$13:$Y$29,GG$17&amp;$C52,防護具!$Q$13:$Q$29),GF54)-VLOOKUP($C52,$C$3:$D$15,2,FALSE)*GF$20)</f>
        <v>0</v>
      </c>
      <c r="GH54" s="762">
        <f xml:space="preserve">
IF(
SUM(SUMIF(防護具!$Y$13:$Y$29,GH$17&amp;$C52,防護具!$Q$13:$Q$29),GG54)-VLOOKUP($C52,$C$3:$D$15,2,FALSE)*GG$20&lt;0,0,
SUM(SUMIF(防護具!$Y$13:$Y$29,GH$17&amp;$C52,防護具!$Q$13:$Q$29),GG54)-VLOOKUP($C52,$C$3:$D$15,2,FALSE)*GG$20)</f>
        <v>0</v>
      </c>
      <c r="GI54" s="762">
        <f xml:space="preserve">
IF(
SUM(SUMIF(防護具!$Y$13:$Y$29,GI$17&amp;$C52,防護具!$Q$13:$Q$29),GH54)-VLOOKUP($C52,$C$3:$D$15,2,FALSE)*GH$20&lt;0,0,
SUM(SUMIF(防護具!$Y$13:$Y$29,GI$17&amp;$C52,防護具!$Q$13:$Q$29),GH54)-VLOOKUP($C52,$C$3:$D$15,2,FALSE)*GH$20)</f>
        <v>0</v>
      </c>
      <c r="GJ54" s="762">
        <f xml:space="preserve">
IF(
SUM(SUMIF(防護具!$Y$13:$Y$29,GJ$17&amp;$C52,防護具!$Q$13:$Q$29),GI54)-VLOOKUP($C52,$C$3:$D$15,2,FALSE)*GI$20&lt;0,0,
SUM(SUMIF(防護具!$Y$13:$Y$29,GJ$17&amp;$C52,防護具!$Q$13:$Q$29),GI54)-VLOOKUP($C52,$C$3:$D$15,2,FALSE)*GI$20)</f>
        <v>0</v>
      </c>
    </row>
    <row r="55" spans="2:192" s="627" customFormat="1">
      <c r="B55" s="631"/>
      <c r="C55" s="626" t="s">
        <v>1070</v>
      </c>
      <c r="D55" s="702" t="s">
        <v>1423</v>
      </c>
      <c r="E55" s="707"/>
      <c r="F55" s="654"/>
      <c r="G55" s="763">
        <f xml:space="preserve">
MIN(G56,
IF((VLOOKUP($C55,$C$3:$D$15,2,FALSE)*G$20-G57)&lt;0,0,VLOOKUP($C55,$C$3:$D$15,2,FALSE)*G$20-G57))</f>
        <v>0</v>
      </c>
      <c r="H55" s="763">
        <f xml:space="preserve">
IF(G57&gt;=VLOOKUP($C55,$C$3:$D$15,2,FALSE)*H$20,0,
IF(AND(G57&lt;VLOOKUP($C55,$C$3:$D$15,2,FALSE)*H$20,H56&lt;=VLOOKUP($C55,$C$3:$D$15,2,FALSE)*H$20),IF(H56-G57&lt;0,0,H56-G57),
IF(AND(G57&lt;VLOOKUP($C55,$C$3:$D$15,2,FALSE)*H$20,H56&gt;VLOOKUP($C55,$C$3:$D$15,2,FALSE)*H$20),VLOOKUP($C55,$C$3:$D$15,2,FALSE)*H$20-G57)))</f>
        <v>0</v>
      </c>
      <c r="I55" s="763">
        <f t="shared" ref="I55:P55" si="2067" xml:space="preserve">
IF(H57&gt;=VLOOKUP($C55,$C$3:$D$15,2,FALSE)*I$20,0,
IF(AND(H57&lt;VLOOKUP($C55,$C$3:$D$15,2,FALSE)*I$20,I56&lt;=VLOOKUP($C55,$C$3:$D$15,2,FALSE)*I$20),IF(I56-H57&lt;0,0,I56-H57),
IF(AND(H57&lt;VLOOKUP($C55,$C$3:$D$15,2,FALSE)*I$20,I56&gt;VLOOKUP($C55,$C$3:$D$15,2,FALSE)*I$20),VLOOKUP($C55,$C$3:$D$15,2,FALSE)*I$20-H57)))</f>
        <v>0</v>
      </c>
      <c r="J55" s="763">
        <f t="shared" si="2067"/>
        <v>0</v>
      </c>
      <c r="K55" s="763">
        <f t="shared" si="2067"/>
        <v>0</v>
      </c>
      <c r="L55" s="763">
        <f t="shared" si="2067"/>
        <v>0</v>
      </c>
      <c r="M55" s="763">
        <f t="shared" si="2067"/>
        <v>0</v>
      </c>
      <c r="N55" s="763">
        <f t="shared" si="2067"/>
        <v>0</v>
      </c>
      <c r="O55" s="763">
        <f t="shared" si="2067"/>
        <v>0</v>
      </c>
      <c r="P55" s="763">
        <f t="shared" si="2067"/>
        <v>0</v>
      </c>
      <c r="Q55" s="763">
        <f t="shared" ref="Q55" si="2068" xml:space="preserve">
IF(P57&gt;=VLOOKUP($C55,$C$3:$D$15,2,FALSE)*Q$20,0,
IF(AND(P57&lt;VLOOKUP($C55,$C$3:$D$15,2,FALSE)*Q$20,Q56&lt;=VLOOKUP($C55,$C$3:$D$15,2,FALSE)*Q$20),IF(Q56-P57&lt;0,0,Q56-P57),
IF(AND(P57&lt;VLOOKUP($C55,$C$3:$D$15,2,FALSE)*Q$20,Q56&gt;VLOOKUP($C55,$C$3:$D$15,2,FALSE)*Q$20),VLOOKUP($C55,$C$3:$D$15,2,FALSE)*Q$20-P57)))</f>
        <v>0</v>
      </c>
      <c r="R55" s="763">
        <f t="shared" ref="R55" si="2069" xml:space="preserve">
IF(Q57&gt;=VLOOKUP($C55,$C$3:$D$15,2,FALSE)*R$20,0,
IF(AND(Q57&lt;VLOOKUP($C55,$C$3:$D$15,2,FALSE)*R$20,R56&lt;=VLOOKUP($C55,$C$3:$D$15,2,FALSE)*R$20),IF(R56-Q57&lt;0,0,R56-Q57),
IF(AND(Q57&lt;VLOOKUP($C55,$C$3:$D$15,2,FALSE)*R$20,R56&gt;VLOOKUP($C55,$C$3:$D$15,2,FALSE)*R$20),VLOOKUP($C55,$C$3:$D$15,2,FALSE)*R$20-Q57)))</f>
        <v>0</v>
      </c>
      <c r="S55" s="763">
        <f t="shared" ref="S55" si="2070" xml:space="preserve">
IF(R57&gt;=VLOOKUP($C55,$C$3:$D$15,2,FALSE)*S$20,0,
IF(AND(R57&lt;VLOOKUP($C55,$C$3:$D$15,2,FALSE)*S$20,S56&lt;=VLOOKUP($C55,$C$3:$D$15,2,FALSE)*S$20),IF(S56-R57&lt;0,0,S56-R57),
IF(AND(R57&lt;VLOOKUP($C55,$C$3:$D$15,2,FALSE)*S$20,S56&gt;VLOOKUP($C55,$C$3:$D$15,2,FALSE)*S$20),VLOOKUP($C55,$C$3:$D$15,2,FALSE)*S$20-R57)))</f>
        <v>0</v>
      </c>
      <c r="T55" s="763">
        <f t="shared" ref="T55" si="2071" xml:space="preserve">
IF(S57&gt;=VLOOKUP($C55,$C$3:$D$15,2,FALSE)*T$20,0,
IF(AND(S57&lt;VLOOKUP($C55,$C$3:$D$15,2,FALSE)*T$20,T56&lt;=VLOOKUP($C55,$C$3:$D$15,2,FALSE)*T$20),IF(T56-S57&lt;0,0,T56-S57),
IF(AND(S57&lt;VLOOKUP($C55,$C$3:$D$15,2,FALSE)*T$20,T56&gt;VLOOKUP($C55,$C$3:$D$15,2,FALSE)*T$20),VLOOKUP($C55,$C$3:$D$15,2,FALSE)*T$20-S57)))</f>
        <v>0</v>
      </c>
      <c r="U55" s="763">
        <f t="shared" ref="U55" si="2072" xml:space="preserve">
IF(T57&gt;=VLOOKUP($C55,$C$3:$D$15,2,FALSE)*U$20,0,
IF(AND(T57&lt;VLOOKUP($C55,$C$3:$D$15,2,FALSE)*U$20,U56&lt;=VLOOKUP($C55,$C$3:$D$15,2,FALSE)*U$20),IF(U56-T57&lt;0,0,U56-T57),
IF(AND(T57&lt;VLOOKUP($C55,$C$3:$D$15,2,FALSE)*U$20,U56&gt;VLOOKUP($C55,$C$3:$D$15,2,FALSE)*U$20),VLOOKUP($C55,$C$3:$D$15,2,FALSE)*U$20-T57)))</f>
        <v>0</v>
      </c>
      <c r="V55" s="763">
        <f t="shared" ref="V55" si="2073" xml:space="preserve">
IF(U57&gt;=VLOOKUP($C55,$C$3:$D$15,2,FALSE)*V$20,0,
IF(AND(U57&lt;VLOOKUP($C55,$C$3:$D$15,2,FALSE)*V$20,V56&lt;=VLOOKUP($C55,$C$3:$D$15,2,FALSE)*V$20),IF(V56-U57&lt;0,0,V56-U57),
IF(AND(U57&lt;VLOOKUP($C55,$C$3:$D$15,2,FALSE)*V$20,V56&gt;VLOOKUP($C55,$C$3:$D$15,2,FALSE)*V$20),VLOOKUP($C55,$C$3:$D$15,2,FALSE)*V$20-U57)))</f>
        <v>0</v>
      </c>
      <c r="W55" s="763">
        <f t="shared" ref="W55" si="2074" xml:space="preserve">
IF(V57&gt;=VLOOKUP($C55,$C$3:$D$15,2,FALSE)*W$20,0,
IF(AND(V57&lt;VLOOKUP($C55,$C$3:$D$15,2,FALSE)*W$20,W56&lt;=VLOOKUP($C55,$C$3:$D$15,2,FALSE)*W$20),IF(W56-V57&lt;0,0,W56-V57),
IF(AND(V57&lt;VLOOKUP($C55,$C$3:$D$15,2,FALSE)*W$20,W56&gt;VLOOKUP($C55,$C$3:$D$15,2,FALSE)*W$20),VLOOKUP($C55,$C$3:$D$15,2,FALSE)*W$20-V57)))</f>
        <v>0</v>
      </c>
      <c r="X55" s="763">
        <f t="shared" ref="X55" si="2075" xml:space="preserve">
IF(W57&gt;=VLOOKUP($C55,$C$3:$D$15,2,FALSE)*X$20,0,
IF(AND(W57&lt;VLOOKUP($C55,$C$3:$D$15,2,FALSE)*X$20,X56&lt;=VLOOKUP($C55,$C$3:$D$15,2,FALSE)*X$20),IF(X56-W57&lt;0,0,X56-W57),
IF(AND(W57&lt;VLOOKUP($C55,$C$3:$D$15,2,FALSE)*X$20,X56&gt;VLOOKUP($C55,$C$3:$D$15,2,FALSE)*X$20),VLOOKUP($C55,$C$3:$D$15,2,FALSE)*X$20-W57)))</f>
        <v>0</v>
      </c>
      <c r="Y55" s="763">
        <f t="shared" ref="Y55" si="2076" xml:space="preserve">
IF(X57&gt;=VLOOKUP($C55,$C$3:$D$15,2,FALSE)*Y$20,0,
IF(AND(X57&lt;VLOOKUP($C55,$C$3:$D$15,2,FALSE)*Y$20,Y56&lt;=VLOOKUP($C55,$C$3:$D$15,2,FALSE)*Y$20),IF(Y56-X57&lt;0,0,Y56-X57),
IF(AND(X57&lt;VLOOKUP($C55,$C$3:$D$15,2,FALSE)*Y$20,Y56&gt;VLOOKUP($C55,$C$3:$D$15,2,FALSE)*Y$20),VLOOKUP($C55,$C$3:$D$15,2,FALSE)*Y$20-X57)))</f>
        <v>0</v>
      </c>
      <c r="Z55" s="763">
        <f t="shared" ref="Z55" si="2077" xml:space="preserve">
IF(Y57&gt;=VLOOKUP($C55,$C$3:$D$15,2,FALSE)*Z$20,0,
IF(AND(Y57&lt;VLOOKUP($C55,$C$3:$D$15,2,FALSE)*Z$20,Z56&lt;=VLOOKUP($C55,$C$3:$D$15,2,FALSE)*Z$20),IF(Z56-Y57&lt;0,0,Z56-Y57),
IF(AND(Y57&lt;VLOOKUP($C55,$C$3:$D$15,2,FALSE)*Z$20,Z56&gt;VLOOKUP($C55,$C$3:$D$15,2,FALSE)*Z$20),VLOOKUP($C55,$C$3:$D$15,2,FALSE)*Z$20-Y57)))</f>
        <v>0</v>
      </c>
      <c r="AA55" s="763">
        <f t="shared" ref="AA55" si="2078" xml:space="preserve">
IF(Z57&gt;=VLOOKUP($C55,$C$3:$D$15,2,FALSE)*AA$20,0,
IF(AND(Z57&lt;VLOOKUP($C55,$C$3:$D$15,2,FALSE)*AA$20,AA56&lt;=VLOOKUP($C55,$C$3:$D$15,2,FALSE)*AA$20),IF(AA56-Z57&lt;0,0,AA56-Z57),
IF(AND(Z57&lt;VLOOKUP($C55,$C$3:$D$15,2,FALSE)*AA$20,AA56&gt;VLOOKUP($C55,$C$3:$D$15,2,FALSE)*AA$20),VLOOKUP($C55,$C$3:$D$15,2,FALSE)*AA$20-Z57)))</f>
        <v>0</v>
      </c>
      <c r="AB55" s="763">
        <f t="shared" ref="AB55" si="2079" xml:space="preserve">
IF(AA57&gt;=VLOOKUP($C55,$C$3:$D$15,2,FALSE)*AB$20,0,
IF(AND(AA57&lt;VLOOKUP($C55,$C$3:$D$15,2,FALSE)*AB$20,AB56&lt;=VLOOKUP($C55,$C$3:$D$15,2,FALSE)*AB$20),IF(AB56-AA57&lt;0,0,AB56-AA57),
IF(AND(AA57&lt;VLOOKUP($C55,$C$3:$D$15,2,FALSE)*AB$20,AB56&gt;VLOOKUP($C55,$C$3:$D$15,2,FALSE)*AB$20),VLOOKUP($C55,$C$3:$D$15,2,FALSE)*AB$20-AA57)))</f>
        <v>0</v>
      </c>
      <c r="AC55" s="763">
        <f t="shared" ref="AC55" si="2080" xml:space="preserve">
IF(AB57&gt;=VLOOKUP($C55,$C$3:$D$15,2,FALSE)*AC$20,0,
IF(AND(AB57&lt;VLOOKUP($C55,$C$3:$D$15,2,FALSE)*AC$20,AC56&lt;=VLOOKUP($C55,$C$3:$D$15,2,FALSE)*AC$20),IF(AC56-AB57&lt;0,0,AC56-AB57),
IF(AND(AB57&lt;VLOOKUP($C55,$C$3:$D$15,2,FALSE)*AC$20,AC56&gt;VLOOKUP($C55,$C$3:$D$15,2,FALSE)*AC$20),VLOOKUP($C55,$C$3:$D$15,2,FALSE)*AC$20-AB57)))</f>
        <v>0</v>
      </c>
      <c r="AD55" s="763">
        <f t="shared" ref="AD55" si="2081" xml:space="preserve">
IF(AC57&gt;=VLOOKUP($C55,$C$3:$D$15,2,FALSE)*AD$20,0,
IF(AND(AC57&lt;VLOOKUP($C55,$C$3:$D$15,2,FALSE)*AD$20,AD56&lt;=VLOOKUP($C55,$C$3:$D$15,2,FALSE)*AD$20),IF(AD56-AC57&lt;0,0,AD56-AC57),
IF(AND(AC57&lt;VLOOKUP($C55,$C$3:$D$15,2,FALSE)*AD$20,AD56&gt;VLOOKUP($C55,$C$3:$D$15,2,FALSE)*AD$20),VLOOKUP($C55,$C$3:$D$15,2,FALSE)*AD$20-AC57)))</f>
        <v>0</v>
      </c>
      <c r="AE55" s="763">
        <f t="shared" ref="AE55" si="2082" xml:space="preserve">
IF(AD57&gt;=VLOOKUP($C55,$C$3:$D$15,2,FALSE)*AE$20,0,
IF(AND(AD57&lt;VLOOKUP($C55,$C$3:$D$15,2,FALSE)*AE$20,AE56&lt;=VLOOKUP($C55,$C$3:$D$15,2,FALSE)*AE$20),IF(AE56-AD57&lt;0,0,AE56-AD57),
IF(AND(AD57&lt;VLOOKUP($C55,$C$3:$D$15,2,FALSE)*AE$20,AE56&gt;VLOOKUP($C55,$C$3:$D$15,2,FALSE)*AE$20),VLOOKUP($C55,$C$3:$D$15,2,FALSE)*AE$20-AD57)))</f>
        <v>0</v>
      </c>
      <c r="AF55" s="763">
        <f t="shared" ref="AF55" si="2083" xml:space="preserve">
IF(AE57&gt;=VLOOKUP($C55,$C$3:$D$15,2,FALSE)*AF$20,0,
IF(AND(AE57&lt;VLOOKUP($C55,$C$3:$D$15,2,FALSE)*AF$20,AF56&lt;=VLOOKUP($C55,$C$3:$D$15,2,FALSE)*AF$20),IF(AF56-AE57&lt;0,0,AF56-AE57),
IF(AND(AE57&lt;VLOOKUP($C55,$C$3:$D$15,2,FALSE)*AF$20,AF56&gt;VLOOKUP($C55,$C$3:$D$15,2,FALSE)*AF$20),VLOOKUP($C55,$C$3:$D$15,2,FALSE)*AF$20-AE57)))</f>
        <v>0</v>
      </c>
      <c r="AG55" s="763">
        <f t="shared" ref="AG55" si="2084" xml:space="preserve">
IF(AF57&gt;=VLOOKUP($C55,$C$3:$D$15,2,FALSE)*AG$20,0,
IF(AND(AF57&lt;VLOOKUP($C55,$C$3:$D$15,2,FALSE)*AG$20,AG56&lt;=VLOOKUP($C55,$C$3:$D$15,2,FALSE)*AG$20),IF(AG56-AF57&lt;0,0,AG56-AF57),
IF(AND(AF57&lt;VLOOKUP($C55,$C$3:$D$15,2,FALSE)*AG$20,AG56&gt;VLOOKUP($C55,$C$3:$D$15,2,FALSE)*AG$20),VLOOKUP($C55,$C$3:$D$15,2,FALSE)*AG$20-AF57)))</f>
        <v>0</v>
      </c>
      <c r="AH55" s="763">
        <f t="shared" ref="AH55" si="2085" xml:space="preserve">
IF(AG57&gt;=VLOOKUP($C55,$C$3:$D$15,2,FALSE)*AH$20,0,
IF(AND(AG57&lt;VLOOKUP($C55,$C$3:$D$15,2,FALSE)*AH$20,AH56&lt;=VLOOKUP($C55,$C$3:$D$15,2,FALSE)*AH$20),IF(AH56-AG57&lt;0,0,AH56-AG57),
IF(AND(AG57&lt;VLOOKUP($C55,$C$3:$D$15,2,FALSE)*AH$20,AH56&gt;VLOOKUP($C55,$C$3:$D$15,2,FALSE)*AH$20),VLOOKUP($C55,$C$3:$D$15,2,FALSE)*AH$20-AG57)))</f>
        <v>0</v>
      </c>
      <c r="AI55" s="763">
        <f t="shared" ref="AI55" si="2086" xml:space="preserve">
IF(AH57&gt;=VLOOKUP($C55,$C$3:$D$15,2,FALSE)*AI$20,0,
IF(AND(AH57&lt;VLOOKUP($C55,$C$3:$D$15,2,FALSE)*AI$20,AI56&lt;=VLOOKUP($C55,$C$3:$D$15,2,FALSE)*AI$20),IF(AI56-AH57&lt;0,0,AI56-AH57),
IF(AND(AH57&lt;VLOOKUP($C55,$C$3:$D$15,2,FALSE)*AI$20,AI56&gt;VLOOKUP($C55,$C$3:$D$15,2,FALSE)*AI$20),VLOOKUP($C55,$C$3:$D$15,2,FALSE)*AI$20-AH57)))</f>
        <v>0</v>
      </c>
      <c r="AJ55" s="763">
        <f t="shared" ref="AJ55" si="2087" xml:space="preserve">
IF(AI57&gt;=VLOOKUP($C55,$C$3:$D$15,2,FALSE)*AJ$20,0,
IF(AND(AI57&lt;VLOOKUP($C55,$C$3:$D$15,2,FALSE)*AJ$20,AJ56&lt;=VLOOKUP($C55,$C$3:$D$15,2,FALSE)*AJ$20),IF(AJ56-AI57&lt;0,0,AJ56-AI57),
IF(AND(AI57&lt;VLOOKUP($C55,$C$3:$D$15,2,FALSE)*AJ$20,AJ56&gt;VLOOKUP($C55,$C$3:$D$15,2,FALSE)*AJ$20),VLOOKUP($C55,$C$3:$D$15,2,FALSE)*AJ$20-AI57)))</f>
        <v>0</v>
      </c>
      <c r="AK55" s="763">
        <f t="shared" ref="AK55" si="2088" xml:space="preserve">
IF(AJ57&gt;=VLOOKUP($C55,$C$3:$D$15,2,FALSE)*AK$20,0,
IF(AND(AJ57&lt;VLOOKUP($C55,$C$3:$D$15,2,FALSE)*AK$20,AK56&lt;=VLOOKUP($C55,$C$3:$D$15,2,FALSE)*AK$20),IF(AK56-AJ57&lt;0,0,AK56-AJ57),
IF(AND(AJ57&lt;VLOOKUP($C55,$C$3:$D$15,2,FALSE)*AK$20,AK56&gt;VLOOKUP($C55,$C$3:$D$15,2,FALSE)*AK$20),VLOOKUP($C55,$C$3:$D$15,2,FALSE)*AK$20-AJ57)))</f>
        <v>0</v>
      </c>
      <c r="AL55" s="763">
        <f t="shared" ref="AL55" si="2089" xml:space="preserve">
IF(AK57&gt;=VLOOKUP($C55,$C$3:$D$15,2,FALSE)*AL$20,0,
IF(AND(AK57&lt;VLOOKUP($C55,$C$3:$D$15,2,FALSE)*AL$20,AL56&lt;=VLOOKUP($C55,$C$3:$D$15,2,FALSE)*AL$20),IF(AL56-AK57&lt;0,0,AL56-AK57),
IF(AND(AK57&lt;VLOOKUP($C55,$C$3:$D$15,2,FALSE)*AL$20,AL56&gt;VLOOKUP($C55,$C$3:$D$15,2,FALSE)*AL$20),VLOOKUP($C55,$C$3:$D$15,2,FALSE)*AL$20-AK57)))</f>
        <v>0</v>
      </c>
      <c r="AM55" s="763">
        <f t="shared" ref="AM55" si="2090" xml:space="preserve">
IF(AL57&gt;=VLOOKUP($C55,$C$3:$D$15,2,FALSE)*AM$20,0,
IF(AND(AL57&lt;VLOOKUP($C55,$C$3:$D$15,2,FALSE)*AM$20,AM56&lt;=VLOOKUP($C55,$C$3:$D$15,2,FALSE)*AM$20),IF(AM56-AL57&lt;0,0,AM56-AL57),
IF(AND(AL57&lt;VLOOKUP($C55,$C$3:$D$15,2,FALSE)*AM$20,AM56&gt;VLOOKUP($C55,$C$3:$D$15,2,FALSE)*AM$20),VLOOKUP($C55,$C$3:$D$15,2,FALSE)*AM$20-AL57)))</f>
        <v>0</v>
      </c>
      <c r="AN55" s="763">
        <f t="shared" ref="AN55" si="2091" xml:space="preserve">
IF(AM57&gt;=VLOOKUP($C55,$C$3:$D$15,2,FALSE)*AN$20,0,
IF(AND(AM57&lt;VLOOKUP($C55,$C$3:$D$15,2,FALSE)*AN$20,AN56&lt;=VLOOKUP($C55,$C$3:$D$15,2,FALSE)*AN$20),IF(AN56-AM57&lt;0,0,AN56-AM57),
IF(AND(AM57&lt;VLOOKUP($C55,$C$3:$D$15,2,FALSE)*AN$20,AN56&gt;VLOOKUP($C55,$C$3:$D$15,2,FALSE)*AN$20),VLOOKUP($C55,$C$3:$D$15,2,FALSE)*AN$20-AM57)))</f>
        <v>0</v>
      </c>
      <c r="AO55" s="763">
        <f t="shared" ref="AO55" si="2092" xml:space="preserve">
IF(AN57&gt;=VLOOKUP($C55,$C$3:$D$15,2,FALSE)*AO$20,0,
IF(AND(AN57&lt;VLOOKUP($C55,$C$3:$D$15,2,FALSE)*AO$20,AO56&lt;=VLOOKUP($C55,$C$3:$D$15,2,FALSE)*AO$20),IF(AO56-AN57&lt;0,0,AO56-AN57),
IF(AND(AN57&lt;VLOOKUP($C55,$C$3:$D$15,2,FALSE)*AO$20,AO56&gt;VLOOKUP($C55,$C$3:$D$15,2,FALSE)*AO$20),VLOOKUP($C55,$C$3:$D$15,2,FALSE)*AO$20-AN57)))</f>
        <v>0</v>
      </c>
      <c r="AP55" s="763">
        <f t="shared" ref="AP55" si="2093" xml:space="preserve">
IF(AO57&gt;=VLOOKUP($C55,$C$3:$D$15,2,FALSE)*AP$20,0,
IF(AND(AO57&lt;VLOOKUP($C55,$C$3:$D$15,2,FALSE)*AP$20,AP56&lt;=VLOOKUP($C55,$C$3:$D$15,2,FALSE)*AP$20),IF(AP56-AO57&lt;0,0,AP56-AO57),
IF(AND(AO57&lt;VLOOKUP($C55,$C$3:$D$15,2,FALSE)*AP$20,AP56&gt;VLOOKUP($C55,$C$3:$D$15,2,FALSE)*AP$20),VLOOKUP($C55,$C$3:$D$15,2,FALSE)*AP$20-AO57)))</f>
        <v>0</v>
      </c>
      <c r="AQ55" s="763">
        <f t="shared" ref="AQ55" si="2094" xml:space="preserve">
IF(AP57&gt;=VLOOKUP($C55,$C$3:$D$15,2,FALSE)*AQ$20,0,
IF(AND(AP57&lt;VLOOKUP($C55,$C$3:$D$15,2,FALSE)*AQ$20,AQ56&lt;=VLOOKUP($C55,$C$3:$D$15,2,FALSE)*AQ$20),IF(AQ56-AP57&lt;0,0,AQ56-AP57),
IF(AND(AP57&lt;VLOOKUP($C55,$C$3:$D$15,2,FALSE)*AQ$20,AQ56&gt;VLOOKUP($C55,$C$3:$D$15,2,FALSE)*AQ$20),VLOOKUP($C55,$C$3:$D$15,2,FALSE)*AQ$20-AP57)))</f>
        <v>0</v>
      </c>
      <c r="AR55" s="763">
        <f t="shared" ref="AR55" si="2095" xml:space="preserve">
IF(AQ57&gt;=VLOOKUP($C55,$C$3:$D$15,2,FALSE)*AR$20,0,
IF(AND(AQ57&lt;VLOOKUP($C55,$C$3:$D$15,2,FALSE)*AR$20,AR56&lt;=VLOOKUP($C55,$C$3:$D$15,2,FALSE)*AR$20),IF(AR56-AQ57&lt;0,0,AR56-AQ57),
IF(AND(AQ57&lt;VLOOKUP($C55,$C$3:$D$15,2,FALSE)*AR$20,AR56&gt;VLOOKUP($C55,$C$3:$D$15,2,FALSE)*AR$20),VLOOKUP($C55,$C$3:$D$15,2,FALSE)*AR$20-AQ57)))</f>
        <v>0</v>
      </c>
      <c r="AS55" s="763">
        <f t="shared" ref="AS55" si="2096" xml:space="preserve">
IF(AR57&gt;=VLOOKUP($C55,$C$3:$D$15,2,FALSE)*AS$20,0,
IF(AND(AR57&lt;VLOOKUP($C55,$C$3:$D$15,2,FALSE)*AS$20,AS56&lt;=VLOOKUP($C55,$C$3:$D$15,2,FALSE)*AS$20),IF(AS56-AR57&lt;0,0,AS56-AR57),
IF(AND(AR57&lt;VLOOKUP($C55,$C$3:$D$15,2,FALSE)*AS$20,AS56&gt;VLOOKUP($C55,$C$3:$D$15,2,FALSE)*AS$20),VLOOKUP($C55,$C$3:$D$15,2,FALSE)*AS$20-AR57)))</f>
        <v>0</v>
      </c>
      <c r="AT55" s="763">
        <f t="shared" ref="AT55" si="2097" xml:space="preserve">
IF(AS57&gt;=VLOOKUP($C55,$C$3:$D$15,2,FALSE)*AT$20,0,
IF(AND(AS57&lt;VLOOKUP($C55,$C$3:$D$15,2,FALSE)*AT$20,AT56&lt;=VLOOKUP($C55,$C$3:$D$15,2,FALSE)*AT$20),IF(AT56-AS57&lt;0,0,AT56-AS57),
IF(AND(AS57&lt;VLOOKUP($C55,$C$3:$D$15,2,FALSE)*AT$20,AT56&gt;VLOOKUP($C55,$C$3:$D$15,2,FALSE)*AT$20),VLOOKUP($C55,$C$3:$D$15,2,FALSE)*AT$20-AS57)))</f>
        <v>0</v>
      </c>
      <c r="AU55" s="763">
        <f t="shared" ref="AU55" si="2098" xml:space="preserve">
IF(AT57&gt;=VLOOKUP($C55,$C$3:$D$15,2,FALSE)*AU$20,0,
IF(AND(AT57&lt;VLOOKUP($C55,$C$3:$D$15,2,FALSE)*AU$20,AU56&lt;=VLOOKUP($C55,$C$3:$D$15,2,FALSE)*AU$20),IF(AU56-AT57&lt;0,0,AU56-AT57),
IF(AND(AT57&lt;VLOOKUP($C55,$C$3:$D$15,2,FALSE)*AU$20,AU56&gt;VLOOKUP($C55,$C$3:$D$15,2,FALSE)*AU$20),VLOOKUP($C55,$C$3:$D$15,2,FALSE)*AU$20-AT57)))</f>
        <v>0</v>
      </c>
      <c r="AV55" s="763">
        <f t="shared" ref="AV55" si="2099" xml:space="preserve">
IF(AU57&gt;=VLOOKUP($C55,$C$3:$D$15,2,FALSE)*AV$20,0,
IF(AND(AU57&lt;VLOOKUP($C55,$C$3:$D$15,2,FALSE)*AV$20,AV56&lt;=VLOOKUP($C55,$C$3:$D$15,2,FALSE)*AV$20),IF(AV56-AU57&lt;0,0,AV56-AU57),
IF(AND(AU57&lt;VLOOKUP($C55,$C$3:$D$15,2,FALSE)*AV$20,AV56&gt;VLOOKUP($C55,$C$3:$D$15,2,FALSE)*AV$20),VLOOKUP($C55,$C$3:$D$15,2,FALSE)*AV$20-AU57)))</f>
        <v>0</v>
      </c>
      <c r="AW55" s="763">
        <f t="shared" ref="AW55" si="2100" xml:space="preserve">
IF(AV57&gt;=VLOOKUP($C55,$C$3:$D$15,2,FALSE)*AW$20,0,
IF(AND(AV57&lt;VLOOKUP($C55,$C$3:$D$15,2,FALSE)*AW$20,AW56&lt;=VLOOKUP($C55,$C$3:$D$15,2,FALSE)*AW$20),IF(AW56-AV57&lt;0,0,AW56-AV57),
IF(AND(AV57&lt;VLOOKUP($C55,$C$3:$D$15,2,FALSE)*AW$20,AW56&gt;VLOOKUP($C55,$C$3:$D$15,2,FALSE)*AW$20),VLOOKUP($C55,$C$3:$D$15,2,FALSE)*AW$20-AV57)))</f>
        <v>0</v>
      </c>
      <c r="AX55" s="763">
        <f t="shared" ref="AX55" si="2101" xml:space="preserve">
IF(AW57&gt;=VLOOKUP($C55,$C$3:$D$15,2,FALSE)*AX$20,0,
IF(AND(AW57&lt;VLOOKUP($C55,$C$3:$D$15,2,FALSE)*AX$20,AX56&lt;=VLOOKUP($C55,$C$3:$D$15,2,FALSE)*AX$20),IF(AX56-AW57&lt;0,0,AX56-AW57),
IF(AND(AW57&lt;VLOOKUP($C55,$C$3:$D$15,2,FALSE)*AX$20,AX56&gt;VLOOKUP($C55,$C$3:$D$15,2,FALSE)*AX$20),VLOOKUP($C55,$C$3:$D$15,2,FALSE)*AX$20-AW57)))</f>
        <v>0</v>
      </c>
      <c r="AY55" s="763">
        <f t="shared" ref="AY55" si="2102" xml:space="preserve">
IF(AX57&gt;=VLOOKUP($C55,$C$3:$D$15,2,FALSE)*AY$20,0,
IF(AND(AX57&lt;VLOOKUP($C55,$C$3:$D$15,2,FALSE)*AY$20,AY56&lt;=VLOOKUP($C55,$C$3:$D$15,2,FALSE)*AY$20),IF(AY56-AX57&lt;0,0,AY56-AX57),
IF(AND(AX57&lt;VLOOKUP($C55,$C$3:$D$15,2,FALSE)*AY$20,AY56&gt;VLOOKUP($C55,$C$3:$D$15,2,FALSE)*AY$20),VLOOKUP($C55,$C$3:$D$15,2,FALSE)*AY$20-AX57)))</f>
        <v>0</v>
      </c>
      <c r="AZ55" s="763">
        <f t="shared" ref="AZ55" si="2103" xml:space="preserve">
IF(AY57&gt;=VLOOKUP($C55,$C$3:$D$15,2,FALSE)*AZ$20,0,
IF(AND(AY57&lt;VLOOKUP($C55,$C$3:$D$15,2,FALSE)*AZ$20,AZ56&lt;=VLOOKUP($C55,$C$3:$D$15,2,FALSE)*AZ$20),IF(AZ56-AY57&lt;0,0,AZ56-AY57),
IF(AND(AY57&lt;VLOOKUP($C55,$C$3:$D$15,2,FALSE)*AZ$20,AZ56&gt;VLOOKUP($C55,$C$3:$D$15,2,FALSE)*AZ$20),VLOOKUP($C55,$C$3:$D$15,2,FALSE)*AZ$20-AY57)))</f>
        <v>0</v>
      </c>
      <c r="BA55" s="763">
        <f t="shared" ref="BA55" si="2104" xml:space="preserve">
IF(AZ57&gt;=VLOOKUP($C55,$C$3:$D$15,2,FALSE)*BA$20,0,
IF(AND(AZ57&lt;VLOOKUP($C55,$C$3:$D$15,2,FALSE)*BA$20,BA56&lt;=VLOOKUP($C55,$C$3:$D$15,2,FALSE)*BA$20),IF(BA56-AZ57&lt;0,0,BA56-AZ57),
IF(AND(AZ57&lt;VLOOKUP($C55,$C$3:$D$15,2,FALSE)*BA$20,BA56&gt;VLOOKUP($C55,$C$3:$D$15,2,FALSE)*BA$20),VLOOKUP($C55,$C$3:$D$15,2,FALSE)*BA$20-AZ57)))</f>
        <v>0</v>
      </c>
      <c r="BB55" s="763">
        <f t="shared" ref="BB55" si="2105" xml:space="preserve">
IF(BA57&gt;=VLOOKUP($C55,$C$3:$D$15,2,FALSE)*BB$20,0,
IF(AND(BA57&lt;VLOOKUP($C55,$C$3:$D$15,2,FALSE)*BB$20,BB56&lt;=VLOOKUP($C55,$C$3:$D$15,2,FALSE)*BB$20),IF(BB56-BA57&lt;0,0,BB56-BA57),
IF(AND(BA57&lt;VLOOKUP($C55,$C$3:$D$15,2,FALSE)*BB$20,BB56&gt;VLOOKUP($C55,$C$3:$D$15,2,FALSE)*BB$20),VLOOKUP($C55,$C$3:$D$15,2,FALSE)*BB$20-BA57)))</f>
        <v>0</v>
      </c>
      <c r="BC55" s="763">
        <f t="shared" ref="BC55" si="2106" xml:space="preserve">
IF(BB57&gt;=VLOOKUP($C55,$C$3:$D$15,2,FALSE)*BC$20,0,
IF(AND(BB57&lt;VLOOKUP($C55,$C$3:$D$15,2,FALSE)*BC$20,BC56&lt;=VLOOKUP($C55,$C$3:$D$15,2,FALSE)*BC$20),IF(BC56-BB57&lt;0,0,BC56-BB57),
IF(AND(BB57&lt;VLOOKUP($C55,$C$3:$D$15,2,FALSE)*BC$20,BC56&gt;VLOOKUP($C55,$C$3:$D$15,2,FALSE)*BC$20),VLOOKUP($C55,$C$3:$D$15,2,FALSE)*BC$20-BB57)))</f>
        <v>0</v>
      </c>
      <c r="BD55" s="763">
        <f t="shared" ref="BD55" si="2107" xml:space="preserve">
IF(BC57&gt;=VLOOKUP($C55,$C$3:$D$15,2,FALSE)*BD$20,0,
IF(AND(BC57&lt;VLOOKUP($C55,$C$3:$D$15,2,FALSE)*BD$20,BD56&lt;=VLOOKUP($C55,$C$3:$D$15,2,FALSE)*BD$20),IF(BD56-BC57&lt;0,0,BD56-BC57),
IF(AND(BC57&lt;VLOOKUP($C55,$C$3:$D$15,2,FALSE)*BD$20,BD56&gt;VLOOKUP($C55,$C$3:$D$15,2,FALSE)*BD$20),VLOOKUP($C55,$C$3:$D$15,2,FALSE)*BD$20-BC57)))</f>
        <v>0</v>
      </c>
      <c r="BE55" s="763">
        <f t="shared" ref="BE55" si="2108" xml:space="preserve">
IF(BD57&gt;=VLOOKUP($C55,$C$3:$D$15,2,FALSE)*BE$20,0,
IF(AND(BD57&lt;VLOOKUP($C55,$C$3:$D$15,2,FALSE)*BE$20,BE56&lt;=VLOOKUP($C55,$C$3:$D$15,2,FALSE)*BE$20),IF(BE56-BD57&lt;0,0,BE56-BD57),
IF(AND(BD57&lt;VLOOKUP($C55,$C$3:$D$15,2,FALSE)*BE$20,BE56&gt;VLOOKUP($C55,$C$3:$D$15,2,FALSE)*BE$20),VLOOKUP($C55,$C$3:$D$15,2,FALSE)*BE$20-BD57)))</f>
        <v>0</v>
      </c>
      <c r="BF55" s="763">
        <f t="shared" ref="BF55" si="2109" xml:space="preserve">
IF(BE57&gt;=VLOOKUP($C55,$C$3:$D$15,2,FALSE)*BF$20,0,
IF(AND(BE57&lt;VLOOKUP($C55,$C$3:$D$15,2,FALSE)*BF$20,BF56&lt;=VLOOKUP($C55,$C$3:$D$15,2,FALSE)*BF$20),IF(BF56-BE57&lt;0,0,BF56-BE57),
IF(AND(BE57&lt;VLOOKUP($C55,$C$3:$D$15,2,FALSE)*BF$20,BF56&gt;VLOOKUP($C55,$C$3:$D$15,2,FALSE)*BF$20),VLOOKUP($C55,$C$3:$D$15,2,FALSE)*BF$20-BE57)))</f>
        <v>0</v>
      </c>
      <c r="BG55" s="763">
        <f t="shared" ref="BG55" si="2110" xml:space="preserve">
IF(BF57&gt;=VLOOKUP($C55,$C$3:$D$15,2,FALSE)*BG$20,0,
IF(AND(BF57&lt;VLOOKUP($C55,$C$3:$D$15,2,FALSE)*BG$20,BG56&lt;=VLOOKUP($C55,$C$3:$D$15,2,FALSE)*BG$20),IF(BG56-BF57&lt;0,0,BG56-BF57),
IF(AND(BF57&lt;VLOOKUP($C55,$C$3:$D$15,2,FALSE)*BG$20,BG56&gt;VLOOKUP($C55,$C$3:$D$15,2,FALSE)*BG$20),VLOOKUP($C55,$C$3:$D$15,2,FALSE)*BG$20-BF57)))</f>
        <v>0</v>
      </c>
      <c r="BH55" s="763">
        <f t="shared" ref="BH55" si="2111" xml:space="preserve">
IF(BG57&gt;=VLOOKUP($C55,$C$3:$D$15,2,FALSE)*BH$20,0,
IF(AND(BG57&lt;VLOOKUP($C55,$C$3:$D$15,2,FALSE)*BH$20,BH56&lt;=VLOOKUP($C55,$C$3:$D$15,2,FALSE)*BH$20),IF(BH56-BG57&lt;0,0,BH56-BG57),
IF(AND(BG57&lt;VLOOKUP($C55,$C$3:$D$15,2,FALSE)*BH$20,BH56&gt;VLOOKUP($C55,$C$3:$D$15,2,FALSE)*BH$20),VLOOKUP($C55,$C$3:$D$15,2,FALSE)*BH$20-BG57)))</f>
        <v>0</v>
      </c>
      <c r="BI55" s="763">
        <f t="shared" ref="BI55" si="2112" xml:space="preserve">
IF(BH57&gt;=VLOOKUP($C55,$C$3:$D$15,2,FALSE)*BI$20,0,
IF(AND(BH57&lt;VLOOKUP($C55,$C$3:$D$15,2,FALSE)*BI$20,BI56&lt;=VLOOKUP($C55,$C$3:$D$15,2,FALSE)*BI$20),IF(BI56-BH57&lt;0,0,BI56-BH57),
IF(AND(BH57&lt;VLOOKUP($C55,$C$3:$D$15,2,FALSE)*BI$20,BI56&gt;VLOOKUP($C55,$C$3:$D$15,2,FALSE)*BI$20),VLOOKUP($C55,$C$3:$D$15,2,FALSE)*BI$20-BH57)))</f>
        <v>0</v>
      </c>
      <c r="BJ55" s="763">
        <f t="shared" ref="BJ55" si="2113" xml:space="preserve">
IF(BI57&gt;=VLOOKUP($C55,$C$3:$D$15,2,FALSE)*BJ$20,0,
IF(AND(BI57&lt;VLOOKUP($C55,$C$3:$D$15,2,FALSE)*BJ$20,BJ56&lt;=VLOOKUP($C55,$C$3:$D$15,2,FALSE)*BJ$20),IF(BJ56-BI57&lt;0,0,BJ56-BI57),
IF(AND(BI57&lt;VLOOKUP($C55,$C$3:$D$15,2,FALSE)*BJ$20,BJ56&gt;VLOOKUP($C55,$C$3:$D$15,2,FALSE)*BJ$20),VLOOKUP($C55,$C$3:$D$15,2,FALSE)*BJ$20-BI57)))</f>
        <v>0</v>
      </c>
      <c r="BK55" s="763">
        <f t="shared" ref="BK55" si="2114" xml:space="preserve">
IF(BJ57&gt;=VLOOKUP($C55,$C$3:$D$15,2,FALSE)*BK$20,0,
IF(AND(BJ57&lt;VLOOKUP($C55,$C$3:$D$15,2,FALSE)*BK$20,BK56&lt;=VLOOKUP($C55,$C$3:$D$15,2,FALSE)*BK$20),IF(BK56-BJ57&lt;0,0,BK56-BJ57),
IF(AND(BJ57&lt;VLOOKUP($C55,$C$3:$D$15,2,FALSE)*BK$20,BK56&gt;VLOOKUP($C55,$C$3:$D$15,2,FALSE)*BK$20),VLOOKUP($C55,$C$3:$D$15,2,FALSE)*BK$20-BJ57)))</f>
        <v>0</v>
      </c>
      <c r="BL55" s="763">
        <f t="shared" ref="BL55" si="2115" xml:space="preserve">
IF(BK57&gt;=VLOOKUP($C55,$C$3:$D$15,2,FALSE)*BL$20,0,
IF(AND(BK57&lt;VLOOKUP($C55,$C$3:$D$15,2,FALSE)*BL$20,BL56&lt;=VLOOKUP($C55,$C$3:$D$15,2,FALSE)*BL$20),IF(BL56-BK57&lt;0,0,BL56-BK57),
IF(AND(BK57&lt;VLOOKUP($C55,$C$3:$D$15,2,FALSE)*BL$20,BL56&gt;VLOOKUP($C55,$C$3:$D$15,2,FALSE)*BL$20),VLOOKUP($C55,$C$3:$D$15,2,FALSE)*BL$20-BK57)))</f>
        <v>0</v>
      </c>
      <c r="BM55" s="763">
        <f t="shared" ref="BM55" si="2116" xml:space="preserve">
IF(BL57&gt;=VLOOKUP($C55,$C$3:$D$15,2,FALSE)*BM$20,0,
IF(AND(BL57&lt;VLOOKUP($C55,$C$3:$D$15,2,FALSE)*BM$20,BM56&lt;=VLOOKUP($C55,$C$3:$D$15,2,FALSE)*BM$20),IF(BM56-BL57&lt;0,0,BM56-BL57),
IF(AND(BL57&lt;VLOOKUP($C55,$C$3:$D$15,2,FALSE)*BM$20,BM56&gt;VLOOKUP($C55,$C$3:$D$15,2,FALSE)*BM$20),VLOOKUP($C55,$C$3:$D$15,2,FALSE)*BM$20-BL57)))</f>
        <v>0</v>
      </c>
      <c r="BN55" s="763">
        <f t="shared" ref="BN55" si="2117" xml:space="preserve">
IF(BM57&gt;=VLOOKUP($C55,$C$3:$D$15,2,FALSE)*BN$20,0,
IF(AND(BM57&lt;VLOOKUP($C55,$C$3:$D$15,2,FALSE)*BN$20,BN56&lt;=VLOOKUP($C55,$C$3:$D$15,2,FALSE)*BN$20),IF(BN56-BM57&lt;0,0,BN56-BM57),
IF(AND(BM57&lt;VLOOKUP($C55,$C$3:$D$15,2,FALSE)*BN$20,BN56&gt;VLOOKUP($C55,$C$3:$D$15,2,FALSE)*BN$20),VLOOKUP($C55,$C$3:$D$15,2,FALSE)*BN$20-BM57)))</f>
        <v>0</v>
      </c>
      <c r="BO55" s="763">
        <f t="shared" ref="BO55" si="2118" xml:space="preserve">
IF(BN57&gt;=VLOOKUP($C55,$C$3:$D$15,2,FALSE)*BO$20,0,
IF(AND(BN57&lt;VLOOKUP($C55,$C$3:$D$15,2,FALSE)*BO$20,BO56&lt;=VLOOKUP($C55,$C$3:$D$15,2,FALSE)*BO$20),IF(BO56-BN57&lt;0,0,BO56-BN57),
IF(AND(BN57&lt;VLOOKUP($C55,$C$3:$D$15,2,FALSE)*BO$20,BO56&gt;VLOOKUP($C55,$C$3:$D$15,2,FALSE)*BO$20),VLOOKUP($C55,$C$3:$D$15,2,FALSE)*BO$20-BN57)))</f>
        <v>0</v>
      </c>
      <c r="BP55" s="763">
        <f t="shared" ref="BP55" si="2119" xml:space="preserve">
IF(BO57&gt;=VLOOKUP($C55,$C$3:$D$15,2,FALSE)*BP$20,0,
IF(AND(BO57&lt;VLOOKUP($C55,$C$3:$D$15,2,FALSE)*BP$20,BP56&lt;=VLOOKUP($C55,$C$3:$D$15,2,FALSE)*BP$20),IF(BP56-BO57&lt;0,0,BP56-BO57),
IF(AND(BO57&lt;VLOOKUP($C55,$C$3:$D$15,2,FALSE)*BP$20,BP56&gt;VLOOKUP($C55,$C$3:$D$15,2,FALSE)*BP$20),VLOOKUP($C55,$C$3:$D$15,2,FALSE)*BP$20-BO57)))</f>
        <v>0</v>
      </c>
      <c r="BQ55" s="763">
        <f t="shared" ref="BQ55" si="2120" xml:space="preserve">
IF(BP57&gt;=VLOOKUP($C55,$C$3:$D$15,2,FALSE)*BQ$20,0,
IF(AND(BP57&lt;VLOOKUP($C55,$C$3:$D$15,2,FALSE)*BQ$20,BQ56&lt;=VLOOKUP($C55,$C$3:$D$15,2,FALSE)*BQ$20),IF(BQ56-BP57&lt;0,0,BQ56-BP57),
IF(AND(BP57&lt;VLOOKUP($C55,$C$3:$D$15,2,FALSE)*BQ$20,BQ56&gt;VLOOKUP($C55,$C$3:$D$15,2,FALSE)*BQ$20),VLOOKUP($C55,$C$3:$D$15,2,FALSE)*BQ$20-BP57)))</f>
        <v>0</v>
      </c>
      <c r="BR55" s="763">
        <f t="shared" ref="BR55" si="2121" xml:space="preserve">
IF(BQ57&gt;=VLOOKUP($C55,$C$3:$D$15,2,FALSE)*BR$20,0,
IF(AND(BQ57&lt;VLOOKUP($C55,$C$3:$D$15,2,FALSE)*BR$20,BR56&lt;=VLOOKUP($C55,$C$3:$D$15,2,FALSE)*BR$20),IF(BR56-BQ57&lt;0,0,BR56-BQ57),
IF(AND(BQ57&lt;VLOOKUP($C55,$C$3:$D$15,2,FALSE)*BR$20,BR56&gt;VLOOKUP($C55,$C$3:$D$15,2,FALSE)*BR$20),VLOOKUP($C55,$C$3:$D$15,2,FALSE)*BR$20-BQ57)))</f>
        <v>0</v>
      </c>
      <c r="BS55" s="763">
        <f t="shared" ref="BS55" si="2122" xml:space="preserve">
IF(BR57&gt;=VLOOKUP($C55,$C$3:$D$15,2,FALSE)*BS$20,0,
IF(AND(BR57&lt;VLOOKUP($C55,$C$3:$D$15,2,FALSE)*BS$20,BS56&lt;=VLOOKUP($C55,$C$3:$D$15,2,FALSE)*BS$20),IF(BS56-BR57&lt;0,0,BS56-BR57),
IF(AND(BR57&lt;VLOOKUP($C55,$C$3:$D$15,2,FALSE)*BS$20,BS56&gt;VLOOKUP($C55,$C$3:$D$15,2,FALSE)*BS$20),VLOOKUP($C55,$C$3:$D$15,2,FALSE)*BS$20-BR57)))</f>
        <v>0</v>
      </c>
      <c r="BT55" s="763">
        <f t="shared" ref="BT55" si="2123" xml:space="preserve">
IF(BS57&gt;=VLOOKUP($C55,$C$3:$D$15,2,FALSE)*BT$20,0,
IF(AND(BS57&lt;VLOOKUP($C55,$C$3:$D$15,2,FALSE)*BT$20,BT56&lt;=VLOOKUP($C55,$C$3:$D$15,2,FALSE)*BT$20),IF(BT56-BS57&lt;0,0,BT56-BS57),
IF(AND(BS57&lt;VLOOKUP($C55,$C$3:$D$15,2,FALSE)*BT$20,BT56&gt;VLOOKUP($C55,$C$3:$D$15,2,FALSE)*BT$20),VLOOKUP($C55,$C$3:$D$15,2,FALSE)*BT$20-BS57)))</f>
        <v>0</v>
      </c>
      <c r="BU55" s="763">
        <f t="shared" ref="BU55" si="2124" xml:space="preserve">
IF(BT57&gt;=VLOOKUP($C55,$C$3:$D$15,2,FALSE)*BU$20,0,
IF(AND(BT57&lt;VLOOKUP($C55,$C$3:$D$15,2,FALSE)*BU$20,BU56&lt;=VLOOKUP($C55,$C$3:$D$15,2,FALSE)*BU$20),IF(BU56-BT57&lt;0,0,BU56-BT57),
IF(AND(BT57&lt;VLOOKUP($C55,$C$3:$D$15,2,FALSE)*BU$20,BU56&gt;VLOOKUP($C55,$C$3:$D$15,2,FALSE)*BU$20),VLOOKUP($C55,$C$3:$D$15,2,FALSE)*BU$20-BT57)))</f>
        <v>0</v>
      </c>
      <c r="BV55" s="763">
        <f t="shared" ref="BV55" si="2125" xml:space="preserve">
IF(BU57&gt;=VLOOKUP($C55,$C$3:$D$15,2,FALSE)*BV$20,0,
IF(AND(BU57&lt;VLOOKUP($C55,$C$3:$D$15,2,FALSE)*BV$20,BV56&lt;=VLOOKUP($C55,$C$3:$D$15,2,FALSE)*BV$20),IF(BV56-BU57&lt;0,0,BV56-BU57),
IF(AND(BU57&lt;VLOOKUP($C55,$C$3:$D$15,2,FALSE)*BV$20,BV56&gt;VLOOKUP($C55,$C$3:$D$15,2,FALSE)*BV$20),VLOOKUP($C55,$C$3:$D$15,2,FALSE)*BV$20-BU57)))</f>
        <v>0</v>
      </c>
      <c r="BW55" s="763">
        <f t="shared" ref="BW55" si="2126" xml:space="preserve">
IF(BV57&gt;=VLOOKUP($C55,$C$3:$D$15,2,FALSE)*BW$20,0,
IF(AND(BV57&lt;VLOOKUP($C55,$C$3:$D$15,2,FALSE)*BW$20,BW56&lt;=VLOOKUP($C55,$C$3:$D$15,2,FALSE)*BW$20),IF(BW56-BV57&lt;0,0,BW56-BV57),
IF(AND(BV57&lt;VLOOKUP($C55,$C$3:$D$15,2,FALSE)*BW$20,BW56&gt;VLOOKUP($C55,$C$3:$D$15,2,FALSE)*BW$20),VLOOKUP($C55,$C$3:$D$15,2,FALSE)*BW$20-BV57)))</f>
        <v>0</v>
      </c>
      <c r="BX55" s="763">
        <f t="shared" ref="BX55" si="2127" xml:space="preserve">
IF(BW57&gt;=VLOOKUP($C55,$C$3:$D$15,2,FALSE)*BX$20,0,
IF(AND(BW57&lt;VLOOKUP($C55,$C$3:$D$15,2,FALSE)*BX$20,BX56&lt;=VLOOKUP($C55,$C$3:$D$15,2,FALSE)*BX$20),IF(BX56-BW57&lt;0,0,BX56-BW57),
IF(AND(BW57&lt;VLOOKUP($C55,$C$3:$D$15,2,FALSE)*BX$20,BX56&gt;VLOOKUP($C55,$C$3:$D$15,2,FALSE)*BX$20),VLOOKUP($C55,$C$3:$D$15,2,FALSE)*BX$20-BW57)))</f>
        <v>0</v>
      </c>
      <c r="BY55" s="763">
        <f t="shared" ref="BY55" si="2128" xml:space="preserve">
IF(BX57&gt;=VLOOKUP($C55,$C$3:$D$15,2,FALSE)*BY$20,0,
IF(AND(BX57&lt;VLOOKUP($C55,$C$3:$D$15,2,FALSE)*BY$20,BY56&lt;=VLOOKUP($C55,$C$3:$D$15,2,FALSE)*BY$20),IF(BY56-BX57&lt;0,0,BY56-BX57),
IF(AND(BX57&lt;VLOOKUP($C55,$C$3:$D$15,2,FALSE)*BY$20,BY56&gt;VLOOKUP($C55,$C$3:$D$15,2,FALSE)*BY$20),VLOOKUP($C55,$C$3:$D$15,2,FALSE)*BY$20-BX57)))</f>
        <v>0</v>
      </c>
      <c r="BZ55" s="763">
        <f t="shared" ref="BZ55" si="2129" xml:space="preserve">
IF(BY57&gt;=VLOOKUP($C55,$C$3:$D$15,2,FALSE)*BZ$20,0,
IF(AND(BY57&lt;VLOOKUP($C55,$C$3:$D$15,2,FALSE)*BZ$20,BZ56&lt;=VLOOKUP($C55,$C$3:$D$15,2,FALSE)*BZ$20),IF(BZ56-BY57&lt;0,0,BZ56-BY57),
IF(AND(BY57&lt;VLOOKUP($C55,$C$3:$D$15,2,FALSE)*BZ$20,BZ56&gt;VLOOKUP($C55,$C$3:$D$15,2,FALSE)*BZ$20),VLOOKUP($C55,$C$3:$D$15,2,FALSE)*BZ$20-BY57)))</f>
        <v>0</v>
      </c>
      <c r="CA55" s="763">
        <f t="shared" ref="CA55" si="2130" xml:space="preserve">
IF(BZ57&gt;=VLOOKUP($C55,$C$3:$D$15,2,FALSE)*CA$20,0,
IF(AND(BZ57&lt;VLOOKUP($C55,$C$3:$D$15,2,FALSE)*CA$20,CA56&lt;=VLOOKUP($C55,$C$3:$D$15,2,FALSE)*CA$20),IF(CA56-BZ57&lt;0,0,CA56-BZ57),
IF(AND(BZ57&lt;VLOOKUP($C55,$C$3:$D$15,2,FALSE)*CA$20,CA56&gt;VLOOKUP($C55,$C$3:$D$15,2,FALSE)*CA$20),VLOOKUP($C55,$C$3:$D$15,2,FALSE)*CA$20-BZ57)))</f>
        <v>0</v>
      </c>
      <c r="CB55" s="763">
        <f t="shared" ref="CB55" si="2131" xml:space="preserve">
IF(CA57&gt;=VLOOKUP($C55,$C$3:$D$15,2,FALSE)*CB$20,0,
IF(AND(CA57&lt;VLOOKUP($C55,$C$3:$D$15,2,FALSE)*CB$20,CB56&lt;=VLOOKUP($C55,$C$3:$D$15,2,FALSE)*CB$20),IF(CB56-CA57&lt;0,0,CB56-CA57),
IF(AND(CA57&lt;VLOOKUP($C55,$C$3:$D$15,2,FALSE)*CB$20,CB56&gt;VLOOKUP($C55,$C$3:$D$15,2,FALSE)*CB$20),VLOOKUP($C55,$C$3:$D$15,2,FALSE)*CB$20-CA57)))</f>
        <v>0</v>
      </c>
      <c r="CC55" s="763">
        <f t="shared" ref="CC55" si="2132" xml:space="preserve">
IF(CB57&gt;=VLOOKUP($C55,$C$3:$D$15,2,FALSE)*CC$20,0,
IF(AND(CB57&lt;VLOOKUP($C55,$C$3:$D$15,2,FALSE)*CC$20,CC56&lt;=VLOOKUP($C55,$C$3:$D$15,2,FALSE)*CC$20),IF(CC56-CB57&lt;0,0,CC56-CB57),
IF(AND(CB57&lt;VLOOKUP($C55,$C$3:$D$15,2,FALSE)*CC$20,CC56&gt;VLOOKUP($C55,$C$3:$D$15,2,FALSE)*CC$20),VLOOKUP($C55,$C$3:$D$15,2,FALSE)*CC$20-CB57)))</f>
        <v>0</v>
      </c>
      <c r="CD55" s="763">
        <f t="shared" ref="CD55" si="2133" xml:space="preserve">
IF(CC57&gt;=VLOOKUP($C55,$C$3:$D$15,2,FALSE)*CD$20,0,
IF(AND(CC57&lt;VLOOKUP($C55,$C$3:$D$15,2,FALSE)*CD$20,CD56&lt;=VLOOKUP($C55,$C$3:$D$15,2,FALSE)*CD$20),IF(CD56-CC57&lt;0,0,CD56-CC57),
IF(AND(CC57&lt;VLOOKUP($C55,$C$3:$D$15,2,FALSE)*CD$20,CD56&gt;VLOOKUP($C55,$C$3:$D$15,2,FALSE)*CD$20),VLOOKUP($C55,$C$3:$D$15,2,FALSE)*CD$20-CC57)))</f>
        <v>0</v>
      </c>
      <c r="CE55" s="763">
        <f t="shared" ref="CE55" si="2134" xml:space="preserve">
IF(CD57&gt;=VLOOKUP($C55,$C$3:$D$15,2,FALSE)*CE$20,0,
IF(AND(CD57&lt;VLOOKUP($C55,$C$3:$D$15,2,FALSE)*CE$20,CE56&lt;=VLOOKUP($C55,$C$3:$D$15,2,FALSE)*CE$20),IF(CE56-CD57&lt;0,0,CE56-CD57),
IF(AND(CD57&lt;VLOOKUP($C55,$C$3:$D$15,2,FALSE)*CE$20,CE56&gt;VLOOKUP($C55,$C$3:$D$15,2,FALSE)*CE$20),VLOOKUP($C55,$C$3:$D$15,2,FALSE)*CE$20-CD57)))</f>
        <v>0</v>
      </c>
      <c r="CF55" s="763">
        <f t="shared" ref="CF55" si="2135" xml:space="preserve">
IF(CE57&gt;=VLOOKUP($C55,$C$3:$D$15,2,FALSE)*CF$20,0,
IF(AND(CE57&lt;VLOOKUP($C55,$C$3:$D$15,2,FALSE)*CF$20,CF56&lt;=VLOOKUP($C55,$C$3:$D$15,2,FALSE)*CF$20),IF(CF56-CE57&lt;0,0,CF56-CE57),
IF(AND(CE57&lt;VLOOKUP($C55,$C$3:$D$15,2,FALSE)*CF$20,CF56&gt;VLOOKUP($C55,$C$3:$D$15,2,FALSE)*CF$20),VLOOKUP($C55,$C$3:$D$15,2,FALSE)*CF$20-CE57)))</f>
        <v>0</v>
      </c>
      <c r="CG55" s="763">
        <f t="shared" ref="CG55" si="2136" xml:space="preserve">
IF(CF57&gt;=VLOOKUP($C55,$C$3:$D$15,2,FALSE)*CG$20,0,
IF(AND(CF57&lt;VLOOKUP($C55,$C$3:$D$15,2,FALSE)*CG$20,CG56&lt;=VLOOKUP($C55,$C$3:$D$15,2,FALSE)*CG$20),IF(CG56-CF57&lt;0,0,CG56-CF57),
IF(AND(CF57&lt;VLOOKUP($C55,$C$3:$D$15,2,FALSE)*CG$20,CG56&gt;VLOOKUP($C55,$C$3:$D$15,2,FALSE)*CG$20),VLOOKUP($C55,$C$3:$D$15,2,FALSE)*CG$20-CF57)))</f>
        <v>0</v>
      </c>
      <c r="CH55" s="763">
        <f t="shared" ref="CH55" si="2137" xml:space="preserve">
IF(CG57&gt;=VLOOKUP($C55,$C$3:$D$15,2,FALSE)*CH$20,0,
IF(AND(CG57&lt;VLOOKUP($C55,$C$3:$D$15,2,FALSE)*CH$20,CH56&lt;=VLOOKUP($C55,$C$3:$D$15,2,FALSE)*CH$20),IF(CH56-CG57&lt;0,0,CH56-CG57),
IF(AND(CG57&lt;VLOOKUP($C55,$C$3:$D$15,2,FALSE)*CH$20,CH56&gt;VLOOKUP($C55,$C$3:$D$15,2,FALSE)*CH$20),VLOOKUP($C55,$C$3:$D$15,2,FALSE)*CH$20-CG57)))</f>
        <v>0</v>
      </c>
      <c r="CI55" s="763">
        <f t="shared" ref="CI55" si="2138" xml:space="preserve">
IF(CH57&gt;=VLOOKUP($C55,$C$3:$D$15,2,FALSE)*CI$20,0,
IF(AND(CH57&lt;VLOOKUP($C55,$C$3:$D$15,2,FALSE)*CI$20,CI56&lt;=VLOOKUP($C55,$C$3:$D$15,2,FALSE)*CI$20),IF(CI56-CH57&lt;0,0,CI56-CH57),
IF(AND(CH57&lt;VLOOKUP($C55,$C$3:$D$15,2,FALSE)*CI$20,CI56&gt;VLOOKUP($C55,$C$3:$D$15,2,FALSE)*CI$20),VLOOKUP($C55,$C$3:$D$15,2,FALSE)*CI$20-CH57)))</f>
        <v>0</v>
      </c>
      <c r="CJ55" s="763">
        <f t="shared" ref="CJ55" si="2139" xml:space="preserve">
IF(CI57&gt;=VLOOKUP($C55,$C$3:$D$15,2,FALSE)*CJ$20,0,
IF(AND(CI57&lt;VLOOKUP($C55,$C$3:$D$15,2,FALSE)*CJ$20,CJ56&lt;=VLOOKUP($C55,$C$3:$D$15,2,FALSE)*CJ$20),IF(CJ56-CI57&lt;0,0,CJ56-CI57),
IF(AND(CI57&lt;VLOOKUP($C55,$C$3:$D$15,2,FALSE)*CJ$20,CJ56&gt;VLOOKUP($C55,$C$3:$D$15,2,FALSE)*CJ$20),VLOOKUP($C55,$C$3:$D$15,2,FALSE)*CJ$20-CI57)))</f>
        <v>0</v>
      </c>
      <c r="CK55" s="763">
        <f t="shared" ref="CK55" si="2140" xml:space="preserve">
IF(CJ57&gt;=VLOOKUP($C55,$C$3:$D$15,2,FALSE)*CK$20,0,
IF(AND(CJ57&lt;VLOOKUP($C55,$C$3:$D$15,2,FALSE)*CK$20,CK56&lt;=VLOOKUP($C55,$C$3:$D$15,2,FALSE)*CK$20),IF(CK56-CJ57&lt;0,0,CK56-CJ57),
IF(AND(CJ57&lt;VLOOKUP($C55,$C$3:$D$15,2,FALSE)*CK$20,CK56&gt;VLOOKUP($C55,$C$3:$D$15,2,FALSE)*CK$20),VLOOKUP($C55,$C$3:$D$15,2,FALSE)*CK$20-CJ57)))</f>
        <v>0</v>
      </c>
      <c r="CL55" s="763">
        <f t="shared" ref="CL55" si="2141" xml:space="preserve">
IF(CK57&gt;=VLOOKUP($C55,$C$3:$D$15,2,FALSE)*CL$20,0,
IF(AND(CK57&lt;VLOOKUP($C55,$C$3:$D$15,2,FALSE)*CL$20,CL56&lt;=VLOOKUP($C55,$C$3:$D$15,2,FALSE)*CL$20),IF(CL56-CK57&lt;0,0,CL56-CK57),
IF(AND(CK57&lt;VLOOKUP($C55,$C$3:$D$15,2,FALSE)*CL$20,CL56&gt;VLOOKUP($C55,$C$3:$D$15,2,FALSE)*CL$20),VLOOKUP($C55,$C$3:$D$15,2,FALSE)*CL$20-CK57)))</f>
        <v>0</v>
      </c>
      <c r="CM55" s="763">
        <f t="shared" ref="CM55" si="2142" xml:space="preserve">
IF(CL57&gt;=VLOOKUP($C55,$C$3:$D$15,2,FALSE)*CM$20,0,
IF(AND(CL57&lt;VLOOKUP($C55,$C$3:$D$15,2,FALSE)*CM$20,CM56&lt;=VLOOKUP($C55,$C$3:$D$15,2,FALSE)*CM$20),IF(CM56-CL57&lt;0,0,CM56-CL57),
IF(AND(CL57&lt;VLOOKUP($C55,$C$3:$D$15,2,FALSE)*CM$20,CM56&gt;VLOOKUP($C55,$C$3:$D$15,2,FALSE)*CM$20),VLOOKUP($C55,$C$3:$D$15,2,FALSE)*CM$20-CL57)))</f>
        <v>0</v>
      </c>
      <c r="CN55" s="763">
        <f t="shared" ref="CN55" si="2143" xml:space="preserve">
IF(CM57&gt;=VLOOKUP($C55,$C$3:$D$15,2,FALSE)*CN$20,0,
IF(AND(CM57&lt;VLOOKUP($C55,$C$3:$D$15,2,FALSE)*CN$20,CN56&lt;=VLOOKUP($C55,$C$3:$D$15,2,FALSE)*CN$20),IF(CN56-CM57&lt;0,0,CN56-CM57),
IF(AND(CM57&lt;VLOOKUP($C55,$C$3:$D$15,2,FALSE)*CN$20,CN56&gt;VLOOKUP($C55,$C$3:$D$15,2,FALSE)*CN$20),VLOOKUP($C55,$C$3:$D$15,2,FALSE)*CN$20-CM57)))</f>
        <v>0</v>
      </c>
      <c r="CO55" s="763">
        <f t="shared" ref="CO55" si="2144" xml:space="preserve">
IF(CN57&gt;=VLOOKUP($C55,$C$3:$D$15,2,FALSE)*CO$20,0,
IF(AND(CN57&lt;VLOOKUP($C55,$C$3:$D$15,2,FALSE)*CO$20,CO56&lt;=VLOOKUP($C55,$C$3:$D$15,2,FALSE)*CO$20),IF(CO56-CN57&lt;0,0,CO56-CN57),
IF(AND(CN57&lt;VLOOKUP($C55,$C$3:$D$15,2,FALSE)*CO$20,CO56&gt;VLOOKUP($C55,$C$3:$D$15,2,FALSE)*CO$20),VLOOKUP($C55,$C$3:$D$15,2,FALSE)*CO$20-CN57)))</f>
        <v>0</v>
      </c>
      <c r="CP55" s="763">
        <f t="shared" ref="CP55" si="2145" xml:space="preserve">
IF(CO57&gt;=VLOOKUP($C55,$C$3:$D$15,2,FALSE)*CP$20,0,
IF(AND(CO57&lt;VLOOKUP($C55,$C$3:$D$15,2,FALSE)*CP$20,CP56&lt;=VLOOKUP($C55,$C$3:$D$15,2,FALSE)*CP$20),IF(CP56-CO57&lt;0,0,CP56-CO57),
IF(AND(CO57&lt;VLOOKUP($C55,$C$3:$D$15,2,FALSE)*CP$20,CP56&gt;VLOOKUP($C55,$C$3:$D$15,2,FALSE)*CP$20),VLOOKUP($C55,$C$3:$D$15,2,FALSE)*CP$20-CO57)))</f>
        <v>0</v>
      </c>
      <c r="CQ55" s="763">
        <f t="shared" ref="CQ55" si="2146" xml:space="preserve">
IF(CP57&gt;=VLOOKUP($C55,$C$3:$D$15,2,FALSE)*CQ$20,0,
IF(AND(CP57&lt;VLOOKUP($C55,$C$3:$D$15,2,FALSE)*CQ$20,CQ56&lt;=VLOOKUP($C55,$C$3:$D$15,2,FALSE)*CQ$20),IF(CQ56-CP57&lt;0,0,CQ56-CP57),
IF(AND(CP57&lt;VLOOKUP($C55,$C$3:$D$15,2,FALSE)*CQ$20,CQ56&gt;VLOOKUP($C55,$C$3:$D$15,2,FALSE)*CQ$20),VLOOKUP($C55,$C$3:$D$15,2,FALSE)*CQ$20-CP57)))</f>
        <v>0</v>
      </c>
      <c r="CR55" s="763">
        <f t="shared" ref="CR55" si="2147" xml:space="preserve">
IF(CQ57&gt;=VLOOKUP($C55,$C$3:$D$15,2,FALSE)*CR$20,0,
IF(AND(CQ57&lt;VLOOKUP($C55,$C$3:$D$15,2,FALSE)*CR$20,CR56&lt;=VLOOKUP($C55,$C$3:$D$15,2,FALSE)*CR$20),IF(CR56-CQ57&lt;0,0,CR56-CQ57),
IF(AND(CQ57&lt;VLOOKUP($C55,$C$3:$D$15,2,FALSE)*CR$20,CR56&gt;VLOOKUP($C55,$C$3:$D$15,2,FALSE)*CR$20),VLOOKUP($C55,$C$3:$D$15,2,FALSE)*CR$20-CQ57)))</f>
        <v>0</v>
      </c>
      <c r="CS55" s="763">
        <f t="shared" ref="CS55" si="2148" xml:space="preserve">
IF(CR57&gt;=VLOOKUP($C55,$C$3:$D$15,2,FALSE)*CS$20,0,
IF(AND(CR57&lt;VLOOKUP($C55,$C$3:$D$15,2,FALSE)*CS$20,CS56&lt;=VLOOKUP($C55,$C$3:$D$15,2,FALSE)*CS$20),IF(CS56-CR57&lt;0,0,CS56-CR57),
IF(AND(CR57&lt;VLOOKUP($C55,$C$3:$D$15,2,FALSE)*CS$20,CS56&gt;VLOOKUP($C55,$C$3:$D$15,2,FALSE)*CS$20),VLOOKUP($C55,$C$3:$D$15,2,FALSE)*CS$20-CR57)))</f>
        <v>0</v>
      </c>
      <c r="CT55" s="763">
        <f t="shared" ref="CT55" si="2149" xml:space="preserve">
IF(CS57&gt;=VLOOKUP($C55,$C$3:$D$15,2,FALSE)*CT$20,0,
IF(AND(CS57&lt;VLOOKUP($C55,$C$3:$D$15,2,FALSE)*CT$20,CT56&lt;=VLOOKUP($C55,$C$3:$D$15,2,FALSE)*CT$20),IF(CT56-CS57&lt;0,0,CT56-CS57),
IF(AND(CS57&lt;VLOOKUP($C55,$C$3:$D$15,2,FALSE)*CT$20,CT56&gt;VLOOKUP($C55,$C$3:$D$15,2,FALSE)*CT$20),VLOOKUP($C55,$C$3:$D$15,2,FALSE)*CT$20-CS57)))</f>
        <v>0</v>
      </c>
      <c r="CU55" s="763">
        <f t="shared" ref="CU55" si="2150" xml:space="preserve">
IF(CT57&gt;=VLOOKUP($C55,$C$3:$D$15,2,FALSE)*CU$20,0,
IF(AND(CT57&lt;VLOOKUP($C55,$C$3:$D$15,2,FALSE)*CU$20,CU56&lt;=VLOOKUP($C55,$C$3:$D$15,2,FALSE)*CU$20),IF(CU56-CT57&lt;0,0,CU56-CT57),
IF(AND(CT57&lt;VLOOKUP($C55,$C$3:$D$15,2,FALSE)*CU$20,CU56&gt;VLOOKUP($C55,$C$3:$D$15,2,FALSE)*CU$20),VLOOKUP($C55,$C$3:$D$15,2,FALSE)*CU$20-CT57)))</f>
        <v>0</v>
      </c>
      <c r="CV55" s="763">
        <f t="shared" ref="CV55" si="2151" xml:space="preserve">
IF(CU57&gt;=VLOOKUP($C55,$C$3:$D$15,2,FALSE)*CV$20,0,
IF(AND(CU57&lt;VLOOKUP($C55,$C$3:$D$15,2,FALSE)*CV$20,CV56&lt;=VLOOKUP($C55,$C$3:$D$15,2,FALSE)*CV$20),IF(CV56-CU57&lt;0,0,CV56-CU57),
IF(AND(CU57&lt;VLOOKUP($C55,$C$3:$D$15,2,FALSE)*CV$20,CV56&gt;VLOOKUP($C55,$C$3:$D$15,2,FALSE)*CV$20),VLOOKUP($C55,$C$3:$D$15,2,FALSE)*CV$20-CU57)))</f>
        <v>0</v>
      </c>
      <c r="CW55" s="763">
        <f t="shared" ref="CW55" si="2152" xml:space="preserve">
IF(CV57&gt;=VLOOKUP($C55,$C$3:$D$15,2,FALSE)*CW$20,0,
IF(AND(CV57&lt;VLOOKUP($C55,$C$3:$D$15,2,FALSE)*CW$20,CW56&lt;=VLOOKUP($C55,$C$3:$D$15,2,FALSE)*CW$20),IF(CW56-CV57&lt;0,0,CW56-CV57),
IF(AND(CV57&lt;VLOOKUP($C55,$C$3:$D$15,2,FALSE)*CW$20,CW56&gt;VLOOKUP($C55,$C$3:$D$15,2,FALSE)*CW$20),VLOOKUP($C55,$C$3:$D$15,2,FALSE)*CW$20-CV57)))</f>
        <v>0</v>
      </c>
      <c r="CX55" s="763">
        <f t="shared" ref="CX55" si="2153" xml:space="preserve">
IF(CW57&gt;=VLOOKUP($C55,$C$3:$D$15,2,FALSE)*CX$20,0,
IF(AND(CW57&lt;VLOOKUP($C55,$C$3:$D$15,2,FALSE)*CX$20,CX56&lt;=VLOOKUP($C55,$C$3:$D$15,2,FALSE)*CX$20),IF(CX56-CW57&lt;0,0,CX56-CW57),
IF(AND(CW57&lt;VLOOKUP($C55,$C$3:$D$15,2,FALSE)*CX$20,CX56&gt;VLOOKUP($C55,$C$3:$D$15,2,FALSE)*CX$20),VLOOKUP($C55,$C$3:$D$15,2,FALSE)*CX$20-CW57)))</f>
        <v>0</v>
      </c>
      <c r="CY55" s="763">
        <f t="shared" ref="CY55" si="2154" xml:space="preserve">
IF(CX57&gt;=VLOOKUP($C55,$C$3:$D$15,2,FALSE)*CY$20,0,
IF(AND(CX57&lt;VLOOKUP($C55,$C$3:$D$15,2,FALSE)*CY$20,CY56&lt;=VLOOKUP($C55,$C$3:$D$15,2,FALSE)*CY$20),IF(CY56-CX57&lt;0,0,CY56-CX57),
IF(AND(CX57&lt;VLOOKUP($C55,$C$3:$D$15,2,FALSE)*CY$20,CY56&gt;VLOOKUP($C55,$C$3:$D$15,2,FALSE)*CY$20),VLOOKUP($C55,$C$3:$D$15,2,FALSE)*CY$20-CX57)))</f>
        <v>0</v>
      </c>
      <c r="CZ55" s="763">
        <f t="shared" ref="CZ55" si="2155" xml:space="preserve">
IF(CY57&gt;=VLOOKUP($C55,$C$3:$D$15,2,FALSE)*CZ$20,0,
IF(AND(CY57&lt;VLOOKUP($C55,$C$3:$D$15,2,FALSE)*CZ$20,CZ56&lt;=VLOOKUP($C55,$C$3:$D$15,2,FALSE)*CZ$20),IF(CZ56-CY57&lt;0,0,CZ56-CY57),
IF(AND(CY57&lt;VLOOKUP($C55,$C$3:$D$15,2,FALSE)*CZ$20,CZ56&gt;VLOOKUP($C55,$C$3:$D$15,2,FALSE)*CZ$20),VLOOKUP($C55,$C$3:$D$15,2,FALSE)*CZ$20-CY57)))</f>
        <v>0</v>
      </c>
      <c r="DA55" s="763">
        <f t="shared" ref="DA55" si="2156" xml:space="preserve">
IF(CZ57&gt;=VLOOKUP($C55,$C$3:$D$15,2,FALSE)*DA$20,0,
IF(AND(CZ57&lt;VLOOKUP($C55,$C$3:$D$15,2,FALSE)*DA$20,DA56&lt;=VLOOKUP($C55,$C$3:$D$15,2,FALSE)*DA$20),IF(DA56-CZ57&lt;0,0,DA56-CZ57),
IF(AND(CZ57&lt;VLOOKUP($C55,$C$3:$D$15,2,FALSE)*DA$20,DA56&gt;VLOOKUP($C55,$C$3:$D$15,2,FALSE)*DA$20),VLOOKUP($C55,$C$3:$D$15,2,FALSE)*DA$20-CZ57)))</f>
        <v>0</v>
      </c>
      <c r="DB55" s="763">
        <f t="shared" ref="DB55" si="2157" xml:space="preserve">
IF(DA57&gt;=VLOOKUP($C55,$C$3:$D$15,2,FALSE)*DB$20,0,
IF(AND(DA57&lt;VLOOKUP($C55,$C$3:$D$15,2,FALSE)*DB$20,DB56&lt;=VLOOKUP($C55,$C$3:$D$15,2,FALSE)*DB$20),IF(DB56-DA57&lt;0,0,DB56-DA57),
IF(AND(DA57&lt;VLOOKUP($C55,$C$3:$D$15,2,FALSE)*DB$20,DB56&gt;VLOOKUP($C55,$C$3:$D$15,2,FALSE)*DB$20),VLOOKUP($C55,$C$3:$D$15,2,FALSE)*DB$20-DA57)))</f>
        <v>0</v>
      </c>
      <c r="DC55" s="763">
        <f t="shared" ref="DC55" si="2158" xml:space="preserve">
IF(DB57&gt;=VLOOKUP($C55,$C$3:$D$15,2,FALSE)*DC$20,0,
IF(AND(DB57&lt;VLOOKUP($C55,$C$3:$D$15,2,FALSE)*DC$20,DC56&lt;=VLOOKUP($C55,$C$3:$D$15,2,FALSE)*DC$20),IF(DC56-DB57&lt;0,0,DC56-DB57),
IF(AND(DB57&lt;VLOOKUP($C55,$C$3:$D$15,2,FALSE)*DC$20,DC56&gt;VLOOKUP($C55,$C$3:$D$15,2,FALSE)*DC$20),VLOOKUP($C55,$C$3:$D$15,2,FALSE)*DC$20-DB57)))</f>
        <v>0</v>
      </c>
      <c r="DD55" s="763">
        <f t="shared" ref="DD55" si="2159" xml:space="preserve">
IF(DC57&gt;=VLOOKUP($C55,$C$3:$D$15,2,FALSE)*DD$20,0,
IF(AND(DC57&lt;VLOOKUP($C55,$C$3:$D$15,2,FALSE)*DD$20,DD56&lt;=VLOOKUP($C55,$C$3:$D$15,2,FALSE)*DD$20),IF(DD56-DC57&lt;0,0,DD56-DC57),
IF(AND(DC57&lt;VLOOKUP($C55,$C$3:$D$15,2,FALSE)*DD$20,DD56&gt;VLOOKUP($C55,$C$3:$D$15,2,FALSE)*DD$20),VLOOKUP($C55,$C$3:$D$15,2,FALSE)*DD$20-DC57)))</f>
        <v>0</v>
      </c>
      <c r="DE55" s="763">
        <f t="shared" ref="DE55" si="2160" xml:space="preserve">
IF(DD57&gt;=VLOOKUP($C55,$C$3:$D$15,2,FALSE)*DE$20,0,
IF(AND(DD57&lt;VLOOKUP($C55,$C$3:$D$15,2,FALSE)*DE$20,DE56&lt;=VLOOKUP($C55,$C$3:$D$15,2,FALSE)*DE$20),IF(DE56-DD57&lt;0,0,DE56-DD57),
IF(AND(DD57&lt;VLOOKUP($C55,$C$3:$D$15,2,FALSE)*DE$20,DE56&gt;VLOOKUP($C55,$C$3:$D$15,2,FALSE)*DE$20),VLOOKUP($C55,$C$3:$D$15,2,FALSE)*DE$20-DD57)))</f>
        <v>0</v>
      </c>
      <c r="DF55" s="763">
        <f t="shared" ref="DF55" si="2161" xml:space="preserve">
IF(DE57&gt;=VLOOKUP($C55,$C$3:$D$15,2,FALSE)*DF$20,0,
IF(AND(DE57&lt;VLOOKUP($C55,$C$3:$D$15,2,FALSE)*DF$20,DF56&lt;=VLOOKUP($C55,$C$3:$D$15,2,FALSE)*DF$20),IF(DF56-DE57&lt;0,0,DF56-DE57),
IF(AND(DE57&lt;VLOOKUP($C55,$C$3:$D$15,2,FALSE)*DF$20,DF56&gt;VLOOKUP($C55,$C$3:$D$15,2,FALSE)*DF$20),VLOOKUP($C55,$C$3:$D$15,2,FALSE)*DF$20-DE57)))</f>
        <v>0</v>
      </c>
      <c r="DG55" s="763">
        <f t="shared" ref="DG55" si="2162" xml:space="preserve">
IF(DF57&gt;=VLOOKUP($C55,$C$3:$D$15,2,FALSE)*DG$20,0,
IF(AND(DF57&lt;VLOOKUP($C55,$C$3:$D$15,2,FALSE)*DG$20,DG56&lt;=VLOOKUP($C55,$C$3:$D$15,2,FALSE)*DG$20),IF(DG56-DF57&lt;0,0,DG56-DF57),
IF(AND(DF57&lt;VLOOKUP($C55,$C$3:$D$15,2,FALSE)*DG$20,DG56&gt;VLOOKUP($C55,$C$3:$D$15,2,FALSE)*DG$20),VLOOKUP($C55,$C$3:$D$15,2,FALSE)*DG$20-DF57)))</f>
        <v>0</v>
      </c>
      <c r="DH55" s="763">
        <f t="shared" ref="DH55" si="2163" xml:space="preserve">
IF(DG57&gt;=VLOOKUP($C55,$C$3:$D$15,2,FALSE)*DH$20,0,
IF(AND(DG57&lt;VLOOKUP($C55,$C$3:$D$15,2,FALSE)*DH$20,DH56&lt;=VLOOKUP($C55,$C$3:$D$15,2,FALSE)*DH$20),IF(DH56-DG57&lt;0,0,DH56-DG57),
IF(AND(DG57&lt;VLOOKUP($C55,$C$3:$D$15,2,FALSE)*DH$20,DH56&gt;VLOOKUP($C55,$C$3:$D$15,2,FALSE)*DH$20),VLOOKUP($C55,$C$3:$D$15,2,FALSE)*DH$20-DG57)))</f>
        <v>0</v>
      </c>
      <c r="DI55" s="763">
        <f t="shared" ref="DI55" si="2164" xml:space="preserve">
IF(DH57&gt;=VLOOKUP($C55,$C$3:$D$15,2,FALSE)*DI$20,0,
IF(AND(DH57&lt;VLOOKUP($C55,$C$3:$D$15,2,FALSE)*DI$20,DI56&lt;=VLOOKUP($C55,$C$3:$D$15,2,FALSE)*DI$20),IF(DI56-DH57&lt;0,0,DI56-DH57),
IF(AND(DH57&lt;VLOOKUP($C55,$C$3:$D$15,2,FALSE)*DI$20,DI56&gt;VLOOKUP($C55,$C$3:$D$15,2,FALSE)*DI$20),VLOOKUP($C55,$C$3:$D$15,2,FALSE)*DI$20-DH57)))</f>
        <v>0</v>
      </c>
      <c r="DJ55" s="763">
        <f t="shared" ref="DJ55" si="2165" xml:space="preserve">
IF(DI57&gt;=VLOOKUP($C55,$C$3:$D$15,2,FALSE)*DJ$20,0,
IF(AND(DI57&lt;VLOOKUP($C55,$C$3:$D$15,2,FALSE)*DJ$20,DJ56&lt;=VLOOKUP($C55,$C$3:$D$15,2,FALSE)*DJ$20),IF(DJ56-DI57&lt;0,0,DJ56-DI57),
IF(AND(DI57&lt;VLOOKUP($C55,$C$3:$D$15,2,FALSE)*DJ$20,DJ56&gt;VLOOKUP($C55,$C$3:$D$15,2,FALSE)*DJ$20),VLOOKUP($C55,$C$3:$D$15,2,FALSE)*DJ$20-DI57)))</f>
        <v>0</v>
      </c>
      <c r="DK55" s="763">
        <f t="shared" ref="DK55" si="2166" xml:space="preserve">
IF(DJ57&gt;=VLOOKUP($C55,$C$3:$D$15,2,FALSE)*DK$20,0,
IF(AND(DJ57&lt;VLOOKUP($C55,$C$3:$D$15,2,FALSE)*DK$20,DK56&lt;=VLOOKUP($C55,$C$3:$D$15,2,FALSE)*DK$20),IF(DK56-DJ57&lt;0,0,DK56-DJ57),
IF(AND(DJ57&lt;VLOOKUP($C55,$C$3:$D$15,2,FALSE)*DK$20,DK56&gt;VLOOKUP($C55,$C$3:$D$15,2,FALSE)*DK$20),VLOOKUP($C55,$C$3:$D$15,2,FALSE)*DK$20-DJ57)))</f>
        <v>0</v>
      </c>
      <c r="DL55" s="763">
        <f t="shared" ref="DL55" si="2167" xml:space="preserve">
IF(DK57&gt;=VLOOKUP($C55,$C$3:$D$15,2,FALSE)*DL$20,0,
IF(AND(DK57&lt;VLOOKUP($C55,$C$3:$D$15,2,FALSE)*DL$20,DL56&lt;=VLOOKUP($C55,$C$3:$D$15,2,FALSE)*DL$20),IF(DL56-DK57&lt;0,0,DL56-DK57),
IF(AND(DK57&lt;VLOOKUP($C55,$C$3:$D$15,2,FALSE)*DL$20,DL56&gt;VLOOKUP($C55,$C$3:$D$15,2,FALSE)*DL$20),VLOOKUP($C55,$C$3:$D$15,2,FALSE)*DL$20-DK57)))</f>
        <v>0</v>
      </c>
      <c r="DM55" s="763">
        <f t="shared" ref="DM55" si="2168" xml:space="preserve">
IF(DL57&gt;=VLOOKUP($C55,$C$3:$D$15,2,FALSE)*DM$20,0,
IF(AND(DL57&lt;VLOOKUP($C55,$C$3:$D$15,2,FALSE)*DM$20,DM56&lt;=VLOOKUP($C55,$C$3:$D$15,2,FALSE)*DM$20),IF(DM56-DL57&lt;0,0,DM56-DL57),
IF(AND(DL57&lt;VLOOKUP($C55,$C$3:$D$15,2,FALSE)*DM$20,DM56&gt;VLOOKUP($C55,$C$3:$D$15,2,FALSE)*DM$20),VLOOKUP($C55,$C$3:$D$15,2,FALSE)*DM$20-DL57)))</f>
        <v>0</v>
      </c>
      <c r="DN55" s="763">
        <f t="shared" ref="DN55" si="2169" xml:space="preserve">
IF(DM57&gt;=VLOOKUP($C55,$C$3:$D$15,2,FALSE)*DN$20,0,
IF(AND(DM57&lt;VLOOKUP($C55,$C$3:$D$15,2,FALSE)*DN$20,DN56&lt;=VLOOKUP($C55,$C$3:$D$15,2,FALSE)*DN$20),IF(DN56-DM57&lt;0,0,DN56-DM57),
IF(AND(DM57&lt;VLOOKUP($C55,$C$3:$D$15,2,FALSE)*DN$20,DN56&gt;VLOOKUP($C55,$C$3:$D$15,2,FALSE)*DN$20),VLOOKUP($C55,$C$3:$D$15,2,FALSE)*DN$20-DM57)))</f>
        <v>0</v>
      </c>
      <c r="DO55" s="763">
        <f t="shared" ref="DO55" si="2170" xml:space="preserve">
IF(DN57&gt;=VLOOKUP($C55,$C$3:$D$15,2,FALSE)*DO$20,0,
IF(AND(DN57&lt;VLOOKUP($C55,$C$3:$D$15,2,FALSE)*DO$20,DO56&lt;=VLOOKUP($C55,$C$3:$D$15,2,FALSE)*DO$20),IF(DO56-DN57&lt;0,0,DO56-DN57),
IF(AND(DN57&lt;VLOOKUP($C55,$C$3:$D$15,2,FALSE)*DO$20,DO56&gt;VLOOKUP($C55,$C$3:$D$15,2,FALSE)*DO$20),VLOOKUP($C55,$C$3:$D$15,2,FALSE)*DO$20-DN57)))</f>
        <v>0</v>
      </c>
      <c r="DP55" s="763">
        <f t="shared" ref="DP55" si="2171" xml:space="preserve">
IF(DO57&gt;=VLOOKUP($C55,$C$3:$D$15,2,FALSE)*DP$20,0,
IF(AND(DO57&lt;VLOOKUP($C55,$C$3:$D$15,2,FALSE)*DP$20,DP56&lt;=VLOOKUP($C55,$C$3:$D$15,2,FALSE)*DP$20),IF(DP56-DO57&lt;0,0,DP56-DO57),
IF(AND(DO57&lt;VLOOKUP($C55,$C$3:$D$15,2,FALSE)*DP$20,DP56&gt;VLOOKUP($C55,$C$3:$D$15,2,FALSE)*DP$20),VLOOKUP($C55,$C$3:$D$15,2,FALSE)*DP$20-DO57)))</f>
        <v>0</v>
      </c>
      <c r="DQ55" s="763">
        <f t="shared" ref="DQ55" si="2172" xml:space="preserve">
IF(DP57&gt;=VLOOKUP($C55,$C$3:$D$15,2,FALSE)*DQ$20,0,
IF(AND(DP57&lt;VLOOKUP($C55,$C$3:$D$15,2,FALSE)*DQ$20,DQ56&lt;=VLOOKUP($C55,$C$3:$D$15,2,FALSE)*DQ$20),IF(DQ56-DP57&lt;0,0,DQ56-DP57),
IF(AND(DP57&lt;VLOOKUP($C55,$C$3:$D$15,2,FALSE)*DQ$20,DQ56&gt;VLOOKUP($C55,$C$3:$D$15,2,FALSE)*DQ$20),VLOOKUP($C55,$C$3:$D$15,2,FALSE)*DQ$20-DP57)))</f>
        <v>0</v>
      </c>
      <c r="DR55" s="763">
        <f t="shared" ref="DR55" si="2173" xml:space="preserve">
IF(DQ57&gt;=VLOOKUP($C55,$C$3:$D$15,2,FALSE)*DR$20,0,
IF(AND(DQ57&lt;VLOOKUP($C55,$C$3:$D$15,2,FALSE)*DR$20,DR56&lt;=VLOOKUP($C55,$C$3:$D$15,2,FALSE)*DR$20),IF(DR56-DQ57&lt;0,0,DR56-DQ57),
IF(AND(DQ57&lt;VLOOKUP($C55,$C$3:$D$15,2,FALSE)*DR$20,DR56&gt;VLOOKUP($C55,$C$3:$D$15,2,FALSE)*DR$20),VLOOKUP($C55,$C$3:$D$15,2,FALSE)*DR$20-DQ57)))</f>
        <v>0</v>
      </c>
      <c r="DS55" s="763">
        <f t="shared" ref="DS55" si="2174" xml:space="preserve">
IF(DR57&gt;=VLOOKUP($C55,$C$3:$D$15,2,FALSE)*DS$20,0,
IF(AND(DR57&lt;VLOOKUP($C55,$C$3:$D$15,2,FALSE)*DS$20,DS56&lt;=VLOOKUP($C55,$C$3:$D$15,2,FALSE)*DS$20),IF(DS56-DR57&lt;0,0,DS56-DR57),
IF(AND(DR57&lt;VLOOKUP($C55,$C$3:$D$15,2,FALSE)*DS$20,DS56&gt;VLOOKUP($C55,$C$3:$D$15,2,FALSE)*DS$20),VLOOKUP($C55,$C$3:$D$15,2,FALSE)*DS$20-DR57)))</f>
        <v>0</v>
      </c>
      <c r="DT55" s="763">
        <f t="shared" ref="DT55" si="2175" xml:space="preserve">
IF(DS57&gt;=VLOOKUP($C55,$C$3:$D$15,2,FALSE)*DT$20,0,
IF(AND(DS57&lt;VLOOKUP($C55,$C$3:$D$15,2,FALSE)*DT$20,DT56&lt;=VLOOKUP($C55,$C$3:$D$15,2,FALSE)*DT$20),IF(DT56-DS57&lt;0,0,DT56-DS57),
IF(AND(DS57&lt;VLOOKUP($C55,$C$3:$D$15,2,FALSE)*DT$20,DT56&gt;VLOOKUP($C55,$C$3:$D$15,2,FALSE)*DT$20),VLOOKUP($C55,$C$3:$D$15,2,FALSE)*DT$20-DS57)))</f>
        <v>0</v>
      </c>
      <c r="DU55" s="763">
        <f t="shared" ref="DU55" si="2176" xml:space="preserve">
IF(DT57&gt;=VLOOKUP($C55,$C$3:$D$15,2,FALSE)*DU$20,0,
IF(AND(DT57&lt;VLOOKUP($C55,$C$3:$D$15,2,FALSE)*DU$20,DU56&lt;=VLOOKUP($C55,$C$3:$D$15,2,FALSE)*DU$20),IF(DU56-DT57&lt;0,0,DU56-DT57),
IF(AND(DT57&lt;VLOOKUP($C55,$C$3:$D$15,2,FALSE)*DU$20,DU56&gt;VLOOKUP($C55,$C$3:$D$15,2,FALSE)*DU$20),VLOOKUP($C55,$C$3:$D$15,2,FALSE)*DU$20-DT57)))</f>
        <v>0</v>
      </c>
      <c r="DV55" s="763">
        <f t="shared" ref="DV55" si="2177" xml:space="preserve">
IF(DU57&gt;=VLOOKUP($C55,$C$3:$D$15,2,FALSE)*DV$20,0,
IF(AND(DU57&lt;VLOOKUP($C55,$C$3:$D$15,2,FALSE)*DV$20,DV56&lt;=VLOOKUP($C55,$C$3:$D$15,2,FALSE)*DV$20),IF(DV56-DU57&lt;0,0,DV56-DU57),
IF(AND(DU57&lt;VLOOKUP($C55,$C$3:$D$15,2,FALSE)*DV$20,DV56&gt;VLOOKUP($C55,$C$3:$D$15,2,FALSE)*DV$20),VLOOKUP($C55,$C$3:$D$15,2,FALSE)*DV$20-DU57)))</f>
        <v>0</v>
      </c>
      <c r="DW55" s="763">
        <f t="shared" ref="DW55" si="2178" xml:space="preserve">
IF(DV57&gt;=VLOOKUP($C55,$C$3:$D$15,2,FALSE)*DW$20,0,
IF(AND(DV57&lt;VLOOKUP($C55,$C$3:$D$15,2,FALSE)*DW$20,DW56&lt;=VLOOKUP($C55,$C$3:$D$15,2,FALSE)*DW$20),IF(DW56-DV57&lt;0,0,DW56-DV57),
IF(AND(DV57&lt;VLOOKUP($C55,$C$3:$D$15,2,FALSE)*DW$20,DW56&gt;VLOOKUP($C55,$C$3:$D$15,2,FALSE)*DW$20),VLOOKUP($C55,$C$3:$D$15,2,FALSE)*DW$20-DV57)))</f>
        <v>0</v>
      </c>
      <c r="DX55" s="763">
        <f t="shared" ref="DX55" si="2179" xml:space="preserve">
IF(DW57&gt;=VLOOKUP($C55,$C$3:$D$15,2,FALSE)*DX$20,0,
IF(AND(DW57&lt;VLOOKUP($C55,$C$3:$D$15,2,FALSE)*DX$20,DX56&lt;=VLOOKUP($C55,$C$3:$D$15,2,FALSE)*DX$20),IF(DX56-DW57&lt;0,0,DX56-DW57),
IF(AND(DW57&lt;VLOOKUP($C55,$C$3:$D$15,2,FALSE)*DX$20,DX56&gt;VLOOKUP($C55,$C$3:$D$15,2,FALSE)*DX$20),VLOOKUP($C55,$C$3:$D$15,2,FALSE)*DX$20-DW57)))</f>
        <v>0</v>
      </c>
      <c r="DY55" s="763">
        <f t="shared" ref="DY55" si="2180" xml:space="preserve">
IF(DX57&gt;=VLOOKUP($C55,$C$3:$D$15,2,FALSE)*DY$20,0,
IF(AND(DX57&lt;VLOOKUP($C55,$C$3:$D$15,2,FALSE)*DY$20,DY56&lt;=VLOOKUP($C55,$C$3:$D$15,2,FALSE)*DY$20),IF(DY56-DX57&lt;0,0,DY56-DX57),
IF(AND(DX57&lt;VLOOKUP($C55,$C$3:$D$15,2,FALSE)*DY$20,DY56&gt;VLOOKUP($C55,$C$3:$D$15,2,FALSE)*DY$20),VLOOKUP($C55,$C$3:$D$15,2,FALSE)*DY$20-DX57)))</f>
        <v>0</v>
      </c>
      <c r="DZ55" s="763">
        <f t="shared" ref="DZ55" si="2181" xml:space="preserve">
IF(DY57&gt;=VLOOKUP($C55,$C$3:$D$15,2,FALSE)*DZ$20,0,
IF(AND(DY57&lt;VLOOKUP($C55,$C$3:$D$15,2,FALSE)*DZ$20,DZ56&lt;=VLOOKUP($C55,$C$3:$D$15,2,FALSE)*DZ$20),IF(DZ56-DY57&lt;0,0,DZ56-DY57),
IF(AND(DY57&lt;VLOOKUP($C55,$C$3:$D$15,2,FALSE)*DZ$20,DZ56&gt;VLOOKUP($C55,$C$3:$D$15,2,FALSE)*DZ$20),VLOOKUP($C55,$C$3:$D$15,2,FALSE)*DZ$20-DY57)))</f>
        <v>0</v>
      </c>
      <c r="EA55" s="763">
        <f t="shared" ref="EA55" si="2182" xml:space="preserve">
IF(DZ57&gt;=VLOOKUP($C55,$C$3:$D$15,2,FALSE)*EA$20,0,
IF(AND(DZ57&lt;VLOOKUP($C55,$C$3:$D$15,2,FALSE)*EA$20,EA56&lt;=VLOOKUP($C55,$C$3:$D$15,2,FALSE)*EA$20),IF(EA56-DZ57&lt;0,0,EA56-DZ57),
IF(AND(DZ57&lt;VLOOKUP($C55,$C$3:$D$15,2,FALSE)*EA$20,EA56&gt;VLOOKUP($C55,$C$3:$D$15,2,FALSE)*EA$20),VLOOKUP($C55,$C$3:$D$15,2,FALSE)*EA$20-DZ57)))</f>
        <v>0</v>
      </c>
      <c r="EB55" s="763">
        <f t="shared" ref="EB55" si="2183" xml:space="preserve">
IF(EA57&gt;=VLOOKUP($C55,$C$3:$D$15,2,FALSE)*EB$20,0,
IF(AND(EA57&lt;VLOOKUP($C55,$C$3:$D$15,2,FALSE)*EB$20,EB56&lt;=VLOOKUP($C55,$C$3:$D$15,2,FALSE)*EB$20),IF(EB56-EA57&lt;0,0,EB56-EA57),
IF(AND(EA57&lt;VLOOKUP($C55,$C$3:$D$15,2,FALSE)*EB$20,EB56&gt;VLOOKUP($C55,$C$3:$D$15,2,FALSE)*EB$20),VLOOKUP($C55,$C$3:$D$15,2,FALSE)*EB$20-EA57)))</f>
        <v>0</v>
      </c>
      <c r="EC55" s="763">
        <f t="shared" ref="EC55" si="2184" xml:space="preserve">
IF(EB57&gt;=VLOOKUP($C55,$C$3:$D$15,2,FALSE)*EC$20,0,
IF(AND(EB57&lt;VLOOKUP($C55,$C$3:$D$15,2,FALSE)*EC$20,EC56&lt;=VLOOKUP($C55,$C$3:$D$15,2,FALSE)*EC$20),IF(EC56-EB57&lt;0,0,EC56-EB57),
IF(AND(EB57&lt;VLOOKUP($C55,$C$3:$D$15,2,FALSE)*EC$20,EC56&gt;VLOOKUP($C55,$C$3:$D$15,2,FALSE)*EC$20),VLOOKUP($C55,$C$3:$D$15,2,FALSE)*EC$20-EB57)))</f>
        <v>0</v>
      </c>
      <c r="ED55" s="763">
        <f t="shared" ref="ED55" si="2185" xml:space="preserve">
IF(EC57&gt;=VLOOKUP($C55,$C$3:$D$15,2,FALSE)*ED$20,0,
IF(AND(EC57&lt;VLOOKUP($C55,$C$3:$D$15,2,FALSE)*ED$20,ED56&lt;=VLOOKUP($C55,$C$3:$D$15,2,FALSE)*ED$20),IF(ED56-EC57&lt;0,0,ED56-EC57),
IF(AND(EC57&lt;VLOOKUP($C55,$C$3:$D$15,2,FALSE)*ED$20,ED56&gt;VLOOKUP($C55,$C$3:$D$15,2,FALSE)*ED$20),VLOOKUP($C55,$C$3:$D$15,2,FALSE)*ED$20-EC57)))</f>
        <v>0</v>
      </c>
      <c r="EE55" s="763">
        <f t="shared" ref="EE55" si="2186" xml:space="preserve">
IF(ED57&gt;=VLOOKUP($C55,$C$3:$D$15,2,FALSE)*EE$20,0,
IF(AND(ED57&lt;VLOOKUP($C55,$C$3:$D$15,2,FALSE)*EE$20,EE56&lt;=VLOOKUP($C55,$C$3:$D$15,2,FALSE)*EE$20),IF(EE56-ED57&lt;0,0,EE56-ED57),
IF(AND(ED57&lt;VLOOKUP($C55,$C$3:$D$15,2,FALSE)*EE$20,EE56&gt;VLOOKUP($C55,$C$3:$D$15,2,FALSE)*EE$20),VLOOKUP($C55,$C$3:$D$15,2,FALSE)*EE$20-ED57)))</f>
        <v>0</v>
      </c>
      <c r="EF55" s="763">
        <f t="shared" ref="EF55" si="2187" xml:space="preserve">
IF(EE57&gt;=VLOOKUP($C55,$C$3:$D$15,2,FALSE)*EF$20,0,
IF(AND(EE57&lt;VLOOKUP($C55,$C$3:$D$15,2,FALSE)*EF$20,EF56&lt;=VLOOKUP($C55,$C$3:$D$15,2,FALSE)*EF$20),IF(EF56-EE57&lt;0,0,EF56-EE57),
IF(AND(EE57&lt;VLOOKUP($C55,$C$3:$D$15,2,FALSE)*EF$20,EF56&gt;VLOOKUP($C55,$C$3:$D$15,2,FALSE)*EF$20),VLOOKUP($C55,$C$3:$D$15,2,FALSE)*EF$20-EE57)))</f>
        <v>0</v>
      </c>
      <c r="EG55" s="763">
        <f t="shared" ref="EG55" si="2188" xml:space="preserve">
IF(EF57&gt;=VLOOKUP($C55,$C$3:$D$15,2,FALSE)*EG$20,0,
IF(AND(EF57&lt;VLOOKUP($C55,$C$3:$D$15,2,FALSE)*EG$20,EG56&lt;=VLOOKUP($C55,$C$3:$D$15,2,FALSE)*EG$20),IF(EG56-EF57&lt;0,0,EG56-EF57),
IF(AND(EF57&lt;VLOOKUP($C55,$C$3:$D$15,2,FALSE)*EG$20,EG56&gt;VLOOKUP($C55,$C$3:$D$15,2,FALSE)*EG$20),VLOOKUP($C55,$C$3:$D$15,2,FALSE)*EG$20-EF57)))</f>
        <v>0</v>
      </c>
      <c r="EH55" s="763">
        <f t="shared" ref="EH55" si="2189" xml:space="preserve">
IF(EG57&gt;=VLOOKUP($C55,$C$3:$D$15,2,FALSE)*EH$20,0,
IF(AND(EG57&lt;VLOOKUP($C55,$C$3:$D$15,2,FALSE)*EH$20,EH56&lt;=VLOOKUP($C55,$C$3:$D$15,2,FALSE)*EH$20),IF(EH56-EG57&lt;0,0,EH56-EG57),
IF(AND(EG57&lt;VLOOKUP($C55,$C$3:$D$15,2,FALSE)*EH$20,EH56&gt;VLOOKUP($C55,$C$3:$D$15,2,FALSE)*EH$20),VLOOKUP($C55,$C$3:$D$15,2,FALSE)*EH$20-EG57)))</f>
        <v>0</v>
      </c>
      <c r="EI55" s="763">
        <f t="shared" ref="EI55" si="2190" xml:space="preserve">
IF(EH57&gt;=VLOOKUP($C55,$C$3:$D$15,2,FALSE)*EI$20,0,
IF(AND(EH57&lt;VLOOKUP($C55,$C$3:$D$15,2,FALSE)*EI$20,EI56&lt;=VLOOKUP($C55,$C$3:$D$15,2,FALSE)*EI$20),IF(EI56-EH57&lt;0,0,EI56-EH57),
IF(AND(EH57&lt;VLOOKUP($C55,$C$3:$D$15,2,FALSE)*EI$20,EI56&gt;VLOOKUP($C55,$C$3:$D$15,2,FALSE)*EI$20),VLOOKUP($C55,$C$3:$D$15,2,FALSE)*EI$20-EH57)))</f>
        <v>0</v>
      </c>
      <c r="EJ55" s="763">
        <f t="shared" ref="EJ55" si="2191" xml:space="preserve">
IF(EI57&gt;=VLOOKUP($C55,$C$3:$D$15,2,FALSE)*EJ$20,0,
IF(AND(EI57&lt;VLOOKUP($C55,$C$3:$D$15,2,FALSE)*EJ$20,EJ56&lt;=VLOOKUP($C55,$C$3:$D$15,2,FALSE)*EJ$20),IF(EJ56-EI57&lt;0,0,EJ56-EI57),
IF(AND(EI57&lt;VLOOKUP($C55,$C$3:$D$15,2,FALSE)*EJ$20,EJ56&gt;VLOOKUP($C55,$C$3:$D$15,2,FALSE)*EJ$20),VLOOKUP($C55,$C$3:$D$15,2,FALSE)*EJ$20-EI57)))</f>
        <v>0</v>
      </c>
      <c r="EK55" s="763">
        <f t="shared" ref="EK55" si="2192" xml:space="preserve">
IF(EJ57&gt;=VLOOKUP($C55,$C$3:$D$15,2,FALSE)*EK$20,0,
IF(AND(EJ57&lt;VLOOKUP($C55,$C$3:$D$15,2,FALSE)*EK$20,EK56&lt;=VLOOKUP($C55,$C$3:$D$15,2,FALSE)*EK$20),IF(EK56-EJ57&lt;0,0,EK56-EJ57),
IF(AND(EJ57&lt;VLOOKUP($C55,$C$3:$D$15,2,FALSE)*EK$20,EK56&gt;VLOOKUP($C55,$C$3:$D$15,2,FALSE)*EK$20),VLOOKUP($C55,$C$3:$D$15,2,FALSE)*EK$20-EJ57)))</f>
        <v>0</v>
      </c>
      <c r="EL55" s="763">
        <f t="shared" ref="EL55" si="2193" xml:space="preserve">
IF(EK57&gt;=VLOOKUP($C55,$C$3:$D$15,2,FALSE)*EL$20,0,
IF(AND(EK57&lt;VLOOKUP($C55,$C$3:$D$15,2,FALSE)*EL$20,EL56&lt;=VLOOKUP($C55,$C$3:$D$15,2,FALSE)*EL$20),IF(EL56-EK57&lt;0,0,EL56-EK57),
IF(AND(EK57&lt;VLOOKUP($C55,$C$3:$D$15,2,FALSE)*EL$20,EL56&gt;VLOOKUP($C55,$C$3:$D$15,2,FALSE)*EL$20),VLOOKUP($C55,$C$3:$D$15,2,FALSE)*EL$20-EK57)))</f>
        <v>0</v>
      </c>
      <c r="EM55" s="763">
        <f t="shared" ref="EM55" si="2194" xml:space="preserve">
IF(EL57&gt;=VLOOKUP($C55,$C$3:$D$15,2,FALSE)*EM$20,0,
IF(AND(EL57&lt;VLOOKUP($C55,$C$3:$D$15,2,FALSE)*EM$20,EM56&lt;=VLOOKUP($C55,$C$3:$D$15,2,FALSE)*EM$20),IF(EM56-EL57&lt;0,0,EM56-EL57),
IF(AND(EL57&lt;VLOOKUP($C55,$C$3:$D$15,2,FALSE)*EM$20,EM56&gt;VLOOKUP($C55,$C$3:$D$15,2,FALSE)*EM$20),VLOOKUP($C55,$C$3:$D$15,2,FALSE)*EM$20-EL57)))</f>
        <v>0</v>
      </c>
      <c r="EN55" s="763">
        <f t="shared" ref="EN55" si="2195" xml:space="preserve">
IF(EM57&gt;=VLOOKUP($C55,$C$3:$D$15,2,FALSE)*EN$20,0,
IF(AND(EM57&lt;VLOOKUP($C55,$C$3:$D$15,2,FALSE)*EN$20,EN56&lt;=VLOOKUP($C55,$C$3:$D$15,2,FALSE)*EN$20),IF(EN56-EM57&lt;0,0,EN56-EM57),
IF(AND(EM57&lt;VLOOKUP($C55,$C$3:$D$15,2,FALSE)*EN$20,EN56&gt;VLOOKUP($C55,$C$3:$D$15,2,FALSE)*EN$20),VLOOKUP($C55,$C$3:$D$15,2,FALSE)*EN$20-EM57)))</f>
        <v>0</v>
      </c>
      <c r="EO55" s="763">
        <f t="shared" ref="EO55" si="2196" xml:space="preserve">
IF(EN57&gt;=VLOOKUP($C55,$C$3:$D$15,2,FALSE)*EO$20,0,
IF(AND(EN57&lt;VLOOKUP($C55,$C$3:$D$15,2,FALSE)*EO$20,EO56&lt;=VLOOKUP($C55,$C$3:$D$15,2,FALSE)*EO$20),IF(EO56-EN57&lt;0,0,EO56-EN57),
IF(AND(EN57&lt;VLOOKUP($C55,$C$3:$D$15,2,FALSE)*EO$20,EO56&gt;VLOOKUP($C55,$C$3:$D$15,2,FALSE)*EO$20),VLOOKUP($C55,$C$3:$D$15,2,FALSE)*EO$20-EN57)))</f>
        <v>0</v>
      </c>
      <c r="EP55" s="763">
        <f t="shared" ref="EP55" si="2197" xml:space="preserve">
IF(EO57&gt;=VLOOKUP($C55,$C$3:$D$15,2,FALSE)*EP$20,0,
IF(AND(EO57&lt;VLOOKUP($C55,$C$3:$D$15,2,FALSE)*EP$20,EP56&lt;=VLOOKUP($C55,$C$3:$D$15,2,FALSE)*EP$20),IF(EP56-EO57&lt;0,0,EP56-EO57),
IF(AND(EO57&lt;VLOOKUP($C55,$C$3:$D$15,2,FALSE)*EP$20,EP56&gt;VLOOKUP($C55,$C$3:$D$15,2,FALSE)*EP$20),VLOOKUP($C55,$C$3:$D$15,2,FALSE)*EP$20-EO57)))</f>
        <v>0</v>
      </c>
      <c r="EQ55" s="763">
        <f t="shared" ref="EQ55" si="2198" xml:space="preserve">
IF(EP57&gt;=VLOOKUP($C55,$C$3:$D$15,2,FALSE)*EQ$20,0,
IF(AND(EP57&lt;VLOOKUP($C55,$C$3:$D$15,2,FALSE)*EQ$20,EQ56&lt;=VLOOKUP($C55,$C$3:$D$15,2,FALSE)*EQ$20),IF(EQ56-EP57&lt;0,0,EQ56-EP57),
IF(AND(EP57&lt;VLOOKUP($C55,$C$3:$D$15,2,FALSE)*EQ$20,EQ56&gt;VLOOKUP($C55,$C$3:$D$15,2,FALSE)*EQ$20),VLOOKUP($C55,$C$3:$D$15,2,FALSE)*EQ$20-EP57)))</f>
        <v>0</v>
      </c>
      <c r="ER55" s="763">
        <f t="shared" ref="ER55" si="2199" xml:space="preserve">
IF(EQ57&gt;=VLOOKUP($C55,$C$3:$D$15,2,FALSE)*ER$20,0,
IF(AND(EQ57&lt;VLOOKUP($C55,$C$3:$D$15,2,FALSE)*ER$20,ER56&lt;=VLOOKUP($C55,$C$3:$D$15,2,FALSE)*ER$20),IF(ER56-EQ57&lt;0,0,ER56-EQ57),
IF(AND(EQ57&lt;VLOOKUP($C55,$C$3:$D$15,2,FALSE)*ER$20,ER56&gt;VLOOKUP($C55,$C$3:$D$15,2,FALSE)*ER$20),VLOOKUP($C55,$C$3:$D$15,2,FALSE)*ER$20-EQ57)))</f>
        <v>0</v>
      </c>
      <c r="ES55" s="763">
        <f t="shared" ref="ES55" si="2200" xml:space="preserve">
IF(ER57&gt;=VLOOKUP($C55,$C$3:$D$15,2,FALSE)*ES$20,0,
IF(AND(ER57&lt;VLOOKUP($C55,$C$3:$D$15,2,FALSE)*ES$20,ES56&lt;=VLOOKUP($C55,$C$3:$D$15,2,FALSE)*ES$20),IF(ES56-ER57&lt;0,0,ES56-ER57),
IF(AND(ER57&lt;VLOOKUP($C55,$C$3:$D$15,2,FALSE)*ES$20,ES56&gt;VLOOKUP($C55,$C$3:$D$15,2,FALSE)*ES$20),VLOOKUP($C55,$C$3:$D$15,2,FALSE)*ES$20-ER57)))</f>
        <v>0</v>
      </c>
      <c r="ET55" s="763">
        <f t="shared" ref="ET55" si="2201" xml:space="preserve">
IF(ES57&gt;=VLOOKUP($C55,$C$3:$D$15,2,FALSE)*ET$20,0,
IF(AND(ES57&lt;VLOOKUP($C55,$C$3:$D$15,2,FALSE)*ET$20,ET56&lt;=VLOOKUP($C55,$C$3:$D$15,2,FALSE)*ET$20),IF(ET56-ES57&lt;0,0,ET56-ES57),
IF(AND(ES57&lt;VLOOKUP($C55,$C$3:$D$15,2,FALSE)*ET$20,ET56&gt;VLOOKUP($C55,$C$3:$D$15,2,FALSE)*ET$20),VLOOKUP($C55,$C$3:$D$15,2,FALSE)*ET$20-ES57)))</f>
        <v>0</v>
      </c>
      <c r="EU55" s="763">
        <f t="shared" ref="EU55" si="2202" xml:space="preserve">
IF(ET57&gt;=VLOOKUP($C55,$C$3:$D$15,2,FALSE)*EU$20,0,
IF(AND(ET57&lt;VLOOKUP($C55,$C$3:$D$15,2,FALSE)*EU$20,EU56&lt;=VLOOKUP($C55,$C$3:$D$15,2,FALSE)*EU$20),IF(EU56-ET57&lt;0,0,EU56-ET57),
IF(AND(ET57&lt;VLOOKUP($C55,$C$3:$D$15,2,FALSE)*EU$20,EU56&gt;VLOOKUP($C55,$C$3:$D$15,2,FALSE)*EU$20),VLOOKUP($C55,$C$3:$D$15,2,FALSE)*EU$20-ET57)))</f>
        <v>0</v>
      </c>
      <c r="EV55" s="763">
        <f t="shared" ref="EV55" si="2203" xml:space="preserve">
IF(EU57&gt;=VLOOKUP($C55,$C$3:$D$15,2,FALSE)*EV$20,0,
IF(AND(EU57&lt;VLOOKUP($C55,$C$3:$D$15,2,FALSE)*EV$20,EV56&lt;=VLOOKUP($C55,$C$3:$D$15,2,FALSE)*EV$20),IF(EV56-EU57&lt;0,0,EV56-EU57),
IF(AND(EU57&lt;VLOOKUP($C55,$C$3:$D$15,2,FALSE)*EV$20,EV56&gt;VLOOKUP($C55,$C$3:$D$15,2,FALSE)*EV$20),VLOOKUP($C55,$C$3:$D$15,2,FALSE)*EV$20-EU57)))</f>
        <v>0</v>
      </c>
      <c r="EW55" s="763">
        <f t="shared" ref="EW55" si="2204" xml:space="preserve">
IF(EV57&gt;=VLOOKUP($C55,$C$3:$D$15,2,FALSE)*EW$20,0,
IF(AND(EV57&lt;VLOOKUP($C55,$C$3:$D$15,2,FALSE)*EW$20,EW56&lt;=VLOOKUP($C55,$C$3:$D$15,2,FALSE)*EW$20),IF(EW56-EV57&lt;0,0,EW56-EV57),
IF(AND(EV57&lt;VLOOKUP($C55,$C$3:$D$15,2,FALSE)*EW$20,EW56&gt;VLOOKUP($C55,$C$3:$D$15,2,FALSE)*EW$20),VLOOKUP($C55,$C$3:$D$15,2,FALSE)*EW$20-EV57)))</f>
        <v>0</v>
      </c>
      <c r="EX55" s="763">
        <f t="shared" ref="EX55" si="2205" xml:space="preserve">
IF(EW57&gt;=VLOOKUP($C55,$C$3:$D$15,2,FALSE)*EX$20,0,
IF(AND(EW57&lt;VLOOKUP($C55,$C$3:$D$15,2,FALSE)*EX$20,EX56&lt;=VLOOKUP($C55,$C$3:$D$15,2,FALSE)*EX$20),IF(EX56-EW57&lt;0,0,EX56-EW57),
IF(AND(EW57&lt;VLOOKUP($C55,$C$3:$D$15,2,FALSE)*EX$20,EX56&gt;VLOOKUP($C55,$C$3:$D$15,2,FALSE)*EX$20),VLOOKUP($C55,$C$3:$D$15,2,FALSE)*EX$20-EW57)))</f>
        <v>0</v>
      </c>
      <c r="EY55" s="763">
        <f t="shared" ref="EY55" si="2206" xml:space="preserve">
IF(EX57&gt;=VLOOKUP($C55,$C$3:$D$15,2,FALSE)*EY$20,0,
IF(AND(EX57&lt;VLOOKUP($C55,$C$3:$D$15,2,FALSE)*EY$20,EY56&lt;=VLOOKUP($C55,$C$3:$D$15,2,FALSE)*EY$20),IF(EY56-EX57&lt;0,0,EY56-EX57),
IF(AND(EX57&lt;VLOOKUP($C55,$C$3:$D$15,2,FALSE)*EY$20,EY56&gt;VLOOKUP($C55,$C$3:$D$15,2,FALSE)*EY$20),VLOOKUP($C55,$C$3:$D$15,2,FALSE)*EY$20-EX57)))</f>
        <v>0</v>
      </c>
      <c r="EZ55" s="763">
        <f t="shared" ref="EZ55" si="2207" xml:space="preserve">
IF(EY57&gt;=VLOOKUP($C55,$C$3:$D$15,2,FALSE)*EZ$20,0,
IF(AND(EY57&lt;VLOOKUP($C55,$C$3:$D$15,2,FALSE)*EZ$20,EZ56&lt;=VLOOKUP($C55,$C$3:$D$15,2,FALSE)*EZ$20),IF(EZ56-EY57&lt;0,0,EZ56-EY57),
IF(AND(EY57&lt;VLOOKUP($C55,$C$3:$D$15,2,FALSE)*EZ$20,EZ56&gt;VLOOKUP($C55,$C$3:$D$15,2,FALSE)*EZ$20),VLOOKUP($C55,$C$3:$D$15,2,FALSE)*EZ$20-EY57)))</f>
        <v>0</v>
      </c>
      <c r="FA55" s="763">
        <f t="shared" ref="FA55" si="2208" xml:space="preserve">
IF(EZ57&gt;=VLOOKUP($C55,$C$3:$D$15,2,FALSE)*FA$20,0,
IF(AND(EZ57&lt;VLOOKUP($C55,$C$3:$D$15,2,FALSE)*FA$20,FA56&lt;=VLOOKUP($C55,$C$3:$D$15,2,FALSE)*FA$20),IF(FA56-EZ57&lt;0,0,FA56-EZ57),
IF(AND(EZ57&lt;VLOOKUP($C55,$C$3:$D$15,2,FALSE)*FA$20,FA56&gt;VLOOKUP($C55,$C$3:$D$15,2,FALSE)*FA$20),VLOOKUP($C55,$C$3:$D$15,2,FALSE)*FA$20-EZ57)))</f>
        <v>0</v>
      </c>
      <c r="FB55" s="763">
        <f t="shared" ref="FB55" si="2209" xml:space="preserve">
IF(FA57&gt;=VLOOKUP($C55,$C$3:$D$15,2,FALSE)*FB$20,0,
IF(AND(FA57&lt;VLOOKUP($C55,$C$3:$D$15,2,FALSE)*FB$20,FB56&lt;=VLOOKUP($C55,$C$3:$D$15,2,FALSE)*FB$20),IF(FB56-FA57&lt;0,0,FB56-FA57),
IF(AND(FA57&lt;VLOOKUP($C55,$C$3:$D$15,2,FALSE)*FB$20,FB56&gt;VLOOKUP($C55,$C$3:$D$15,2,FALSE)*FB$20),VLOOKUP($C55,$C$3:$D$15,2,FALSE)*FB$20-FA57)))</f>
        <v>0</v>
      </c>
      <c r="FC55" s="763">
        <f t="shared" ref="FC55" si="2210" xml:space="preserve">
IF(FB57&gt;=VLOOKUP($C55,$C$3:$D$15,2,FALSE)*FC$20,0,
IF(AND(FB57&lt;VLOOKUP($C55,$C$3:$D$15,2,FALSE)*FC$20,FC56&lt;=VLOOKUP($C55,$C$3:$D$15,2,FALSE)*FC$20),IF(FC56-FB57&lt;0,0,FC56-FB57),
IF(AND(FB57&lt;VLOOKUP($C55,$C$3:$D$15,2,FALSE)*FC$20,FC56&gt;VLOOKUP($C55,$C$3:$D$15,2,FALSE)*FC$20),VLOOKUP($C55,$C$3:$D$15,2,FALSE)*FC$20-FB57)))</f>
        <v>0</v>
      </c>
      <c r="FD55" s="763">
        <f t="shared" ref="FD55" si="2211" xml:space="preserve">
IF(FC57&gt;=VLOOKUP($C55,$C$3:$D$15,2,FALSE)*FD$20,0,
IF(AND(FC57&lt;VLOOKUP($C55,$C$3:$D$15,2,FALSE)*FD$20,FD56&lt;=VLOOKUP($C55,$C$3:$D$15,2,FALSE)*FD$20),IF(FD56-FC57&lt;0,0,FD56-FC57),
IF(AND(FC57&lt;VLOOKUP($C55,$C$3:$D$15,2,FALSE)*FD$20,FD56&gt;VLOOKUP($C55,$C$3:$D$15,2,FALSE)*FD$20),VLOOKUP($C55,$C$3:$D$15,2,FALSE)*FD$20-FC57)))</f>
        <v>0</v>
      </c>
      <c r="FE55" s="763">
        <f t="shared" ref="FE55" si="2212" xml:space="preserve">
IF(FD57&gt;=VLOOKUP($C55,$C$3:$D$15,2,FALSE)*FE$20,0,
IF(AND(FD57&lt;VLOOKUP($C55,$C$3:$D$15,2,FALSE)*FE$20,FE56&lt;=VLOOKUP($C55,$C$3:$D$15,2,FALSE)*FE$20),IF(FE56-FD57&lt;0,0,FE56-FD57),
IF(AND(FD57&lt;VLOOKUP($C55,$C$3:$D$15,2,FALSE)*FE$20,FE56&gt;VLOOKUP($C55,$C$3:$D$15,2,FALSE)*FE$20),VLOOKUP($C55,$C$3:$D$15,2,FALSE)*FE$20-FD57)))</f>
        <v>0</v>
      </c>
      <c r="FF55" s="763">
        <f t="shared" ref="FF55" si="2213" xml:space="preserve">
IF(FE57&gt;=VLOOKUP($C55,$C$3:$D$15,2,FALSE)*FF$20,0,
IF(AND(FE57&lt;VLOOKUP($C55,$C$3:$D$15,2,FALSE)*FF$20,FF56&lt;=VLOOKUP($C55,$C$3:$D$15,2,FALSE)*FF$20),IF(FF56-FE57&lt;0,0,FF56-FE57),
IF(AND(FE57&lt;VLOOKUP($C55,$C$3:$D$15,2,FALSE)*FF$20,FF56&gt;VLOOKUP($C55,$C$3:$D$15,2,FALSE)*FF$20),VLOOKUP($C55,$C$3:$D$15,2,FALSE)*FF$20-FE57)))</f>
        <v>0</v>
      </c>
      <c r="FG55" s="763">
        <f t="shared" ref="FG55" si="2214" xml:space="preserve">
IF(FF57&gt;=VLOOKUP($C55,$C$3:$D$15,2,FALSE)*FG$20,0,
IF(AND(FF57&lt;VLOOKUP($C55,$C$3:$D$15,2,FALSE)*FG$20,FG56&lt;=VLOOKUP($C55,$C$3:$D$15,2,FALSE)*FG$20),IF(FG56-FF57&lt;0,0,FG56-FF57),
IF(AND(FF57&lt;VLOOKUP($C55,$C$3:$D$15,2,FALSE)*FG$20,FG56&gt;VLOOKUP($C55,$C$3:$D$15,2,FALSE)*FG$20),VLOOKUP($C55,$C$3:$D$15,2,FALSE)*FG$20-FF57)))</f>
        <v>0</v>
      </c>
      <c r="FH55" s="763">
        <f t="shared" ref="FH55" si="2215" xml:space="preserve">
IF(FG57&gt;=VLOOKUP($C55,$C$3:$D$15,2,FALSE)*FH$20,0,
IF(AND(FG57&lt;VLOOKUP($C55,$C$3:$D$15,2,FALSE)*FH$20,FH56&lt;=VLOOKUP($C55,$C$3:$D$15,2,FALSE)*FH$20),IF(FH56-FG57&lt;0,0,FH56-FG57),
IF(AND(FG57&lt;VLOOKUP($C55,$C$3:$D$15,2,FALSE)*FH$20,FH56&gt;VLOOKUP($C55,$C$3:$D$15,2,FALSE)*FH$20),VLOOKUP($C55,$C$3:$D$15,2,FALSE)*FH$20-FG57)))</f>
        <v>0</v>
      </c>
      <c r="FI55" s="763">
        <f t="shared" ref="FI55" si="2216" xml:space="preserve">
IF(FH57&gt;=VLOOKUP($C55,$C$3:$D$15,2,FALSE)*FI$20,0,
IF(AND(FH57&lt;VLOOKUP($C55,$C$3:$D$15,2,FALSE)*FI$20,FI56&lt;=VLOOKUP($C55,$C$3:$D$15,2,FALSE)*FI$20),IF(FI56-FH57&lt;0,0,FI56-FH57),
IF(AND(FH57&lt;VLOOKUP($C55,$C$3:$D$15,2,FALSE)*FI$20,FI56&gt;VLOOKUP($C55,$C$3:$D$15,2,FALSE)*FI$20),VLOOKUP($C55,$C$3:$D$15,2,FALSE)*FI$20-FH57)))</f>
        <v>0</v>
      </c>
      <c r="FJ55" s="763">
        <f t="shared" ref="FJ55" si="2217" xml:space="preserve">
IF(FI57&gt;=VLOOKUP($C55,$C$3:$D$15,2,FALSE)*FJ$20,0,
IF(AND(FI57&lt;VLOOKUP($C55,$C$3:$D$15,2,FALSE)*FJ$20,FJ56&lt;=VLOOKUP($C55,$C$3:$D$15,2,FALSE)*FJ$20),IF(FJ56-FI57&lt;0,0,FJ56-FI57),
IF(AND(FI57&lt;VLOOKUP($C55,$C$3:$D$15,2,FALSE)*FJ$20,FJ56&gt;VLOOKUP($C55,$C$3:$D$15,2,FALSE)*FJ$20),VLOOKUP($C55,$C$3:$D$15,2,FALSE)*FJ$20-FI57)))</f>
        <v>0</v>
      </c>
      <c r="FK55" s="763">
        <f t="shared" ref="FK55" si="2218" xml:space="preserve">
IF(FJ57&gt;=VLOOKUP($C55,$C$3:$D$15,2,FALSE)*FK$20,0,
IF(AND(FJ57&lt;VLOOKUP($C55,$C$3:$D$15,2,FALSE)*FK$20,FK56&lt;=VLOOKUP($C55,$C$3:$D$15,2,FALSE)*FK$20),IF(FK56-FJ57&lt;0,0,FK56-FJ57),
IF(AND(FJ57&lt;VLOOKUP($C55,$C$3:$D$15,2,FALSE)*FK$20,FK56&gt;VLOOKUP($C55,$C$3:$D$15,2,FALSE)*FK$20),VLOOKUP($C55,$C$3:$D$15,2,FALSE)*FK$20-FJ57)))</f>
        <v>0</v>
      </c>
      <c r="FL55" s="763">
        <f t="shared" ref="FL55" si="2219" xml:space="preserve">
IF(FK57&gt;=VLOOKUP($C55,$C$3:$D$15,2,FALSE)*FL$20,0,
IF(AND(FK57&lt;VLOOKUP($C55,$C$3:$D$15,2,FALSE)*FL$20,FL56&lt;=VLOOKUP($C55,$C$3:$D$15,2,FALSE)*FL$20),IF(FL56-FK57&lt;0,0,FL56-FK57),
IF(AND(FK57&lt;VLOOKUP($C55,$C$3:$D$15,2,FALSE)*FL$20,FL56&gt;VLOOKUP($C55,$C$3:$D$15,2,FALSE)*FL$20),VLOOKUP($C55,$C$3:$D$15,2,FALSE)*FL$20-FK57)))</f>
        <v>0</v>
      </c>
      <c r="FM55" s="763">
        <f t="shared" ref="FM55" si="2220" xml:space="preserve">
IF(FL57&gt;=VLOOKUP($C55,$C$3:$D$15,2,FALSE)*FM$20,0,
IF(AND(FL57&lt;VLOOKUP($C55,$C$3:$D$15,2,FALSE)*FM$20,FM56&lt;=VLOOKUP($C55,$C$3:$D$15,2,FALSE)*FM$20),IF(FM56-FL57&lt;0,0,FM56-FL57),
IF(AND(FL57&lt;VLOOKUP($C55,$C$3:$D$15,2,FALSE)*FM$20,FM56&gt;VLOOKUP($C55,$C$3:$D$15,2,FALSE)*FM$20),VLOOKUP($C55,$C$3:$D$15,2,FALSE)*FM$20-FL57)))</f>
        <v>0</v>
      </c>
      <c r="FN55" s="763">
        <f t="shared" ref="FN55" si="2221" xml:space="preserve">
IF(FM57&gt;=VLOOKUP($C55,$C$3:$D$15,2,FALSE)*FN$20,0,
IF(AND(FM57&lt;VLOOKUP($C55,$C$3:$D$15,2,FALSE)*FN$20,FN56&lt;=VLOOKUP($C55,$C$3:$D$15,2,FALSE)*FN$20),IF(FN56-FM57&lt;0,0,FN56-FM57),
IF(AND(FM57&lt;VLOOKUP($C55,$C$3:$D$15,2,FALSE)*FN$20,FN56&gt;VLOOKUP($C55,$C$3:$D$15,2,FALSE)*FN$20),VLOOKUP($C55,$C$3:$D$15,2,FALSE)*FN$20-FM57)))</f>
        <v>0</v>
      </c>
      <c r="FO55" s="763">
        <f t="shared" ref="FO55" si="2222" xml:space="preserve">
IF(FN57&gt;=VLOOKUP($C55,$C$3:$D$15,2,FALSE)*FO$20,0,
IF(AND(FN57&lt;VLOOKUP($C55,$C$3:$D$15,2,FALSE)*FO$20,FO56&lt;=VLOOKUP($C55,$C$3:$D$15,2,FALSE)*FO$20),IF(FO56-FN57&lt;0,0,FO56-FN57),
IF(AND(FN57&lt;VLOOKUP($C55,$C$3:$D$15,2,FALSE)*FO$20,FO56&gt;VLOOKUP($C55,$C$3:$D$15,2,FALSE)*FO$20),VLOOKUP($C55,$C$3:$D$15,2,FALSE)*FO$20-FN57)))</f>
        <v>0</v>
      </c>
      <c r="FP55" s="763">
        <f t="shared" ref="FP55" si="2223" xml:space="preserve">
IF(FO57&gt;=VLOOKUP($C55,$C$3:$D$15,2,FALSE)*FP$20,0,
IF(AND(FO57&lt;VLOOKUP($C55,$C$3:$D$15,2,FALSE)*FP$20,FP56&lt;=VLOOKUP($C55,$C$3:$D$15,2,FALSE)*FP$20),IF(FP56-FO57&lt;0,0,FP56-FO57),
IF(AND(FO57&lt;VLOOKUP($C55,$C$3:$D$15,2,FALSE)*FP$20,FP56&gt;VLOOKUP($C55,$C$3:$D$15,2,FALSE)*FP$20),VLOOKUP($C55,$C$3:$D$15,2,FALSE)*FP$20-FO57)))</f>
        <v>0</v>
      </c>
      <c r="FQ55" s="763">
        <f t="shared" ref="FQ55" si="2224" xml:space="preserve">
IF(FP57&gt;=VLOOKUP($C55,$C$3:$D$15,2,FALSE)*FQ$20,0,
IF(AND(FP57&lt;VLOOKUP($C55,$C$3:$D$15,2,FALSE)*FQ$20,FQ56&lt;=VLOOKUP($C55,$C$3:$D$15,2,FALSE)*FQ$20),IF(FQ56-FP57&lt;0,0,FQ56-FP57),
IF(AND(FP57&lt;VLOOKUP($C55,$C$3:$D$15,2,FALSE)*FQ$20,FQ56&gt;VLOOKUP($C55,$C$3:$D$15,2,FALSE)*FQ$20),VLOOKUP($C55,$C$3:$D$15,2,FALSE)*FQ$20-FP57)))</f>
        <v>0</v>
      </c>
      <c r="FR55" s="763">
        <f t="shared" ref="FR55" si="2225" xml:space="preserve">
IF(FQ57&gt;=VLOOKUP($C55,$C$3:$D$15,2,FALSE)*FR$20,0,
IF(AND(FQ57&lt;VLOOKUP($C55,$C$3:$D$15,2,FALSE)*FR$20,FR56&lt;=VLOOKUP($C55,$C$3:$D$15,2,FALSE)*FR$20),IF(FR56-FQ57&lt;0,0,FR56-FQ57),
IF(AND(FQ57&lt;VLOOKUP($C55,$C$3:$D$15,2,FALSE)*FR$20,FR56&gt;VLOOKUP($C55,$C$3:$D$15,2,FALSE)*FR$20),VLOOKUP($C55,$C$3:$D$15,2,FALSE)*FR$20-FQ57)))</f>
        <v>0</v>
      </c>
      <c r="FS55" s="763">
        <f t="shared" ref="FS55" si="2226" xml:space="preserve">
IF(FR57&gt;=VLOOKUP($C55,$C$3:$D$15,2,FALSE)*FS$20,0,
IF(AND(FR57&lt;VLOOKUP($C55,$C$3:$D$15,2,FALSE)*FS$20,FS56&lt;=VLOOKUP($C55,$C$3:$D$15,2,FALSE)*FS$20),IF(FS56-FR57&lt;0,0,FS56-FR57),
IF(AND(FR57&lt;VLOOKUP($C55,$C$3:$D$15,2,FALSE)*FS$20,FS56&gt;VLOOKUP($C55,$C$3:$D$15,2,FALSE)*FS$20),VLOOKUP($C55,$C$3:$D$15,2,FALSE)*FS$20-FR57)))</f>
        <v>0</v>
      </c>
      <c r="FT55" s="763">
        <f t="shared" ref="FT55" si="2227" xml:space="preserve">
IF(FS57&gt;=VLOOKUP($C55,$C$3:$D$15,2,FALSE)*FT$20,0,
IF(AND(FS57&lt;VLOOKUP($C55,$C$3:$D$15,2,FALSE)*FT$20,FT56&lt;=VLOOKUP($C55,$C$3:$D$15,2,FALSE)*FT$20),IF(FT56-FS57&lt;0,0,FT56-FS57),
IF(AND(FS57&lt;VLOOKUP($C55,$C$3:$D$15,2,FALSE)*FT$20,FT56&gt;VLOOKUP($C55,$C$3:$D$15,2,FALSE)*FT$20),VLOOKUP($C55,$C$3:$D$15,2,FALSE)*FT$20-FS57)))</f>
        <v>0</v>
      </c>
      <c r="FU55" s="763">
        <f t="shared" ref="FU55" si="2228" xml:space="preserve">
IF(FT57&gt;=VLOOKUP($C55,$C$3:$D$15,2,FALSE)*FU$20,0,
IF(AND(FT57&lt;VLOOKUP($C55,$C$3:$D$15,2,FALSE)*FU$20,FU56&lt;=VLOOKUP($C55,$C$3:$D$15,2,FALSE)*FU$20),IF(FU56-FT57&lt;0,0,FU56-FT57),
IF(AND(FT57&lt;VLOOKUP($C55,$C$3:$D$15,2,FALSE)*FU$20,FU56&gt;VLOOKUP($C55,$C$3:$D$15,2,FALSE)*FU$20),VLOOKUP($C55,$C$3:$D$15,2,FALSE)*FU$20-FT57)))</f>
        <v>0</v>
      </c>
      <c r="FV55" s="763">
        <f t="shared" ref="FV55" si="2229" xml:space="preserve">
IF(FU57&gt;=VLOOKUP($C55,$C$3:$D$15,2,FALSE)*FV$20,0,
IF(AND(FU57&lt;VLOOKUP($C55,$C$3:$D$15,2,FALSE)*FV$20,FV56&lt;=VLOOKUP($C55,$C$3:$D$15,2,FALSE)*FV$20),IF(FV56-FU57&lt;0,0,FV56-FU57),
IF(AND(FU57&lt;VLOOKUP($C55,$C$3:$D$15,2,FALSE)*FV$20,FV56&gt;VLOOKUP($C55,$C$3:$D$15,2,FALSE)*FV$20),VLOOKUP($C55,$C$3:$D$15,2,FALSE)*FV$20-FU57)))</f>
        <v>0</v>
      </c>
      <c r="FW55" s="763">
        <f t="shared" ref="FW55" si="2230" xml:space="preserve">
IF(FV57&gt;=VLOOKUP($C55,$C$3:$D$15,2,FALSE)*FW$20,0,
IF(AND(FV57&lt;VLOOKUP($C55,$C$3:$D$15,2,FALSE)*FW$20,FW56&lt;=VLOOKUP($C55,$C$3:$D$15,2,FALSE)*FW$20),IF(FW56-FV57&lt;0,0,FW56-FV57),
IF(AND(FV57&lt;VLOOKUP($C55,$C$3:$D$15,2,FALSE)*FW$20,FW56&gt;VLOOKUP($C55,$C$3:$D$15,2,FALSE)*FW$20),VLOOKUP($C55,$C$3:$D$15,2,FALSE)*FW$20-FV57)))</f>
        <v>0</v>
      </c>
      <c r="FX55" s="763">
        <f t="shared" ref="FX55" si="2231" xml:space="preserve">
IF(FW57&gt;=VLOOKUP($C55,$C$3:$D$15,2,FALSE)*FX$20,0,
IF(AND(FW57&lt;VLOOKUP($C55,$C$3:$D$15,2,FALSE)*FX$20,FX56&lt;=VLOOKUP($C55,$C$3:$D$15,2,FALSE)*FX$20),IF(FX56-FW57&lt;0,0,FX56-FW57),
IF(AND(FW57&lt;VLOOKUP($C55,$C$3:$D$15,2,FALSE)*FX$20,FX56&gt;VLOOKUP($C55,$C$3:$D$15,2,FALSE)*FX$20),VLOOKUP($C55,$C$3:$D$15,2,FALSE)*FX$20-FW57)))</f>
        <v>0</v>
      </c>
      <c r="FY55" s="763">
        <f t="shared" ref="FY55" si="2232" xml:space="preserve">
IF(FX57&gt;=VLOOKUP($C55,$C$3:$D$15,2,FALSE)*FY$20,0,
IF(AND(FX57&lt;VLOOKUP($C55,$C$3:$D$15,2,FALSE)*FY$20,FY56&lt;=VLOOKUP($C55,$C$3:$D$15,2,FALSE)*FY$20),IF(FY56-FX57&lt;0,0,FY56-FX57),
IF(AND(FX57&lt;VLOOKUP($C55,$C$3:$D$15,2,FALSE)*FY$20,FY56&gt;VLOOKUP($C55,$C$3:$D$15,2,FALSE)*FY$20),VLOOKUP($C55,$C$3:$D$15,2,FALSE)*FY$20-FX57)))</f>
        <v>0</v>
      </c>
      <c r="FZ55" s="763">
        <f t="shared" ref="FZ55" si="2233" xml:space="preserve">
IF(FY57&gt;=VLOOKUP($C55,$C$3:$D$15,2,FALSE)*FZ$20,0,
IF(AND(FY57&lt;VLOOKUP($C55,$C$3:$D$15,2,FALSE)*FZ$20,FZ56&lt;=VLOOKUP($C55,$C$3:$D$15,2,FALSE)*FZ$20),IF(FZ56-FY57&lt;0,0,FZ56-FY57),
IF(AND(FY57&lt;VLOOKUP($C55,$C$3:$D$15,2,FALSE)*FZ$20,FZ56&gt;VLOOKUP($C55,$C$3:$D$15,2,FALSE)*FZ$20),VLOOKUP($C55,$C$3:$D$15,2,FALSE)*FZ$20-FY57)))</f>
        <v>0</v>
      </c>
      <c r="GA55" s="763">
        <f t="shared" ref="GA55" si="2234" xml:space="preserve">
IF(FZ57&gt;=VLOOKUP($C55,$C$3:$D$15,2,FALSE)*GA$20,0,
IF(AND(FZ57&lt;VLOOKUP($C55,$C$3:$D$15,2,FALSE)*GA$20,GA56&lt;=VLOOKUP($C55,$C$3:$D$15,2,FALSE)*GA$20),IF(GA56-FZ57&lt;0,0,GA56-FZ57),
IF(AND(FZ57&lt;VLOOKUP($C55,$C$3:$D$15,2,FALSE)*GA$20,GA56&gt;VLOOKUP($C55,$C$3:$D$15,2,FALSE)*GA$20),VLOOKUP($C55,$C$3:$D$15,2,FALSE)*GA$20-FZ57)))</f>
        <v>0</v>
      </c>
      <c r="GB55" s="763">
        <f t="shared" ref="GB55" si="2235" xml:space="preserve">
IF(GA57&gt;=VLOOKUP($C55,$C$3:$D$15,2,FALSE)*GB$20,0,
IF(AND(GA57&lt;VLOOKUP($C55,$C$3:$D$15,2,FALSE)*GB$20,GB56&lt;=VLOOKUP($C55,$C$3:$D$15,2,FALSE)*GB$20),IF(GB56-GA57&lt;0,0,GB56-GA57),
IF(AND(GA57&lt;VLOOKUP($C55,$C$3:$D$15,2,FALSE)*GB$20,GB56&gt;VLOOKUP($C55,$C$3:$D$15,2,FALSE)*GB$20),VLOOKUP($C55,$C$3:$D$15,2,FALSE)*GB$20-GA57)))</f>
        <v>0</v>
      </c>
      <c r="GC55" s="763">
        <f t="shared" ref="GC55" si="2236" xml:space="preserve">
IF(GB57&gt;=VLOOKUP($C55,$C$3:$D$15,2,FALSE)*GC$20,0,
IF(AND(GB57&lt;VLOOKUP($C55,$C$3:$D$15,2,FALSE)*GC$20,GC56&lt;=VLOOKUP($C55,$C$3:$D$15,2,FALSE)*GC$20),IF(GC56-GB57&lt;0,0,GC56-GB57),
IF(AND(GB57&lt;VLOOKUP($C55,$C$3:$D$15,2,FALSE)*GC$20,GC56&gt;VLOOKUP($C55,$C$3:$D$15,2,FALSE)*GC$20),VLOOKUP($C55,$C$3:$D$15,2,FALSE)*GC$20-GB57)))</f>
        <v>0</v>
      </c>
      <c r="GD55" s="763">
        <f t="shared" ref="GD55" si="2237" xml:space="preserve">
IF(GC57&gt;=VLOOKUP($C55,$C$3:$D$15,2,FALSE)*GD$20,0,
IF(AND(GC57&lt;VLOOKUP($C55,$C$3:$D$15,2,FALSE)*GD$20,GD56&lt;=VLOOKUP($C55,$C$3:$D$15,2,FALSE)*GD$20),IF(GD56-GC57&lt;0,0,GD56-GC57),
IF(AND(GC57&lt;VLOOKUP($C55,$C$3:$D$15,2,FALSE)*GD$20,GD56&gt;VLOOKUP($C55,$C$3:$D$15,2,FALSE)*GD$20),VLOOKUP($C55,$C$3:$D$15,2,FALSE)*GD$20-GC57)))</f>
        <v>0</v>
      </c>
      <c r="GE55" s="763">
        <f t="shared" ref="GE55" si="2238" xml:space="preserve">
IF(GD57&gt;=VLOOKUP($C55,$C$3:$D$15,2,FALSE)*GE$20,0,
IF(AND(GD57&lt;VLOOKUP($C55,$C$3:$D$15,2,FALSE)*GE$20,GE56&lt;=VLOOKUP($C55,$C$3:$D$15,2,FALSE)*GE$20),IF(GE56-GD57&lt;0,0,GE56-GD57),
IF(AND(GD57&lt;VLOOKUP($C55,$C$3:$D$15,2,FALSE)*GE$20,GE56&gt;VLOOKUP($C55,$C$3:$D$15,2,FALSE)*GE$20),VLOOKUP($C55,$C$3:$D$15,2,FALSE)*GE$20-GD57)))</f>
        <v>0</v>
      </c>
      <c r="GF55" s="763">
        <f t="shared" ref="GF55" si="2239" xml:space="preserve">
IF(GE57&gt;=VLOOKUP($C55,$C$3:$D$15,2,FALSE)*GF$20,0,
IF(AND(GE57&lt;VLOOKUP($C55,$C$3:$D$15,2,FALSE)*GF$20,GF56&lt;=VLOOKUP($C55,$C$3:$D$15,2,FALSE)*GF$20),IF(GF56-GE57&lt;0,0,GF56-GE57),
IF(AND(GE57&lt;VLOOKUP($C55,$C$3:$D$15,2,FALSE)*GF$20,GF56&gt;VLOOKUP($C55,$C$3:$D$15,2,FALSE)*GF$20),VLOOKUP($C55,$C$3:$D$15,2,FALSE)*GF$20-GE57)))</f>
        <v>0</v>
      </c>
      <c r="GG55" s="763">
        <f t="shared" ref="GG55" si="2240" xml:space="preserve">
IF(GF57&gt;=VLOOKUP($C55,$C$3:$D$15,2,FALSE)*GG$20,0,
IF(AND(GF57&lt;VLOOKUP($C55,$C$3:$D$15,2,FALSE)*GG$20,GG56&lt;=VLOOKUP($C55,$C$3:$D$15,2,FALSE)*GG$20),IF(GG56-GF57&lt;0,0,GG56-GF57),
IF(AND(GF57&lt;VLOOKUP($C55,$C$3:$D$15,2,FALSE)*GG$20,GG56&gt;VLOOKUP($C55,$C$3:$D$15,2,FALSE)*GG$20),VLOOKUP($C55,$C$3:$D$15,2,FALSE)*GG$20-GF57)))</f>
        <v>0</v>
      </c>
      <c r="GH55" s="763">
        <f t="shared" ref="GH55" si="2241" xml:space="preserve">
IF(GG57&gt;=VLOOKUP($C55,$C$3:$D$15,2,FALSE)*GH$20,0,
IF(AND(GG57&lt;VLOOKUP($C55,$C$3:$D$15,2,FALSE)*GH$20,GH56&lt;=VLOOKUP($C55,$C$3:$D$15,2,FALSE)*GH$20),IF(GH56-GG57&lt;0,0,GH56-GG57),
IF(AND(GG57&lt;VLOOKUP($C55,$C$3:$D$15,2,FALSE)*GH$20,GH56&gt;VLOOKUP($C55,$C$3:$D$15,2,FALSE)*GH$20),VLOOKUP($C55,$C$3:$D$15,2,FALSE)*GH$20-GG57)))</f>
        <v>0</v>
      </c>
      <c r="GI55" s="763">
        <f t="shared" ref="GI55" si="2242" xml:space="preserve">
IF(GH57&gt;=VLOOKUP($C55,$C$3:$D$15,2,FALSE)*GI$20,0,
IF(AND(GH57&lt;VLOOKUP($C55,$C$3:$D$15,2,FALSE)*GI$20,GI56&lt;=VLOOKUP($C55,$C$3:$D$15,2,FALSE)*GI$20),IF(GI56-GH57&lt;0,0,GI56-GH57),
IF(AND(GH57&lt;VLOOKUP($C55,$C$3:$D$15,2,FALSE)*GI$20,GI56&gt;VLOOKUP($C55,$C$3:$D$15,2,FALSE)*GI$20),VLOOKUP($C55,$C$3:$D$15,2,FALSE)*GI$20-GH57)))</f>
        <v>0</v>
      </c>
      <c r="GJ55" s="763">
        <f t="shared" ref="GJ55" si="2243" xml:space="preserve">
IF(GI57&gt;=VLOOKUP($C55,$C$3:$D$15,2,FALSE)*GJ$20,0,
IF(AND(GI57&lt;VLOOKUP($C55,$C$3:$D$15,2,FALSE)*GJ$20,GJ56&lt;=VLOOKUP($C55,$C$3:$D$15,2,FALSE)*GJ$20),IF(GJ56-GI57&lt;0,0,GJ56-GI57),
IF(AND(GI57&lt;VLOOKUP($C55,$C$3:$D$15,2,FALSE)*GJ$20,GJ56&gt;VLOOKUP($C55,$C$3:$D$15,2,FALSE)*GJ$20),VLOOKUP($C55,$C$3:$D$15,2,FALSE)*GJ$20-GI57)))</f>
        <v>0</v>
      </c>
    </row>
    <row r="56" spans="2:192" s="627" customFormat="1">
      <c r="B56" s="631"/>
      <c r="C56" s="626"/>
      <c r="D56" s="702" t="s">
        <v>1424</v>
      </c>
      <c r="E56" s="707"/>
      <c r="F56" s="654"/>
      <c r="G56" s="763">
        <f>SUMIF(防護具!$Y$30:$Y$212,G$17&amp;$C55,防護具!$Q$30:$Q$212)</f>
        <v>0</v>
      </c>
      <c r="H56" s="763">
        <f>IFERROR(
SUM(G56,SUMIF(防護具!$Y$30:$Y$212,H$17&amp;$C55,防護具!$Q$30:$Q$212))-G55,0)</f>
        <v>0</v>
      </c>
      <c r="I56" s="763">
        <f>IFERROR(
SUM(H56,SUMIF(防護具!$Y$30:$Y$212,I$17&amp;$C55,防護具!$Q$30:$Q$212))-H55,0)</f>
        <v>0</v>
      </c>
      <c r="J56" s="763">
        <f>IFERROR(
SUM(I56,SUMIF(防護具!$Y$30:$Y$212,J$17&amp;$C55,防護具!$Q$30:$Q$212))-I55,0)</f>
        <v>0</v>
      </c>
      <c r="K56" s="763">
        <f>IFERROR(
SUM(J56,SUMIF(防護具!$Y$30:$Y$212,K$17&amp;$C55,防護具!$Q$30:$Q$212))-J55,0)</f>
        <v>0</v>
      </c>
      <c r="L56" s="763">
        <f>IFERROR(
SUM(K56,SUMIF(防護具!$Y$30:$Y$212,L$17&amp;$C55,防護具!$Q$30:$Q$212))-K55,0)</f>
        <v>0</v>
      </c>
      <c r="M56" s="763">
        <f>IFERROR(
SUM(L56,SUMIF(防護具!$Y$30:$Y$212,M$17&amp;$C55,防護具!$Q$30:$Q$212))-L55,0)</f>
        <v>0</v>
      </c>
      <c r="N56" s="763">
        <f>IFERROR(
SUM(M56,SUMIF(防護具!$Y$30:$Y$212,N$17&amp;$C55,防護具!$Q$30:$Q$212))-M55,0)</f>
        <v>0</v>
      </c>
      <c r="O56" s="763">
        <f>IFERROR(
SUM(N56,SUMIF(防護具!$Y$30:$Y$212,O$17&amp;$C55,防護具!$Q$30:$Q$212))-N55,0)</f>
        <v>0</v>
      </c>
      <c r="P56" s="763">
        <f>IFERROR(
SUM(O56,SUMIF(防護具!$Y$30:$Y$212,P$17&amp;$C55,防護具!$Q$30:$Q$212))-O55,0)</f>
        <v>0</v>
      </c>
      <c r="Q56" s="763">
        <f>IFERROR(
SUM(P56,SUMIF(防護具!$Y$30:$Y$212,Q$17&amp;$C55,防護具!$Q$30:$Q$212))-P55,0)</f>
        <v>0</v>
      </c>
      <c r="R56" s="763">
        <f>IFERROR(
SUM(Q56,SUMIF(防護具!$Y$30:$Y$212,R$17&amp;$C55,防護具!$Q$30:$Q$212))-Q55,0)</f>
        <v>0</v>
      </c>
      <c r="S56" s="763">
        <f>IFERROR(
SUM(R56,SUMIF(防護具!$Y$30:$Y$212,S$17&amp;$C55,防護具!$Q$30:$Q$212))-R55,0)</f>
        <v>0</v>
      </c>
      <c r="T56" s="763">
        <f>IFERROR(
SUM(S56,SUMIF(防護具!$Y$30:$Y$212,T$17&amp;$C55,防護具!$Q$30:$Q$212))-S55,0)</f>
        <v>0</v>
      </c>
      <c r="U56" s="763">
        <f>IFERROR(
SUM(T56,SUMIF(防護具!$Y$30:$Y$212,U$17&amp;$C55,防護具!$Q$30:$Q$212))-T55,0)</f>
        <v>0</v>
      </c>
      <c r="V56" s="763">
        <f>IFERROR(
SUM(U56,SUMIF(防護具!$Y$30:$Y$212,V$17&amp;$C55,防護具!$Q$30:$Q$212))-U55,0)</f>
        <v>0</v>
      </c>
      <c r="W56" s="763">
        <f>IFERROR(
SUM(V56,SUMIF(防護具!$Y$30:$Y$212,W$17&amp;$C55,防護具!$Q$30:$Q$212))-V55,0)</f>
        <v>0</v>
      </c>
      <c r="X56" s="763">
        <f>IFERROR(
SUM(W56,SUMIF(防護具!$Y$30:$Y$212,X$17&amp;$C55,防護具!$Q$30:$Q$212))-W55,0)</f>
        <v>0</v>
      </c>
      <c r="Y56" s="763">
        <f>IFERROR(
SUM(X56,SUMIF(防護具!$Y$30:$Y$212,Y$17&amp;$C55,防護具!$Q$30:$Q$212))-X55,0)</f>
        <v>0</v>
      </c>
      <c r="Z56" s="763">
        <f>IFERROR(
SUM(Y56,SUMIF(防護具!$Y$30:$Y$212,Z$17&amp;$C55,防護具!$Q$30:$Q$212))-Y55,0)</f>
        <v>0</v>
      </c>
      <c r="AA56" s="763">
        <f>IFERROR(
SUM(Z56,SUMIF(防護具!$Y$30:$Y$212,AA$17&amp;$C55,防護具!$Q$30:$Q$212))-Z55,0)</f>
        <v>0</v>
      </c>
      <c r="AB56" s="763">
        <f>IFERROR(
SUM(AA56,SUMIF(防護具!$Y$30:$Y$212,AB$17&amp;$C55,防護具!$Q$30:$Q$212))-AA55,0)</f>
        <v>0</v>
      </c>
      <c r="AC56" s="763">
        <f>IFERROR(
SUM(AB56,SUMIF(防護具!$Y$30:$Y$212,AC$17&amp;$C55,防護具!$Q$30:$Q$212))-AB55,0)</f>
        <v>0</v>
      </c>
      <c r="AD56" s="763">
        <f>IFERROR(
SUM(AC56,SUMIF(防護具!$Y$30:$Y$212,AD$17&amp;$C55,防護具!$Q$30:$Q$212))-AC55,0)</f>
        <v>0</v>
      </c>
      <c r="AE56" s="763">
        <f>IFERROR(
SUM(AD56,SUMIF(防護具!$Y$30:$Y$212,AE$17&amp;$C55,防護具!$Q$30:$Q$212))-AD55,0)</f>
        <v>0</v>
      </c>
      <c r="AF56" s="763">
        <f>IFERROR(
SUM(AE56,SUMIF(防護具!$Y$30:$Y$212,AF$17&amp;$C55,防護具!$Q$30:$Q$212))-AE55,0)</f>
        <v>0</v>
      </c>
      <c r="AG56" s="763">
        <f>IFERROR(
SUM(AF56,SUMIF(防護具!$Y$30:$Y$212,AG$17&amp;$C55,防護具!$Q$30:$Q$212))-AF55,0)</f>
        <v>0</v>
      </c>
      <c r="AH56" s="763">
        <f>IFERROR(
SUM(AG56,SUMIF(防護具!$Y$30:$Y$212,AH$17&amp;$C55,防護具!$Q$30:$Q$212))-AG55,0)</f>
        <v>0</v>
      </c>
      <c r="AI56" s="763">
        <f>IFERROR(
SUM(AH56,SUMIF(防護具!$Y$30:$Y$212,AI$17&amp;$C55,防護具!$Q$30:$Q$212))-AH55,0)</f>
        <v>0</v>
      </c>
      <c r="AJ56" s="763">
        <f>IFERROR(
SUM(AI56,SUMIF(防護具!$Y$30:$Y$212,AJ$17&amp;$C55,防護具!$Q$30:$Q$212))-AI55,0)</f>
        <v>0</v>
      </c>
      <c r="AK56" s="763">
        <f>IFERROR(
SUM(AJ56,SUMIF(防護具!$Y$30:$Y$212,AK$17&amp;$C55,防護具!$Q$30:$Q$212))-AJ55,0)</f>
        <v>0</v>
      </c>
      <c r="AL56" s="763">
        <f>IFERROR(
SUM(AK56,SUMIF(防護具!$Y$30:$Y$212,AL$17&amp;$C55,防護具!$Q$30:$Q$212))-AK55,0)</f>
        <v>0</v>
      </c>
      <c r="AM56" s="763">
        <f>IFERROR(
SUM(AL56,SUMIF(防護具!$Y$30:$Y$212,AM$17&amp;$C55,防護具!$Q$30:$Q$212))-AL55,0)</f>
        <v>0</v>
      </c>
      <c r="AN56" s="763">
        <f>IFERROR(
SUM(AM56,SUMIF(防護具!$Y$30:$Y$212,AN$17&amp;$C55,防護具!$Q$30:$Q$212))-AM55,0)</f>
        <v>0</v>
      </c>
      <c r="AO56" s="763">
        <f>IFERROR(
SUM(AN56,SUMIF(防護具!$Y$30:$Y$212,AO$17&amp;$C55,防護具!$Q$30:$Q$212))-AN55,0)</f>
        <v>0</v>
      </c>
      <c r="AP56" s="763">
        <f>IFERROR(
SUM(AO56,SUMIF(防護具!$Y$30:$Y$212,AP$17&amp;$C55,防護具!$Q$30:$Q$212))-AO55,0)</f>
        <v>0</v>
      </c>
      <c r="AQ56" s="763">
        <f>IFERROR(
SUM(AP56,SUMIF(防護具!$Y$30:$Y$212,AQ$17&amp;$C55,防護具!$Q$30:$Q$212))-AP55,0)</f>
        <v>0</v>
      </c>
      <c r="AR56" s="763">
        <f>IFERROR(
SUM(AQ56,SUMIF(防護具!$Y$30:$Y$212,AR$17&amp;$C55,防護具!$Q$30:$Q$212))-AQ55,0)</f>
        <v>0</v>
      </c>
      <c r="AS56" s="763">
        <f>IFERROR(
SUM(AR56,SUMIF(防護具!$Y$30:$Y$212,AS$17&amp;$C55,防護具!$Q$30:$Q$212))-AR55,0)</f>
        <v>0</v>
      </c>
      <c r="AT56" s="763">
        <f>IFERROR(
SUM(AS56,SUMIF(防護具!$Y$30:$Y$212,AT$17&amp;$C55,防護具!$Q$30:$Q$212))-AS55,0)</f>
        <v>0</v>
      </c>
      <c r="AU56" s="763">
        <f>IFERROR(
SUM(AT56,SUMIF(防護具!$Y$30:$Y$212,AU$17&amp;$C55,防護具!$Q$30:$Q$212))-AT55,0)</f>
        <v>0</v>
      </c>
      <c r="AV56" s="763">
        <f>IFERROR(
SUM(AU56,SUMIF(防護具!$Y$30:$Y$212,AV$17&amp;$C55,防護具!$Q$30:$Q$212))-AU55,0)</f>
        <v>0</v>
      </c>
      <c r="AW56" s="763">
        <f>IFERROR(
SUM(AV56,SUMIF(防護具!$Y$30:$Y$212,AW$17&amp;$C55,防護具!$Q$30:$Q$212))-AV55,0)</f>
        <v>0</v>
      </c>
      <c r="AX56" s="763">
        <f>IFERROR(
SUM(AW56,SUMIF(防護具!$Y$30:$Y$212,AX$17&amp;$C55,防護具!$Q$30:$Q$212))-AW55,0)</f>
        <v>0</v>
      </c>
      <c r="AY56" s="763">
        <f>IFERROR(
SUM(AX56,SUMIF(防護具!$Y$30:$Y$212,AY$17&amp;$C55,防護具!$Q$30:$Q$212))-AX55,0)</f>
        <v>0</v>
      </c>
      <c r="AZ56" s="763">
        <f>IFERROR(
SUM(AY56,SUMIF(防護具!$Y$30:$Y$212,AZ$17&amp;$C55,防護具!$Q$30:$Q$212))-AY55,0)</f>
        <v>0</v>
      </c>
      <c r="BA56" s="763">
        <f>IFERROR(
SUM(AZ56,SUMIF(防護具!$Y$30:$Y$212,BA$17&amp;$C55,防護具!$Q$30:$Q$212))-AZ55,0)</f>
        <v>0</v>
      </c>
      <c r="BB56" s="763">
        <f>IFERROR(
SUM(BA56,SUMIF(防護具!$Y$30:$Y$212,BB$17&amp;$C55,防護具!$Q$30:$Q$212))-BA55,0)</f>
        <v>0</v>
      </c>
      <c r="BC56" s="763">
        <f>IFERROR(
SUM(BB56,SUMIF(防護具!$Y$30:$Y$212,BC$17&amp;$C55,防護具!$Q$30:$Q$212))-BB55,0)</f>
        <v>0</v>
      </c>
      <c r="BD56" s="763">
        <f>IFERROR(
SUM(BC56,SUMIF(防護具!$Y$30:$Y$212,BD$17&amp;$C55,防護具!$Q$30:$Q$212))-BC55,0)</f>
        <v>0</v>
      </c>
      <c r="BE56" s="763">
        <f>IFERROR(
SUM(BD56,SUMIF(防護具!$Y$30:$Y$212,BE$17&amp;$C55,防護具!$Q$30:$Q$212))-BD55,0)</f>
        <v>0</v>
      </c>
      <c r="BF56" s="763">
        <f>IFERROR(
SUM(BE56,SUMIF(防護具!$Y$30:$Y$212,BF$17&amp;$C55,防護具!$Q$30:$Q$212))-BE55,0)</f>
        <v>0</v>
      </c>
      <c r="BG56" s="763">
        <f>IFERROR(
SUM(BF56,SUMIF(防護具!$Y$30:$Y$212,BG$17&amp;$C55,防護具!$Q$30:$Q$212))-BF55,0)</f>
        <v>0</v>
      </c>
      <c r="BH56" s="763">
        <f>IFERROR(
SUM(BG56,SUMIF(防護具!$Y$30:$Y$212,BH$17&amp;$C55,防護具!$Q$30:$Q$212))-BG55,0)</f>
        <v>0</v>
      </c>
      <c r="BI56" s="763">
        <f>IFERROR(
SUM(BH56,SUMIF(防護具!$Y$30:$Y$212,BI$17&amp;$C55,防護具!$Q$30:$Q$212))-BH55,0)</f>
        <v>0</v>
      </c>
      <c r="BJ56" s="763">
        <f>IFERROR(
SUM(BI56,SUMIF(防護具!$Y$30:$Y$212,BJ$17&amp;$C55,防護具!$Q$30:$Q$212))-BI55,0)</f>
        <v>0</v>
      </c>
      <c r="BK56" s="763">
        <f>IFERROR(
SUM(BJ56,SUMIF(防護具!$Y$30:$Y$212,BK$17&amp;$C55,防護具!$Q$30:$Q$212))-BJ55,0)</f>
        <v>0</v>
      </c>
      <c r="BL56" s="763">
        <f>IFERROR(
SUM(BK56,SUMIF(防護具!$Y$30:$Y$212,BL$17&amp;$C55,防護具!$Q$30:$Q$212))-BK55,0)</f>
        <v>0</v>
      </c>
      <c r="BM56" s="763">
        <f>IFERROR(
SUM(BL56,SUMIF(防護具!$Y$30:$Y$212,BM$17&amp;$C55,防護具!$Q$30:$Q$212))-BL55,0)</f>
        <v>0</v>
      </c>
      <c r="BN56" s="763">
        <f>IFERROR(
SUM(BM56,SUMIF(防護具!$Y$30:$Y$212,BN$17&amp;$C55,防護具!$Q$30:$Q$212))-BM55,0)</f>
        <v>0</v>
      </c>
      <c r="BO56" s="763">
        <f>IFERROR(
SUM(BN56,SUMIF(防護具!$Y$30:$Y$212,BO$17&amp;$C55,防護具!$Q$30:$Q$212))-BN55,0)</f>
        <v>0</v>
      </c>
      <c r="BP56" s="763">
        <f>IFERROR(
SUM(BO56,SUMIF(防護具!$Y$30:$Y$212,BP$17&amp;$C55,防護具!$Q$30:$Q$212))-BO55,0)</f>
        <v>0</v>
      </c>
      <c r="BQ56" s="763">
        <f>IFERROR(
SUM(BP56,SUMIF(防護具!$Y$30:$Y$212,BQ$17&amp;$C55,防護具!$Q$30:$Q$212))-BP55,0)</f>
        <v>0</v>
      </c>
      <c r="BR56" s="763">
        <f>IFERROR(
SUM(BQ56,SUMIF(防護具!$Y$30:$Y$212,BR$17&amp;$C55,防護具!$Q$30:$Q$212))-BQ55,0)</f>
        <v>0</v>
      </c>
      <c r="BS56" s="763">
        <f>IFERROR(
SUM(BR56,SUMIF(防護具!$Y$30:$Y$212,BS$17&amp;$C55,防護具!$Q$30:$Q$212))-BR55,0)</f>
        <v>0</v>
      </c>
      <c r="BT56" s="763">
        <f>IFERROR(
SUM(BS56,SUMIF(防護具!$Y$30:$Y$212,BT$17&amp;$C55,防護具!$Q$30:$Q$212))-BS55,0)</f>
        <v>0</v>
      </c>
      <c r="BU56" s="763">
        <f>IFERROR(
SUM(BT56,SUMIF(防護具!$Y$30:$Y$212,BU$17&amp;$C55,防護具!$Q$30:$Q$212))-BT55,0)</f>
        <v>0</v>
      </c>
      <c r="BV56" s="763">
        <f>IFERROR(
SUM(BU56,SUMIF(防護具!$Y$30:$Y$212,BV$17&amp;$C55,防護具!$Q$30:$Q$212))-BU55,0)</f>
        <v>0</v>
      </c>
      <c r="BW56" s="763">
        <f>IFERROR(
SUM(BV56,SUMIF(防護具!$Y$30:$Y$212,BW$17&amp;$C55,防護具!$Q$30:$Q$212))-BV55,0)</f>
        <v>0</v>
      </c>
      <c r="BX56" s="763">
        <f>IFERROR(
SUM(BW56,SUMIF(防護具!$Y$30:$Y$212,BX$17&amp;$C55,防護具!$Q$30:$Q$212))-BW55,0)</f>
        <v>0</v>
      </c>
      <c r="BY56" s="763">
        <f>IFERROR(
SUM(BX56,SUMIF(防護具!$Y$30:$Y$212,BY$17&amp;$C55,防護具!$Q$30:$Q$212))-BX55,0)</f>
        <v>0</v>
      </c>
      <c r="BZ56" s="763">
        <f>IFERROR(
SUM(BY56,SUMIF(防護具!$Y$30:$Y$212,BZ$17&amp;$C55,防護具!$Q$30:$Q$212))-BY55,0)</f>
        <v>0</v>
      </c>
      <c r="CA56" s="763">
        <f>IFERROR(
SUM(BZ56,SUMIF(防護具!$Y$30:$Y$212,CA$17&amp;$C55,防護具!$Q$30:$Q$212))-BZ55,0)</f>
        <v>0</v>
      </c>
      <c r="CB56" s="763">
        <f>IFERROR(
SUM(CA56,SUMIF(防護具!$Y$30:$Y$212,CB$17&amp;$C55,防護具!$Q$30:$Q$212))-CA55,0)</f>
        <v>0</v>
      </c>
      <c r="CC56" s="763">
        <f>IFERROR(
SUM(CB56,SUMIF(防護具!$Y$30:$Y$212,CC$17&amp;$C55,防護具!$Q$30:$Q$212))-CB55,0)</f>
        <v>0</v>
      </c>
      <c r="CD56" s="763">
        <f>IFERROR(
SUM(CC56,SUMIF(防護具!$Y$30:$Y$212,CD$17&amp;$C55,防護具!$Q$30:$Q$212))-CC55,0)</f>
        <v>0</v>
      </c>
      <c r="CE56" s="763">
        <f>IFERROR(
SUM(CD56,SUMIF(防護具!$Y$30:$Y$212,CE$17&amp;$C55,防護具!$Q$30:$Q$212))-CD55,0)</f>
        <v>0</v>
      </c>
      <c r="CF56" s="763">
        <f>IFERROR(
SUM(CE56,SUMIF(防護具!$Y$30:$Y$212,CF$17&amp;$C55,防護具!$Q$30:$Q$212))-CE55,0)</f>
        <v>0</v>
      </c>
      <c r="CG56" s="763">
        <f>IFERROR(
SUM(CF56,SUMIF(防護具!$Y$30:$Y$212,CG$17&amp;$C55,防護具!$Q$30:$Q$212))-CF55,0)</f>
        <v>0</v>
      </c>
      <c r="CH56" s="763">
        <f>IFERROR(
SUM(CG56,SUMIF(防護具!$Y$30:$Y$212,CH$17&amp;$C55,防護具!$Q$30:$Q$212))-CG55,0)</f>
        <v>0</v>
      </c>
      <c r="CI56" s="763">
        <f>IFERROR(
SUM(CH56,SUMIF(防護具!$Y$30:$Y$212,CI$17&amp;$C55,防護具!$Q$30:$Q$212))-CH55,0)</f>
        <v>0</v>
      </c>
      <c r="CJ56" s="763">
        <f>IFERROR(
SUM(CI56,SUMIF(防護具!$Y$30:$Y$212,CJ$17&amp;$C55,防護具!$Q$30:$Q$212))-CI55,0)</f>
        <v>0</v>
      </c>
      <c r="CK56" s="763">
        <f>IFERROR(
SUM(CJ56,SUMIF(防護具!$Y$30:$Y$212,CK$17&amp;$C55,防護具!$Q$30:$Q$212))-CJ55,0)</f>
        <v>0</v>
      </c>
      <c r="CL56" s="763">
        <f>IFERROR(
SUM(CK56,SUMIF(防護具!$Y$30:$Y$212,CL$17&amp;$C55,防護具!$Q$30:$Q$212))-CK55,0)</f>
        <v>0</v>
      </c>
      <c r="CM56" s="763">
        <f>IFERROR(
SUM(CL56,SUMIF(防護具!$Y$30:$Y$212,CM$17&amp;$C55,防護具!$Q$30:$Q$212))-CL55,0)</f>
        <v>0</v>
      </c>
      <c r="CN56" s="763">
        <f>IFERROR(
SUM(CM56,SUMIF(防護具!$Y$30:$Y$212,CN$17&amp;$C55,防護具!$Q$30:$Q$212))-CM55,0)</f>
        <v>0</v>
      </c>
      <c r="CO56" s="763">
        <f>IFERROR(
SUM(CN56,SUMIF(防護具!$Y$30:$Y$212,CO$17&amp;$C55,防護具!$Q$30:$Q$212))-CN55,0)</f>
        <v>0</v>
      </c>
      <c r="CP56" s="763">
        <f>IFERROR(
SUM(CO56,SUMIF(防護具!$Y$30:$Y$212,CP$17&amp;$C55,防護具!$Q$30:$Q$212))-CO55,0)</f>
        <v>0</v>
      </c>
      <c r="CQ56" s="763">
        <f>IFERROR(
SUM(CP56,SUMIF(防護具!$Y$30:$Y$212,CQ$17&amp;$C55,防護具!$Q$30:$Q$212))-CP55,0)</f>
        <v>0</v>
      </c>
      <c r="CR56" s="763">
        <f>IFERROR(
SUM(CQ56,SUMIF(防護具!$Y$30:$Y$212,CR$17&amp;$C55,防護具!$Q$30:$Q$212))-CQ55,0)</f>
        <v>0</v>
      </c>
      <c r="CS56" s="763">
        <f>IFERROR(
SUM(CR56,SUMIF(防護具!$Y$30:$Y$212,CS$17&amp;$C55,防護具!$Q$30:$Q$212))-CR55,0)</f>
        <v>0</v>
      </c>
      <c r="CT56" s="763">
        <f>IFERROR(
SUM(CS56,SUMIF(防護具!$Y$30:$Y$212,CT$17&amp;$C55,防護具!$Q$30:$Q$212))-CS55,0)</f>
        <v>0</v>
      </c>
      <c r="CU56" s="763">
        <f>IFERROR(
SUM(CT56,SUMIF(防護具!$Y$30:$Y$212,CU$17&amp;$C55,防護具!$Q$30:$Q$212))-CT55,0)</f>
        <v>0</v>
      </c>
      <c r="CV56" s="763">
        <f>IFERROR(
SUM(CU56,SUMIF(防護具!$Y$30:$Y$212,CV$17&amp;$C55,防護具!$Q$30:$Q$212))-CU55,0)</f>
        <v>0</v>
      </c>
      <c r="CW56" s="763">
        <f>IFERROR(
SUM(CV56,SUMIF(防護具!$Y$30:$Y$212,CW$17&amp;$C55,防護具!$Q$30:$Q$212))-CV55,0)</f>
        <v>0</v>
      </c>
      <c r="CX56" s="763">
        <f>IFERROR(
SUM(CW56,SUMIF(防護具!$Y$30:$Y$212,CX$17&amp;$C55,防護具!$Q$30:$Q$212))-CW55,0)</f>
        <v>0</v>
      </c>
      <c r="CY56" s="763">
        <f>IFERROR(
SUM(CX56,SUMIF(防護具!$Y$30:$Y$212,CY$17&amp;$C55,防護具!$Q$30:$Q$212))-CX55,0)</f>
        <v>0</v>
      </c>
      <c r="CZ56" s="763">
        <f>IFERROR(
SUM(CY56,SUMIF(防護具!$Y$30:$Y$212,CZ$17&amp;$C55,防護具!$Q$30:$Q$212))-CY55,0)</f>
        <v>0</v>
      </c>
      <c r="DA56" s="763">
        <f>IFERROR(
SUM(CZ56,SUMIF(防護具!$Y$30:$Y$212,DA$17&amp;$C55,防護具!$Q$30:$Q$212))-CZ55,0)</f>
        <v>0</v>
      </c>
      <c r="DB56" s="763">
        <f>IFERROR(
SUM(DA56,SUMIF(防護具!$Y$30:$Y$212,DB$17&amp;$C55,防護具!$Q$30:$Q$212))-DA55,0)</f>
        <v>0</v>
      </c>
      <c r="DC56" s="763">
        <f>IFERROR(
SUM(DB56,SUMIF(防護具!$Y$30:$Y$212,DC$17&amp;$C55,防護具!$Q$30:$Q$212))-DB55,0)</f>
        <v>0</v>
      </c>
      <c r="DD56" s="763">
        <f>IFERROR(
SUM(DC56,SUMIF(防護具!$Y$30:$Y$212,DD$17&amp;$C55,防護具!$Q$30:$Q$212))-DC55,0)</f>
        <v>0</v>
      </c>
      <c r="DE56" s="763">
        <f>IFERROR(
SUM(DD56,SUMIF(防護具!$Y$30:$Y$212,DE$17&amp;$C55,防護具!$Q$30:$Q$212))-DD55,0)</f>
        <v>0</v>
      </c>
      <c r="DF56" s="763">
        <f>IFERROR(
SUM(DE56,SUMIF(防護具!$Y$30:$Y$212,DF$17&amp;$C55,防護具!$Q$30:$Q$212))-DE55,0)</f>
        <v>0</v>
      </c>
      <c r="DG56" s="763">
        <f>IFERROR(
SUM(DF56,SUMIF(防護具!$Y$30:$Y$212,DG$17&amp;$C55,防護具!$Q$30:$Q$212))-DF55,0)</f>
        <v>0</v>
      </c>
      <c r="DH56" s="763">
        <f>IFERROR(
SUM(DG56,SUMIF(防護具!$Y$30:$Y$212,DH$17&amp;$C55,防護具!$Q$30:$Q$212))-DG55,0)</f>
        <v>0</v>
      </c>
      <c r="DI56" s="763">
        <f>IFERROR(
SUM(DH56,SUMIF(防護具!$Y$30:$Y$212,DI$17&amp;$C55,防護具!$Q$30:$Q$212))-DH55,0)</f>
        <v>0</v>
      </c>
      <c r="DJ56" s="763">
        <f>IFERROR(
SUM(DI56,SUMIF(防護具!$Y$30:$Y$212,DJ$17&amp;$C55,防護具!$Q$30:$Q$212))-DI55,0)</f>
        <v>0</v>
      </c>
      <c r="DK56" s="763">
        <f>IFERROR(
SUM(DJ56,SUMIF(防護具!$Y$30:$Y$212,DK$17&amp;$C55,防護具!$Q$30:$Q$212))-DJ55,0)</f>
        <v>0</v>
      </c>
      <c r="DL56" s="763">
        <f>IFERROR(
SUM(DK56,SUMIF(防護具!$Y$30:$Y$212,DL$17&amp;$C55,防護具!$Q$30:$Q$212))-DK55,0)</f>
        <v>0</v>
      </c>
      <c r="DM56" s="763">
        <f>IFERROR(
SUM(DL56,SUMIF(防護具!$Y$30:$Y$212,DM$17&amp;$C55,防護具!$Q$30:$Q$212))-DL55,0)</f>
        <v>0</v>
      </c>
      <c r="DN56" s="763">
        <f>IFERROR(
SUM(DM56,SUMIF(防護具!$Y$30:$Y$212,DN$17&amp;$C55,防護具!$Q$30:$Q$212))-DM55,0)</f>
        <v>0</v>
      </c>
      <c r="DO56" s="763">
        <f>IFERROR(
SUM(DN56,SUMIF(防護具!$Y$30:$Y$212,DO$17&amp;$C55,防護具!$Q$30:$Q$212))-DN55,0)</f>
        <v>0</v>
      </c>
      <c r="DP56" s="763">
        <f>IFERROR(
SUM(DO56,SUMIF(防護具!$Y$30:$Y$212,DP$17&amp;$C55,防護具!$Q$30:$Q$212))-DO55,0)</f>
        <v>0</v>
      </c>
      <c r="DQ56" s="763">
        <f>IFERROR(
SUM(DP56,SUMIF(防護具!$Y$30:$Y$212,DQ$17&amp;$C55,防護具!$Q$30:$Q$212))-DP55,0)</f>
        <v>0</v>
      </c>
      <c r="DR56" s="763">
        <f>IFERROR(
SUM(DQ56,SUMIF(防護具!$Y$30:$Y$212,DR$17&amp;$C55,防護具!$Q$30:$Q$212))-DQ55,0)</f>
        <v>0</v>
      </c>
      <c r="DS56" s="763">
        <f>IFERROR(
SUM(DR56,SUMIF(防護具!$Y$30:$Y$212,DS$17&amp;$C55,防護具!$Q$30:$Q$212))-DR55,0)</f>
        <v>0</v>
      </c>
      <c r="DT56" s="763">
        <f>IFERROR(
SUM(DS56,SUMIF(防護具!$Y$30:$Y$212,DT$17&amp;$C55,防護具!$Q$30:$Q$212))-DS55,0)</f>
        <v>0</v>
      </c>
      <c r="DU56" s="763">
        <f>IFERROR(
SUM(DT56,SUMIF(防護具!$Y$30:$Y$212,DU$17&amp;$C55,防護具!$Q$30:$Q$212))-DT55,0)</f>
        <v>0</v>
      </c>
      <c r="DV56" s="763">
        <f>IFERROR(
SUM(DU56,SUMIF(防護具!$Y$30:$Y$212,DV$17&amp;$C55,防護具!$Q$30:$Q$212))-DU55,0)</f>
        <v>0</v>
      </c>
      <c r="DW56" s="763">
        <f>IFERROR(
SUM(DV56,SUMIF(防護具!$Y$30:$Y$212,DW$17&amp;$C55,防護具!$Q$30:$Q$212))-DV55,0)</f>
        <v>0</v>
      </c>
      <c r="DX56" s="763">
        <f>IFERROR(
SUM(DW56,SUMIF(防護具!$Y$30:$Y$212,DX$17&amp;$C55,防護具!$Q$30:$Q$212))-DW55,0)</f>
        <v>0</v>
      </c>
      <c r="DY56" s="763">
        <f>IFERROR(
SUM(DX56,SUMIF(防護具!$Y$30:$Y$212,DY$17&amp;$C55,防護具!$Q$30:$Q$212))-DX55,0)</f>
        <v>0</v>
      </c>
      <c r="DZ56" s="763">
        <f>IFERROR(
SUM(DY56,SUMIF(防護具!$Y$30:$Y$212,DZ$17&amp;$C55,防護具!$Q$30:$Q$212))-DY55,0)</f>
        <v>0</v>
      </c>
      <c r="EA56" s="763">
        <f>IFERROR(
SUM(DZ56,SUMIF(防護具!$Y$30:$Y$212,EA$17&amp;$C55,防護具!$Q$30:$Q$212))-DZ55,0)</f>
        <v>0</v>
      </c>
      <c r="EB56" s="763">
        <f>IFERROR(
SUM(EA56,SUMIF(防護具!$Y$30:$Y$212,EB$17&amp;$C55,防護具!$Q$30:$Q$212))-EA55,0)</f>
        <v>0</v>
      </c>
      <c r="EC56" s="763">
        <f>IFERROR(
SUM(EB56,SUMIF(防護具!$Y$30:$Y$212,EC$17&amp;$C55,防護具!$Q$30:$Q$212))-EB55,0)</f>
        <v>0</v>
      </c>
      <c r="ED56" s="763">
        <f>IFERROR(
SUM(EC56,SUMIF(防護具!$Y$30:$Y$212,ED$17&amp;$C55,防護具!$Q$30:$Q$212))-EC55,0)</f>
        <v>0</v>
      </c>
      <c r="EE56" s="763">
        <f>IFERROR(
SUM(ED56,SUMIF(防護具!$Y$30:$Y$212,EE$17&amp;$C55,防護具!$Q$30:$Q$212))-ED55,0)</f>
        <v>0</v>
      </c>
      <c r="EF56" s="763">
        <f>IFERROR(
SUM(EE56,SUMIF(防護具!$Y$30:$Y$212,EF$17&amp;$C55,防護具!$Q$30:$Q$212))-EE55,0)</f>
        <v>0</v>
      </c>
      <c r="EG56" s="763">
        <f>IFERROR(
SUM(EF56,SUMIF(防護具!$Y$30:$Y$212,EG$17&amp;$C55,防護具!$Q$30:$Q$212))-EF55,0)</f>
        <v>0</v>
      </c>
      <c r="EH56" s="763">
        <f>IFERROR(
SUM(EG56,SUMIF(防護具!$Y$30:$Y$212,EH$17&amp;$C55,防護具!$Q$30:$Q$212))-EG55,0)</f>
        <v>0</v>
      </c>
      <c r="EI56" s="763">
        <f>IFERROR(
SUM(EH56,SUMIF(防護具!$Y$30:$Y$212,EI$17&amp;$C55,防護具!$Q$30:$Q$212))-EH55,0)</f>
        <v>0</v>
      </c>
      <c r="EJ56" s="763">
        <f>IFERROR(
SUM(EI56,SUMIF(防護具!$Y$30:$Y$212,EJ$17&amp;$C55,防護具!$Q$30:$Q$212))-EI55,0)</f>
        <v>0</v>
      </c>
      <c r="EK56" s="763">
        <f>IFERROR(
SUM(EJ56,SUMIF(防護具!$Y$30:$Y$212,EK$17&amp;$C55,防護具!$Q$30:$Q$212))-EJ55,0)</f>
        <v>0</v>
      </c>
      <c r="EL56" s="763">
        <f>IFERROR(
SUM(EK56,SUMIF(防護具!$Y$30:$Y$212,EL$17&amp;$C55,防護具!$Q$30:$Q$212))-EK55,0)</f>
        <v>0</v>
      </c>
      <c r="EM56" s="763">
        <f>IFERROR(
SUM(EL56,SUMIF(防護具!$Y$30:$Y$212,EM$17&amp;$C55,防護具!$Q$30:$Q$212))-EL55,0)</f>
        <v>0</v>
      </c>
      <c r="EN56" s="763">
        <f>IFERROR(
SUM(EM56,SUMIF(防護具!$Y$30:$Y$212,EN$17&amp;$C55,防護具!$Q$30:$Q$212))-EM55,0)</f>
        <v>0</v>
      </c>
      <c r="EO56" s="763">
        <f>IFERROR(
SUM(EN56,SUMIF(防護具!$Y$30:$Y$212,EO$17&amp;$C55,防護具!$Q$30:$Q$212))-EN55,0)</f>
        <v>0</v>
      </c>
      <c r="EP56" s="763">
        <f>IFERROR(
SUM(EO56,SUMIF(防護具!$Y$30:$Y$212,EP$17&amp;$C55,防護具!$Q$30:$Q$212))-EO55,0)</f>
        <v>0</v>
      </c>
      <c r="EQ56" s="763">
        <f>IFERROR(
SUM(EP56,SUMIF(防護具!$Y$30:$Y$212,EQ$17&amp;$C55,防護具!$Q$30:$Q$212))-EP55,0)</f>
        <v>0</v>
      </c>
      <c r="ER56" s="763">
        <f>IFERROR(
SUM(EQ56,SUMIF(防護具!$Y$30:$Y$212,ER$17&amp;$C55,防護具!$Q$30:$Q$212))-EQ55,0)</f>
        <v>0</v>
      </c>
      <c r="ES56" s="763">
        <f>IFERROR(
SUM(ER56,SUMIF(防護具!$Y$30:$Y$212,ES$17&amp;$C55,防護具!$Q$30:$Q$212))-ER55,0)</f>
        <v>0</v>
      </c>
      <c r="ET56" s="763">
        <f>IFERROR(
SUM(ES56,SUMIF(防護具!$Y$30:$Y$212,ET$17&amp;$C55,防護具!$Q$30:$Q$212))-ES55,0)</f>
        <v>0</v>
      </c>
      <c r="EU56" s="763">
        <f>IFERROR(
SUM(ET56,SUMIF(防護具!$Y$30:$Y$212,EU$17&amp;$C55,防護具!$Q$30:$Q$212))-ET55,0)</f>
        <v>0</v>
      </c>
      <c r="EV56" s="763">
        <f>IFERROR(
SUM(EU56,SUMIF(防護具!$Y$30:$Y$212,EV$17&amp;$C55,防護具!$Q$30:$Q$212))-EU55,0)</f>
        <v>0</v>
      </c>
      <c r="EW56" s="763">
        <f>IFERROR(
SUM(EV56,SUMIF(防護具!$Y$30:$Y$212,EW$17&amp;$C55,防護具!$Q$30:$Q$212))-EV55,0)</f>
        <v>0</v>
      </c>
      <c r="EX56" s="763">
        <f>IFERROR(
SUM(EW56,SUMIF(防護具!$Y$30:$Y$212,EX$17&amp;$C55,防護具!$Q$30:$Q$212))-EW55,0)</f>
        <v>0</v>
      </c>
      <c r="EY56" s="763">
        <f>IFERROR(
SUM(EX56,SUMIF(防護具!$Y$30:$Y$212,EY$17&amp;$C55,防護具!$Q$30:$Q$212))-EX55,0)</f>
        <v>0</v>
      </c>
      <c r="EZ56" s="763">
        <f>IFERROR(
SUM(EY56,SUMIF(防護具!$Y$30:$Y$212,EZ$17&amp;$C55,防護具!$Q$30:$Q$212))-EY55,0)</f>
        <v>0</v>
      </c>
      <c r="FA56" s="763">
        <f>IFERROR(
SUM(EZ56,SUMIF(防護具!$Y$30:$Y$212,FA$17&amp;$C55,防護具!$Q$30:$Q$212))-EZ55,0)</f>
        <v>0</v>
      </c>
      <c r="FB56" s="763">
        <f>IFERROR(
SUM(FA56,SUMIF(防護具!$Y$30:$Y$212,FB$17&amp;$C55,防護具!$Q$30:$Q$212))-FA55,0)</f>
        <v>0</v>
      </c>
      <c r="FC56" s="763">
        <f>IFERROR(
SUM(FB56,SUMIF(防護具!$Y$30:$Y$212,FC$17&amp;$C55,防護具!$Q$30:$Q$212))-FB55,0)</f>
        <v>0</v>
      </c>
      <c r="FD56" s="763">
        <f>IFERROR(
SUM(FC56,SUMIF(防護具!$Y$30:$Y$212,FD$17&amp;$C55,防護具!$Q$30:$Q$212))-FC55,0)</f>
        <v>0</v>
      </c>
      <c r="FE56" s="763">
        <f>IFERROR(
SUM(FD56,SUMIF(防護具!$Y$30:$Y$212,FE$17&amp;$C55,防護具!$Q$30:$Q$212))-FD55,0)</f>
        <v>0</v>
      </c>
      <c r="FF56" s="763">
        <f>IFERROR(
SUM(FE56,SUMIF(防護具!$Y$30:$Y$212,FF$17&amp;$C55,防護具!$Q$30:$Q$212))-FE55,0)</f>
        <v>0</v>
      </c>
      <c r="FG56" s="763">
        <f>IFERROR(
SUM(FF56,SUMIF(防護具!$Y$30:$Y$212,FG$17&amp;$C55,防護具!$Q$30:$Q$212))-FF55,0)</f>
        <v>0</v>
      </c>
      <c r="FH56" s="763">
        <f>IFERROR(
SUM(FG56,SUMIF(防護具!$Y$30:$Y$212,FH$17&amp;$C55,防護具!$Q$30:$Q$212))-FG55,0)</f>
        <v>0</v>
      </c>
      <c r="FI56" s="763">
        <f>IFERROR(
SUM(FH56,SUMIF(防護具!$Y$30:$Y$212,FI$17&amp;$C55,防護具!$Q$30:$Q$212))-FH55,0)</f>
        <v>0</v>
      </c>
      <c r="FJ56" s="763">
        <f>IFERROR(
SUM(FI56,SUMIF(防護具!$Y$30:$Y$212,FJ$17&amp;$C55,防護具!$Q$30:$Q$212))-FI55,0)</f>
        <v>0</v>
      </c>
      <c r="FK56" s="763">
        <f>IFERROR(
SUM(FJ56,SUMIF(防護具!$Y$30:$Y$212,FK$17&amp;$C55,防護具!$Q$30:$Q$212))-FJ55,0)</f>
        <v>0</v>
      </c>
      <c r="FL56" s="763">
        <f>IFERROR(
SUM(FK56,SUMIF(防護具!$Y$30:$Y$212,FL$17&amp;$C55,防護具!$Q$30:$Q$212))-FK55,0)</f>
        <v>0</v>
      </c>
      <c r="FM56" s="763">
        <f>IFERROR(
SUM(FL56,SUMIF(防護具!$Y$30:$Y$212,FM$17&amp;$C55,防護具!$Q$30:$Q$212))-FL55,0)</f>
        <v>0</v>
      </c>
      <c r="FN56" s="763">
        <f>IFERROR(
SUM(FM56,SUMIF(防護具!$Y$30:$Y$212,FN$17&amp;$C55,防護具!$Q$30:$Q$212))-FM55,0)</f>
        <v>0</v>
      </c>
      <c r="FO56" s="763">
        <f>IFERROR(
SUM(FN56,SUMIF(防護具!$Y$30:$Y$212,FO$17&amp;$C55,防護具!$Q$30:$Q$212))-FN55,0)</f>
        <v>0</v>
      </c>
      <c r="FP56" s="763">
        <f>IFERROR(
SUM(FO56,SUMIF(防護具!$Y$30:$Y$212,FP$17&amp;$C55,防護具!$Q$30:$Q$212))-FO55,0)</f>
        <v>0</v>
      </c>
      <c r="FQ56" s="763">
        <f>IFERROR(
SUM(FP56,SUMIF(防護具!$Y$30:$Y$212,FQ$17&amp;$C55,防護具!$Q$30:$Q$212))-FP55,0)</f>
        <v>0</v>
      </c>
      <c r="FR56" s="763">
        <f>IFERROR(
SUM(FQ56,SUMIF(防護具!$Y$30:$Y$212,FR$17&amp;$C55,防護具!$Q$30:$Q$212))-FQ55,0)</f>
        <v>0</v>
      </c>
      <c r="FS56" s="763">
        <f>IFERROR(
SUM(FR56,SUMIF(防護具!$Y$30:$Y$212,FS$17&amp;$C55,防護具!$Q$30:$Q$212))-FR55,0)</f>
        <v>0</v>
      </c>
      <c r="FT56" s="763">
        <f>IFERROR(
SUM(FS56,SUMIF(防護具!$Y$30:$Y$212,FT$17&amp;$C55,防護具!$Q$30:$Q$212))-FS55,0)</f>
        <v>0</v>
      </c>
      <c r="FU56" s="763">
        <f>IFERROR(
SUM(FT56,SUMIF(防護具!$Y$30:$Y$212,FU$17&amp;$C55,防護具!$Q$30:$Q$212))-FT55,0)</f>
        <v>0</v>
      </c>
      <c r="FV56" s="763">
        <f>IFERROR(
SUM(FU56,SUMIF(防護具!$Y$30:$Y$212,FV$17&amp;$C55,防護具!$Q$30:$Q$212))-FU55,0)</f>
        <v>0</v>
      </c>
      <c r="FW56" s="763">
        <f>IFERROR(
SUM(FV56,SUMIF(防護具!$Y$30:$Y$212,FW$17&amp;$C55,防護具!$Q$30:$Q$212))-FV55,0)</f>
        <v>0</v>
      </c>
      <c r="FX56" s="763">
        <f>IFERROR(
SUM(FW56,SUMIF(防護具!$Y$30:$Y$212,FX$17&amp;$C55,防護具!$Q$30:$Q$212))-FW55,0)</f>
        <v>0</v>
      </c>
      <c r="FY56" s="763">
        <f>IFERROR(
SUM(FX56,SUMIF(防護具!$Y$30:$Y$212,FY$17&amp;$C55,防護具!$Q$30:$Q$212))-FX55,0)</f>
        <v>0</v>
      </c>
      <c r="FZ56" s="763">
        <f>IFERROR(
SUM(FY56,SUMIF(防護具!$Y$30:$Y$212,FZ$17&amp;$C55,防護具!$Q$30:$Q$212))-FY55,0)</f>
        <v>0</v>
      </c>
      <c r="GA56" s="763">
        <f>IFERROR(
SUM(FZ56,SUMIF(防護具!$Y$30:$Y$212,GA$17&amp;$C55,防護具!$Q$30:$Q$212))-FZ55,0)</f>
        <v>0</v>
      </c>
      <c r="GB56" s="763">
        <f>IFERROR(
SUM(GA56,SUMIF(防護具!$Y$30:$Y$212,GB$17&amp;$C55,防護具!$Q$30:$Q$212))-GA55,0)</f>
        <v>0</v>
      </c>
      <c r="GC56" s="763">
        <f>IFERROR(
SUM(GB56,SUMIF(防護具!$Y$30:$Y$212,GC$17&amp;$C55,防護具!$Q$30:$Q$212))-GB55,0)</f>
        <v>0</v>
      </c>
      <c r="GD56" s="763">
        <f>IFERROR(
SUM(GC56,SUMIF(防護具!$Y$30:$Y$212,GD$17&amp;$C55,防護具!$Q$30:$Q$212))-GC55,0)</f>
        <v>0</v>
      </c>
      <c r="GE56" s="763">
        <f>IFERROR(
SUM(GD56,SUMIF(防護具!$Y$30:$Y$212,GE$17&amp;$C55,防護具!$Q$30:$Q$212))-GD55,0)</f>
        <v>0</v>
      </c>
      <c r="GF56" s="763">
        <f>IFERROR(
SUM(GE56,SUMIF(防護具!$Y$30:$Y$212,GF$17&amp;$C55,防護具!$Q$30:$Q$212))-GE55,0)</f>
        <v>0</v>
      </c>
      <c r="GG56" s="763">
        <f>IFERROR(
SUM(GF56,SUMIF(防護具!$Y$30:$Y$212,GG$17&amp;$C55,防護具!$Q$30:$Q$212))-GF55,0)</f>
        <v>0</v>
      </c>
      <c r="GH56" s="763">
        <f>IFERROR(
SUM(GG56,SUMIF(防護具!$Y$30:$Y$212,GH$17&amp;$C55,防護具!$Q$30:$Q$212))-GG55,0)</f>
        <v>0</v>
      </c>
      <c r="GI56" s="763">
        <f>IFERROR(
SUM(GH56,SUMIF(防護具!$Y$30:$Y$212,GI$17&amp;$C55,防護具!$Q$30:$Q$212))-GH55,0)</f>
        <v>0</v>
      </c>
      <c r="GJ56" s="763">
        <f>IFERROR(
SUM(GI56,SUMIF(防護具!$Y$30:$Y$212,GJ$17&amp;$C55,防護具!$Q$30:$Q$212))-GI55,0)</f>
        <v>0</v>
      </c>
    </row>
    <row r="57" spans="2:192" s="627" customFormat="1">
      <c r="B57" s="631"/>
      <c r="C57" s="626"/>
      <c r="D57" s="702" t="s">
        <v>1425</v>
      </c>
      <c r="E57" s="707"/>
      <c r="F57" s="654"/>
      <c r="G57" s="763">
        <f xml:space="preserve">
IF(
SUM(SUMIF(防護具!$Y$13:$Y$29,G$17&amp;$C55,防護具!$Q$13:$Q$29),F57)-VLOOKUP($C55,$C$3:$D$15,2,FALSE)*F53&lt;0,0,
SUM(SUMIF(防護具!$Y$13:$Y$29,G$17&amp;$C55,防護具!$Q$13:$Q$29),F57)-VLOOKUP($C55,$C$3:$D$15,2,FALSE)*F53)</f>
        <v>0</v>
      </c>
      <c r="H57" s="763">
        <f xml:space="preserve">
IF(
SUM(SUMIF(防護具!$Y$13:$Y$29,H$17&amp;$C55,防護具!$Q$13:$Q$29),G57)-VLOOKUP($C55,$C$3:$D$15,2,FALSE)*G53&lt;0,0,
SUM(SUMIF(防護具!$Y$13:$Y$29,H$17&amp;$C55,防護具!$Q$13:$Q$29),G57)-VLOOKUP($C55,$C$3:$D$15,2,FALSE)*G53)</f>
        <v>0</v>
      </c>
      <c r="I57" s="763">
        <f xml:space="preserve">
IF(
SUM(SUMIF(防護具!$Y$13:$Y$29,I$17&amp;$C55,防護具!$Q$13:$Q$29),H57)-VLOOKUP($C55,$C$3:$D$15,2,FALSE)*H53&lt;0,0,
SUM(SUMIF(防護具!$Y$13:$Y$29,I$17&amp;$C55,防護具!$Q$13:$Q$29),H57)-VLOOKUP($C55,$C$3:$D$15,2,FALSE)*H53)</f>
        <v>0</v>
      </c>
      <c r="J57" s="763">
        <f xml:space="preserve">
IF(
SUM(SUMIF(防護具!$Y$13:$Y$29,J$17&amp;$C55,防護具!$Q$13:$Q$29),I57)-VLOOKUP($C55,$C$3:$D$15,2,FALSE)*I53&lt;0,0,
SUM(SUMIF(防護具!$Y$13:$Y$29,J$17&amp;$C55,防護具!$Q$13:$Q$29),I57)-VLOOKUP($C55,$C$3:$D$15,2,FALSE)*I53)</f>
        <v>0</v>
      </c>
      <c r="K57" s="763">
        <f xml:space="preserve">
IF(
SUM(SUMIF(防護具!$Y$13:$Y$29,K$17&amp;$C55,防護具!$Q$13:$Q$29),J57)-VLOOKUP($C55,$C$3:$D$15,2,FALSE)*J53&lt;0,0,
SUM(SUMIF(防護具!$Y$13:$Y$29,K$17&amp;$C55,防護具!$Q$13:$Q$29),J57)-VLOOKUP($C55,$C$3:$D$15,2,FALSE)*J53)</f>
        <v>0</v>
      </c>
      <c r="L57" s="763">
        <f xml:space="preserve">
IF(
SUM(SUMIF(防護具!$Y$13:$Y$29,L$17&amp;$C55,防護具!$Q$13:$Q$29),K57)-VLOOKUP($C55,$C$3:$D$15,2,FALSE)*K53&lt;0,0,
SUM(SUMIF(防護具!$Y$13:$Y$29,L$17&amp;$C55,防護具!$Q$13:$Q$29),K57)-VLOOKUP($C55,$C$3:$D$15,2,FALSE)*K53)</f>
        <v>0</v>
      </c>
      <c r="M57" s="763">
        <f xml:space="preserve">
IF(
SUM(SUMIF(防護具!$Y$13:$Y$29,M$17&amp;$C55,防護具!$Q$13:$Q$29),L57)-VLOOKUP($C55,$C$3:$D$15,2,FALSE)*L53&lt;0,0,
SUM(SUMIF(防護具!$Y$13:$Y$29,M$17&amp;$C55,防護具!$Q$13:$Q$29),L57)-VLOOKUP($C55,$C$3:$D$15,2,FALSE)*L53)</f>
        <v>0</v>
      </c>
      <c r="N57" s="763">
        <f xml:space="preserve">
IF(
SUM(SUMIF(防護具!$Y$13:$Y$29,N$17&amp;$C55,防護具!$Q$13:$Q$29),M57)-VLOOKUP($C55,$C$3:$D$15,2,FALSE)*M53&lt;0,0,
SUM(SUMIF(防護具!$Y$13:$Y$29,N$17&amp;$C55,防護具!$Q$13:$Q$29),M57)-VLOOKUP($C55,$C$3:$D$15,2,FALSE)*M53)</f>
        <v>0</v>
      </c>
      <c r="O57" s="763">
        <f xml:space="preserve">
IF(
SUM(SUMIF(防護具!$Y$13:$Y$29,O$17&amp;$C55,防護具!$Q$13:$Q$29),N57)-VLOOKUP($C55,$C$3:$D$15,2,FALSE)*N53&lt;0,0,
SUM(SUMIF(防護具!$Y$13:$Y$29,O$17&amp;$C55,防護具!$Q$13:$Q$29),N57)-VLOOKUP($C55,$C$3:$D$15,2,FALSE)*N53)</f>
        <v>0</v>
      </c>
      <c r="P57" s="763">
        <f xml:space="preserve">
IF(
SUM(SUMIF(防護具!$Y$13:$Y$29,P$17&amp;$C55,防護具!$Q$13:$Q$29),O57)-VLOOKUP($C55,$C$3:$D$15,2,FALSE)*O53&lt;0,0,
SUM(SUMIF(防護具!$Y$13:$Y$29,P$17&amp;$C55,防護具!$Q$13:$Q$29),O57)-VLOOKUP($C55,$C$3:$D$15,2,FALSE)*O53)</f>
        <v>0</v>
      </c>
      <c r="Q57" s="763">
        <f xml:space="preserve">
IF(
SUM(SUMIF(防護具!$Y$13:$Y$29,Q$17&amp;$C55,防護具!$Q$13:$Q$29),P57)-VLOOKUP($C55,$C$3:$D$15,2,FALSE)*P$20&lt;0,0,
SUM(SUMIF(防護具!$Y$13:$Y$29,Q$17&amp;$C55,防護具!$Q$13:$Q$29),P57)-VLOOKUP($C55,$C$3:$D$15,2,FALSE)*P$20)</f>
        <v>0</v>
      </c>
      <c r="R57" s="763">
        <f xml:space="preserve">
IF(
SUM(SUMIF(防護具!$Y$13:$Y$29,R$17&amp;$C55,防護具!$Q$13:$Q$29),Q57)-VLOOKUP($C55,$C$3:$D$15,2,FALSE)*Q$20&lt;0,0,
SUM(SUMIF(防護具!$Y$13:$Y$29,R$17&amp;$C55,防護具!$Q$13:$Q$29),Q57)-VLOOKUP($C55,$C$3:$D$15,2,FALSE)*Q$20)</f>
        <v>0</v>
      </c>
      <c r="S57" s="763">
        <f xml:space="preserve">
IF(
SUM(SUMIF(防護具!$Y$13:$Y$29,S$17&amp;$C55,防護具!$Q$13:$Q$29),R57)-VLOOKUP($C55,$C$3:$D$15,2,FALSE)*R$20&lt;0,0,
SUM(SUMIF(防護具!$Y$13:$Y$29,S$17&amp;$C55,防護具!$Q$13:$Q$29),R57)-VLOOKUP($C55,$C$3:$D$15,2,FALSE)*R$20)</f>
        <v>0</v>
      </c>
      <c r="T57" s="763">
        <f xml:space="preserve">
IF(
SUM(SUMIF(防護具!$Y$13:$Y$29,T$17&amp;$C55,防護具!$Q$13:$Q$29),S57)-VLOOKUP($C55,$C$3:$D$15,2,FALSE)*S$20&lt;0,0,
SUM(SUMIF(防護具!$Y$13:$Y$29,T$17&amp;$C55,防護具!$Q$13:$Q$29),S57)-VLOOKUP($C55,$C$3:$D$15,2,FALSE)*S$20)</f>
        <v>0</v>
      </c>
      <c r="U57" s="763">
        <f xml:space="preserve">
IF(
SUM(SUMIF(防護具!$Y$13:$Y$29,U$17&amp;$C55,防護具!$Q$13:$Q$29),T57)-VLOOKUP($C55,$C$3:$D$15,2,FALSE)*T$20&lt;0,0,
SUM(SUMIF(防護具!$Y$13:$Y$29,U$17&amp;$C55,防護具!$Q$13:$Q$29),T57)-VLOOKUP($C55,$C$3:$D$15,2,FALSE)*T$20)</f>
        <v>0</v>
      </c>
      <c r="V57" s="763">
        <f xml:space="preserve">
IF(
SUM(SUMIF(防護具!$Y$13:$Y$29,V$17&amp;$C55,防護具!$Q$13:$Q$29),U57)-VLOOKUP($C55,$C$3:$D$15,2,FALSE)*U$20&lt;0,0,
SUM(SUMIF(防護具!$Y$13:$Y$29,V$17&amp;$C55,防護具!$Q$13:$Q$29),U57)-VLOOKUP($C55,$C$3:$D$15,2,FALSE)*U$20)</f>
        <v>0</v>
      </c>
      <c r="W57" s="763">
        <f xml:space="preserve">
IF(
SUM(SUMIF(防護具!$Y$13:$Y$29,W$17&amp;$C55,防護具!$Q$13:$Q$29),V57)-VLOOKUP($C55,$C$3:$D$15,2,FALSE)*V$20&lt;0,0,
SUM(SUMIF(防護具!$Y$13:$Y$29,W$17&amp;$C55,防護具!$Q$13:$Q$29),V57)-VLOOKUP($C55,$C$3:$D$15,2,FALSE)*V$20)</f>
        <v>0</v>
      </c>
      <c r="X57" s="763">
        <f xml:space="preserve">
IF(
SUM(SUMIF(防護具!$Y$13:$Y$29,X$17&amp;$C55,防護具!$Q$13:$Q$29),W57)-VLOOKUP($C55,$C$3:$D$15,2,FALSE)*W$20&lt;0,0,
SUM(SUMIF(防護具!$Y$13:$Y$29,X$17&amp;$C55,防護具!$Q$13:$Q$29),W57)-VLOOKUP($C55,$C$3:$D$15,2,FALSE)*W$20)</f>
        <v>0</v>
      </c>
      <c r="Y57" s="763">
        <f xml:space="preserve">
IF(
SUM(SUMIF(防護具!$Y$13:$Y$29,Y$17&amp;$C55,防護具!$Q$13:$Q$29),X57)-VLOOKUP($C55,$C$3:$D$15,2,FALSE)*X$20&lt;0,0,
SUM(SUMIF(防護具!$Y$13:$Y$29,Y$17&amp;$C55,防護具!$Q$13:$Q$29),X57)-VLOOKUP($C55,$C$3:$D$15,2,FALSE)*X$20)</f>
        <v>0</v>
      </c>
      <c r="Z57" s="763">
        <f xml:space="preserve">
IF(
SUM(SUMIF(防護具!$Y$13:$Y$29,Z$17&amp;$C55,防護具!$Q$13:$Q$29),Y57)-VLOOKUP($C55,$C$3:$D$15,2,FALSE)*Y$20&lt;0,0,
SUM(SUMIF(防護具!$Y$13:$Y$29,Z$17&amp;$C55,防護具!$Q$13:$Q$29),Y57)-VLOOKUP($C55,$C$3:$D$15,2,FALSE)*Y$20)</f>
        <v>0</v>
      </c>
      <c r="AA57" s="763">
        <f xml:space="preserve">
IF(
SUM(SUMIF(防護具!$Y$13:$Y$29,AA$17&amp;$C55,防護具!$Q$13:$Q$29),Z57)-VLOOKUP($C55,$C$3:$D$15,2,FALSE)*Z$20&lt;0,0,
SUM(SUMIF(防護具!$Y$13:$Y$29,AA$17&amp;$C55,防護具!$Q$13:$Q$29),Z57)-VLOOKUP($C55,$C$3:$D$15,2,FALSE)*Z$20)</f>
        <v>0</v>
      </c>
      <c r="AB57" s="763">
        <f xml:space="preserve">
IF(
SUM(SUMIF(防護具!$Y$13:$Y$29,AB$17&amp;$C55,防護具!$Q$13:$Q$29),AA57)-VLOOKUP($C55,$C$3:$D$15,2,FALSE)*AA$20&lt;0,0,
SUM(SUMIF(防護具!$Y$13:$Y$29,AB$17&amp;$C55,防護具!$Q$13:$Q$29),AA57)-VLOOKUP($C55,$C$3:$D$15,2,FALSE)*AA$20)</f>
        <v>0</v>
      </c>
      <c r="AC57" s="763">
        <f xml:space="preserve">
IF(
SUM(SUMIF(防護具!$Y$13:$Y$29,AC$17&amp;$C55,防護具!$Q$13:$Q$29),AB57)-VLOOKUP($C55,$C$3:$D$15,2,FALSE)*AB$20&lt;0,0,
SUM(SUMIF(防護具!$Y$13:$Y$29,AC$17&amp;$C55,防護具!$Q$13:$Q$29),AB57)-VLOOKUP($C55,$C$3:$D$15,2,FALSE)*AB$20)</f>
        <v>0</v>
      </c>
      <c r="AD57" s="763">
        <f xml:space="preserve">
IF(
SUM(SUMIF(防護具!$Y$13:$Y$29,AD$17&amp;$C55,防護具!$Q$13:$Q$29),AC57)-VLOOKUP($C55,$C$3:$D$15,2,FALSE)*AC$20&lt;0,0,
SUM(SUMIF(防護具!$Y$13:$Y$29,AD$17&amp;$C55,防護具!$Q$13:$Q$29),AC57)-VLOOKUP($C55,$C$3:$D$15,2,FALSE)*AC$20)</f>
        <v>0</v>
      </c>
      <c r="AE57" s="763">
        <f xml:space="preserve">
IF(
SUM(SUMIF(防護具!$Y$13:$Y$29,AE$17&amp;$C55,防護具!$Q$13:$Q$29),AD57)-VLOOKUP($C55,$C$3:$D$15,2,FALSE)*AD$20&lt;0,0,
SUM(SUMIF(防護具!$Y$13:$Y$29,AE$17&amp;$C55,防護具!$Q$13:$Q$29),AD57)-VLOOKUP($C55,$C$3:$D$15,2,FALSE)*AD$20)</f>
        <v>0</v>
      </c>
      <c r="AF57" s="763">
        <f xml:space="preserve">
IF(
SUM(SUMIF(防護具!$Y$13:$Y$29,AF$17&amp;$C55,防護具!$Q$13:$Q$29),AE57)-VLOOKUP($C55,$C$3:$D$15,2,FALSE)*AE$20&lt;0,0,
SUM(SUMIF(防護具!$Y$13:$Y$29,AF$17&amp;$C55,防護具!$Q$13:$Q$29),AE57)-VLOOKUP($C55,$C$3:$D$15,2,FALSE)*AE$20)</f>
        <v>0</v>
      </c>
      <c r="AG57" s="763">
        <f xml:space="preserve">
IF(
SUM(SUMIF(防護具!$Y$13:$Y$29,AG$17&amp;$C55,防護具!$Q$13:$Q$29),AF57)-VLOOKUP($C55,$C$3:$D$15,2,FALSE)*AF$20&lt;0,0,
SUM(SUMIF(防護具!$Y$13:$Y$29,AG$17&amp;$C55,防護具!$Q$13:$Q$29),AF57)-VLOOKUP($C55,$C$3:$D$15,2,FALSE)*AF$20)</f>
        <v>0</v>
      </c>
      <c r="AH57" s="763">
        <f xml:space="preserve">
IF(
SUM(SUMIF(防護具!$Y$13:$Y$29,AH$17&amp;$C55,防護具!$Q$13:$Q$29),AG57)-VLOOKUP($C55,$C$3:$D$15,2,FALSE)*AG$20&lt;0,0,
SUM(SUMIF(防護具!$Y$13:$Y$29,AH$17&amp;$C55,防護具!$Q$13:$Q$29),AG57)-VLOOKUP($C55,$C$3:$D$15,2,FALSE)*AG$20)</f>
        <v>0</v>
      </c>
      <c r="AI57" s="763">
        <f xml:space="preserve">
IF(
SUM(SUMIF(防護具!$Y$13:$Y$29,AI$17&amp;$C55,防護具!$Q$13:$Q$29),AH57)-VLOOKUP($C55,$C$3:$D$15,2,FALSE)*AH$20&lt;0,0,
SUM(SUMIF(防護具!$Y$13:$Y$29,AI$17&amp;$C55,防護具!$Q$13:$Q$29),AH57)-VLOOKUP($C55,$C$3:$D$15,2,FALSE)*AH$20)</f>
        <v>0</v>
      </c>
      <c r="AJ57" s="763">
        <f xml:space="preserve">
IF(
SUM(SUMIF(防護具!$Y$13:$Y$29,AJ$17&amp;$C55,防護具!$Q$13:$Q$29),AI57)-VLOOKUP($C55,$C$3:$D$15,2,FALSE)*AI$20&lt;0,0,
SUM(SUMIF(防護具!$Y$13:$Y$29,AJ$17&amp;$C55,防護具!$Q$13:$Q$29),AI57)-VLOOKUP($C55,$C$3:$D$15,2,FALSE)*AI$20)</f>
        <v>0</v>
      </c>
      <c r="AK57" s="763">
        <f xml:space="preserve">
IF(
SUM(SUMIF(防護具!$Y$13:$Y$29,AK$17&amp;$C55,防護具!$Q$13:$Q$29),AJ57)-VLOOKUP($C55,$C$3:$D$15,2,FALSE)*AJ$20&lt;0,0,
SUM(SUMIF(防護具!$Y$13:$Y$29,AK$17&amp;$C55,防護具!$Q$13:$Q$29),AJ57)-VLOOKUP($C55,$C$3:$D$15,2,FALSE)*AJ$20)</f>
        <v>0</v>
      </c>
      <c r="AL57" s="763">
        <f xml:space="preserve">
IF(
SUM(SUMIF(防護具!$Y$13:$Y$29,AL$17&amp;$C55,防護具!$Q$13:$Q$29),AK57)-VLOOKUP($C55,$C$3:$D$15,2,FALSE)*AK$20&lt;0,0,
SUM(SUMIF(防護具!$Y$13:$Y$29,AL$17&amp;$C55,防護具!$Q$13:$Q$29),AK57)-VLOOKUP($C55,$C$3:$D$15,2,FALSE)*AK$20)</f>
        <v>0</v>
      </c>
      <c r="AM57" s="763">
        <f xml:space="preserve">
IF(
SUM(SUMIF(防護具!$Y$13:$Y$29,AM$17&amp;$C55,防護具!$Q$13:$Q$29),AL57)-VLOOKUP($C55,$C$3:$D$15,2,FALSE)*AL$20&lt;0,0,
SUM(SUMIF(防護具!$Y$13:$Y$29,AM$17&amp;$C55,防護具!$Q$13:$Q$29),AL57)-VLOOKUP($C55,$C$3:$D$15,2,FALSE)*AL$20)</f>
        <v>0</v>
      </c>
      <c r="AN57" s="763">
        <f xml:space="preserve">
IF(
SUM(SUMIF(防護具!$Y$13:$Y$29,AN$17&amp;$C55,防護具!$Q$13:$Q$29),AM57)-VLOOKUP($C55,$C$3:$D$15,2,FALSE)*AM$20&lt;0,0,
SUM(SUMIF(防護具!$Y$13:$Y$29,AN$17&amp;$C55,防護具!$Q$13:$Q$29),AM57)-VLOOKUP($C55,$C$3:$D$15,2,FALSE)*AM$20)</f>
        <v>0</v>
      </c>
      <c r="AO57" s="763">
        <f xml:space="preserve">
IF(
SUM(SUMIF(防護具!$Y$13:$Y$29,AO$17&amp;$C55,防護具!$Q$13:$Q$29),AN57)-VLOOKUP($C55,$C$3:$D$15,2,FALSE)*AN$20&lt;0,0,
SUM(SUMIF(防護具!$Y$13:$Y$29,AO$17&amp;$C55,防護具!$Q$13:$Q$29),AN57)-VLOOKUP($C55,$C$3:$D$15,2,FALSE)*AN$20)</f>
        <v>0</v>
      </c>
      <c r="AP57" s="763">
        <f xml:space="preserve">
IF(
SUM(SUMIF(防護具!$Y$13:$Y$29,AP$17&amp;$C55,防護具!$Q$13:$Q$29),AO57)-VLOOKUP($C55,$C$3:$D$15,2,FALSE)*AO$20&lt;0,0,
SUM(SUMIF(防護具!$Y$13:$Y$29,AP$17&amp;$C55,防護具!$Q$13:$Q$29),AO57)-VLOOKUP($C55,$C$3:$D$15,2,FALSE)*AO$20)</f>
        <v>0</v>
      </c>
      <c r="AQ57" s="763">
        <f xml:space="preserve">
IF(
SUM(SUMIF(防護具!$Y$13:$Y$29,AQ$17&amp;$C55,防護具!$Q$13:$Q$29),AP57)-VLOOKUP($C55,$C$3:$D$15,2,FALSE)*AP$20&lt;0,0,
SUM(SUMIF(防護具!$Y$13:$Y$29,AQ$17&amp;$C55,防護具!$Q$13:$Q$29),AP57)-VLOOKUP($C55,$C$3:$D$15,2,FALSE)*AP$20)</f>
        <v>0</v>
      </c>
      <c r="AR57" s="763">
        <f xml:space="preserve">
IF(
SUM(SUMIF(防護具!$Y$13:$Y$29,AR$17&amp;$C55,防護具!$Q$13:$Q$29),AQ57)-VLOOKUP($C55,$C$3:$D$15,2,FALSE)*AQ$20&lt;0,0,
SUM(SUMIF(防護具!$Y$13:$Y$29,AR$17&amp;$C55,防護具!$Q$13:$Q$29),AQ57)-VLOOKUP($C55,$C$3:$D$15,2,FALSE)*AQ$20)</f>
        <v>0</v>
      </c>
      <c r="AS57" s="763">
        <f xml:space="preserve">
IF(
SUM(SUMIF(防護具!$Y$13:$Y$29,AS$17&amp;$C55,防護具!$Q$13:$Q$29),AR57)-VLOOKUP($C55,$C$3:$D$15,2,FALSE)*AR$20&lt;0,0,
SUM(SUMIF(防護具!$Y$13:$Y$29,AS$17&amp;$C55,防護具!$Q$13:$Q$29),AR57)-VLOOKUP($C55,$C$3:$D$15,2,FALSE)*AR$20)</f>
        <v>0</v>
      </c>
      <c r="AT57" s="763">
        <f xml:space="preserve">
IF(
SUM(SUMIF(防護具!$Y$13:$Y$29,AT$17&amp;$C55,防護具!$Q$13:$Q$29),AS57)-VLOOKUP($C55,$C$3:$D$15,2,FALSE)*AS$20&lt;0,0,
SUM(SUMIF(防護具!$Y$13:$Y$29,AT$17&amp;$C55,防護具!$Q$13:$Q$29),AS57)-VLOOKUP($C55,$C$3:$D$15,2,FALSE)*AS$20)</f>
        <v>0</v>
      </c>
      <c r="AU57" s="763">
        <f xml:space="preserve">
IF(
SUM(SUMIF(防護具!$Y$13:$Y$29,AU$17&amp;$C55,防護具!$Q$13:$Q$29),AT57)-VLOOKUP($C55,$C$3:$D$15,2,FALSE)*AT$20&lt;0,0,
SUM(SUMIF(防護具!$Y$13:$Y$29,AU$17&amp;$C55,防護具!$Q$13:$Q$29),AT57)-VLOOKUP($C55,$C$3:$D$15,2,FALSE)*AT$20)</f>
        <v>0</v>
      </c>
      <c r="AV57" s="763">
        <f xml:space="preserve">
IF(
SUM(SUMIF(防護具!$Y$13:$Y$29,AV$17&amp;$C55,防護具!$Q$13:$Q$29),AU57)-VLOOKUP($C55,$C$3:$D$15,2,FALSE)*AU$20&lt;0,0,
SUM(SUMIF(防護具!$Y$13:$Y$29,AV$17&amp;$C55,防護具!$Q$13:$Q$29),AU57)-VLOOKUP($C55,$C$3:$D$15,2,FALSE)*AU$20)</f>
        <v>0</v>
      </c>
      <c r="AW57" s="763">
        <f xml:space="preserve">
IF(
SUM(SUMIF(防護具!$Y$13:$Y$29,AW$17&amp;$C55,防護具!$Q$13:$Q$29),AV57)-VLOOKUP($C55,$C$3:$D$15,2,FALSE)*AV$20&lt;0,0,
SUM(SUMIF(防護具!$Y$13:$Y$29,AW$17&amp;$C55,防護具!$Q$13:$Q$29),AV57)-VLOOKUP($C55,$C$3:$D$15,2,FALSE)*AV$20)</f>
        <v>0</v>
      </c>
      <c r="AX57" s="763">
        <f xml:space="preserve">
IF(
SUM(SUMIF(防護具!$Y$13:$Y$29,AX$17&amp;$C55,防護具!$Q$13:$Q$29),AW57)-VLOOKUP($C55,$C$3:$D$15,2,FALSE)*AW$20&lt;0,0,
SUM(SUMIF(防護具!$Y$13:$Y$29,AX$17&amp;$C55,防護具!$Q$13:$Q$29),AW57)-VLOOKUP($C55,$C$3:$D$15,2,FALSE)*AW$20)</f>
        <v>0</v>
      </c>
      <c r="AY57" s="763">
        <f xml:space="preserve">
IF(
SUM(SUMIF(防護具!$Y$13:$Y$29,AY$17&amp;$C55,防護具!$Q$13:$Q$29),AX57)-VLOOKUP($C55,$C$3:$D$15,2,FALSE)*AX$20&lt;0,0,
SUM(SUMIF(防護具!$Y$13:$Y$29,AY$17&amp;$C55,防護具!$Q$13:$Q$29),AX57)-VLOOKUP($C55,$C$3:$D$15,2,FALSE)*AX$20)</f>
        <v>0</v>
      </c>
      <c r="AZ57" s="763">
        <f xml:space="preserve">
IF(
SUM(SUMIF(防護具!$Y$13:$Y$29,AZ$17&amp;$C55,防護具!$Q$13:$Q$29),AY57)-VLOOKUP($C55,$C$3:$D$15,2,FALSE)*AY$20&lt;0,0,
SUM(SUMIF(防護具!$Y$13:$Y$29,AZ$17&amp;$C55,防護具!$Q$13:$Q$29),AY57)-VLOOKUP($C55,$C$3:$D$15,2,FALSE)*AY$20)</f>
        <v>0</v>
      </c>
      <c r="BA57" s="763">
        <f xml:space="preserve">
IF(
SUM(SUMIF(防護具!$Y$13:$Y$29,BA$17&amp;$C55,防護具!$Q$13:$Q$29),AZ57)-VLOOKUP($C55,$C$3:$D$15,2,FALSE)*AZ$20&lt;0,0,
SUM(SUMIF(防護具!$Y$13:$Y$29,BA$17&amp;$C55,防護具!$Q$13:$Q$29),AZ57)-VLOOKUP($C55,$C$3:$D$15,2,FALSE)*AZ$20)</f>
        <v>0</v>
      </c>
      <c r="BB57" s="763">
        <f xml:space="preserve">
IF(
SUM(SUMIF(防護具!$Y$13:$Y$29,BB$17&amp;$C55,防護具!$Q$13:$Q$29),BA57)-VLOOKUP($C55,$C$3:$D$15,2,FALSE)*BA$20&lt;0,0,
SUM(SUMIF(防護具!$Y$13:$Y$29,BB$17&amp;$C55,防護具!$Q$13:$Q$29),BA57)-VLOOKUP($C55,$C$3:$D$15,2,FALSE)*BA$20)</f>
        <v>0</v>
      </c>
      <c r="BC57" s="763">
        <f xml:space="preserve">
IF(
SUM(SUMIF(防護具!$Y$13:$Y$29,BC$17&amp;$C55,防護具!$Q$13:$Q$29),BB57)-VLOOKUP($C55,$C$3:$D$15,2,FALSE)*BB$20&lt;0,0,
SUM(SUMIF(防護具!$Y$13:$Y$29,BC$17&amp;$C55,防護具!$Q$13:$Q$29),BB57)-VLOOKUP($C55,$C$3:$D$15,2,FALSE)*BB$20)</f>
        <v>0</v>
      </c>
      <c r="BD57" s="763">
        <f xml:space="preserve">
IF(
SUM(SUMIF(防護具!$Y$13:$Y$29,BD$17&amp;$C55,防護具!$Q$13:$Q$29),BC57)-VLOOKUP($C55,$C$3:$D$15,2,FALSE)*BC$20&lt;0,0,
SUM(SUMIF(防護具!$Y$13:$Y$29,BD$17&amp;$C55,防護具!$Q$13:$Q$29),BC57)-VLOOKUP($C55,$C$3:$D$15,2,FALSE)*BC$20)</f>
        <v>0</v>
      </c>
      <c r="BE57" s="763">
        <f xml:space="preserve">
IF(
SUM(SUMIF(防護具!$Y$13:$Y$29,BE$17&amp;$C55,防護具!$Q$13:$Q$29),BD57)-VLOOKUP($C55,$C$3:$D$15,2,FALSE)*BD$20&lt;0,0,
SUM(SUMIF(防護具!$Y$13:$Y$29,BE$17&amp;$C55,防護具!$Q$13:$Q$29),BD57)-VLOOKUP($C55,$C$3:$D$15,2,FALSE)*BD$20)</f>
        <v>0</v>
      </c>
      <c r="BF57" s="763">
        <f xml:space="preserve">
IF(
SUM(SUMIF(防護具!$Y$13:$Y$29,BF$17&amp;$C55,防護具!$Q$13:$Q$29),BE57)-VLOOKUP($C55,$C$3:$D$15,2,FALSE)*BE$20&lt;0,0,
SUM(SUMIF(防護具!$Y$13:$Y$29,BF$17&amp;$C55,防護具!$Q$13:$Q$29),BE57)-VLOOKUP($C55,$C$3:$D$15,2,FALSE)*BE$20)</f>
        <v>0</v>
      </c>
      <c r="BG57" s="763">
        <f xml:space="preserve">
IF(
SUM(SUMIF(防護具!$Y$13:$Y$29,BG$17&amp;$C55,防護具!$Q$13:$Q$29),BF57)-VLOOKUP($C55,$C$3:$D$15,2,FALSE)*BF$20&lt;0,0,
SUM(SUMIF(防護具!$Y$13:$Y$29,BG$17&amp;$C55,防護具!$Q$13:$Q$29),BF57)-VLOOKUP($C55,$C$3:$D$15,2,FALSE)*BF$20)</f>
        <v>0</v>
      </c>
      <c r="BH57" s="763">
        <f xml:space="preserve">
IF(
SUM(SUMIF(防護具!$Y$13:$Y$29,BH$17&amp;$C55,防護具!$Q$13:$Q$29),BG57)-VLOOKUP($C55,$C$3:$D$15,2,FALSE)*BG$20&lt;0,0,
SUM(SUMIF(防護具!$Y$13:$Y$29,BH$17&amp;$C55,防護具!$Q$13:$Q$29),BG57)-VLOOKUP($C55,$C$3:$D$15,2,FALSE)*BG$20)</f>
        <v>0</v>
      </c>
      <c r="BI57" s="763">
        <f xml:space="preserve">
IF(
SUM(SUMIF(防護具!$Y$13:$Y$29,BI$17&amp;$C55,防護具!$Q$13:$Q$29),BH57)-VLOOKUP($C55,$C$3:$D$15,2,FALSE)*BH$20&lt;0,0,
SUM(SUMIF(防護具!$Y$13:$Y$29,BI$17&amp;$C55,防護具!$Q$13:$Q$29),BH57)-VLOOKUP($C55,$C$3:$D$15,2,FALSE)*BH$20)</f>
        <v>0</v>
      </c>
      <c r="BJ57" s="763">
        <f xml:space="preserve">
IF(
SUM(SUMIF(防護具!$Y$13:$Y$29,BJ$17&amp;$C55,防護具!$Q$13:$Q$29),BI57)-VLOOKUP($C55,$C$3:$D$15,2,FALSE)*BI$20&lt;0,0,
SUM(SUMIF(防護具!$Y$13:$Y$29,BJ$17&amp;$C55,防護具!$Q$13:$Q$29),BI57)-VLOOKUP($C55,$C$3:$D$15,2,FALSE)*BI$20)</f>
        <v>0</v>
      </c>
      <c r="BK57" s="763">
        <f xml:space="preserve">
IF(
SUM(SUMIF(防護具!$Y$13:$Y$29,BK$17&amp;$C55,防護具!$Q$13:$Q$29),BJ57)-VLOOKUP($C55,$C$3:$D$15,2,FALSE)*BJ$20&lt;0,0,
SUM(SUMIF(防護具!$Y$13:$Y$29,BK$17&amp;$C55,防護具!$Q$13:$Q$29),BJ57)-VLOOKUP($C55,$C$3:$D$15,2,FALSE)*BJ$20)</f>
        <v>0</v>
      </c>
      <c r="BL57" s="763">
        <f xml:space="preserve">
IF(
SUM(SUMIF(防護具!$Y$13:$Y$29,BL$17&amp;$C55,防護具!$Q$13:$Q$29),BK57)-VLOOKUP($C55,$C$3:$D$15,2,FALSE)*BK$20&lt;0,0,
SUM(SUMIF(防護具!$Y$13:$Y$29,BL$17&amp;$C55,防護具!$Q$13:$Q$29),BK57)-VLOOKUP($C55,$C$3:$D$15,2,FALSE)*BK$20)</f>
        <v>0</v>
      </c>
      <c r="BM57" s="763">
        <f xml:space="preserve">
IF(
SUM(SUMIF(防護具!$Y$13:$Y$29,BM$17&amp;$C55,防護具!$Q$13:$Q$29),BL57)-VLOOKUP($C55,$C$3:$D$15,2,FALSE)*BL$20&lt;0,0,
SUM(SUMIF(防護具!$Y$13:$Y$29,BM$17&amp;$C55,防護具!$Q$13:$Q$29),BL57)-VLOOKUP($C55,$C$3:$D$15,2,FALSE)*BL$20)</f>
        <v>0</v>
      </c>
      <c r="BN57" s="763">
        <f xml:space="preserve">
IF(
SUM(SUMIF(防護具!$Y$13:$Y$29,BN$17&amp;$C55,防護具!$Q$13:$Q$29),BM57)-VLOOKUP($C55,$C$3:$D$15,2,FALSE)*BM$20&lt;0,0,
SUM(SUMIF(防護具!$Y$13:$Y$29,BN$17&amp;$C55,防護具!$Q$13:$Q$29),BM57)-VLOOKUP($C55,$C$3:$D$15,2,FALSE)*BM$20)</f>
        <v>0</v>
      </c>
      <c r="BO57" s="763">
        <f xml:space="preserve">
IF(
SUM(SUMIF(防護具!$Y$13:$Y$29,BO$17&amp;$C55,防護具!$Q$13:$Q$29),BN57)-VLOOKUP($C55,$C$3:$D$15,2,FALSE)*BN$20&lt;0,0,
SUM(SUMIF(防護具!$Y$13:$Y$29,BO$17&amp;$C55,防護具!$Q$13:$Q$29),BN57)-VLOOKUP($C55,$C$3:$D$15,2,FALSE)*BN$20)</f>
        <v>0</v>
      </c>
      <c r="BP57" s="763">
        <f xml:space="preserve">
IF(
SUM(SUMIF(防護具!$Y$13:$Y$29,BP$17&amp;$C55,防護具!$Q$13:$Q$29),BO57)-VLOOKUP($C55,$C$3:$D$15,2,FALSE)*BO$20&lt;0,0,
SUM(SUMIF(防護具!$Y$13:$Y$29,BP$17&amp;$C55,防護具!$Q$13:$Q$29),BO57)-VLOOKUP($C55,$C$3:$D$15,2,FALSE)*BO$20)</f>
        <v>0</v>
      </c>
      <c r="BQ57" s="763">
        <f xml:space="preserve">
IF(
SUM(SUMIF(防護具!$Y$13:$Y$29,BQ$17&amp;$C55,防護具!$Q$13:$Q$29),BP57)-VLOOKUP($C55,$C$3:$D$15,2,FALSE)*BP$20&lt;0,0,
SUM(SUMIF(防護具!$Y$13:$Y$29,BQ$17&amp;$C55,防護具!$Q$13:$Q$29),BP57)-VLOOKUP($C55,$C$3:$D$15,2,FALSE)*BP$20)</f>
        <v>0</v>
      </c>
      <c r="BR57" s="763">
        <f xml:space="preserve">
IF(
SUM(SUMIF(防護具!$Y$13:$Y$29,BR$17&amp;$C55,防護具!$Q$13:$Q$29),BQ57)-VLOOKUP($C55,$C$3:$D$15,2,FALSE)*BQ$20&lt;0,0,
SUM(SUMIF(防護具!$Y$13:$Y$29,BR$17&amp;$C55,防護具!$Q$13:$Q$29),BQ57)-VLOOKUP($C55,$C$3:$D$15,2,FALSE)*BQ$20)</f>
        <v>0</v>
      </c>
      <c r="BS57" s="763">
        <f xml:space="preserve">
IF(
SUM(SUMIF(防護具!$Y$13:$Y$29,BS$17&amp;$C55,防護具!$Q$13:$Q$29),BR57)-VLOOKUP($C55,$C$3:$D$15,2,FALSE)*BR$20&lt;0,0,
SUM(SUMIF(防護具!$Y$13:$Y$29,BS$17&amp;$C55,防護具!$Q$13:$Q$29),BR57)-VLOOKUP($C55,$C$3:$D$15,2,FALSE)*BR$20)</f>
        <v>0</v>
      </c>
      <c r="BT57" s="763">
        <f xml:space="preserve">
IF(
SUM(SUMIF(防護具!$Y$13:$Y$29,BT$17&amp;$C55,防護具!$Q$13:$Q$29),BS57)-VLOOKUP($C55,$C$3:$D$15,2,FALSE)*BS$20&lt;0,0,
SUM(SUMIF(防護具!$Y$13:$Y$29,BT$17&amp;$C55,防護具!$Q$13:$Q$29),BS57)-VLOOKUP($C55,$C$3:$D$15,2,FALSE)*BS$20)</f>
        <v>0</v>
      </c>
      <c r="BU57" s="763">
        <f xml:space="preserve">
IF(
SUM(SUMIF(防護具!$Y$13:$Y$29,BU$17&amp;$C55,防護具!$Q$13:$Q$29),BT57)-VLOOKUP($C55,$C$3:$D$15,2,FALSE)*BT$20&lt;0,0,
SUM(SUMIF(防護具!$Y$13:$Y$29,BU$17&amp;$C55,防護具!$Q$13:$Q$29),BT57)-VLOOKUP($C55,$C$3:$D$15,2,FALSE)*BT$20)</f>
        <v>0</v>
      </c>
      <c r="BV57" s="763">
        <f xml:space="preserve">
IF(
SUM(SUMIF(防護具!$Y$13:$Y$29,BV$17&amp;$C55,防護具!$Q$13:$Q$29),BU57)-VLOOKUP($C55,$C$3:$D$15,2,FALSE)*BU$20&lt;0,0,
SUM(SUMIF(防護具!$Y$13:$Y$29,BV$17&amp;$C55,防護具!$Q$13:$Q$29),BU57)-VLOOKUP($C55,$C$3:$D$15,2,FALSE)*BU$20)</f>
        <v>0</v>
      </c>
      <c r="BW57" s="763">
        <f xml:space="preserve">
IF(
SUM(SUMIF(防護具!$Y$13:$Y$29,BW$17&amp;$C55,防護具!$Q$13:$Q$29),BV57)-VLOOKUP($C55,$C$3:$D$15,2,FALSE)*BV$20&lt;0,0,
SUM(SUMIF(防護具!$Y$13:$Y$29,BW$17&amp;$C55,防護具!$Q$13:$Q$29),BV57)-VLOOKUP($C55,$C$3:$D$15,2,FALSE)*BV$20)</f>
        <v>0</v>
      </c>
      <c r="BX57" s="763">
        <f xml:space="preserve">
IF(
SUM(SUMIF(防護具!$Y$13:$Y$29,BX$17&amp;$C55,防護具!$Q$13:$Q$29),BW57)-VLOOKUP($C55,$C$3:$D$15,2,FALSE)*BW$20&lt;0,0,
SUM(SUMIF(防護具!$Y$13:$Y$29,BX$17&amp;$C55,防護具!$Q$13:$Q$29),BW57)-VLOOKUP($C55,$C$3:$D$15,2,FALSE)*BW$20)</f>
        <v>0</v>
      </c>
      <c r="BY57" s="763">
        <f xml:space="preserve">
IF(
SUM(SUMIF(防護具!$Y$13:$Y$29,BY$17&amp;$C55,防護具!$Q$13:$Q$29),BX57)-VLOOKUP($C55,$C$3:$D$15,2,FALSE)*BX$20&lt;0,0,
SUM(SUMIF(防護具!$Y$13:$Y$29,BY$17&amp;$C55,防護具!$Q$13:$Q$29),BX57)-VLOOKUP($C55,$C$3:$D$15,2,FALSE)*BX$20)</f>
        <v>0</v>
      </c>
      <c r="BZ57" s="763">
        <f xml:space="preserve">
IF(
SUM(SUMIF(防護具!$Y$13:$Y$29,BZ$17&amp;$C55,防護具!$Q$13:$Q$29),BY57)-VLOOKUP($C55,$C$3:$D$15,2,FALSE)*BY$20&lt;0,0,
SUM(SUMIF(防護具!$Y$13:$Y$29,BZ$17&amp;$C55,防護具!$Q$13:$Q$29),BY57)-VLOOKUP($C55,$C$3:$D$15,2,FALSE)*BY$20)</f>
        <v>0</v>
      </c>
      <c r="CA57" s="763">
        <f xml:space="preserve">
IF(
SUM(SUMIF(防護具!$Y$13:$Y$29,CA$17&amp;$C55,防護具!$Q$13:$Q$29),BZ57)-VLOOKUP($C55,$C$3:$D$15,2,FALSE)*BZ$20&lt;0,0,
SUM(SUMIF(防護具!$Y$13:$Y$29,CA$17&amp;$C55,防護具!$Q$13:$Q$29),BZ57)-VLOOKUP($C55,$C$3:$D$15,2,FALSE)*BZ$20)</f>
        <v>0</v>
      </c>
      <c r="CB57" s="763">
        <f xml:space="preserve">
IF(
SUM(SUMIF(防護具!$Y$13:$Y$29,CB$17&amp;$C55,防護具!$Q$13:$Q$29),CA57)-VLOOKUP($C55,$C$3:$D$15,2,FALSE)*CA$20&lt;0,0,
SUM(SUMIF(防護具!$Y$13:$Y$29,CB$17&amp;$C55,防護具!$Q$13:$Q$29),CA57)-VLOOKUP($C55,$C$3:$D$15,2,FALSE)*CA$20)</f>
        <v>0</v>
      </c>
      <c r="CC57" s="763">
        <f xml:space="preserve">
IF(
SUM(SUMIF(防護具!$Y$13:$Y$29,CC$17&amp;$C55,防護具!$Q$13:$Q$29),CB57)-VLOOKUP($C55,$C$3:$D$15,2,FALSE)*CB$20&lt;0,0,
SUM(SUMIF(防護具!$Y$13:$Y$29,CC$17&amp;$C55,防護具!$Q$13:$Q$29),CB57)-VLOOKUP($C55,$C$3:$D$15,2,FALSE)*CB$20)</f>
        <v>0</v>
      </c>
      <c r="CD57" s="763">
        <f xml:space="preserve">
IF(
SUM(SUMIF(防護具!$Y$13:$Y$29,CD$17&amp;$C55,防護具!$Q$13:$Q$29),CC57)-VLOOKUP($C55,$C$3:$D$15,2,FALSE)*CC$20&lt;0,0,
SUM(SUMIF(防護具!$Y$13:$Y$29,CD$17&amp;$C55,防護具!$Q$13:$Q$29),CC57)-VLOOKUP($C55,$C$3:$D$15,2,FALSE)*CC$20)</f>
        <v>0</v>
      </c>
      <c r="CE57" s="763">
        <f xml:space="preserve">
IF(
SUM(SUMIF(防護具!$Y$13:$Y$29,CE$17&amp;$C55,防護具!$Q$13:$Q$29),CD57)-VLOOKUP($C55,$C$3:$D$15,2,FALSE)*CD$20&lt;0,0,
SUM(SUMIF(防護具!$Y$13:$Y$29,CE$17&amp;$C55,防護具!$Q$13:$Q$29),CD57)-VLOOKUP($C55,$C$3:$D$15,2,FALSE)*CD$20)</f>
        <v>0</v>
      </c>
      <c r="CF57" s="763">
        <f xml:space="preserve">
IF(
SUM(SUMIF(防護具!$Y$13:$Y$29,CF$17&amp;$C55,防護具!$Q$13:$Q$29),CE57)-VLOOKUP($C55,$C$3:$D$15,2,FALSE)*CE$20&lt;0,0,
SUM(SUMIF(防護具!$Y$13:$Y$29,CF$17&amp;$C55,防護具!$Q$13:$Q$29),CE57)-VLOOKUP($C55,$C$3:$D$15,2,FALSE)*CE$20)</f>
        <v>0</v>
      </c>
      <c r="CG57" s="763">
        <f xml:space="preserve">
IF(
SUM(SUMIF(防護具!$Y$13:$Y$29,CG$17&amp;$C55,防護具!$Q$13:$Q$29),CF57)-VLOOKUP($C55,$C$3:$D$15,2,FALSE)*CF$20&lt;0,0,
SUM(SUMIF(防護具!$Y$13:$Y$29,CG$17&amp;$C55,防護具!$Q$13:$Q$29),CF57)-VLOOKUP($C55,$C$3:$D$15,2,FALSE)*CF$20)</f>
        <v>0</v>
      </c>
      <c r="CH57" s="763">
        <f xml:space="preserve">
IF(
SUM(SUMIF(防護具!$Y$13:$Y$29,CH$17&amp;$C55,防護具!$Q$13:$Q$29),CG57)-VLOOKUP($C55,$C$3:$D$15,2,FALSE)*CG$20&lt;0,0,
SUM(SUMIF(防護具!$Y$13:$Y$29,CH$17&amp;$C55,防護具!$Q$13:$Q$29),CG57)-VLOOKUP($C55,$C$3:$D$15,2,FALSE)*CG$20)</f>
        <v>0</v>
      </c>
      <c r="CI57" s="763">
        <f xml:space="preserve">
IF(
SUM(SUMIF(防護具!$Y$13:$Y$29,CI$17&amp;$C55,防護具!$Q$13:$Q$29),CH57)-VLOOKUP($C55,$C$3:$D$15,2,FALSE)*CH$20&lt;0,0,
SUM(SUMIF(防護具!$Y$13:$Y$29,CI$17&amp;$C55,防護具!$Q$13:$Q$29),CH57)-VLOOKUP($C55,$C$3:$D$15,2,FALSE)*CH$20)</f>
        <v>0</v>
      </c>
      <c r="CJ57" s="763">
        <f xml:space="preserve">
IF(
SUM(SUMIF(防護具!$Y$13:$Y$29,CJ$17&amp;$C55,防護具!$Q$13:$Q$29),CI57)-VLOOKUP($C55,$C$3:$D$15,2,FALSE)*CI$20&lt;0,0,
SUM(SUMIF(防護具!$Y$13:$Y$29,CJ$17&amp;$C55,防護具!$Q$13:$Q$29),CI57)-VLOOKUP($C55,$C$3:$D$15,2,FALSE)*CI$20)</f>
        <v>0</v>
      </c>
      <c r="CK57" s="763">
        <f xml:space="preserve">
IF(
SUM(SUMIF(防護具!$Y$13:$Y$29,CK$17&amp;$C55,防護具!$Q$13:$Q$29),CJ57)-VLOOKUP($C55,$C$3:$D$15,2,FALSE)*CJ$20&lt;0,0,
SUM(SUMIF(防護具!$Y$13:$Y$29,CK$17&amp;$C55,防護具!$Q$13:$Q$29),CJ57)-VLOOKUP($C55,$C$3:$D$15,2,FALSE)*CJ$20)</f>
        <v>0</v>
      </c>
      <c r="CL57" s="763">
        <f xml:space="preserve">
IF(
SUM(SUMIF(防護具!$Y$13:$Y$29,CL$17&amp;$C55,防護具!$Q$13:$Q$29),CK57)-VLOOKUP($C55,$C$3:$D$15,2,FALSE)*CK$20&lt;0,0,
SUM(SUMIF(防護具!$Y$13:$Y$29,CL$17&amp;$C55,防護具!$Q$13:$Q$29),CK57)-VLOOKUP($C55,$C$3:$D$15,2,FALSE)*CK$20)</f>
        <v>0</v>
      </c>
      <c r="CM57" s="763">
        <f xml:space="preserve">
IF(
SUM(SUMIF(防護具!$Y$13:$Y$29,CM$17&amp;$C55,防護具!$Q$13:$Q$29),CL57)-VLOOKUP($C55,$C$3:$D$15,2,FALSE)*CL$20&lt;0,0,
SUM(SUMIF(防護具!$Y$13:$Y$29,CM$17&amp;$C55,防護具!$Q$13:$Q$29),CL57)-VLOOKUP($C55,$C$3:$D$15,2,FALSE)*CL$20)</f>
        <v>0</v>
      </c>
      <c r="CN57" s="763">
        <f xml:space="preserve">
IF(
SUM(SUMIF(防護具!$Y$13:$Y$29,CN$17&amp;$C55,防護具!$Q$13:$Q$29),CM57)-VLOOKUP($C55,$C$3:$D$15,2,FALSE)*CM$20&lt;0,0,
SUM(SUMIF(防護具!$Y$13:$Y$29,CN$17&amp;$C55,防護具!$Q$13:$Q$29),CM57)-VLOOKUP($C55,$C$3:$D$15,2,FALSE)*CM$20)</f>
        <v>0</v>
      </c>
      <c r="CO57" s="763">
        <f xml:space="preserve">
IF(
SUM(SUMIF(防護具!$Y$13:$Y$29,CO$17&amp;$C55,防護具!$Q$13:$Q$29),CN57)-VLOOKUP($C55,$C$3:$D$15,2,FALSE)*CN$20&lt;0,0,
SUM(SUMIF(防護具!$Y$13:$Y$29,CO$17&amp;$C55,防護具!$Q$13:$Q$29),CN57)-VLOOKUP($C55,$C$3:$D$15,2,FALSE)*CN$20)</f>
        <v>0</v>
      </c>
      <c r="CP57" s="763">
        <f xml:space="preserve">
IF(
SUM(SUMIF(防護具!$Y$13:$Y$29,CP$17&amp;$C55,防護具!$Q$13:$Q$29),CO57)-VLOOKUP($C55,$C$3:$D$15,2,FALSE)*CO$20&lt;0,0,
SUM(SUMIF(防護具!$Y$13:$Y$29,CP$17&amp;$C55,防護具!$Q$13:$Q$29),CO57)-VLOOKUP($C55,$C$3:$D$15,2,FALSE)*CO$20)</f>
        <v>0</v>
      </c>
      <c r="CQ57" s="763">
        <f xml:space="preserve">
IF(
SUM(SUMIF(防護具!$Y$13:$Y$29,CQ$17&amp;$C55,防護具!$Q$13:$Q$29),CP57)-VLOOKUP($C55,$C$3:$D$15,2,FALSE)*CP$20&lt;0,0,
SUM(SUMIF(防護具!$Y$13:$Y$29,CQ$17&amp;$C55,防護具!$Q$13:$Q$29),CP57)-VLOOKUP($C55,$C$3:$D$15,2,FALSE)*CP$20)</f>
        <v>0</v>
      </c>
      <c r="CR57" s="763">
        <f xml:space="preserve">
IF(
SUM(SUMIF(防護具!$Y$13:$Y$29,CR$17&amp;$C55,防護具!$Q$13:$Q$29),CQ57)-VLOOKUP($C55,$C$3:$D$15,2,FALSE)*CQ$20&lt;0,0,
SUM(SUMIF(防護具!$Y$13:$Y$29,CR$17&amp;$C55,防護具!$Q$13:$Q$29),CQ57)-VLOOKUP($C55,$C$3:$D$15,2,FALSE)*CQ$20)</f>
        <v>0</v>
      </c>
      <c r="CS57" s="763">
        <f xml:space="preserve">
IF(
SUM(SUMIF(防護具!$Y$13:$Y$29,CS$17&amp;$C55,防護具!$Q$13:$Q$29),CR57)-VLOOKUP($C55,$C$3:$D$15,2,FALSE)*CR$20&lt;0,0,
SUM(SUMIF(防護具!$Y$13:$Y$29,CS$17&amp;$C55,防護具!$Q$13:$Q$29),CR57)-VLOOKUP($C55,$C$3:$D$15,2,FALSE)*CR$20)</f>
        <v>0</v>
      </c>
      <c r="CT57" s="763">
        <f xml:space="preserve">
IF(
SUM(SUMIF(防護具!$Y$13:$Y$29,CT$17&amp;$C55,防護具!$Q$13:$Q$29),CS57)-VLOOKUP($C55,$C$3:$D$15,2,FALSE)*CS$20&lt;0,0,
SUM(SUMIF(防護具!$Y$13:$Y$29,CT$17&amp;$C55,防護具!$Q$13:$Q$29),CS57)-VLOOKUP($C55,$C$3:$D$15,2,FALSE)*CS$20)</f>
        <v>0</v>
      </c>
      <c r="CU57" s="763">
        <f xml:space="preserve">
IF(
SUM(SUMIF(防護具!$Y$13:$Y$29,CU$17&amp;$C55,防護具!$Q$13:$Q$29),CT57)-VLOOKUP($C55,$C$3:$D$15,2,FALSE)*CT$20&lt;0,0,
SUM(SUMIF(防護具!$Y$13:$Y$29,CU$17&amp;$C55,防護具!$Q$13:$Q$29),CT57)-VLOOKUP($C55,$C$3:$D$15,2,FALSE)*CT$20)</f>
        <v>0</v>
      </c>
      <c r="CV57" s="763">
        <f xml:space="preserve">
IF(
SUM(SUMIF(防護具!$Y$13:$Y$29,CV$17&amp;$C55,防護具!$Q$13:$Q$29),CU57)-VLOOKUP($C55,$C$3:$D$15,2,FALSE)*CU$20&lt;0,0,
SUM(SUMIF(防護具!$Y$13:$Y$29,CV$17&amp;$C55,防護具!$Q$13:$Q$29),CU57)-VLOOKUP($C55,$C$3:$D$15,2,FALSE)*CU$20)</f>
        <v>0</v>
      </c>
      <c r="CW57" s="763">
        <f xml:space="preserve">
IF(
SUM(SUMIF(防護具!$Y$13:$Y$29,CW$17&amp;$C55,防護具!$Q$13:$Q$29),CV57)-VLOOKUP($C55,$C$3:$D$15,2,FALSE)*CV$20&lt;0,0,
SUM(SUMIF(防護具!$Y$13:$Y$29,CW$17&amp;$C55,防護具!$Q$13:$Q$29),CV57)-VLOOKUP($C55,$C$3:$D$15,2,FALSE)*CV$20)</f>
        <v>0</v>
      </c>
      <c r="CX57" s="763">
        <f xml:space="preserve">
IF(
SUM(SUMIF(防護具!$Y$13:$Y$29,CX$17&amp;$C55,防護具!$Q$13:$Q$29),CW57)-VLOOKUP($C55,$C$3:$D$15,2,FALSE)*CW$20&lt;0,0,
SUM(SUMIF(防護具!$Y$13:$Y$29,CX$17&amp;$C55,防護具!$Q$13:$Q$29),CW57)-VLOOKUP($C55,$C$3:$D$15,2,FALSE)*CW$20)</f>
        <v>0</v>
      </c>
      <c r="CY57" s="763">
        <f xml:space="preserve">
IF(
SUM(SUMIF(防護具!$Y$13:$Y$29,CY$17&amp;$C55,防護具!$Q$13:$Q$29),CX57)-VLOOKUP($C55,$C$3:$D$15,2,FALSE)*CX$20&lt;0,0,
SUM(SUMIF(防護具!$Y$13:$Y$29,CY$17&amp;$C55,防護具!$Q$13:$Q$29),CX57)-VLOOKUP($C55,$C$3:$D$15,2,FALSE)*CX$20)</f>
        <v>0</v>
      </c>
      <c r="CZ57" s="763">
        <f xml:space="preserve">
IF(
SUM(SUMIF(防護具!$Y$13:$Y$29,CZ$17&amp;$C55,防護具!$Q$13:$Q$29),CY57)-VLOOKUP($C55,$C$3:$D$15,2,FALSE)*CY$20&lt;0,0,
SUM(SUMIF(防護具!$Y$13:$Y$29,CZ$17&amp;$C55,防護具!$Q$13:$Q$29),CY57)-VLOOKUP($C55,$C$3:$D$15,2,FALSE)*CY$20)</f>
        <v>0</v>
      </c>
      <c r="DA57" s="763">
        <f xml:space="preserve">
IF(
SUM(SUMIF(防護具!$Y$13:$Y$29,DA$17&amp;$C55,防護具!$Q$13:$Q$29),CZ57)-VLOOKUP($C55,$C$3:$D$15,2,FALSE)*CZ$20&lt;0,0,
SUM(SUMIF(防護具!$Y$13:$Y$29,DA$17&amp;$C55,防護具!$Q$13:$Q$29),CZ57)-VLOOKUP($C55,$C$3:$D$15,2,FALSE)*CZ$20)</f>
        <v>0</v>
      </c>
      <c r="DB57" s="763">
        <f xml:space="preserve">
IF(
SUM(SUMIF(防護具!$Y$13:$Y$29,DB$17&amp;$C55,防護具!$Q$13:$Q$29),DA57)-VLOOKUP($C55,$C$3:$D$15,2,FALSE)*DA$20&lt;0,0,
SUM(SUMIF(防護具!$Y$13:$Y$29,DB$17&amp;$C55,防護具!$Q$13:$Q$29),DA57)-VLOOKUP($C55,$C$3:$D$15,2,FALSE)*DA$20)</f>
        <v>0</v>
      </c>
      <c r="DC57" s="763">
        <f xml:space="preserve">
IF(
SUM(SUMIF(防護具!$Y$13:$Y$29,DC$17&amp;$C55,防護具!$Q$13:$Q$29),DB57)-VLOOKUP($C55,$C$3:$D$15,2,FALSE)*DB$20&lt;0,0,
SUM(SUMIF(防護具!$Y$13:$Y$29,DC$17&amp;$C55,防護具!$Q$13:$Q$29),DB57)-VLOOKUP($C55,$C$3:$D$15,2,FALSE)*DB$20)</f>
        <v>0</v>
      </c>
      <c r="DD57" s="763">
        <f xml:space="preserve">
IF(
SUM(SUMIF(防護具!$Y$13:$Y$29,DD$17&amp;$C55,防護具!$Q$13:$Q$29),DC57)-VLOOKUP($C55,$C$3:$D$15,2,FALSE)*DC$20&lt;0,0,
SUM(SUMIF(防護具!$Y$13:$Y$29,DD$17&amp;$C55,防護具!$Q$13:$Q$29),DC57)-VLOOKUP($C55,$C$3:$D$15,2,FALSE)*DC$20)</f>
        <v>0</v>
      </c>
      <c r="DE57" s="763">
        <f xml:space="preserve">
IF(
SUM(SUMIF(防護具!$Y$13:$Y$29,DE$17&amp;$C55,防護具!$Q$13:$Q$29),DD57)-VLOOKUP($C55,$C$3:$D$15,2,FALSE)*DD$20&lt;0,0,
SUM(SUMIF(防護具!$Y$13:$Y$29,DE$17&amp;$C55,防護具!$Q$13:$Q$29),DD57)-VLOOKUP($C55,$C$3:$D$15,2,FALSE)*DD$20)</f>
        <v>0</v>
      </c>
      <c r="DF57" s="763">
        <f xml:space="preserve">
IF(
SUM(SUMIF(防護具!$Y$13:$Y$29,DF$17&amp;$C55,防護具!$Q$13:$Q$29),DE57)-VLOOKUP($C55,$C$3:$D$15,2,FALSE)*DE$20&lt;0,0,
SUM(SUMIF(防護具!$Y$13:$Y$29,DF$17&amp;$C55,防護具!$Q$13:$Q$29),DE57)-VLOOKUP($C55,$C$3:$D$15,2,FALSE)*DE$20)</f>
        <v>0</v>
      </c>
      <c r="DG57" s="763">
        <f xml:space="preserve">
IF(
SUM(SUMIF(防護具!$Y$13:$Y$29,DG$17&amp;$C55,防護具!$Q$13:$Q$29),DF57)-VLOOKUP($C55,$C$3:$D$15,2,FALSE)*DF$20&lt;0,0,
SUM(SUMIF(防護具!$Y$13:$Y$29,DG$17&amp;$C55,防護具!$Q$13:$Q$29),DF57)-VLOOKUP($C55,$C$3:$D$15,2,FALSE)*DF$20)</f>
        <v>0</v>
      </c>
      <c r="DH57" s="763">
        <f xml:space="preserve">
IF(
SUM(SUMIF(防護具!$Y$13:$Y$29,DH$17&amp;$C55,防護具!$Q$13:$Q$29),DG57)-VLOOKUP($C55,$C$3:$D$15,2,FALSE)*DG$20&lt;0,0,
SUM(SUMIF(防護具!$Y$13:$Y$29,DH$17&amp;$C55,防護具!$Q$13:$Q$29),DG57)-VLOOKUP($C55,$C$3:$D$15,2,FALSE)*DG$20)</f>
        <v>0</v>
      </c>
      <c r="DI57" s="763">
        <f xml:space="preserve">
IF(
SUM(SUMIF(防護具!$Y$13:$Y$29,DI$17&amp;$C55,防護具!$Q$13:$Q$29),DH57)-VLOOKUP($C55,$C$3:$D$15,2,FALSE)*DH$20&lt;0,0,
SUM(SUMIF(防護具!$Y$13:$Y$29,DI$17&amp;$C55,防護具!$Q$13:$Q$29),DH57)-VLOOKUP($C55,$C$3:$D$15,2,FALSE)*DH$20)</f>
        <v>0</v>
      </c>
      <c r="DJ57" s="763">
        <f xml:space="preserve">
IF(
SUM(SUMIF(防護具!$Y$13:$Y$29,DJ$17&amp;$C55,防護具!$Q$13:$Q$29),DI57)-VLOOKUP($C55,$C$3:$D$15,2,FALSE)*DI$20&lt;0,0,
SUM(SUMIF(防護具!$Y$13:$Y$29,DJ$17&amp;$C55,防護具!$Q$13:$Q$29),DI57)-VLOOKUP($C55,$C$3:$D$15,2,FALSE)*DI$20)</f>
        <v>0</v>
      </c>
      <c r="DK57" s="763">
        <f xml:space="preserve">
IF(
SUM(SUMIF(防護具!$Y$13:$Y$29,DK$17&amp;$C55,防護具!$Q$13:$Q$29),DJ57)-VLOOKUP($C55,$C$3:$D$15,2,FALSE)*DJ$20&lt;0,0,
SUM(SUMIF(防護具!$Y$13:$Y$29,DK$17&amp;$C55,防護具!$Q$13:$Q$29),DJ57)-VLOOKUP($C55,$C$3:$D$15,2,FALSE)*DJ$20)</f>
        <v>0</v>
      </c>
      <c r="DL57" s="763">
        <f xml:space="preserve">
IF(
SUM(SUMIF(防護具!$Y$13:$Y$29,DL$17&amp;$C55,防護具!$Q$13:$Q$29),DK57)-VLOOKUP($C55,$C$3:$D$15,2,FALSE)*DK$20&lt;0,0,
SUM(SUMIF(防護具!$Y$13:$Y$29,DL$17&amp;$C55,防護具!$Q$13:$Q$29),DK57)-VLOOKUP($C55,$C$3:$D$15,2,FALSE)*DK$20)</f>
        <v>0</v>
      </c>
      <c r="DM57" s="763">
        <f xml:space="preserve">
IF(
SUM(SUMIF(防護具!$Y$13:$Y$29,DM$17&amp;$C55,防護具!$Q$13:$Q$29),DL57)-VLOOKUP($C55,$C$3:$D$15,2,FALSE)*DL$20&lt;0,0,
SUM(SUMIF(防護具!$Y$13:$Y$29,DM$17&amp;$C55,防護具!$Q$13:$Q$29),DL57)-VLOOKUP($C55,$C$3:$D$15,2,FALSE)*DL$20)</f>
        <v>0</v>
      </c>
      <c r="DN57" s="763">
        <f xml:space="preserve">
IF(
SUM(SUMIF(防護具!$Y$13:$Y$29,DN$17&amp;$C55,防護具!$Q$13:$Q$29),DM57)-VLOOKUP($C55,$C$3:$D$15,2,FALSE)*DM$20&lt;0,0,
SUM(SUMIF(防護具!$Y$13:$Y$29,DN$17&amp;$C55,防護具!$Q$13:$Q$29),DM57)-VLOOKUP($C55,$C$3:$D$15,2,FALSE)*DM$20)</f>
        <v>0</v>
      </c>
      <c r="DO57" s="763">
        <f xml:space="preserve">
IF(
SUM(SUMIF(防護具!$Y$13:$Y$29,DO$17&amp;$C55,防護具!$Q$13:$Q$29),DN57)-VLOOKUP($C55,$C$3:$D$15,2,FALSE)*DN$20&lt;0,0,
SUM(SUMIF(防護具!$Y$13:$Y$29,DO$17&amp;$C55,防護具!$Q$13:$Q$29),DN57)-VLOOKUP($C55,$C$3:$D$15,2,FALSE)*DN$20)</f>
        <v>0</v>
      </c>
      <c r="DP57" s="763">
        <f xml:space="preserve">
IF(
SUM(SUMIF(防護具!$Y$13:$Y$29,DP$17&amp;$C55,防護具!$Q$13:$Q$29),DO57)-VLOOKUP($C55,$C$3:$D$15,2,FALSE)*DO$20&lt;0,0,
SUM(SUMIF(防護具!$Y$13:$Y$29,DP$17&amp;$C55,防護具!$Q$13:$Q$29),DO57)-VLOOKUP($C55,$C$3:$D$15,2,FALSE)*DO$20)</f>
        <v>0</v>
      </c>
      <c r="DQ57" s="763">
        <f xml:space="preserve">
IF(
SUM(SUMIF(防護具!$Y$13:$Y$29,DQ$17&amp;$C55,防護具!$Q$13:$Q$29),DP57)-VLOOKUP($C55,$C$3:$D$15,2,FALSE)*DP$20&lt;0,0,
SUM(SUMIF(防護具!$Y$13:$Y$29,DQ$17&amp;$C55,防護具!$Q$13:$Q$29),DP57)-VLOOKUP($C55,$C$3:$D$15,2,FALSE)*DP$20)</f>
        <v>0</v>
      </c>
      <c r="DR57" s="763">
        <f xml:space="preserve">
IF(
SUM(SUMIF(防護具!$Y$13:$Y$29,DR$17&amp;$C55,防護具!$Q$13:$Q$29),DQ57)-VLOOKUP($C55,$C$3:$D$15,2,FALSE)*DQ$20&lt;0,0,
SUM(SUMIF(防護具!$Y$13:$Y$29,DR$17&amp;$C55,防護具!$Q$13:$Q$29),DQ57)-VLOOKUP($C55,$C$3:$D$15,2,FALSE)*DQ$20)</f>
        <v>0</v>
      </c>
      <c r="DS57" s="763">
        <f xml:space="preserve">
IF(
SUM(SUMIF(防護具!$Y$13:$Y$29,DS$17&amp;$C55,防護具!$Q$13:$Q$29),DR57)-VLOOKUP($C55,$C$3:$D$15,2,FALSE)*DR$20&lt;0,0,
SUM(SUMIF(防護具!$Y$13:$Y$29,DS$17&amp;$C55,防護具!$Q$13:$Q$29),DR57)-VLOOKUP($C55,$C$3:$D$15,2,FALSE)*DR$20)</f>
        <v>0</v>
      </c>
      <c r="DT57" s="763">
        <f xml:space="preserve">
IF(
SUM(SUMIF(防護具!$Y$13:$Y$29,DT$17&amp;$C55,防護具!$Q$13:$Q$29),DS57)-VLOOKUP($C55,$C$3:$D$15,2,FALSE)*DS$20&lt;0,0,
SUM(SUMIF(防護具!$Y$13:$Y$29,DT$17&amp;$C55,防護具!$Q$13:$Q$29),DS57)-VLOOKUP($C55,$C$3:$D$15,2,FALSE)*DS$20)</f>
        <v>0</v>
      </c>
      <c r="DU57" s="763">
        <f xml:space="preserve">
IF(
SUM(SUMIF(防護具!$Y$13:$Y$29,DU$17&amp;$C55,防護具!$Q$13:$Q$29),DT57)-VLOOKUP($C55,$C$3:$D$15,2,FALSE)*DT$20&lt;0,0,
SUM(SUMIF(防護具!$Y$13:$Y$29,DU$17&amp;$C55,防護具!$Q$13:$Q$29),DT57)-VLOOKUP($C55,$C$3:$D$15,2,FALSE)*DT$20)</f>
        <v>0</v>
      </c>
      <c r="DV57" s="763">
        <f xml:space="preserve">
IF(
SUM(SUMIF(防護具!$Y$13:$Y$29,DV$17&amp;$C55,防護具!$Q$13:$Q$29),DU57)-VLOOKUP($C55,$C$3:$D$15,2,FALSE)*DU$20&lt;0,0,
SUM(SUMIF(防護具!$Y$13:$Y$29,DV$17&amp;$C55,防護具!$Q$13:$Q$29),DU57)-VLOOKUP($C55,$C$3:$D$15,2,FALSE)*DU$20)</f>
        <v>0</v>
      </c>
      <c r="DW57" s="763">
        <f xml:space="preserve">
IF(
SUM(SUMIF(防護具!$Y$13:$Y$29,DW$17&amp;$C55,防護具!$Q$13:$Q$29),DV57)-VLOOKUP($C55,$C$3:$D$15,2,FALSE)*DV$20&lt;0,0,
SUM(SUMIF(防護具!$Y$13:$Y$29,DW$17&amp;$C55,防護具!$Q$13:$Q$29),DV57)-VLOOKUP($C55,$C$3:$D$15,2,FALSE)*DV$20)</f>
        <v>0</v>
      </c>
      <c r="DX57" s="763">
        <f xml:space="preserve">
IF(
SUM(SUMIF(防護具!$Y$13:$Y$29,DX$17&amp;$C55,防護具!$Q$13:$Q$29),DW57)-VLOOKUP($C55,$C$3:$D$15,2,FALSE)*DW$20&lt;0,0,
SUM(SUMIF(防護具!$Y$13:$Y$29,DX$17&amp;$C55,防護具!$Q$13:$Q$29),DW57)-VLOOKUP($C55,$C$3:$D$15,2,FALSE)*DW$20)</f>
        <v>0</v>
      </c>
      <c r="DY57" s="763">
        <f xml:space="preserve">
IF(
SUM(SUMIF(防護具!$Y$13:$Y$29,DY$17&amp;$C55,防護具!$Q$13:$Q$29),DX57)-VLOOKUP($C55,$C$3:$D$15,2,FALSE)*DX$20&lt;0,0,
SUM(SUMIF(防護具!$Y$13:$Y$29,DY$17&amp;$C55,防護具!$Q$13:$Q$29),DX57)-VLOOKUP($C55,$C$3:$D$15,2,FALSE)*DX$20)</f>
        <v>0</v>
      </c>
      <c r="DZ57" s="763">
        <f xml:space="preserve">
IF(
SUM(SUMIF(防護具!$Y$13:$Y$29,DZ$17&amp;$C55,防護具!$Q$13:$Q$29),DY57)-VLOOKUP($C55,$C$3:$D$15,2,FALSE)*DY$20&lt;0,0,
SUM(SUMIF(防護具!$Y$13:$Y$29,DZ$17&amp;$C55,防護具!$Q$13:$Q$29),DY57)-VLOOKUP($C55,$C$3:$D$15,2,FALSE)*DY$20)</f>
        <v>0</v>
      </c>
      <c r="EA57" s="763">
        <f xml:space="preserve">
IF(
SUM(SUMIF(防護具!$Y$13:$Y$29,EA$17&amp;$C55,防護具!$Q$13:$Q$29),DZ57)-VLOOKUP($C55,$C$3:$D$15,2,FALSE)*DZ$20&lt;0,0,
SUM(SUMIF(防護具!$Y$13:$Y$29,EA$17&amp;$C55,防護具!$Q$13:$Q$29),DZ57)-VLOOKUP($C55,$C$3:$D$15,2,FALSE)*DZ$20)</f>
        <v>0</v>
      </c>
      <c r="EB57" s="763">
        <f xml:space="preserve">
IF(
SUM(SUMIF(防護具!$Y$13:$Y$29,EB$17&amp;$C55,防護具!$Q$13:$Q$29),EA57)-VLOOKUP($C55,$C$3:$D$15,2,FALSE)*EA$20&lt;0,0,
SUM(SUMIF(防護具!$Y$13:$Y$29,EB$17&amp;$C55,防護具!$Q$13:$Q$29),EA57)-VLOOKUP($C55,$C$3:$D$15,2,FALSE)*EA$20)</f>
        <v>0</v>
      </c>
      <c r="EC57" s="763">
        <f xml:space="preserve">
IF(
SUM(SUMIF(防護具!$Y$13:$Y$29,EC$17&amp;$C55,防護具!$Q$13:$Q$29),EB57)-VLOOKUP($C55,$C$3:$D$15,2,FALSE)*EB$20&lt;0,0,
SUM(SUMIF(防護具!$Y$13:$Y$29,EC$17&amp;$C55,防護具!$Q$13:$Q$29),EB57)-VLOOKUP($C55,$C$3:$D$15,2,FALSE)*EB$20)</f>
        <v>0</v>
      </c>
      <c r="ED57" s="763">
        <f xml:space="preserve">
IF(
SUM(SUMIF(防護具!$Y$13:$Y$29,ED$17&amp;$C55,防護具!$Q$13:$Q$29),EC57)-VLOOKUP($C55,$C$3:$D$15,2,FALSE)*EC$20&lt;0,0,
SUM(SUMIF(防護具!$Y$13:$Y$29,ED$17&amp;$C55,防護具!$Q$13:$Q$29),EC57)-VLOOKUP($C55,$C$3:$D$15,2,FALSE)*EC$20)</f>
        <v>0</v>
      </c>
      <c r="EE57" s="763">
        <f xml:space="preserve">
IF(
SUM(SUMIF(防護具!$Y$13:$Y$29,EE$17&amp;$C55,防護具!$Q$13:$Q$29),ED57)-VLOOKUP($C55,$C$3:$D$15,2,FALSE)*ED$20&lt;0,0,
SUM(SUMIF(防護具!$Y$13:$Y$29,EE$17&amp;$C55,防護具!$Q$13:$Q$29),ED57)-VLOOKUP($C55,$C$3:$D$15,2,FALSE)*ED$20)</f>
        <v>0</v>
      </c>
      <c r="EF57" s="763">
        <f xml:space="preserve">
IF(
SUM(SUMIF(防護具!$Y$13:$Y$29,EF$17&amp;$C55,防護具!$Q$13:$Q$29),EE57)-VLOOKUP($C55,$C$3:$D$15,2,FALSE)*EE$20&lt;0,0,
SUM(SUMIF(防護具!$Y$13:$Y$29,EF$17&amp;$C55,防護具!$Q$13:$Q$29),EE57)-VLOOKUP($C55,$C$3:$D$15,2,FALSE)*EE$20)</f>
        <v>0</v>
      </c>
      <c r="EG57" s="763">
        <f xml:space="preserve">
IF(
SUM(SUMIF(防護具!$Y$13:$Y$29,EG$17&amp;$C55,防護具!$Q$13:$Q$29),EF57)-VLOOKUP($C55,$C$3:$D$15,2,FALSE)*EF$20&lt;0,0,
SUM(SUMIF(防護具!$Y$13:$Y$29,EG$17&amp;$C55,防護具!$Q$13:$Q$29),EF57)-VLOOKUP($C55,$C$3:$D$15,2,FALSE)*EF$20)</f>
        <v>0</v>
      </c>
      <c r="EH57" s="763">
        <f xml:space="preserve">
IF(
SUM(SUMIF(防護具!$Y$13:$Y$29,EH$17&amp;$C55,防護具!$Q$13:$Q$29),EG57)-VLOOKUP($C55,$C$3:$D$15,2,FALSE)*EG$20&lt;0,0,
SUM(SUMIF(防護具!$Y$13:$Y$29,EH$17&amp;$C55,防護具!$Q$13:$Q$29),EG57)-VLOOKUP($C55,$C$3:$D$15,2,FALSE)*EG$20)</f>
        <v>0</v>
      </c>
      <c r="EI57" s="763">
        <f xml:space="preserve">
IF(
SUM(SUMIF(防護具!$Y$13:$Y$29,EI$17&amp;$C55,防護具!$Q$13:$Q$29),EH57)-VLOOKUP($C55,$C$3:$D$15,2,FALSE)*EH$20&lt;0,0,
SUM(SUMIF(防護具!$Y$13:$Y$29,EI$17&amp;$C55,防護具!$Q$13:$Q$29),EH57)-VLOOKUP($C55,$C$3:$D$15,2,FALSE)*EH$20)</f>
        <v>0</v>
      </c>
      <c r="EJ57" s="763">
        <f xml:space="preserve">
IF(
SUM(SUMIF(防護具!$Y$13:$Y$29,EJ$17&amp;$C55,防護具!$Q$13:$Q$29),EI57)-VLOOKUP($C55,$C$3:$D$15,2,FALSE)*EI$20&lt;0,0,
SUM(SUMIF(防護具!$Y$13:$Y$29,EJ$17&amp;$C55,防護具!$Q$13:$Q$29),EI57)-VLOOKUP($C55,$C$3:$D$15,2,FALSE)*EI$20)</f>
        <v>0</v>
      </c>
      <c r="EK57" s="763">
        <f xml:space="preserve">
IF(
SUM(SUMIF(防護具!$Y$13:$Y$29,EK$17&amp;$C55,防護具!$Q$13:$Q$29),EJ57)-VLOOKUP($C55,$C$3:$D$15,2,FALSE)*EJ$20&lt;0,0,
SUM(SUMIF(防護具!$Y$13:$Y$29,EK$17&amp;$C55,防護具!$Q$13:$Q$29),EJ57)-VLOOKUP($C55,$C$3:$D$15,2,FALSE)*EJ$20)</f>
        <v>0</v>
      </c>
      <c r="EL57" s="763">
        <f xml:space="preserve">
IF(
SUM(SUMIF(防護具!$Y$13:$Y$29,EL$17&amp;$C55,防護具!$Q$13:$Q$29),EK57)-VLOOKUP($C55,$C$3:$D$15,2,FALSE)*EK$20&lt;0,0,
SUM(SUMIF(防護具!$Y$13:$Y$29,EL$17&amp;$C55,防護具!$Q$13:$Q$29),EK57)-VLOOKUP($C55,$C$3:$D$15,2,FALSE)*EK$20)</f>
        <v>0</v>
      </c>
      <c r="EM57" s="763">
        <f xml:space="preserve">
IF(
SUM(SUMIF(防護具!$Y$13:$Y$29,EM$17&amp;$C55,防護具!$Q$13:$Q$29),EL57)-VLOOKUP($C55,$C$3:$D$15,2,FALSE)*EL$20&lt;0,0,
SUM(SUMIF(防護具!$Y$13:$Y$29,EM$17&amp;$C55,防護具!$Q$13:$Q$29),EL57)-VLOOKUP($C55,$C$3:$D$15,2,FALSE)*EL$20)</f>
        <v>0</v>
      </c>
      <c r="EN57" s="763">
        <f xml:space="preserve">
IF(
SUM(SUMIF(防護具!$Y$13:$Y$29,EN$17&amp;$C55,防護具!$Q$13:$Q$29),EM57)-VLOOKUP($C55,$C$3:$D$15,2,FALSE)*EM$20&lt;0,0,
SUM(SUMIF(防護具!$Y$13:$Y$29,EN$17&amp;$C55,防護具!$Q$13:$Q$29),EM57)-VLOOKUP($C55,$C$3:$D$15,2,FALSE)*EM$20)</f>
        <v>0</v>
      </c>
      <c r="EO57" s="763">
        <f xml:space="preserve">
IF(
SUM(SUMIF(防護具!$Y$13:$Y$29,EO$17&amp;$C55,防護具!$Q$13:$Q$29),EN57)-VLOOKUP($C55,$C$3:$D$15,2,FALSE)*EN$20&lt;0,0,
SUM(SUMIF(防護具!$Y$13:$Y$29,EO$17&amp;$C55,防護具!$Q$13:$Q$29),EN57)-VLOOKUP($C55,$C$3:$D$15,2,FALSE)*EN$20)</f>
        <v>0</v>
      </c>
      <c r="EP57" s="763">
        <f xml:space="preserve">
IF(
SUM(SUMIF(防護具!$Y$13:$Y$29,EP$17&amp;$C55,防護具!$Q$13:$Q$29),EO57)-VLOOKUP($C55,$C$3:$D$15,2,FALSE)*EO$20&lt;0,0,
SUM(SUMIF(防護具!$Y$13:$Y$29,EP$17&amp;$C55,防護具!$Q$13:$Q$29),EO57)-VLOOKUP($C55,$C$3:$D$15,2,FALSE)*EO$20)</f>
        <v>0</v>
      </c>
      <c r="EQ57" s="763">
        <f xml:space="preserve">
IF(
SUM(SUMIF(防護具!$Y$13:$Y$29,EQ$17&amp;$C55,防護具!$Q$13:$Q$29),EP57)-VLOOKUP($C55,$C$3:$D$15,2,FALSE)*EP$20&lt;0,0,
SUM(SUMIF(防護具!$Y$13:$Y$29,EQ$17&amp;$C55,防護具!$Q$13:$Q$29),EP57)-VLOOKUP($C55,$C$3:$D$15,2,FALSE)*EP$20)</f>
        <v>0</v>
      </c>
      <c r="ER57" s="763">
        <f xml:space="preserve">
IF(
SUM(SUMIF(防護具!$Y$13:$Y$29,ER$17&amp;$C55,防護具!$Q$13:$Q$29),EQ57)-VLOOKUP($C55,$C$3:$D$15,2,FALSE)*EQ$20&lt;0,0,
SUM(SUMIF(防護具!$Y$13:$Y$29,ER$17&amp;$C55,防護具!$Q$13:$Q$29),EQ57)-VLOOKUP($C55,$C$3:$D$15,2,FALSE)*EQ$20)</f>
        <v>0</v>
      </c>
      <c r="ES57" s="763">
        <f xml:space="preserve">
IF(
SUM(SUMIF(防護具!$Y$13:$Y$29,ES$17&amp;$C55,防護具!$Q$13:$Q$29),ER57)-VLOOKUP($C55,$C$3:$D$15,2,FALSE)*ER$20&lt;0,0,
SUM(SUMIF(防護具!$Y$13:$Y$29,ES$17&amp;$C55,防護具!$Q$13:$Q$29),ER57)-VLOOKUP($C55,$C$3:$D$15,2,FALSE)*ER$20)</f>
        <v>0</v>
      </c>
      <c r="ET57" s="763">
        <f xml:space="preserve">
IF(
SUM(SUMIF(防護具!$Y$13:$Y$29,ET$17&amp;$C55,防護具!$Q$13:$Q$29),ES57)-VLOOKUP($C55,$C$3:$D$15,2,FALSE)*ES$20&lt;0,0,
SUM(SUMIF(防護具!$Y$13:$Y$29,ET$17&amp;$C55,防護具!$Q$13:$Q$29),ES57)-VLOOKUP($C55,$C$3:$D$15,2,FALSE)*ES$20)</f>
        <v>0</v>
      </c>
      <c r="EU57" s="763">
        <f xml:space="preserve">
IF(
SUM(SUMIF(防護具!$Y$13:$Y$29,EU$17&amp;$C55,防護具!$Q$13:$Q$29),ET57)-VLOOKUP($C55,$C$3:$D$15,2,FALSE)*ET$20&lt;0,0,
SUM(SUMIF(防護具!$Y$13:$Y$29,EU$17&amp;$C55,防護具!$Q$13:$Q$29),ET57)-VLOOKUP($C55,$C$3:$D$15,2,FALSE)*ET$20)</f>
        <v>0</v>
      </c>
      <c r="EV57" s="763">
        <f xml:space="preserve">
IF(
SUM(SUMIF(防護具!$Y$13:$Y$29,EV$17&amp;$C55,防護具!$Q$13:$Q$29),EU57)-VLOOKUP($C55,$C$3:$D$15,2,FALSE)*EU$20&lt;0,0,
SUM(SUMIF(防護具!$Y$13:$Y$29,EV$17&amp;$C55,防護具!$Q$13:$Q$29),EU57)-VLOOKUP($C55,$C$3:$D$15,2,FALSE)*EU$20)</f>
        <v>0</v>
      </c>
      <c r="EW57" s="763">
        <f xml:space="preserve">
IF(
SUM(SUMIF(防護具!$Y$13:$Y$29,EW$17&amp;$C55,防護具!$Q$13:$Q$29),EV57)-VLOOKUP($C55,$C$3:$D$15,2,FALSE)*EV$20&lt;0,0,
SUM(SUMIF(防護具!$Y$13:$Y$29,EW$17&amp;$C55,防護具!$Q$13:$Q$29),EV57)-VLOOKUP($C55,$C$3:$D$15,2,FALSE)*EV$20)</f>
        <v>0</v>
      </c>
      <c r="EX57" s="763">
        <f xml:space="preserve">
IF(
SUM(SUMIF(防護具!$Y$13:$Y$29,EX$17&amp;$C55,防護具!$Q$13:$Q$29),EW57)-VLOOKUP($C55,$C$3:$D$15,2,FALSE)*EW$20&lt;0,0,
SUM(SUMIF(防護具!$Y$13:$Y$29,EX$17&amp;$C55,防護具!$Q$13:$Q$29),EW57)-VLOOKUP($C55,$C$3:$D$15,2,FALSE)*EW$20)</f>
        <v>0</v>
      </c>
      <c r="EY57" s="763">
        <f xml:space="preserve">
IF(
SUM(SUMIF(防護具!$Y$13:$Y$29,EY$17&amp;$C55,防護具!$Q$13:$Q$29),EX57)-VLOOKUP($C55,$C$3:$D$15,2,FALSE)*EX$20&lt;0,0,
SUM(SUMIF(防護具!$Y$13:$Y$29,EY$17&amp;$C55,防護具!$Q$13:$Q$29),EX57)-VLOOKUP($C55,$C$3:$D$15,2,FALSE)*EX$20)</f>
        <v>0</v>
      </c>
      <c r="EZ57" s="763">
        <f xml:space="preserve">
IF(
SUM(SUMIF(防護具!$Y$13:$Y$29,EZ$17&amp;$C55,防護具!$Q$13:$Q$29),EY57)-VLOOKUP($C55,$C$3:$D$15,2,FALSE)*EY$20&lt;0,0,
SUM(SUMIF(防護具!$Y$13:$Y$29,EZ$17&amp;$C55,防護具!$Q$13:$Q$29),EY57)-VLOOKUP($C55,$C$3:$D$15,2,FALSE)*EY$20)</f>
        <v>0</v>
      </c>
      <c r="FA57" s="763">
        <f xml:space="preserve">
IF(
SUM(SUMIF(防護具!$Y$13:$Y$29,FA$17&amp;$C55,防護具!$Q$13:$Q$29),EZ57)-VLOOKUP($C55,$C$3:$D$15,2,FALSE)*EZ$20&lt;0,0,
SUM(SUMIF(防護具!$Y$13:$Y$29,FA$17&amp;$C55,防護具!$Q$13:$Q$29),EZ57)-VLOOKUP($C55,$C$3:$D$15,2,FALSE)*EZ$20)</f>
        <v>0</v>
      </c>
      <c r="FB57" s="763">
        <f xml:space="preserve">
IF(
SUM(SUMIF(防護具!$Y$13:$Y$29,FB$17&amp;$C55,防護具!$Q$13:$Q$29),FA57)-VLOOKUP($C55,$C$3:$D$15,2,FALSE)*FA$20&lt;0,0,
SUM(SUMIF(防護具!$Y$13:$Y$29,FB$17&amp;$C55,防護具!$Q$13:$Q$29),FA57)-VLOOKUP($C55,$C$3:$D$15,2,FALSE)*FA$20)</f>
        <v>0</v>
      </c>
      <c r="FC57" s="763">
        <f xml:space="preserve">
IF(
SUM(SUMIF(防護具!$Y$13:$Y$29,FC$17&amp;$C55,防護具!$Q$13:$Q$29),FB57)-VLOOKUP($C55,$C$3:$D$15,2,FALSE)*FB$20&lt;0,0,
SUM(SUMIF(防護具!$Y$13:$Y$29,FC$17&amp;$C55,防護具!$Q$13:$Q$29),FB57)-VLOOKUP($C55,$C$3:$D$15,2,FALSE)*FB$20)</f>
        <v>0</v>
      </c>
      <c r="FD57" s="763">
        <f xml:space="preserve">
IF(
SUM(SUMIF(防護具!$Y$13:$Y$29,FD$17&amp;$C55,防護具!$Q$13:$Q$29),FC57)-VLOOKUP($C55,$C$3:$D$15,2,FALSE)*FC$20&lt;0,0,
SUM(SUMIF(防護具!$Y$13:$Y$29,FD$17&amp;$C55,防護具!$Q$13:$Q$29),FC57)-VLOOKUP($C55,$C$3:$D$15,2,FALSE)*FC$20)</f>
        <v>0</v>
      </c>
      <c r="FE57" s="763">
        <f xml:space="preserve">
IF(
SUM(SUMIF(防護具!$Y$13:$Y$29,FE$17&amp;$C55,防護具!$Q$13:$Q$29),FD57)-VLOOKUP($C55,$C$3:$D$15,2,FALSE)*FD$20&lt;0,0,
SUM(SUMIF(防護具!$Y$13:$Y$29,FE$17&amp;$C55,防護具!$Q$13:$Q$29),FD57)-VLOOKUP($C55,$C$3:$D$15,2,FALSE)*FD$20)</f>
        <v>0</v>
      </c>
      <c r="FF57" s="763">
        <f xml:space="preserve">
IF(
SUM(SUMIF(防護具!$Y$13:$Y$29,FF$17&amp;$C55,防護具!$Q$13:$Q$29),FE57)-VLOOKUP($C55,$C$3:$D$15,2,FALSE)*FE$20&lt;0,0,
SUM(SUMIF(防護具!$Y$13:$Y$29,FF$17&amp;$C55,防護具!$Q$13:$Q$29),FE57)-VLOOKUP($C55,$C$3:$D$15,2,FALSE)*FE$20)</f>
        <v>0</v>
      </c>
      <c r="FG57" s="763">
        <f xml:space="preserve">
IF(
SUM(SUMIF(防護具!$Y$13:$Y$29,FG$17&amp;$C55,防護具!$Q$13:$Q$29),FF57)-VLOOKUP($C55,$C$3:$D$15,2,FALSE)*FF$20&lt;0,0,
SUM(SUMIF(防護具!$Y$13:$Y$29,FG$17&amp;$C55,防護具!$Q$13:$Q$29),FF57)-VLOOKUP($C55,$C$3:$D$15,2,FALSE)*FF$20)</f>
        <v>0</v>
      </c>
      <c r="FH57" s="763">
        <f xml:space="preserve">
IF(
SUM(SUMIF(防護具!$Y$13:$Y$29,FH$17&amp;$C55,防護具!$Q$13:$Q$29),FG57)-VLOOKUP($C55,$C$3:$D$15,2,FALSE)*FG$20&lt;0,0,
SUM(SUMIF(防護具!$Y$13:$Y$29,FH$17&amp;$C55,防護具!$Q$13:$Q$29),FG57)-VLOOKUP($C55,$C$3:$D$15,2,FALSE)*FG$20)</f>
        <v>0</v>
      </c>
      <c r="FI57" s="763">
        <f xml:space="preserve">
IF(
SUM(SUMIF(防護具!$Y$13:$Y$29,FI$17&amp;$C55,防護具!$Q$13:$Q$29),FH57)-VLOOKUP($C55,$C$3:$D$15,2,FALSE)*FH$20&lt;0,0,
SUM(SUMIF(防護具!$Y$13:$Y$29,FI$17&amp;$C55,防護具!$Q$13:$Q$29),FH57)-VLOOKUP($C55,$C$3:$D$15,2,FALSE)*FH$20)</f>
        <v>0</v>
      </c>
      <c r="FJ57" s="763">
        <f xml:space="preserve">
IF(
SUM(SUMIF(防護具!$Y$13:$Y$29,FJ$17&amp;$C55,防護具!$Q$13:$Q$29),FI57)-VLOOKUP($C55,$C$3:$D$15,2,FALSE)*FI$20&lt;0,0,
SUM(SUMIF(防護具!$Y$13:$Y$29,FJ$17&amp;$C55,防護具!$Q$13:$Q$29),FI57)-VLOOKUP($C55,$C$3:$D$15,2,FALSE)*FI$20)</f>
        <v>0</v>
      </c>
      <c r="FK57" s="763">
        <f xml:space="preserve">
IF(
SUM(SUMIF(防護具!$Y$13:$Y$29,FK$17&amp;$C55,防護具!$Q$13:$Q$29),FJ57)-VLOOKUP($C55,$C$3:$D$15,2,FALSE)*FJ$20&lt;0,0,
SUM(SUMIF(防護具!$Y$13:$Y$29,FK$17&amp;$C55,防護具!$Q$13:$Q$29),FJ57)-VLOOKUP($C55,$C$3:$D$15,2,FALSE)*FJ$20)</f>
        <v>0</v>
      </c>
      <c r="FL57" s="763">
        <f xml:space="preserve">
IF(
SUM(SUMIF(防護具!$Y$13:$Y$29,FL$17&amp;$C55,防護具!$Q$13:$Q$29),FK57)-VLOOKUP($C55,$C$3:$D$15,2,FALSE)*FK$20&lt;0,0,
SUM(SUMIF(防護具!$Y$13:$Y$29,FL$17&amp;$C55,防護具!$Q$13:$Q$29),FK57)-VLOOKUP($C55,$C$3:$D$15,2,FALSE)*FK$20)</f>
        <v>0</v>
      </c>
      <c r="FM57" s="763">
        <f xml:space="preserve">
IF(
SUM(SUMIF(防護具!$Y$13:$Y$29,FM$17&amp;$C55,防護具!$Q$13:$Q$29),FL57)-VLOOKUP($C55,$C$3:$D$15,2,FALSE)*FL$20&lt;0,0,
SUM(SUMIF(防護具!$Y$13:$Y$29,FM$17&amp;$C55,防護具!$Q$13:$Q$29),FL57)-VLOOKUP($C55,$C$3:$D$15,2,FALSE)*FL$20)</f>
        <v>0</v>
      </c>
      <c r="FN57" s="763">
        <f xml:space="preserve">
IF(
SUM(SUMIF(防護具!$Y$13:$Y$29,FN$17&amp;$C55,防護具!$Q$13:$Q$29),FM57)-VLOOKUP($C55,$C$3:$D$15,2,FALSE)*FM$20&lt;0,0,
SUM(SUMIF(防護具!$Y$13:$Y$29,FN$17&amp;$C55,防護具!$Q$13:$Q$29),FM57)-VLOOKUP($C55,$C$3:$D$15,2,FALSE)*FM$20)</f>
        <v>0</v>
      </c>
      <c r="FO57" s="763">
        <f xml:space="preserve">
IF(
SUM(SUMIF(防護具!$Y$13:$Y$29,FO$17&amp;$C55,防護具!$Q$13:$Q$29),FN57)-VLOOKUP($C55,$C$3:$D$15,2,FALSE)*FN$20&lt;0,0,
SUM(SUMIF(防護具!$Y$13:$Y$29,FO$17&amp;$C55,防護具!$Q$13:$Q$29),FN57)-VLOOKUP($C55,$C$3:$D$15,2,FALSE)*FN$20)</f>
        <v>0</v>
      </c>
      <c r="FP57" s="763">
        <f xml:space="preserve">
IF(
SUM(SUMIF(防護具!$Y$13:$Y$29,FP$17&amp;$C55,防護具!$Q$13:$Q$29),FO57)-VLOOKUP($C55,$C$3:$D$15,2,FALSE)*FO$20&lt;0,0,
SUM(SUMIF(防護具!$Y$13:$Y$29,FP$17&amp;$C55,防護具!$Q$13:$Q$29),FO57)-VLOOKUP($C55,$C$3:$D$15,2,FALSE)*FO$20)</f>
        <v>0</v>
      </c>
      <c r="FQ57" s="763">
        <f xml:space="preserve">
IF(
SUM(SUMIF(防護具!$Y$13:$Y$29,FQ$17&amp;$C55,防護具!$Q$13:$Q$29),FP57)-VLOOKUP($C55,$C$3:$D$15,2,FALSE)*FP$20&lt;0,0,
SUM(SUMIF(防護具!$Y$13:$Y$29,FQ$17&amp;$C55,防護具!$Q$13:$Q$29),FP57)-VLOOKUP($C55,$C$3:$D$15,2,FALSE)*FP$20)</f>
        <v>0</v>
      </c>
      <c r="FR57" s="763">
        <f xml:space="preserve">
IF(
SUM(SUMIF(防護具!$Y$13:$Y$29,FR$17&amp;$C55,防護具!$Q$13:$Q$29),FQ57)-VLOOKUP($C55,$C$3:$D$15,2,FALSE)*FQ$20&lt;0,0,
SUM(SUMIF(防護具!$Y$13:$Y$29,FR$17&amp;$C55,防護具!$Q$13:$Q$29),FQ57)-VLOOKUP($C55,$C$3:$D$15,2,FALSE)*FQ$20)</f>
        <v>0</v>
      </c>
      <c r="FS57" s="763">
        <f xml:space="preserve">
IF(
SUM(SUMIF(防護具!$Y$13:$Y$29,FS$17&amp;$C55,防護具!$Q$13:$Q$29),FR57)-VLOOKUP($C55,$C$3:$D$15,2,FALSE)*FR$20&lt;0,0,
SUM(SUMIF(防護具!$Y$13:$Y$29,FS$17&amp;$C55,防護具!$Q$13:$Q$29),FR57)-VLOOKUP($C55,$C$3:$D$15,2,FALSE)*FR$20)</f>
        <v>0</v>
      </c>
      <c r="FT57" s="763">
        <f xml:space="preserve">
IF(
SUM(SUMIF(防護具!$Y$13:$Y$29,FT$17&amp;$C55,防護具!$Q$13:$Q$29),FS57)-VLOOKUP($C55,$C$3:$D$15,2,FALSE)*FS$20&lt;0,0,
SUM(SUMIF(防護具!$Y$13:$Y$29,FT$17&amp;$C55,防護具!$Q$13:$Q$29),FS57)-VLOOKUP($C55,$C$3:$D$15,2,FALSE)*FS$20)</f>
        <v>0</v>
      </c>
      <c r="FU57" s="763">
        <f xml:space="preserve">
IF(
SUM(SUMIF(防護具!$Y$13:$Y$29,FU$17&amp;$C55,防護具!$Q$13:$Q$29),FT57)-VLOOKUP($C55,$C$3:$D$15,2,FALSE)*FT$20&lt;0,0,
SUM(SUMIF(防護具!$Y$13:$Y$29,FU$17&amp;$C55,防護具!$Q$13:$Q$29),FT57)-VLOOKUP($C55,$C$3:$D$15,2,FALSE)*FT$20)</f>
        <v>0</v>
      </c>
      <c r="FV57" s="763">
        <f xml:space="preserve">
IF(
SUM(SUMIF(防護具!$Y$13:$Y$29,FV$17&amp;$C55,防護具!$Q$13:$Q$29),FU57)-VLOOKUP($C55,$C$3:$D$15,2,FALSE)*FU$20&lt;0,0,
SUM(SUMIF(防護具!$Y$13:$Y$29,FV$17&amp;$C55,防護具!$Q$13:$Q$29),FU57)-VLOOKUP($C55,$C$3:$D$15,2,FALSE)*FU$20)</f>
        <v>0</v>
      </c>
      <c r="FW57" s="763">
        <f xml:space="preserve">
IF(
SUM(SUMIF(防護具!$Y$13:$Y$29,FW$17&amp;$C55,防護具!$Q$13:$Q$29),FV57)-VLOOKUP($C55,$C$3:$D$15,2,FALSE)*FV$20&lt;0,0,
SUM(SUMIF(防護具!$Y$13:$Y$29,FW$17&amp;$C55,防護具!$Q$13:$Q$29),FV57)-VLOOKUP($C55,$C$3:$D$15,2,FALSE)*FV$20)</f>
        <v>0</v>
      </c>
      <c r="FX57" s="763">
        <f xml:space="preserve">
IF(
SUM(SUMIF(防護具!$Y$13:$Y$29,FX$17&amp;$C55,防護具!$Q$13:$Q$29),FW57)-VLOOKUP($C55,$C$3:$D$15,2,FALSE)*FW$20&lt;0,0,
SUM(SUMIF(防護具!$Y$13:$Y$29,FX$17&amp;$C55,防護具!$Q$13:$Q$29),FW57)-VLOOKUP($C55,$C$3:$D$15,2,FALSE)*FW$20)</f>
        <v>0</v>
      </c>
      <c r="FY57" s="763">
        <f xml:space="preserve">
IF(
SUM(SUMIF(防護具!$Y$13:$Y$29,FY$17&amp;$C55,防護具!$Q$13:$Q$29),FX57)-VLOOKUP($C55,$C$3:$D$15,2,FALSE)*FX$20&lt;0,0,
SUM(SUMIF(防護具!$Y$13:$Y$29,FY$17&amp;$C55,防護具!$Q$13:$Q$29),FX57)-VLOOKUP($C55,$C$3:$D$15,2,FALSE)*FX$20)</f>
        <v>0</v>
      </c>
      <c r="FZ57" s="763">
        <f xml:space="preserve">
IF(
SUM(SUMIF(防護具!$Y$13:$Y$29,FZ$17&amp;$C55,防護具!$Q$13:$Q$29),FY57)-VLOOKUP($C55,$C$3:$D$15,2,FALSE)*FY$20&lt;0,0,
SUM(SUMIF(防護具!$Y$13:$Y$29,FZ$17&amp;$C55,防護具!$Q$13:$Q$29),FY57)-VLOOKUP($C55,$C$3:$D$15,2,FALSE)*FY$20)</f>
        <v>0</v>
      </c>
      <c r="GA57" s="763">
        <f xml:space="preserve">
IF(
SUM(SUMIF(防護具!$Y$13:$Y$29,GA$17&amp;$C55,防護具!$Q$13:$Q$29),FZ57)-VLOOKUP($C55,$C$3:$D$15,2,FALSE)*FZ$20&lt;0,0,
SUM(SUMIF(防護具!$Y$13:$Y$29,GA$17&amp;$C55,防護具!$Q$13:$Q$29),FZ57)-VLOOKUP($C55,$C$3:$D$15,2,FALSE)*FZ$20)</f>
        <v>0</v>
      </c>
      <c r="GB57" s="763">
        <f xml:space="preserve">
IF(
SUM(SUMIF(防護具!$Y$13:$Y$29,GB$17&amp;$C55,防護具!$Q$13:$Q$29),GA57)-VLOOKUP($C55,$C$3:$D$15,2,FALSE)*GA$20&lt;0,0,
SUM(SUMIF(防護具!$Y$13:$Y$29,GB$17&amp;$C55,防護具!$Q$13:$Q$29),GA57)-VLOOKUP($C55,$C$3:$D$15,2,FALSE)*GA$20)</f>
        <v>0</v>
      </c>
      <c r="GC57" s="763">
        <f xml:space="preserve">
IF(
SUM(SUMIF(防護具!$Y$13:$Y$29,GC$17&amp;$C55,防護具!$Q$13:$Q$29),GB57)-VLOOKUP($C55,$C$3:$D$15,2,FALSE)*GB$20&lt;0,0,
SUM(SUMIF(防護具!$Y$13:$Y$29,GC$17&amp;$C55,防護具!$Q$13:$Q$29),GB57)-VLOOKUP($C55,$C$3:$D$15,2,FALSE)*GB$20)</f>
        <v>0</v>
      </c>
      <c r="GD57" s="763">
        <f xml:space="preserve">
IF(
SUM(SUMIF(防護具!$Y$13:$Y$29,GD$17&amp;$C55,防護具!$Q$13:$Q$29),GC57)-VLOOKUP($C55,$C$3:$D$15,2,FALSE)*GC$20&lt;0,0,
SUM(SUMIF(防護具!$Y$13:$Y$29,GD$17&amp;$C55,防護具!$Q$13:$Q$29),GC57)-VLOOKUP($C55,$C$3:$D$15,2,FALSE)*GC$20)</f>
        <v>0</v>
      </c>
      <c r="GE57" s="763">
        <f xml:space="preserve">
IF(
SUM(SUMIF(防護具!$Y$13:$Y$29,GE$17&amp;$C55,防護具!$Q$13:$Q$29),GD57)-VLOOKUP($C55,$C$3:$D$15,2,FALSE)*GD$20&lt;0,0,
SUM(SUMIF(防護具!$Y$13:$Y$29,GE$17&amp;$C55,防護具!$Q$13:$Q$29),GD57)-VLOOKUP($C55,$C$3:$D$15,2,FALSE)*GD$20)</f>
        <v>0</v>
      </c>
      <c r="GF57" s="763">
        <f xml:space="preserve">
IF(
SUM(SUMIF(防護具!$Y$13:$Y$29,GF$17&amp;$C55,防護具!$Q$13:$Q$29),GE57)-VLOOKUP($C55,$C$3:$D$15,2,FALSE)*GE$20&lt;0,0,
SUM(SUMIF(防護具!$Y$13:$Y$29,GF$17&amp;$C55,防護具!$Q$13:$Q$29),GE57)-VLOOKUP($C55,$C$3:$D$15,2,FALSE)*GE$20)</f>
        <v>0</v>
      </c>
      <c r="GG57" s="763">
        <f xml:space="preserve">
IF(
SUM(SUMIF(防護具!$Y$13:$Y$29,GG$17&amp;$C55,防護具!$Q$13:$Q$29),GF57)-VLOOKUP($C55,$C$3:$D$15,2,FALSE)*GF$20&lt;0,0,
SUM(SUMIF(防護具!$Y$13:$Y$29,GG$17&amp;$C55,防護具!$Q$13:$Q$29),GF57)-VLOOKUP($C55,$C$3:$D$15,2,FALSE)*GF$20)</f>
        <v>0</v>
      </c>
      <c r="GH57" s="763">
        <f xml:space="preserve">
IF(
SUM(SUMIF(防護具!$Y$13:$Y$29,GH$17&amp;$C55,防護具!$Q$13:$Q$29),GG57)-VLOOKUP($C55,$C$3:$D$15,2,FALSE)*GG$20&lt;0,0,
SUM(SUMIF(防護具!$Y$13:$Y$29,GH$17&amp;$C55,防護具!$Q$13:$Q$29),GG57)-VLOOKUP($C55,$C$3:$D$15,2,FALSE)*GG$20)</f>
        <v>0</v>
      </c>
      <c r="GI57" s="763">
        <f xml:space="preserve">
IF(
SUM(SUMIF(防護具!$Y$13:$Y$29,GI$17&amp;$C55,防護具!$Q$13:$Q$29),GH57)-VLOOKUP($C55,$C$3:$D$15,2,FALSE)*GH$20&lt;0,0,
SUM(SUMIF(防護具!$Y$13:$Y$29,GI$17&amp;$C55,防護具!$Q$13:$Q$29),GH57)-VLOOKUP($C55,$C$3:$D$15,2,FALSE)*GH$20)</f>
        <v>0</v>
      </c>
      <c r="GJ57" s="763">
        <f xml:space="preserve">
IF(
SUM(SUMIF(防護具!$Y$13:$Y$29,GJ$17&amp;$C55,防護具!$Q$13:$Q$29),GI57)-VLOOKUP($C55,$C$3:$D$15,2,FALSE)*GI$20&lt;0,0,
SUM(SUMIF(防護具!$Y$13:$Y$29,GJ$17&amp;$C55,防護具!$Q$13:$Q$29),GI57)-VLOOKUP($C55,$C$3:$D$15,2,FALSE)*GI$20)</f>
        <v>0</v>
      </c>
    </row>
    <row r="58" spans="2:192" s="632" customFormat="1">
      <c r="B58" s="633"/>
      <c r="C58" s="625" t="s">
        <v>1375</v>
      </c>
      <c r="D58" s="701" t="s">
        <v>1423</v>
      </c>
      <c r="E58" s="706"/>
      <c r="F58" s="653"/>
      <c r="G58" s="762">
        <f xml:space="preserve">
MIN(G59,
IF((VLOOKUP($C58,$C$3:$D$15,2,FALSE)*G$20-G60)&lt;0,0,VLOOKUP($C58,$C$3:$D$15,2,FALSE)*G$20-G60))</f>
        <v>0</v>
      </c>
      <c r="H58" s="762">
        <f xml:space="preserve">
IF(G60&gt;=VLOOKUP($C58,$C$3:$D$15,2,FALSE)*H$20,0,
IF(AND(G60&lt;VLOOKUP($C58,$C$3:$D$15,2,FALSE)*H$20,H59&lt;=VLOOKUP($C58,$C$3:$D$15,2,FALSE)*H$20),IF(H59-G60&lt;0,0,H59-G60),
IF(AND(G60&lt;VLOOKUP($C58,$C$3:$D$15,2,FALSE)*H$20,H59&gt;VLOOKUP($C58,$C$3:$D$15,2,FALSE)*H$20),VLOOKUP($C58,$C$3:$D$15,2,FALSE)*H$20-G60)))</f>
        <v>0</v>
      </c>
      <c r="I58" s="762">
        <f t="shared" ref="I58:P58" si="2244" xml:space="preserve">
IF(H60&gt;=VLOOKUP($C58,$C$3:$D$15,2,FALSE)*I$20,0,
IF(AND(H60&lt;VLOOKUP($C58,$C$3:$D$15,2,FALSE)*I$20,I59&lt;=VLOOKUP($C58,$C$3:$D$15,2,FALSE)*I$20),IF(I59-H60&lt;0,0,I59-H60),
IF(AND(H60&lt;VLOOKUP($C58,$C$3:$D$15,2,FALSE)*I$20,I59&gt;VLOOKUP($C58,$C$3:$D$15,2,FALSE)*I$20),VLOOKUP($C58,$C$3:$D$15,2,FALSE)*I$20-H60)))</f>
        <v>0</v>
      </c>
      <c r="J58" s="762">
        <f t="shared" si="2244"/>
        <v>0</v>
      </c>
      <c r="K58" s="762">
        <f t="shared" si="2244"/>
        <v>0</v>
      </c>
      <c r="L58" s="762">
        <f t="shared" si="2244"/>
        <v>0</v>
      </c>
      <c r="M58" s="762">
        <f t="shared" si="2244"/>
        <v>0</v>
      </c>
      <c r="N58" s="762">
        <f t="shared" si="2244"/>
        <v>0</v>
      </c>
      <c r="O58" s="762">
        <f t="shared" si="2244"/>
        <v>0</v>
      </c>
      <c r="P58" s="762">
        <f t="shared" si="2244"/>
        <v>0</v>
      </c>
      <c r="Q58" s="762">
        <f t="shared" ref="Q58" si="2245" xml:space="preserve">
IF(P60&gt;=VLOOKUP($C58,$C$3:$D$15,2,FALSE)*Q$20,0,
IF(AND(P60&lt;VLOOKUP($C58,$C$3:$D$15,2,FALSE)*Q$20,Q59&lt;=VLOOKUP($C58,$C$3:$D$15,2,FALSE)*Q$20),IF(Q59-P60&lt;0,0,Q59-P60),
IF(AND(P60&lt;VLOOKUP($C58,$C$3:$D$15,2,FALSE)*Q$20,Q59&gt;VLOOKUP($C58,$C$3:$D$15,2,FALSE)*Q$20),VLOOKUP($C58,$C$3:$D$15,2,FALSE)*Q$20-P60)))</f>
        <v>0</v>
      </c>
      <c r="R58" s="762">
        <f t="shared" ref="R58" si="2246" xml:space="preserve">
IF(Q60&gt;=VLOOKUP($C58,$C$3:$D$15,2,FALSE)*R$20,0,
IF(AND(Q60&lt;VLOOKUP($C58,$C$3:$D$15,2,FALSE)*R$20,R59&lt;=VLOOKUP($C58,$C$3:$D$15,2,FALSE)*R$20),IF(R59-Q60&lt;0,0,R59-Q60),
IF(AND(Q60&lt;VLOOKUP($C58,$C$3:$D$15,2,FALSE)*R$20,R59&gt;VLOOKUP($C58,$C$3:$D$15,2,FALSE)*R$20),VLOOKUP($C58,$C$3:$D$15,2,FALSE)*R$20-Q60)))</f>
        <v>0</v>
      </c>
      <c r="S58" s="762">
        <f t="shared" ref="S58" si="2247" xml:space="preserve">
IF(R60&gt;=VLOOKUP($C58,$C$3:$D$15,2,FALSE)*S$20,0,
IF(AND(R60&lt;VLOOKUP($C58,$C$3:$D$15,2,FALSE)*S$20,S59&lt;=VLOOKUP($C58,$C$3:$D$15,2,FALSE)*S$20),IF(S59-R60&lt;0,0,S59-R60),
IF(AND(R60&lt;VLOOKUP($C58,$C$3:$D$15,2,FALSE)*S$20,S59&gt;VLOOKUP($C58,$C$3:$D$15,2,FALSE)*S$20),VLOOKUP($C58,$C$3:$D$15,2,FALSE)*S$20-R60)))</f>
        <v>0</v>
      </c>
      <c r="T58" s="762">
        <f t="shared" ref="T58" si="2248" xml:space="preserve">
IF(S60&gt;=VLOOKUP($C58,$C$3:$D$15,2,FALSE)*T$20,0,
IF(AND(S60&lt;VLOOKUP($C58,$C$3:$D$15,2,FALSE)*T$20,T59&lt;=VLOOKUP($C58,$C$3:$D$15,2,FALSE)*T$20),IF(T59-S60&lt;0,0,T59-S60),
IF(AND(S60&lt;VLOOKUP($C58,$C$3:$D$15,2,FALSE)*T$20,T59&gt;VLOOKUP($C58,$C$3:$D$15,2,FALSE)*T$20),VLOOKUP($C58,$C$3:$D$15,2,FALSE)*T$20-S60)))</f>
        <v>0</v>
      </c>
      <c r="U58" s="762">
        <f t="shared" ref="U58" si="2249" xml:space="preserve">
IF(T60&gt;=VLOOKUP($C58,$C$3:$D$15,2,FALSE)*U$20,0,
IF(AND(T60&lt;VLOOKUP($C58,$C$3:$D$15,2,FALSE)*U$20,U59&lt;=VLOOKUP($C58,$C$3:$D$15,2,FALSE)*U$20),IF(U59-T60&lt;0,0,U59-T60),
IF(AND(T60&lt;VLOOKUP($C58,$C$3:$D$15,2,FALSE)*U$20,U59&gt;VLOOKUP($C58,$C$3:$D$15,2,FALSE)*U$20),VLOOKUP($C58,$C$3:$D$15,2,FALSE)*U$20-T60)))</f>
        <v>0</v>
      </c>
      <c r="V58" s="762">
        <f t="shared" ref="V58" si="2250" xml:space="preserve">
IF(U60&gt;=VLOOKUP($C58,$C$3:$D$15,2,FALSE)*V$20,0,
IF(AND(U60&lt;VLOOKUP($C58,$C$3:$D$15,2,FALSE)*V$20,V59&lt;=VLOOKUP($C58,$C$3:$D$15,2,FALSE)*V$20),IF(V59-U60&lt;0,0,V59-U60),
IF(AND(U60&lt;VLOOKUP($C58,$C$3:$D$15,2,FALSE)*V$20,V59&gt;VLOOKUP($C58,$C$3:$D$15,2,FALSE)*V$20),VLOOKUP($C58,$C$3:$D$15,2,FALSE)*V$20-U60)))</f>
        <v>0</v>
      </c>
      <c r="W58" s="762">
        <f t="shared" ref="W58" si="2251" xml:space="preserve">
IF(V60&gt;=VLOOKUP($C58,$C$3:$D$15,2,FALSE)*W$20,0,
IF(AND(V60&lt;VLOOKUP($C58,$C$3:$D$15,2,FALSE)*W$20,W59&lt;=VLOOKUP($C58,$C$3:$D$15,2,FALSE)*W$20),IF(W59-V60&lt;0,0,W59-V60),
IF(AND(V60&lt;VLOOKUP($C58,$C$3:$D$15,2,FALSE)*W$20,W59&gt;VLOOKUP($C58,$C$3:$D$15,2,FALSE)*W$20),VLOOKUP($C58,$C$3:$D$15,2,FALSE)*W$20-V60)))</f>
        <v>0</v>
      </c>
      <c r="X58" s="762">
        <f t="shared" ref="X58" si="2252" xml:space="preserve">
IF(W60&gt;=VLOOKUP($C58,$C$3:$D$15,2,FALSE)*X$20,0,
IF(AND(W60&lt;VLOOKUP($C58,$C$3:$D$15,2,FALSE)*X$20,X59&lt;=VLOOKUP($C58,$C$3:$D$15,2,FALSE)*X$20),IF(X59-W60&lt;0,0,X59-W60),
IF(AND(W60&lt;VLOOKUP($C58,$C$3:$D$15,2,FALSE)*X$20,X59&gt;VLOOKUP($C58,$C$3:$D$15,2,FALSE)*X$20),VLOOKUP($C58,$C$3:$D$15,2,FALSE)*X$20-W60)))</f>
        <v>0</v>
      </c>
      <c r="Y58" s="762">
        <f t="shared" ref="Y58" si="2253" xml:space="preserve">
IF(X60&gt;=VLOOKUP($C58,$C$3:$D$15,2,FALSE)*Y$20,0,
IF(AND(X60&lt;VLOOKUP($C58,$C$3:$D$15,2,FALSE)*Y$20,Y59&lt;=VLOOKUP($C58,$C$3:$D$15,2,FALSE)*Y$20),IF(Y59-X60&lt;0,0,Y59-X60),
IF(AND(X60&lt;VLOOKUP($C58,$C$3:$D$15,2,FALSE)*Y$20,Y59&gt;VLOOKUP($C58,$C$3:$D$15,2,FALSE)*Y$20),VLOOKUP($C58,$C$3:$D$15,2,FALSE)*Y$20-X60)))</f>
        <v>0</v>
      </c>
      <c r="Z58" s="762">
        <f t="shared" ref="Z58" si="2254" xml:space="preserve">
IF(Y60&gt;=VLOOKUP($C58,$C$3:$D$15,2,FALSE)*Z$20,0,
IF(AND(Y60&lt;VLOOKUP($C58,$C$3:$D$15,2,FALSE)*Z$20,Z59&lt;=VLOOKUP($C58,$C$3:$D$15,2,FALSE)*Z$20),IF(Z59-Y60&lt;0,0,Z59-Y60),
IF(AND(Y60&lt;VLOOKUP($C58,$C$3:$D$15,2,FALSE)*Z$20,Z59&gt;VLOOKUP($C58,$C$3:$D$15,2,FALSE)*Z$20),VLOOKUP($C58,$C$3:$D$15,2,FALSE)*Z$20-Y60)))</f>
        <v>0</v>
      </c>
      <c r="AA58" s="762">
        <f t="shared" ref="AA58" si="2255" xml:space="preserve">
IF(Z60&gt;=VLOOKUP($C58,$C$3:$D$15,2,FALSE)*AA$20,0,
IF(AND(Z60&lt;VLOOKUP($C58,$C$3:$D$15,2,FALSE)*AA$20,AA59&lt;=VLOOKUP($C58,$C$3:$D$15,2,FALSE)*AA$20),IF(AA59-Z60&lt;0,0,AA59-Z60),
IF(AND(Z60&lt;VLOOKUP($C58,$C$3:$D$15,2,FALSE)*AA$20,AA59&gt;VLOOKUP($C58,$C$3:$D$15,2,FALSE)*AA$20),VLOOKUP($C58,$C$3:$D$15,2,FALSE)*AA$20-Z60)))</f>
        <v>0</v>
      </c>
      <c r="AB58" s="762">
        <f t="shared" ref="AB58" si="2256" xml:space="preserve">
IF(AA60&gt;=VLOOKUP($C58,$C$3:$D$15,2,FALSE)*AB$20,0,
IF(AND(AA60&lt;VLOOKUP($C58,$C$3:$D$15,2,FALSE)*AB$20,AB59&lt;=VLOOKUP($C58,$C$3:$D$15,2,FALSE)*AB$20),IF(AB59-AA60&lt;0,0,AB59-AA60),
IF(AND(AA60&lt;VLOOKUP($C58,$C$3:$D$15,2,FALSE)*AB$20,AB59&gt;VLOOKUP($C58,$C$3:$D$15,2,FALSE)*AB$20),VLOOKUP($C58,$C$3:$D$15,2,FALSE)*AB$20-AA60)))</f>
        <v>0</v>
      </c>
      <c r="AC58" s="762">
        <f t="shared" ref="AC58" si="2257" xml:space="preserve">
IF(AB60&gt;=VLOOKUP($C58,$C$3:$D$15,2,FALSE)*AC$20,0,
IF(AND(AB60&lt;VLOOKUP($C58,$C$3:$D$15,2,FALSE)*AC$20,AC59&lt;=VLOOKUP($C58,$C$3:$D$15,2,FALSE)*AC$20),IF(AC59-AB60&lt;0,0,AC59-AB60),
IF(AND(AB60&lt;VLOOKUP($C58,$C$3:$D$15,2,FALSE)*AC$20,AC59&gt;VLOOKUP($C58,$C$3:$D$15,2,FALSE)*AC$20),VLOOKUP($C58,$C$3:$D$15,2,FALSE)*AC$20-AB60)))</f>
        <v>0</v>
      </c>
      <c r="AD58" s="762">
        <f t="shared" ref="AD58" si="2258" xml:space="preserve">
IF(AC60&gt;=VLOOKUP($C58,$C$3:$D$15,2,FALSE)*AD$20,0,
IF(AND(AC60&lt;VLOOKUP($C58,$C$3:$D$15,2,FALSE)*AD$20,AD59&lt;=VLOOKUP($C58,$C$3:$D$15,2,FALSE)*AD$20),IF(AD59-AC60&lt;0,0,AD59-AC60),
IF(AND(AC60&lt;VLOOKUP($C58,$C$3:$D$15,2,FALSE)*AD$20,AD59&gt;VLOOKUP($C58,$C$3:$D$15,2,FALSE)*AD$20),VLOOKUP($C58,$C$3:$D$15,2,FALSE)*AD$20-AC60)))</f>
        <v>0</v>
      </c>
      <c r="AE58" s="762">
        <f t="shared" ref="AE58" si="2259" xml:space="preserve">
IF(AD60&gt;=VLOOKUP($C58,$C$3:$D$15,2,FALSE)*AE$20,0,
IF(AND(AD60&lt;VLOOKUP($C58,$C$3:$D$15,2,FALSE)*AE$20,AE59&lt;=VLOOKUP($C58,$C$3:$D$15,2,FALSE)*AE$20),IF(AE59-AD60&lt;0,0,AE59-AD60),
IF(AND(AD60&lt;VLOOKUP($C58,$C$3:$D$15,2,FALSE)*AE$20,AE59&gt;VLOOKUP($C58,$C$3:$D$15,2,FALSE)*AE$20),VLOOKUP($C58,$C$3:$D$15,2,FALSE)*AE$20-AD60)))</f>
        <v>0</v>
      </c>
      <c r="AF58" s="762">
        <f t="shared" ref="AF58" si="2260" xml:space="preserve">
IF(AE60&gt;=VLOOKUP($C58,$C$3:$D$15,2,FALSE)*AF$20,0,
IF(AND(AE60&lt;VLOOKUP($C58,$C$3:$D$15,2,FALSE)*AF$20,AF59&lt;=VLOOKUP($C58,$C$3:$D$15,2,FALSE)*AF$20),IF(AF59-AE60&lt;0,0,AF59-AE60),
IF(AND(AE60&lt;VLOOKUP($C58,$C$3:$D$15,2,FALSE)*AF$20,AF59&gt;VLOOKUP($C58,$C$3:$D$15,2,FALSE)*AF$20),VLOOKUP($C58,$C$3:$D$15,2,FALSE)*AF$20-AE60)))</f>
        <v>0</v>
      </c>
      <c r="AG58" s="762">
        <f t="shared" ref="AG58" si="2261" xml:space="preserve">
IF(AF60&gt;=VLOOKUP($C58,$C$3:$D$15,2,FALSE)*AG$20,0,
IF(AND(AF60&lt;VLOOKUP($C58,$C$3:$D$15,2,FALSE)*AG$20,AG59&lt;=VLOOKUP($C58,$C$3:$D$15,2,FALSE)*AG$20),IF(AG59-AF60&lt;0,0,AG59-AF60),
IF(AND(AF60&lt;VLOOKUP($C58,$C$3:$D$15,2,FALSE)*AG$20,AG59&gt;VLOOKUP($C58,$C$3:$D$15,2,FALSE)*AG$20),VLOOKUP($C58,$C$3:$D$15,2,FALSE)*AG$20-AF60)))</f>
        <v>0</v>
      </c>
      <c r="AH58" s="762">
        <f t="shared" ref="AH58" si="2262" xml:space="preserve">
IF(AG60&gt;=VLOOKUP($C58,$C$3:$D$15,2,FALSE)*AH$20,0,
IF(AND(AG60&lt;VLOOKUP($C58,$C$3:$D$15,2,FALSE)*AH$20,AH59&lt;=VLOOKUP($C58,$C$3:$D$15,2,FALSE)*AH$20),IF(AH59-AG60&lt;0,0,AH59-AG60),
IF(AND(AG60&lt;VLOOKUP($C58,$C$3:$D$15,2,FALSE)*AH$20,AH59&gt;VLOOKUP($C58,$C$3:$D$15,2,FALSE)*AH$20),VLOOKUP($C58,$C$3:$D$15,2,FALSE)*AH$20-AG60)))</f>
        <v>0</v>
      </c>
      <c r="AI58" s="762">
        <f t="shared" ref="AI58" si="2263" xml:space="preserve">
IF(AH60&gt;=VLOOKUP($C58,$C$3:$D$15,2,FALSE)*AI$20,0,
IF(AND(AH60&lt;VLOOKUP($C58,$C$3:$D$15,2,FALSE)*AI$20,AI59&lt;=VLOOKUP($C58,$C$3:$D$15,2,FALSE)*AI$20),IF(AI59-AH60&lt;0,0,AI59-AH60),
IF(AND(AH60&lt;VLOOKUP($C58,$C$3:$D$15,2,FALSE)*AI$20,AI59&gt;VLOOKUP($C58,$C$3:$D$15,2,FALSE)*AI$20),VLOOKUP($C58,$C$3:$D$15,2,FALSE)*AI$20-AH60)))</f>
        <v>0</v>
      </c>
      <c r="AJ58" s="762">
        <f t="shared" ref="AJ58" si="2264" xml:space="preserve">
IF(AI60&gt;=VLOOKUP($C58,$C$3:$D$15,2,FALSE)*AJ$20,0,
IF(AND(AI60&lt;VLOOKUP($C58,$C$3:$D$15,2,FALSE)*AJ$20,AJ59&lt;=VLOOKUP($C58,$C$3:$D$15,2,FALSE)*AJ$20),IF(AJ59-AI60&lt;0,0,AJ59-AI60),
IF(AND(AI60&lt;VLOOKUP($C58,$C$3:$D$15,2,FALSE)*AJ$20,AJ59&gt;VLOOKUP($C58,$C$3:$D$15,2,FALSE)*AJ$20),VLOOKUP($C58,$C$3:$D$15,2,FALSE)*AJ$20-AI60)))</f>
        <v>0</v>
      </c>
      <c r="AK58" s="762">
        <f t="shared" ref="AK58" si="2265" xml:space="preserve">
IF(AJ60&gt;=VLOOKUP($C58,$C$3:$D$15,2,FALSE)*AK$20,0,
IF(AND(AJ60&lt;VLOOKUP($C58,$C$3:$D$15,2,FALSE)*AK$20,AK59&lt;=VLOOKUP($C58,$C$3:$D$15,2,FALSE)*AK$20),IF(AK59-AJ60&lt;0,0,AK59-AJ60),
IF(AND(AJ60&lt;VLOOKUP($C58,$C$3:$D$15,2,FALSE)*AK$20,AK59&gt;VLOOKUP($C58,$C$3:$D$15,2,FALSE)*AK$20),VLOOKUP($C58,$C$3:$D$15,2,FALSE)*AK$20-AJ60)))</f>
        <v>0</v>
      </c>
      <c r="AL58" s="762">
        <f t="shared" ref="AL58" si="2266" xml:space="preserve">
IF(AK60&gt;=VLOOKUP($C58,$C$3:$D$15,2,FALSE)*AL$20,0,
IF(AND(AK60&lt;VLOOKUP($C58,$C$3:$D$15,2,FALSE)*AL$20,AL59&lt;=VLOOKUP($C58,$C$3:$D$15,2,FALSE)*AL$20),IF(AL59-AK60&lt;0,0,AL59-AK60),
IF(AND(AK60&lt;VLOOKUP($C58,$C$3:$D$15,2,FALSE)*AL$20,AL59&gt;VLOOKUP($C58,$C$3:$D$15,2,FALSE)*AL$20),VLOOKUP($C58,$C$3:$D$15,2,FALSE)*AL$20-AK60)))</f>
        <v>0</v>
      </c>
      <c r="AM58" s="762">
        <f t="shared" ref="AM58" si="2267" xml:space="preserve">
IF(AL60&gt;=VLOOKUP($C58,$C$3:$D$15,2,FALSE)*AM$20,0,
IF(AND(AL60&lt;VLOOKUP($C58,$C$3:$D$15,2,FALSE)*AM$20,AM59&lt;=VLOOKUP($C58,$C$3:$D$15,2,FALSE)*AM$20),IF(AM59-AL60&lt;0,0,AM59-AL60),
IF(AND(AL60&lt;VLOOKUP($C58,$C$3:$D$15,2,FALSE)*AM$20,AM59&gt;VLOOKUP($C58,$C$3:$D$15,2,FALSE)*AM$20),VLOOKUP($C58,$C$3:$D$15,2,FALSE)*AM$20-AL60)))</f>
        <v>0</v>
      </c>
      <c r="AN58" s="762">
        <f t="shared" ref="AN58" si="2268" xml:space="preserve">
IF(AM60&gt;=VLOOKUP($C58,$C$3:$D$15,2,FALSE)*AN$20,0,
IF(AND(AM60&lt;VLOOKUP($C58,$C$3:$D$15,2,FALSE)*AN$20,AN59&lt;=VLOOKUP($C58,$C$3:$D$15,2,FALSE)*AN$20),IF(AN59-AM60&lt;0,0,AN59-AM60),
IF(AND(AM60&lt;VLOOKUP($C58,$C$3:$D$15,2,FALSE)*AN$20,AN59&gt;VLOOKUP($C58,$C$3:$D$15,2,FALSE)*AN$20),VLOOKUP($C58,$C$3:$D$15,2,FALSE)*AN$20-AM60)))</f>
        <v>0</v>
      </c>
      <c r="AO58" s="762">
        <f t="shared" ref="AO58" si="2269" xml:space="preserve">
IF(AN60&gt;=VLOOKUP($C58,$C$3:$D$15,2,FALSE)*AO$20,0,
IF(AND(AN60&lt;VLOOKUP($C58,$C$3:$D$15,2,FALSE)*AO$20,AO59&lt;=VLOOKUP($C58,$C$3:$D$15,2,FALSE)*AO$20),IF(AO59-AN60&lt;0,0,AO59-AN60),
IF(AND(AN60&lt;VLOOKUP($C58,$C$3:$D$15,2,FALSE)*AO$20,AO59&gt;VLOOKUP($C58,$C$3:$D$15,2,FALSE)*AO$20),VLOOKUP($C58,$C$3:$D$15,2,FALSE)*AO$20-AN60)))</f>
        <v>0</v>
      </c>
      <c r="AP58" s="762">
        <f t="shared" ref="AP58" si="2270" xml:space="preserve">
IF(AO60&gt;=VLOOKUP($C58,$C$3:$D$15,2,FALSE)*AP$20,0,
IF(AND(AO60&lt;VLOOKUP($C58,$C$3:$D$15,2,FALSE)*AP$20,AP59&lt;=VLOOKUP($C58,$C$3:$D$15,2,FALSE)*AP$20),IF(AP59-AO60&lt;0,0,AP59-AO60),
IF(AND(AO60&lt;VLOOKUP($C58,$C$3:$D$15,2,FALSE)*AP$20,AP59&gt;VLOOKUP($C58,$C$3:$D$15,2,FALSE)*AP$20),VLOOKUP($C58,$C$3:$D$15,2,FALSE)*AP$20-AO60)))</f>
        <v>0</v>
      </c>
      <c r="AQ58" s="762">
        <f t="shared" ref="AQ58" si="2271" xml:space="preserve">
IF(AP60&gt;=VLOOKUP($C58,$C$3:$D$15,2,FALSE)*AQ$20,0,
IF(AND(AP60&lt;VLOOKUP($C58,$C$3:$D$15,2,FALSE)*AQ$20,AQ59&lt;=VLOOKUP($C58,$C$3:$D$15,2,FALSE)*AQ$20),IF(AQ59-AP60&lt;0,0,AQ59-AP60),
IF(AND(AP60&lt;VLOOKUP($C58,$C$3:$D$15,2,FALSE)*AQ$20,AQ59&gt;VLOOKUP($C58,$C$3:$D$15,2,FALSE)*AQ$20),VLOOKUP($C58,$C$3:$D$15,2,FALSE)*AQ$20-AP60)))</f>
        <v>0</v>
      </c>
      <c r="AR58" s="762">
        <f t="shared" ref="AR58" si="2272" xml:space="preserve">
IF(AQ60&gt;=VLOOKUP($C58,$C$3:$D$15,2,FALSE)*AR$20,0,
IF(AND(AQ60&lt;VLOOKUP($C58,$C$3:$D$15,2,FALSE)*AR$20,AR59&lt;=VLOOKUP($C58,$C$3:$D$15,2,FALSE)*AR$20),IF(AR59-AQ60&lt;0,0,AR59-AQ60),
IF(AND(AQ60&lt;VLOOKUP($C58,$C$3:$D$15,2,FALSE)*AR$20,AR59&gt;VLOOKUP($C58,$C$3:$D$15,2,FALSE)*AR$20),VLOOKUP($C58,$C$3:$D$15,2,FALSE)*AR$20-AQ60)))</f>
        <v>0</v>
      </c>
      <c r="AS58" s="762">
        <f t="shared" ref="AS58" si="2273" xml:space="preserve">
IF(AR60&gt;=VLOOKUP($C58,$C$3:$D$15,2,FALSE)*AS$20,0,
IF(AND(AR60&lt;VLOOKUP($C58,$C$3:$D$15,2,FALSE)*AS$20,AS59&lt;=VLOOKUP($C58,$C$3:$D$15,2,FALSE)*AS$20),IF(AS59-AR60&lt;0,0,AS59-AR60),
IF(AND(AR60&lt;VLOOKUP($C58,$C$3:$D$15,2,FALSE)*AS$20,AS59&gt;VLOOKUP($C58,$C$3:$D$15,2,FALSE)*AS$20),VLOOKUP($C58,$C$3:$D$15,2,FALSE)*AS$20-AR60)))</f>
        <v>0</v>
      </c>
      <c r="AT58" s="762">
        <f t="shared" ref="AT58" si="2274" xml:space="preserve">
IF(AS60&gt;=VLOOKUP($C58,$C$3:$D$15,2,FALSE)*AT$20,0,
IF(AND(AS60&lt;VLOOKUP($C58,$C$3:$D$15,2,FALSE)*AT$20,AT59&lt;=VLOOKUP($C58,$C$3:$D$15,2,FALSE)*AT$20),IF(AT59-AS60&lt;0,0,AT59-AS60),
IF(AND(AS60&lt;VLOOKUP($C58,$C$3:$D$15,2,FALSE)*AT$20,AT59&gt;VLOOKUP($C58,$C$3:$D$15,2,FALSE)*AT$20),VLOOKUP($C58,$C$3:$D$15,2,FALSE)*AT$20-AS60)))</f>
        <v>0</v>
      </c>
      <c r="AU58" s="762">
        <f t="shared" ref="AU58" si="2275" xml:space="preserve">
IF(AT60&gt;=VLOOKUP($C58,$C$3:$D$15,2,FALSE)*AU$20,0,
IF(AND(AT60&lt;VLOOKUP($C58,$C$3:$D$15,2,FALSE)*AU$20,AU59&lt;=VLOOKUP($C58,$C$3:$D$15,2,FALSE)*AU$20),IF(AU59-AT60&lt;0,0,AU59-AT60),
IF(AND(AT60&lt;VLOOKUP($C58,$C$3:$D$15,2,FALSE)*AU$20,AU59&gt;VLOOKUP($C58,$C$3:$D$15,2,FALSE)*AU$20),VLOOKUP($C58,$C$3:$D$15,2,FALSE)*AU$20-AT60)))</f>
        <v>0</v>
      </c>
      <c r="AV58" s="762">
        <f t="shared" ref="AV58" si="2276" xml:space="preserve">
IF(AU60&gt;=VLOOKUP($C58,$C$3:$D$15,2,FALSE)*AV$20,0,
IF(AND(AU60&lt;VLOOKUP($C58,$C$3:$D$15,2,FALSE)*AV$20,AV59&lt;=VLOOKUP($C58,$C$3:$D$15,2,FALSE)*AV$20),IF(AV59-AU60&lt;0,0,AV59-AU60),
IF(AND(AU60&lt;VLOOKUP($C58,$C$3:$D$15,2,FALSE)*AV$20,AV59&gt;VLOOKUP($C58,$C$3:$D$15,2,FALSE)*AV$20),VLOOKUP($C58,$C$3:$D$15,2,FALSE)*AV$20-AU60)))</f>
        <v>0</v>
      </c>
      <c r="AW58" s="762">
        <f t="shared" ref="AW58" si="2277" xml:space="preserve">
IF(AV60&gt;=VLOOKUP($C58,$C$3:$D$15,2,FALSE)*AW$20,0,
IF(AND(AV60&lt;VLOOKUP($C58,$C$3:$D$15,2,FALSE)*AW$20,AW59&lt;=VLOOKUP($C58,$C$3:$D$15,2,FALSE)*AW$20),IF(AW59-AV60&lt;0,0,AW59-AV60),
IF(AND(AV60&lt;VLOOKUP($C58,$C$3:$D$15,2,FALSE)*AW$20,AW59&gt;VLOOKUP($C58,$C$3:$D$15,2,FALSE)*AW$20),VLOOKUP($C58,$C$3:$D$15,2,FALSE)*AW$20-AV60)))</f>
        <v>0</v>
      </c>
      <c r="AX58" s="762">
        <f t="shared" ref="AX58" si="2278" xml:space="preserve">
IF(AW60&gt;=VLOOKUP($C58,$C$3:$D$15,2,FALSE)*AX$20,0,
IF(AND(AW60&lt;VLOOKUP($C58,$C$3:$D$15,2,FALSE)*AX$20,AX59&lt;=VLOOKUP($C58,$C$3:$D$15,2,FALSE)*AX$20),IF(AX59-AW60&lt;0,0,AX59-AW60),
IF(AND(AW60&lt;VLOOKUP($C58,$C$3:$D$15,2,FALSE)*AX$20,AX59&gt;VLOOKUP($C58,$C$3:$D$15,2,FALSE)*AX$20),VLOOKUP($C58,$C$3:$D$15,2,FALSE)*AX$20-AW60)))</f>
        <v>0</v>
      </c>
      <c r="AY58" s="762">
        <f t="shared" ref="AY58" si="2279" xml:space="preserve">
IF(AX60&gt;=VLOOKUP($C58,$C$3:$D$15,2,FALSE)*AY$20,0,
IF(AND(AX60&lt;VLOOKUP($C58,$C$3:$D$15,2,FALSE)*AY$20,AY59&lt;=VLOOKUP($C58,$C$3:$D$15,2,FALSE)*AY$20),IF(AY59-AX60&lt;0,0,AY59-AX60),
IF(AND(AX60&lt;VLOOKUP($C58,$C$3:$D$15,2,FALSE)*AY$20,AY59&gt;VLOOKUP($C58,$C$3:$D$15,2,FALSE)*AY$20),VLOOKUP($C58,$C$3:$D$15,2,FALSE)*AY$20-AX60)))</f>
        <v>0</v>
      </c>
      <c r="AZ58" s="762">
        <f t="shared" ref="AZ58" si="2280" xml:space="preserve">
IF(AY60&gt;=VLOOKUP($C58,$C$3:$D$15,2,FALSE)*AZ$20,0,
IF(AND(AY60&lt;VLOOKUP($C58,$C$3:$D$15,2,FALSE)*AZ$20,AZ59&lt;=VLOOKUP($C58,$C$3:$D$15,2,FALSE)*AZ$20),IF(AZ59-AY60&lt;0,0,AZ59-AY60),
IF(AND(AY60&lt;VLOOKUP($C58,$C$3:$D$15,2,FALSE)*AZ$20,AZ59&gt;VLOOKUP($C58,$C$3:$D$15,2,FALSE)*AZ$20),VLOOKUP($C58,$C$3:$D$15,2,FALSE)*AZ$20-AY60)))</f>
        <v>0</v>
      </c>
      <c r="BA58" s="762">
        <f t="shared" ref="BA58" si="2281" xml:space="preserve">
IF(AZ60&gt;=VLOOKUP($C58,$C$3:$D$15,2,FALSE)*BA$20,0,
IF(AND(AZ60&lt;VLOOKUP($C58,$C$3:$D$15,2,FALSE)*BA$20,BA59&lt;=VLOOKUP($C58,$C$3:$D$15,2,FALSE)*BA$20),IF(BA59-AZ60&lt;0,0,BA59-AZ60),
IF(AND(AZ60&lt;VLOOKUP($C58,$C$3:$D$15,2,FALSE)*BA$20,BA59&gt;VLOOKUP($C58,$C$3:$D$15,2,FALSE)*BA$20),VLOOKUP($C58,$C$3:$D$15,2,FALSE)*BA$20-AZ60)))</f>
        <v>0</v>
      </c>
      <c r="BB58" s="762">
        <f t="shared" ref="BB58" si="2282" xml:space="preserve">
IF(BA60&gt;=VLOOKUP($C58,$C$3:$D$15,2,FALSE)*BB$20,0,
IF(AND(BA60&lt;VLOOKUP($C58,$C$3:$D$15,2,FALSE)*BB$20,BB59&lt;=VLOOKUP($C58,$C$3:$D$15,2,FALSE)*BB$20),IF(BB59-BA60&lt;0,0,BB59-BA60),
IF(AND(BA60&lt;VLOOKUP($C58,$C$3:$D$15,2,FALSE)*BB$20,BB59&gt;VLOOKUP($C58,$C$3:$D$15,2,FALSE)*BB$20),VLOOKUP($C58,$C$3:$D$15,2,FALSE)*BB$20-BA60)))</f>
        <v>0</v>
      </c>
      <c r="BC58" s="762">
        <f t="shared" ref="BC58" si="2283" xml:space="preserve">
IF(BB60&gt;=VLOOKUP($C58,$C$3:$D$15,2,FALSE)*BC$20,0,
IF(AND(BB60&lt;VLOOKUP($C58,$C$3:$D$15,2,FALSE)*BC$20,BC59&lt;=VLOOKUP($C58,$C$3:$D$15,2,FALSE)*BC$20),IF(BC59-BB60&lt;0,0,BC59-BB60),
IF(AND(BB60&lt;VLOOKUP($C58,$C$3:$D$15,2,FALSE)*BC$20,BC59&gt;VLOOKUP($C58,$C$3:$D$15,2,FALSE)*BC$20),VLOOKUP($C58,$C$3:$D$15,2,FALSE)*BC$20-BB60)))</f>
        <v>0</v>
      </c>
      <c r="BD58" s="762">
        <f t="shared" ref="BD58" si="2284" xml:space="preserve">
IF(BC60&gt;=VLOOKUP($C58,$C$3:$D$15,2,FALSE)*BD$20,0,
IF(AND(BC60&lt;VLOOKUP($C58,$C$3:$D$15,2,FALSE)*BD$20,BD59&lt;=VLOOKUP($C58,$C$3:$D$15,2,FALSE)*BD$20),IF(BD59-BC60&lt;0,0,BD59-BC60),
IF(AND(BC60&lt;VLOOKUP($C58,$C$3:$D$15,2,FALSE)*BD$20,BD59&gt;VLOOKUP($C58,$C$3:$D$15,2,FALSE)*BD$20),VLOOKUP($C58,$C$3:$D$15,2,FALSE)*BD$20-BC60)))</f>
        <v>0</v>
      </c>
      <c r="BE58" s="762">
        <f t="shared" ref="BE58" si="2285" xml:space="preserve">
IF(BD60&gt;=VLOOKUP($C58,$C$3:$D$15,2,FALSE)*BE$20,0,
IF(AND(BD60&lt;VLOOKUP($C58,$C$3:$D$15,2,FALSE)*BE$20,BE59&lt;=VLOOKUP($C58,$C$3:$D$15,2,FALSE)*BE$20),IF(BE59-BD60&lt;0,0,BE59-BD60),
IF(AND(BD60&lt;VLOOKUP($C58,$C$3:$D$15,2,FALSE)*BE$20,BE59&gt;VLOOKUP($C58,$C$3:$D$15,2,FALSE)*BE$20),VLOOKUP($C58,$C$3:$D$15,2,FALSE)*BE$20-BD60)))</f>
        <v>0</v>
      </c>
      <c r="BF58" s="762">
        <f t="shared" ref="BF58" si="2286" xml:space="preserve">
IF(BE60&gt;=VLOOKUP($C58,$C$3:$D$15,2,FALSE)*BF$20,0,
IF(AND(BE60&lt;VLOOKUP($C58,$C$3:$D$15,2,FALSE)*BF$20,BF59&lt;=VLOOKUP($C58,$C$3:$D$15,2,FALSE)*BF$20),IF(BF59-BE60&lt;0,0,BF59-BE60),
IF(AND(BE60&lt;VLOOKUP($C58,$C$3:$D$15,2,FALSE)*BF$20,BF59&gt;VLOOKUP($C58,$C$3:$D$15,2,FALSE)*BF$20),VLOOKUP($C58,$C$3:$D$15,2,FALSE)*BF$20-BE60)))</f>
        <v>0</v>
      </c>
      <c r="BG58" s="762">
        <f t="shared" ref="BG58" si="2287" xml:space="preserve">
IF(BF60&gt;=VLOOKUP($C58,$C$3:$D$15,2,FALSE)*BG$20,0,
IF(AND(BF60&lt;VLOOKUP($C58,$C$3:$D$15,2,FALSE)*BG$20,BG59&lt;=VLOOKUP($C58,$C$3:$D$15,2,FALSE)*BG$20),IF(BG59-BF60&lt;0,0,BG59-BF60),
IF(AND(BF60&lt;VLOOKUP($C58,$C$3:$D$15,2,FALSE)*BG$20,BG59&gt;VLOOKUP($C58,$C$3:$D$15,2,FALSE)*BG$20),VLOOKUP($C58,$C$3:$D$15,2,FALSE)*BG$20-BF60)))</f>
        <v>0</v>
      </c>
      <c r="BH58" s="762">
        <f t="shared" ref="BH58" si="2288" xml:space="preserve">
IF(BG60&gt;=VLOOKUP($C58,$C$3:$D$15,2,FALSE)*BH$20,0,
IF(AND(BG60&lt;VLOOKUP($C58,$C$3:$D$15,2,FALSE)*BH$20,BH59&lt;=VLOOKUP($C58,$C$3:$D$15,2,FALSE)*BH$20),IF(BH59-BG60&lt;0,0,BH59-BG60),
IF(AND(BG60&lt;VLOOKUP($C58,$C$3:$D$15,2,FALSE)*BH$20,BH59&gt;VLOOKUP($C58,$C$3:$D$15,2,FALSE)*BH$20),VLOOKUP($C58,$C$3:$D$15,2,FALSE)*BH$20-BG60)))</f>
        <v>0</v>
      </c>
      <c r="BI58" s="762">
        <f t="shared" ref="BI58" si="2289" xml:space="preserve">
IF(BH60&gt;=VLOOKUP($C58,$C$3:$D$15,2,FALSE)*BI$20,0,
IF(AND(BH60&lt;VLOOKUP($C58,$C$3:$D$15,2,FALSE)*BI$20,BI59&lt;=VLOOKUP($C58,$C$3:$D$15,2,FALSE)*BI$20),IF(BI59-BH60&lt;0,0,BI59-BH60),
IF(AND(BH60&lt;VLOOKUP($C58,$C$3:$D$15,2,FALSE)*BI$20,BI59&gt;VLOOKUP($C58,$C$3:$D$15,2,FALSE)*BI$20),VLOOKUP($C58,$C$3:$D$15,2,FALSE)*BI$20-BH60)))</f>
        <v>0</v>
      </c>
      <c r="BJ58" s="762">
        <f t="shared" ref="BJ58" si="2290" xml:space="preserve">
IF(BI60&gt;=VLOOKUP($C58,$C$3:$D$15,2,FALSE)*BJ$20,0,
IF(AND(BI60&lt;VLOOKUP($C58,$C$3:$D$15,2,FALSE)*BJ$20,BJ59&lt;=VLOOKUP($C58,$C$3:$D$15,2,FALSE)*BJ$20),IF(BJ59-BI60&lt;0,0,BJ59-BI60),
IF(AND(BI60&lt;VLOOKUP($C58,$C$3:$D$15,2,FALSE)*BJ$20,BJ59&gt;VLOOKUP($C58,$C$3:$D$15,2,FALSE)*BJ$20),VLOOKUP($C58,$C$3:$D$15,2,FALSE)*BJ$20-BI60)))</f>
        <v>0</v>
      </c>
      <c r="BK58" s="762">
        <f t="shared" ref="BK58" si="2291" xml:space="preserve">
IF(BJ60&gt;=VLOOKUP($C58,$C$3:$D$15,2,FALSE)*BK$20,0,
IF(AND(BJ60&lt;VLOOKUP($C58,$C$3:$D$15,2,FALSE)*BK$20,BK59&lt;=VLOOKUP($C58,$C$3:$D$15,2,FALSE)*BK$20),IF(BK59-BJ60&lt;0,0,BK59-BJ60),
IF(AND(BJ60&lt;VLOOKUP($C58,$C$3:$D$15,2,FALSE)*BK$20,BK59&gt;VLOOKUP($C58,$C$3:$D$15,2,FALSE)*BK$20),VLOOKUP($C58,$C$3:$D$15,2,FALSE)*BK$20-BJ60)))</f>
        <v>0</v>
      </c>
      <c r="BL58" s="762">
        <f t="shared" ref="BL58" si="2292" xml:space="preserve">
IF(BK60&gt;=VLOOKUP($C58,$C$3:$D$15,2,FALSE)*BL$20,0,
IF(AND(BK60&lt;VLOOKUP($C58,$C$3:$D$15,2,FALSE)*BL$20,BL59&lt;=VLOOKUP($C58,$C$3:$D$15,2,FALSE)*BL$20),IF(BL59-BK60&lt;0,0,BL59-BK60),
IF(AND(BK60&lt;VLOOKUP($C58,$C$3:$D$15,2,FALSE)*BL$20,BL59&gt;VLOOKUP($C58,$C$3:$D$15,2,FALSE)*BL$20),VLOOKUP($C58,$C$3:$D$15,2,FALSE)*BL$20-BK60)))</f>
        <v>0</v>
      </c>
      <c r="BM58" s="762">
        <f t="shared" ref="BM58" si="2293" xml:space="preserve">
IF(BL60&gt;=VLOOKUP($C58,$C$3:$D$15,2,FALSE)*BM$20,0,
IF(AND(BL60&lt;VLOOKUP($C58,$C$3:$D$15,2,FALSE)*BM$20,BM59&lt;=VLOOKUP($C58,$C$3:$D$15,2,FALSE)*BM$20),IF(BM59-BL60&lt;0,0,BM59-BL60),
IF(AND(BL60&lt;VLOOKUP($C58,$C$3:$D$15,2,FALSE)*BM$20,BM59&gt;VLOOKUP($C58,$C$3:$D$15,2,FALSE)*BM$20),VLOOKUP($C58,$C$3:$D$15,2,FALSE)*BM$20-BL60)))</f>
        <v>0</v>
      </c>
      <c r="BN58" s="762">
        <f t="shared" ref="BN58" si="2294" xml:space="preserve">
IF(BM60&gt;=VLOOKUP($C58,$C$3:$D$15,2,FALSE)*BN$20,0,
IF(AND(BM60&lt;VLOOKUP($C58,$C$3:$D$15,2,FALSE)*BN$20,BN59&lt;=VLOOKUP($C58,$C$3:$D$15,2,FALSE)*BN$20),IF(BN59-BM60&lt;0,0,BN59-BM60),
IF(AND(BM60&lt;VLOOKUP($C58,$C$3:$D$15,2,FALSE)*BN$20,BN59&gt;VLOOKUP($C58,$C$3:$D$15,2,FALSE)*BN$20),VLOOKUP($C58,$C$3:$D$15,2,FALSE)*BN$20-BM60)))</f>
        <v>0</v>
      </c>
      <c r="BO58" s="762">
        <f t="shared" ref="BO58" si="2295" xml:space="preserve">
IF(BN60&gt;=VLOOKUP($C58,$C$3:$D$15,2,FALSE)*BO$20,0,
IF(AND(BN60&lt;VLOOKUP($C58,$C$3:$D$15,2,FALSE)*BO$20,BO59&lt;=VLOOKUP($C58,$C$3:$D$15,2,FALSE)*BO$20),IF(BO59-BN60&lt;0,0,BO59-BN60),
IF(AND(BN60&lt;VLOOKUP($C58,$C$3:$D$15,2,FALSE)*BO$20,BO59&gt;VLOOKUP($C58,$C$3:$D$15,2,FALSE)*BO$20),VLOOKUP($C58,$C$3:$D$15,2,FALSE)*BO$20-BN60)))</f>
        <v>0</v>
      </c>
      <c r="BP58" s="762">
        <f t="shared" ref="BP58" si="2296" xml:space="preserve">
IF(BO60&gt;=VLOOKUP($C58,$C$3:$D$15,2,FALSE)*BP$20,0,
IF(AND(BO60&lt;VLOOKUP($C58,$C$3:$D$15,2,FALSE)*BP$20,BP59&lt;=VLOOKUP($C58,$C$3:$D$15,2,FALSE)*BP$20),IF(BP59-BO60&lt;0,0,BP59-BO60),
IF(AND(BO60&lt;VLOOKUP($C58,$C$3:$D$15,2,FALSE)*BP$20,BP59&gt;VLOOKUP($C58,$C$3:$D$15,2,FALSE)*BP$20),VLOOKUP($C58,$C$3:$D$15,2,FALSE)*BP$20-BO60)))</f>
        <v>0</v>
      </c>
      <c r="BQ58" s="762">
        <f t="shared" ref="BQ58" si="2297" xml:space="preserve">
IF(BP60&gt;=VLOOKUP($C58,$C$3:$D$15,2,FALSE)*BQ$20,0,
IF(AND(BP60&lt;VLOOKUP($C58,$C$3:$D$15,2,FALSE)*BQ$20,BQ59&lt;=VLOOKUP($C58,$C$3:$D$15,2,FALSE)*BQ$20),IF(BQ59-BP60&lt;0,0,BQ59-BP60),
IF(AND(BP60&lt;VLOOKUP($C58,$C$3:$D$15,2,FALSE)*BQ$20,BQ59&gt;VLOOKUP($C58,$C$3:$D$15,2,FALSE)*BQ$20),VLOOKUP($C58,$C$3:$D$15,2,FALSE)*BQ$20-BP60)))</f>
        <v>0</v>
      </c>
      <c r="BR58" s="762">
        <f t="shared" ref="BR58" si="2298" xml:space="preserve">
IF(BQ60&gt;=VLOOKUP($C58,$C$3:$D$15,2,FALSE)*BR$20,0,
IF(AND(BQ60&lt;VLOOKUP($C58,$C$3:$D$15,2,FALSE)*BR$20,BR59&lt;=VLOOKUP($C58,$C$3:$D$15,2,FALSE)*BR$20),IF(BR59-BQ60&lt;0,0,BR59-BQ60),
IF(AND(BQ60&lt;VLOOKUP($C58,$C$3:$D$15,2,FALSE)*BR$20,BR59&gt;VLOOKUP($C58,$C$3:$D$15,2,FALSE)*BR$20),VLOOKUP($C58,$C$3:$D$15,2,FALSE)*BR$20-BQ60)))</f>
        <v>0</v>
      </c>
      <c r="BS58" s="762">
        <f t="shared" ref="BS58" si="2299" xml:space="preserve">
IF(BR60&gt;=VLOOKUP($C58,$C$3:$D$15,2,FALSE)*BS$20,0,
IF(AND(BR60&lt;VLOOKUP($C58,$C$3:$D$15,2,FALSE)*BS$20,BS59&lt;=VLOOKUP($C58,$C$3:$D$15,2,FALSE)*BS$20),IF(BS59-BR60&lt;0,0,BS59-BR60),
IF(AND(BR60&lt;VLOOKUP($C58,$C$3:$D$15,2,FALSE)*BS$20,BS59&gt;VLOOKUP($C58,$C$3:$D$15,2,FALSE)*BS$20),VLOOKUP($C58,$C$3:$D$15,2,FALSE)*BS$20-BR60)))</f>
        <v>0</v>
      </c>
      <c r="BT58" s="762">
        <f t="shared" ref="BT58" si="2300" xml:space="preserve">
IF(BS60&gt;=VLOOKUP($C58,$C$3:$D$15,2,FALSE)*BT$20,0,
IF(AND(BS60&lt;VLOOKUP($C58,$C$3:$D$15,2,FALSE)*BT$20,BT59&lt;=VLOOKUP($C58,$C$3:$D$15,2,FALSE)*BT$20),IF(BT59-BS60&lt;0,0,BT59-BS60),
IF(AND(BS60&lt;VLOOKUP($C58,$C$3:$D$15,2,FALSE)*BT$20,BT59&gt;VLOOKUP($C58,$C$3:$D$15,2,FALSE)*BT$20),VLOOKUP($C58,$C$3:$D$15,2,FALSE)*BT$20-BS60)))</f>
        <v>0</v>
      </c>
      <c r="BU58" s="762">
        <f t="shared" ref="BU58" si="2301" xml:space="preserve">
IF(BT60&gt;=VLOOKUP($C58,$C$3:$D$15,2,FALSE)*BU$20,0,
IF(AND(BT60&lt;VLOOKUP($C58,$C$3:$D$15,2,FALSE)*BU$20,BU59&lt;=VLOOKUP($C58,$C$3:$D$15,2,FALSE)*BU$20),IF(BU59-BT60&lt;0,0,BU59-BT60),
IF(AND(BT60&lt;VLOOKUP($C58,$C$3:$D$15,2,FALSE)*BU$20,BU59&gt;VLOOKUP($C58,$C$3:$D$15,2,FALSE)*BU$20),VLOOKUP($C58,$C$3:$D$15,2,FALSE)*BU$20-BT60)))</f>
        <v>0</v>
      </c>
      <c r="BV58" s="762">
        <f t="shared" ref="BV58" si="2302" xml:space="preserve">
IF(BU60&gt;=VLOOKUP($C58,$C$3:$D$15,2,FALSE)*BV$20,0,
IF(AND(BU60&lt;VLOOKUP($C58,$C$3:$D$15,2,FALSE)*BV$20,BV59&lt;=VLOOKUP($C58,$C$3:$D$15,2,FALSE)*BV$20),IF(BV59-BU60&lt;0,0,BV59-BU60),
IF(AND(BU60&lt;VLOOKUP($C58,$C$3:$D$15,2,FALSE)*BV$20,BV59&gt;VLOOKUP($C58,$C$3:$D$15,2,FALSE)*BV$20),VLOOKUP($C58,$C$3:$D$15,2,FALSE)*BV$20-BU60)))</f>
        <v>0</v>
      </c>
      <c r="BW58" s="762">
        <f t="shared" ref="BW58" si="2303" xml:space="preserve">
IF(BV60&gt;=VLOOKUP($C58,$C$3:$D$15,2,FALSE)*BW$20,0,
IF(AND(BV60&lt;VLOOKUP($C58,$C$3:$D$15,2,FALSE)*BW$20,BW59&lt;=VLOOKUP($C58,$C$3:$D$15,2,FALSE)*BW$20),IF(BW59-BV60&lt;0,0,BW59-BV60),
IF(AND(BV60&lt;VLOOKUP($C58,$C$3:$D$15,2,FALSE)*BW$20,BW59&gt;VLOOKUP($C58,$C$3:$D$15,2,FALSE)*BW$20),VLOOKUP($C58,$C$3:$D$15,2,FALSE)*BW$20-BV60)))</f>
        <v>0</v>
      </c>
      <c r="BX58" s="762">
        <f t="shared" ref="BX58" si="2304" xml:space="preserve">
IF(BW60&gt;=VLOOKUP($C58,$C$3:$D$15,2,FALSE)*BX$20,0,
IF(AND(BW60&lt;VLOOKUP($C58,$C$3:$D$15,2,FALSE)*BX$20,BX59&lt;=VLOOKUP($C58,$C$3:$D$15,2,FALSE)*BX$20),IF(BX59-BW60&lt;0,0,BX59-BW60),
IF(AND(BW60&lt;VLOOKUP($C58,$C$3:$D$15,2,FALSE)*BX$20,BX59&gt;VLOOKUP($C58,$C$3:$D$15,2,FALSE)*BX$20),VLOOKUP($C58,$C$3:$D$15,2,FALSE)*BX$20-BW60)))</f>
        <v>0</v>
      </c>
      <c r="BY58" s="762">
        <f t="shared" ref="BY58" si="2305" xml:space="preserve">
IF(BX60&gt;=VLOOKUP($C58,$C$3:$D$15,2,FALSE)*BY$20,0,
IF(AND(BX60&lt;VLOOKUP($C58,$C$3:$D$15,2,FALSE)*BY$20,BY59&lt;=VLOOKUP($C58,$C$3:$D$15,2,FALSE)*BY$20),IF(BY59-BX60&lt;0,0,BY59-BX60),
IF(AND(BX60&lt;VLOOKUP($C58,$C$3:$D$15,2,FALSE)*BY$20,BY59&gt;VLOOKUP($C58,$C$3:$D$15,2,FALSE)*BY$20),VLOOKUP($C58,$C$3:$D$15,2,FALSE)*BY$20-BX60)))</f>
        <v>0</v>
      </c>
      <c r="BZ58" s="762">
        <f t="shared" ref="BZ58" si="2306" xml:space="preserve">
IF(BY60&gt;=VLOOKUP($C58,$C$3:$D$15,2,FALSE)*BZ$20,0,
IF(AND(BY60&lt;VLOOKUP($C58,$C$3:$D$15,2,FALSE)*BZ$20,BZ59&lt;=VLOOKUP($C58,$C$3:$D$15,2,FALSE)*BZ$20),IF(BZ59-BY60&lt;0,0,BZ59-BY60),
IF(AND(BY60&lt;VLOOKUP($C58,$C$3:$D$15,2,FALSE)*BZ$20,BZ59&gt;VLOOKUP($C58,$C$3:$D$15,2,FALSE)*BZ$20),VLOOKUP($C58,$C$3:$D$15,2,FALSE)*BZ$20-BY60)))</f>
        <v>0</v>
      </c>
      <c r="CA58" s="762">
        <f t="shared" ref="CA58" si="2307" xml:space="preserve">
IF(BZ60&gt;=VLOOKUP($C58,$C$3:$D$15,2,FALSE)*CA$20,0,
IF(AND(BZ60&lt;VLOOKUP($C58,$C$3:$D$15,2,FALSE)*CA$20,CA59&lt;=VLOOKUP($C58,$C$3:$D$15,2,FALSE)*CA$20),IF(CA59-BZ60&lt;0,0,CA59-BZ60),
IF(AND(BZ60&lt;VLOOKUP($C58,$C$3:$D$15,2,FALSE)*CA$20,CA59&gt;VLOOKUP($C58,$C$3:$D$15,2,FALSE)*CA$20),VLOOKUP($C58,$C$3:$D$15,2,FALSE)*CA$20-BZ60)))</f>
        <v>0</v>
      </c>
      <c r="CB58" s="762">
        <f t="shared" ref="CB58" si="2308" xml:space="preserve">
IF(CA60&gt;=VLOOKUP($C58,$C$3:$D$15,2,FALSE)*CB$20,0,
IF(AND(CA60&lt;VLOOKUP($C58,$C$3:$D$15,2,FALSE)*CB$20,CB59&lt;=VLOOKUP($C58,$C$3:$D$15,2,FALSE)*CB$20),IF(CB59-CA60&lt;0,0,CB59-CA60),
IF(AND(CA60&lt;VLOOKUP($C58,$C$3:$D$15,2,FALSE)*CB$20,CB59&gt;VLOOKUP($C58,$C$3:$D$15,2,FALSE)*CB$20),VLOOKUP($C58,$C$3:$D$15,2,FALSE)*CB$20-CA60)))</f>
        <v>0</v>
      </c>
      <c r="CC58" s="762">
        <f t="shared" ref="CC58" si="2309" xml:space="preserve">
IF(CB60&gt;=VLOOKUP($C58,$C$3:$D$15,2,FALSE)*CC$20,0,
IF(AND(CB60&lt;VLOOKUP($C58,$C$3:$D$15,2,FALSE)*CC$20,CC59&lt;=VLOOKUP($C58,$C$3:$D$15,2,FALSE)*CC$20),IF(CC59-CB60&lt;0,0,CC59-CB60),
IF(AND(CB60&lt;VLOOKUP($C58,$C$3:$D$15,2,FALSE)*CC$20,CC59&gt;VLOOKUP($C58,$C$3:$D$15,2,FALSE)*CC$20),VLOOKUP($C58,$C$3:$D$15,2,FALSE)*CC$20-CB60)))</f>
        <v>0</v>
      </c>
      <c r="CD58" s="762">
        <f t="shared" ref="CD58" si="2310" xml:space="preserve">
IF(CC60&gt;=VLOOKUP($C58,$C$3:$D$15,2,FALSE)*CD$20,0,
IF(AND(CC60&lt;VLOOKUP($C58,$C$3:$D$15,2,FALSE)*CD$20,CD59&lt;=VLOOKUP($C58,$C$3:$D$15,2,FALSE)*CD$20),IF(CD59-CC60&lt;0,0,CD59-CC60),
IF(AND(CC60&lt;VLOOKUP($C58,$C$3:$D$15,2,FALSE)*CD$20,CD59&gt;VLOOKUP($C58,$C$3:$D$15,2,FALSE)*CD$20),VLOOKUP($C58,$C$3:$D$15,2,FALSE)*CD$20-CC60)))</f>
        <v>0</v>
      </c>
      <c r="CE58" s="762">
        <f t="shared" ref="CE58" si="2311" xml:space="preserve">
IF(CD60&gt;=VLOOKUP($C58,$C$3:$D$15,2,FALSE)*CE$20,0,
IF(AND(CD60&lt;VLOOKUP($C58,$C$3:$D$15,2,FALSE)*CE$20,CE59&lt;=VLOOKUP($C58,$C$3:$D$15,2,FALSE)*CE$20),IF(CE59-CD60&lt;0,0,CE59-CD60),
IF(AND(CD60&lt;VLOOKUP($C58,$C$3:$D$15,2,FALSE)*CE$20,CE59&gt;VLOOKUP($C58,$C$3:$D$15,2,FALSE)*CE$20),VLOOKUP($C58,$C$3:$D$15,2,FALSE)*CE$20-CD60)))</f>
        <v>0</v>
      </c>
      <c r="CF58" s="762">
        <f t="shared" ref="CF58" si="2312" xml:space="preserve">
IF(CE60&gt;=VLOOKUP($C58,$C$3:$D$15,2,FALSE)*CF$20,0,
IF(AND(CE60&lt;VLOOKUP($C58,$C$3:$D$15,2,FALSE)*CF$20,CF59&lt;=VLOOKUP($C58,$C$3:$D$15,2,FALSE)*CF$20),IF(CF59-CE60&lt;0,0,CF59-CE60),
IF(AND(CE60&lt;VLOOKUP($C58,$C$3:$D$15,2,FALSE)*CF$20,CF59&gt;VLOOKUP($C58,$C$3:$D$15,2,FALSE)*CF$20),VLOOKUP($C58,$C$3:$D$15,2,FALSE)*CF$20-CE60)))</f>
        <v>0</v>
      </c>
      <c r="CG58" s="762">
        <f t="shared" ref="CG58" si="2313" xml:space="preserve">
IF(CF60&gt;=VLOOKUP($C58,$C$3:$D$15,2,FALSE)*CG$20,0,
IF(AND(CF60&lt;VLOOKUP($C58,$C$3:$D$15,2,FALSE)*CG$20,CG59&lt;=VLOOKUP($C58,$C$3:$D$15,2,FALSE)*CG$20),IF(CG59-CF60&lt;0,0,CG59-CF60),
IF(AND(CF60&lt;VLOOKUP($C58,$C$3:$D$15,2,FALSE)*CG$20,CG59&gt;VLOOKUP($C58,$C$3:$D$15,2,FALSE)*CG$20),VLOOKUP($C58,$C$3:$D$15,2,FALSE)*CG$20-CF60)))</f>
        <v>0</v>
      </c>
      <c r="CH58" s="762">
        <f t="shared" ref="CH58" si="2314" xml:space="preserve">
IF(CG60&gt;=VLOOKUP($C58,$C$3:$D$15,2,FALSE)*CH$20,0,
IF(AND(CG60&lt;VLOOKUP($C58,$C$3:$D$15,2,FALSE)*CH$20,CH59&lt;=VLOOKUP($C58,$C$3:$D$15,2,FALSE)*CH$20),IF(CH59-CG60&lt;0,0,CH59-CG60),
IF(AND(CG60&lt;VLOOKUP($C58,$C$3:$D$15,2,FALSE)*CH$20,CH59&gt;VLOOKUP($C58,$C$3:$D$15,2,FALSE)*CH$20),VLOOKUP($C58,$C$3:$D$15,2,FALSE)*CH$20-CG60)))</f>
        <v>0</v>
      </c>
      <c r="CI58" s="762">
        <f t="shared" ref="CI58" si="2315" xml:space="preserve">
IF(CH60&gt;=VLOOKUP($C58,$C$3:$D$15,2,FALSE)*CI$20,0,
IF(AND(CH60&lt;VLOOKUP($C58,$C$3:$D$15,2,FALSE)*CI$20,CI59&lt;=VLOOKUP($C58,$C$3:$D$15,2,FALSE)*CI$20),IF(CI59-CH60&lt;0,0,CI59-CH60),
IF(AND(CH60&lt;VLOOKUP($C58,$C$3:$D$15,2,FALSE)*CI$20,CI59&gt;VLOOKUP($C58,$C$3:$D$15,2,FALSE)*CI$20),VLOOKUP($C58,$C$3:$D$15,2,FALSE)*CI$20-CH60)))</f>
        <v>0</v>
      </c>
      <c r="CJ58" s="762">
        <f t="shared" ref="CJ58" si="2316" xml:space="preserve">
IF(CI60&gt;=VLOOKUP($C58,$C$3:$D$15,2,FALSE)*CJ$20,0,
IF(AND(CI60&lt;VLOOKUP($C58,$C$3:$D$15,2,FALSE)*CJ$20,CJ59&lt;=VLOOKUP($C58,$C$3:$D$15,2,FALSE)*CJ$20),IF(CJ59-CI60&lt;0,0,CJ59-CI60),
IF(AND(CI60&lt;VLOOKUP($C58,$C$3:$D$15,2,FALSE)*CJ$20,CJ59&gt;VLOOKUP($C58,$C$3:$D$15,2,FALSE)*CJ$20),VLOOKUP($C58,$C$3:$D$15,2,FALSE)*CJ$20-CI60)))</f>
        <v>0</v>
      </c>
      <c r="CK58" s="762">
        <f t="shared" ref="CK58" si="2317" xml:space="preserve">
IF(CJ60&gt;=VLOOKUP($C58,$C$3:$D$15,2,FALSE)*CK$20,0,
IF(AND(CJ60&lt;VLOOKUP($C58,$C$3:$D$15,2,FALSE)*CK$20,CK59&lt;=VLOOKUP($C58,$C$3:$D$15,2,FALSE)*CK$20),IF(CK59-CJ60&lt;0,0,CK59-CJ60),
IF(AND(CJ60&lt;VLOOKUP($C58,$C$3:$D$15,2,FALSE)*CK$20,CK59&gt;VLOOKUP($C58,$C$3:$D$15,2,FALSE)*CK$20),VLOOKUP($C58,$C$3:$D$15,2,FALSE)*CK$20-CJ60)))</f>
        <v>0</v>
      </c>
      <c r="CL58" s="762">
        <f t="shared" ref="CL58" si="2318" xml:space="preserve">
IF(CK60&gt;=VLOOKUP($C58,$C$3:$D$15,2,FALSE)*CL$20,0,
IF(AND(CK60&lt;VLOOKUP($C58,$C$3:$D$15,2,FALSE)*CL$20,CL59&lt;=VLOOKUP($C58,$C$3:$D$15,2,FALSE)*CL$20),IF(CL59-CK60&lt;0,0,CL59-CK60),
IF(AND(CK60&lt;VLOOKUP($C58,$C$3:$D$15,2,FALSE)*CL$20,CL59&gt;VLOOKUP($C58,$C$3:$D$15,2,FALSE)*CL$20),VLOOKUP($C58,$C$3:$D$15,2,FALSE)*CL$20-CK60)))</f>
        <v>0</v>
      </c>
      <c r="CM58" s="762">
        <f t="shared" ref="CM58" si="2319" xml:space="preserve">
IF(CL60&gt;=VLOOKUP($C58,$C$3:$D$15,2,FALSE)*CM$20,0,
IF(AND(CL60&lt;VLOOKUP($C58,$C$3:$D$15,2,FALSE)*CM$20,CM59&lt;=VLOOKUP($C58,$C$3:$D$15,2,FALSE)*CM$20),IF(CM59-CL60&lt;0,0,CM59-CL60),
IF(AND(CL60&lt;VLOOKUP($C58,$C$3:$D$15,2,FALSE)*CM$20,CM59&gt;VLOOKUP($C58,$C$3:$D$15,2,FALSE)*CM$20),VLOOKUP($C58,$C$3:$D$15,2,FALSE)*CM$20-CL60)))</f>
        <v>0</v>
      </c>
      <c r="CN58" s="762">
        <f t="shared" ref="CN58" si="2320" xml:space="preserve">
IF(CM60&gt;=VLOOKUP($C58,$C$3:$D$15,2,FALSE)*CN$20,0,
IF(AND(CM60&lt;VLOOKUP($C58,$C$3:$D$15,2,FALSE)*CN$20,CN59&lt;=VLOOKUP($C58,$C$3:$D$15,2,FALSE)*CN$20),IF(CN59-CM60&lt;0,0,CN59-CM60),
IF(AND(CM60&lt;VLOOKUP($C58,$C$3:$D$15,2,FALSE)*CN$20,CN59&gt;VLOOKUP($C58,$C$3:$D$15,2,FALSE)*CN$20),VLOOKUP($C58,$C$3:$D$15,2,FALSE)*CN$20-CM60)))</f>
        <v>0</v>
      </c>
      <c r="CO58" s="762">
        <f t="shared" ref="CO58" si="2321" xml:space="preserve">
IF(CN60&gt;=VLOOKUP($C58,$C$3:$D$15,2,FALSE)*CO$20,0,
IF(AND(CN60&lt;VLOOKUP($C58,$C$3:$D$15,2,FALSE)*CO$20,CO59&lt;=VLOOKUP($C58,$C$3:$D$15,2,FALSE)*CO$20),IF(CO59-CN60&lt;0,0,CO59-CN60),
IF(AND(CN60&lt;VLOOKUP($C58,$C$3:$D$15,2,FALSE)*CO$20,CO59&gt;VLOOKUP($C58,$C$3:$D$15,2,FALSE)*CO$20),VLOOKUP($C58,$C$3:$D$15,2,FALSE)*CO$20-CN60)))</f>
        <v>0</v>
      </c>
      <c r="CP58" s="762">
        <f t="shared" ref="CP58" si="2322" xml:space="preserve">
IF(CO60&gt;=VLOOKUP($C58,$C$3:$D$15,2,FALSE)*CP$20,0,
IF(AND(CO60&lt;VLOOKUP($C58,$C$3:$D$15,2,FALSE)*CP$20,CP59&lt;=VLOOKUP($C58,$C$3:$D$15,2,FALSE)*CP$20),IF(CP59-CO60&lt;0,0,CP59-CO60),
IF(AND(CO60&lt;VLOOKUP($C58,$C$3:$D$15,2,FALSE)*CP$20,CP59&gt;VLOOKUP($C58,$C$3:$D$15,2,FALSE)*CP$20),VLOOKUP($C58,$C$3:$D$15,2,FALSE)*CP$20-CO60)))</f>
        <v>0</v>
      </c>
      <c r="CQ58" s="762">
        <f t="shared" ref="CQ58" si="2323" xml:space="preserve">
IF(CP60&gt;=VLOOKUP($C58,$C$3:$D$15,2,FALSE)*CQ$20,0,
IF(AND(CP60&lt;VLOOKUP($C58,$C$3:$D$15,2,FALSE)*CQ$20,CQ59&lt;=VLOOKUP($C58,$C$3:$D$15,2,FALSE)*CQ$20),IF(CQ59-CP60&lt;0,0,CQ59-CP60),
IF(AND(CP60&lt;VLOOKUP($C58,$C$3:$D$15,2,FALSE)*CQ$20,CQ59&gt;VLOOKUP($C58,$C$3:$D$15,2,FALSE)*CQ$20),VLOOKUP($C58,$C$3:$D$15,2,FALSE)*CQ$20-CP60)))</f>
        <v>0</v>
      </c>
      <c r="CR58" s="762">
        <f t="shared" ref="CR58" si="2324" xml:space="preserve">
IF(CQ60&gt;=VLOOKUP($C58,$C$3:$D$15,2,FALSE)*CR$20,0,
IF(AND(CQ60&lt;VLOOKUP($C58,$C$3:$D$15,2,FALSE)*CR$20,CR59&lt;=VLOOKUP($C58,$C$3:$D$15,2,FALSE)*CR$20),IF(CR59-CQ60&lt;0,0,CR59-CQ60),
IF(AND(CQ60&lt;VLOOKUP($C58,$C$3:$D$15,2,FALSE)*CR$20,CR59&gt;VLOOKUP($C58,$C$3:$D$15,2,FALSE)*CR$20),VLOOKUP($C58,$C$3:$D$15,2,FALSE)*CR$20-CQ60)))</f>
        <v>0</v>
      </c>
      <c r="CS58" s="762">
        <f t="shared" ref="CS58" si="2325" xml:space="preserve">
IF(CR60&gt;=VLOOKUP($C58,$C$3:$D$15,2,FALSE)*CS$20,0,
IF(AND(CR60&lt;VLOOKUP($C58,$C$3:$D$15,2,FALSE)*CS$20,CS59&lt;=VLOOKUP($C58,$C$3:$D$15,2,FALSE)*CS$20),IF(CS59-CR60&lt;0,0,CS59-CR60),
IF(AND(CR60&lt;VLOOKUP($C58,$C$3:$D$15,2,FALSE)*CS$20,CS59&gt;VLOOKUP($C58,$C$3:$D$15,2,FALSE)*CS$20),VLOOKUP($C58,$C$3:$D$15,2,FALSE)*CS$20-CR60)))</f>
        <v>0</v>
      </c>
      <c r="CT58" s="762">
        <f t="shared" ref="CT58" si="2326" xml:space="preserve">
IF(CS60&gt;=VLOOKUP($C58,$C$3:$D$15,2,FALSE)*CT$20,0,
IF(AND(CS60&lt;VLOOKUP($C58,$C$3:$D$15,2,FALSE)*CT$20,CT59&lt;=VLOOKUP($C58,$C$3:$D$15,2,FALSE)*CT$20),IF(CT59-CS60&lt;0,0,CT59-CS60),
IF(AND(CS60&lt;VLOOKUP($C58,$C$3:$D$15,2,FALSE)*CT$20,CT59&gt;VLOOKUP($C58,$C$3:$D$15,2,FALSE)*CT$20),VLOOKUP($C58,$C$3:$D$15,2,FALSE)*CT$20-CS60)))</f>
        <v>0</v>
      </c>
      <c r="CU58" s="762">
        <f t="shared" ref="CU58" si="2327" xml:space="preserve">
IF(CT60&gt;=VLOOKUP($C58,$C$3:$D$15,2,FALSE)*CU$20,0,
IF(AND(CT60&lt;VLOOKUP($C58,$C$3:$D$15,2,FALSE)*CU$20,CU59&lt;=VLOOKUP($C58,$C$3:$D$15,2,FALSE)*CU$20),IF(CU59-CT60&lt;0,0,CU59-CT60),
IF(AND(CT60&lt;VLOOKUP($C58,$C$3:$D$15,2,FALSE)*CU$20,CU59&gt;VLOOKUP($C58,$C$3:$D$15,2,FALSE)*CU$20),VLOOKUP($C58,$C$3:$D$15,2,FALSE)*CU$20-CT60)))</f>
        <v>0</v>
      </c>
      <c r="CV58" s="762">
        <f t="shared" ref="CV58" si="2328" xml:space="preserve">
IF(CU60&gt;=VLOOKUP($C58,$C$3:$D$15,2,FALSE)*CV$20,0,
IF(AND(CU60&lt;VLOOKUP($C58,$C$3:$D$15,2,FALSE)*CV$20,CV59&lt;=VLOOKUP($C58,$C$3:$D$15,2,FALSE)*CV$20),IF(CV59-CU60&lt;0,0,CV59-CU60),
IF(AND(CU60&lt;VLOOKUP($C58,$C$3:$D$15,2,FALSE)*CV$20,CV59&gt;VLOOKUP($C58,$C$3:$D$15,2,FALSE)*CV$20),VLOOKUP($C58,$C$3:$D$15,2,FALSE)*CV$20-CU60)))</f>
        <v>0</v>
      </c>
      <c r="CW58" s="762">
        <f t="shared" ref="CW58" si="2329" xml:space="preserve">
IF(CV60&gt;=VLOOKUP($C58,$C$3:$D$15,2,FALSE)*CW$20,0,
IF(AND(CV60&lt;VLOOKUP($C58,$C$3:$D$15,2,FALSE)*CW$20,CW59&lt;=VLOOKUP($C58,$C$3:$D$15,2,FALSE)*CW$20),IF(CW59-CV60&lt;0,0,CW59-CV60),
IF(AND(CV60&lt;VLOOKUP($C58,$C$3:$D$15,2,FALSE)*CW$20,CW59&gt;VLOOKUP($C58,$C$3:$D$15,2,FALSE)*CW$20),VLOOKUP($C58,$C$3:$D$15,2,FALSE)*CW$20-CV60)))</f>
        <v>0</v>
      </c>
      <c r="CX58" s="762">
        <f t="shared" ref="CX58" si="2330" xml:space="preserve">
IF(CW60&gt;=VLOOKUP($C58,$C$3:$D$15,2,FALSE)*CX$20,0,
IF(AND(CW60&lt;VLOOKUP($C58,$C$3:$D$15,2,FALSE)*CX$20,CX59&lt;=VLOOKUP($C58,$C$3:$D$15,2,FALSE)*CX$20),IF(CX59-CW60&lt;0,0,CX59-CW60),
IF(AND(CW60&lt;VLOOKUP($C58,$C$3:$D$15,2,FALSE)*CX$20,CX59&gt;VLOOKUP($C58,$C$3:$D$15,2,FALSE)*CX$20),VLOOKUP($C58,$C$3:$D$15,2,FALSE)*CX$20-CW60)))</f>
        <v>0</v>
      </c>
      <c r="CY58" s="762">
        <f t="shared" ref="CY58" si="2331" xml:space="preserve">
IF(CX60&gt;=VLOOKUP($C58,$C$3:$D$15,2,FALSE)*CY$20,0,
IF(AND(CX60&lt;VLOOKUP($C58,$C$3:$D$15,2,FALSE)*CY$20,CY59&lt;=VLOOKUP($C58,$C$3:$D$15,2,FALSE)*CY$20),IF(CY59-CX60&lt;0,0,CY59-CX60),
IF(AND(CX60&lt;VLOOKUP($C58,$C$3:$D$15,2,FALSE)*CY$20,CY59&gt;VLOOKUP($C58,$C$3:$D$15,2,FALSE)*CY$20),VLOOKUP($C58,$C$3:$D$15,2,FALSE)*CY$20-CX60)))</f>
        <v>0</v>
      </c>
      <c r="CZ58" s="762">
        <f t="shared" ref="CZ58" si="2332" xml:space="preserve">
IF(CY60&gt;=VLOOKUP($C58,$C$3:$D$15,2,FALSE)*CZ$20,0,
IF(AND(CY60&lt;VLOOKUP($C58,$C$3:$D$15,2,FALSE)*CZ$20,CZ59&lt;=VLOOKUP($C58,$C$3:$D$15,2,FALSE)*CZ$20),IF(CZ59-CY60&lt;0,0,CZ59-CY60),
IF(AND(CY60&lt;VLOOKUP($C58,$C$3:$D$15,2,FALSE)*CZ$20,CZ59&gt;VLOOKUP($C58,$C$3:$D$15,2,FALSE)*CZ$20),VLOOKUP($C58,$C$3:$D$15,2,FALSE)*CZ$20-CY60)))</f>
        <v>0</v>
      </c>
      <c r="DA58" s="762">
        <f t="shared" ref="DA58" si="2333" xml:space="preserve">
IF(CZ60&gt;=VLOOKUP($C58,$C$3:$D$15,2,FALSE)*DA$20,0,
IF(AND(CZ60&lt;VLOOKUP($C58,$C$3:$D$15,2,FALSE)*DA$20,DA59&lt;=VLOOKUP($C58,$C$3:$D$15,2,FALSE)*DA$20),IF(DA59-CZ60&lt;0,0,DA59-CZ60),
IF(AND(CZ60&lt;VLOOKUP($C58,$C$3:$D$15,2,FALSE)*DA$20,DA59&gt;VLOOKUP($C58,$C$3:$D$15,2,FALSE)*DA$20),VLOOKUP($C58,$C$3:$D$15,2,FALSE)*DA$20-CZ60)))</f>
        <v>0</v>
      </c>
      <c r="DB58" s="762">
        <f t="shared" ref="DB58" si="2334" xml:space="preserve">
IF(DA60&gt;=VLOOKUP($C58,$C$3:$D$15,2,FALSE)*DB$20,0,
IF(AND(DA60&lt;VLOOKUP($C58,$C$3:$D$15,2,FALSE)*DB$20,DB59&lt;=VLOOKUP($C58,$C$3:$D$15,2,FALSE)*DB$20),IF(DB59-DA60&lt;0,0,DB59-DA60),
IF(AND(DA60&lt;VLOOKUP($C58,$C$3:$D$15,2,FALSE)*DB$20,DB59&gt;VLOOKUP($C58,$C$3:$D$15,2,FALSE)*DB$20),VLOOKUP($C58,$C$3:$D$15,2,FALSE)*DB$20-DA60)))</f>
        <v>0</v>
      </c>
      <c r="DC58" s="762">
        <f t="shared" ref="DC58" si="2335" xml:space="preserve">
IF(DB60&gt;=VLOOKUP($C58,$C$3:$D$15,2,FALSE)*DC$20,0,
IF(AND(DB60&lt;VLOOKUP($C58,$C$3:$D$15,2,FALSE)*DC$20,DC59&lt;=VLOOKUP($C58,$C$3:$D$15,2,FALSE)*DC$20),IF(DC59-DB60&lt;0,0,DC59-DB60),
IF(AND(DB60&lt;VLOOKUP($C58,$C$3:$D$15,2,FALSE)*DC$20,DC59&gt;VLOOKUP($C58,$C$3:$D$15,2,FALSE)*DC$20),VLOOKUP($C58,$C$3:$D$15,2,FALSE)*DC$20-DB60)))</f>
        <v>0</v>
      </c>
      <c r="DD58" s="762">
        <f t="shared" ref="DD58" si="2336" xml:space="preserve">
IF(DC60&gt;=VLOOKUP($C58,$C$3:$D$15,2,FALSE)*DD$20,0,
IF(AND(DC60&lt;VLOOKUP($C58,$C$3:$D$15,2,FALSE)*DD$20,DD59&lt;=VLOOKUP($C58,$C$3:$D$15,2,FALSE)*DD$20),IF(DD59-DC60&lt;0,0,DD59-DC60),
IF(AND(DC60&lt;VLOOKUP($C58,$C$3:$D$15,2,FALSE)*DD$20,DD59&gt;VLOOKUP($C58,$C$3:$D$15,2,FALSE)*DD$20),VLOOKUP($C58,$C$3:$D$15,2,FALSE)*DD$20-DC60)))</f>
        <v>0</v>
      </c>
      <c r="DE58" s="762">
        <f t="shared" ref="DE58" si="2337" xml:space="preserve">
IF(DD60&gt;=VLOOKUP($C58,$C$3:$D$15,2,FALSE)*DE$20,0,
IF(AND(DD60&lt;VLOOKUP($C58,$C$3:$D$15,2,FALSE)*DE$20,DE59&lt;=VLOOKUP($C58,$C$3:$D$15,2,FALSE)*DE$20),IF(DE59-DD60&lt;0,0,DE59-DD60),
IF(AND(DD60&lt;VLOOKUP($C58,$C$3:$D$15,2,FALSE)*DE$20,DE59&gt;VLOOKUP($C58,$C$3:$D$15,2,FALSE)*DE$20),VLOOKUP($C58,$C$3:$D$15,2,FALSE)*DE$20-DD60)))</f>
        <v>0</v>
      </c>
      <c r="DF58" s="762">
        <f t="shared" ref="DF58" si="2338" xml:space="preserve">
IF(DE60&gt;=VLOOKUP($C58,$C$3:$D$15,2,FALSE)*DF$20,0,
IF(AND(DE60&lt;VLOOKUP($C58,$C$3:$D$15,2,FALSE)*DF$20,DF59&lt;=VLOOKUP($C58,$C$3:$D$15,2,FALSE)*DF$20),IF(DF59-DE60&lt;0,0,DF59-DE60),
IF(AND(DE60&lt;VLOOKUP($C58,$C$3:$D$15,2,FALSE)*DF$20,DF59&gt;VLOOKUP($C58,$C$3:$D$15,2,FALSE)*DF$20),VLOOKUP($C58,$C$3:$D$15,2,FALSE)*DF$20-DE60)))</f>
        <v>0</v>
      </c>
      <c r="DG58" s="762">
        <f t="shared" ref="DG58" si="2339" xml:space="preserve">
IF(DF60&gt;=VLOOKUP($C58,$C$3:$D$15,2,FALSE)*DG$20,0,
IF(AND(DF60&lt;VLOOKUP($C58,$C$3:$D$15,2,FALSE)*DG$20,DG59&lt;=VLOOKUP($C58,$C$3:$D$15,2,FALSE)*DG$20),IF(DG59-DF60&lt;0,0,DG59-DF60),
IF(AND(DF60&lt;VLOOKUP($C58,$C$3:$D$15,2,FALSE)*DG$20,DG59&gt;VLOOKUP($C58,$C$3:$D$15,2,FALSE)*DG$20),VLOOKUP($C58,$C$3:$D$15,2,FALSE)*DG$20-DF60)))</f>
        <v>0</v>
      </c>
      <c r="DH58" s="762">
        <f t="shared" ref="DH58" si="2340" xml:space="preserve">
IF(DG60&gt;=VLOOKUP($C58,$C$3:$D$15,2,FALSE)*DH$20,0,
IF(AND(DG60&lt;VLOOKUP($C58,$C$3:$D$15,2,FALSE)*DH$20,DH59&lt;=VLOOKUP($C58,$C$3:$D$15,2,FALSE)*DH$20),IF(DH59-DG60&lt;0,0,DH59-DG60),
IF(AND(DG60&lt;VLOOKUP($C58,$C$3:$D$15,2,FALSE)*DH$20,DH59&gt;VLOOKUP($C58,$C$3:$D$15,2,FALSE)*DH$20),VLOOKUP($C58,$C$3:$D$15,2,FALSE)*DH$20-DG60)))</f>
        <v>0</v>
      </c>
      <c r="DI58" s="762">
        <f t="shared" ref="DI58" si="2341" xml:space="preserve">
IF(DH60&gt;=VLOOKUP($C58,$C$3:$D$15,2,FALSE)*DI$20,0,
IF(AND(DH60&lt;VLOOKUP($C58,$C$3:$D$15,2,FALSE)*DI$20,DI59&lt;=VLOOKUP($C58,$C$3:$D$15,2,FALSE)*DI$20),IF(DI59-DH60&lt;0,0,DI59-DH60),
IF(AND(DH60&lt;VLOOKUP($C58,$C$3:$D$15,2,FALSE)*DI$20,DI59&gt;VLOOKUP($C58,$C$3:$D$15,2,FALSE)*DI$20),VLOOKUP($C58,$C$3:$D$15,2,FALSE)*DI$20-DH60)))</f>
        <v>0</v>
      </c>
      <c r="DJ58" s="762">
        <f t="shared" ref="DJ58" si="2342" xml:space="preserve">
IF(DI60&gt;=VLOOKUP($C58,$C$3:$D$15,2,FALSE)*DJ$20,0,
IF(AND(DI60&lt;VLOOKUP($C58,$C$3:$D$15,2,FALSE)*DJ$20,DJ59&lt;=VLOOKUP($C58,$C$3:$D$15,2,FALSE)*DJ$20),IF(DJ59-DI60&lt;0,0,DJ59-DI60),
IF(AND(DI60&lt;VLOOKUP($C58,$C$3:$D$15,2,FALSE)*DJ$20,DJ59&gt;VLOOKUP($C58,$C$3:$D$15,2,FALSE)*DJ$20),VLOOKUP($C58,$C$3:$D$15,2,FALSE)*DJ$20-DI60)))</f>
        <v>0</v>
      </c>
      <c r="DK58" s="762">
        <f t="shared" ref="DK58" si="2343" xml:space="preserve">
IF(DJ60&gt;=VLOOKUP($C58,$C$3:$D$15,2,FALSE)*DK$20,0,
IF(AND(DJ60&lt;VLOOKUP($C58,$C$3:$D$15,2,FALSE)*DK$20,DK59&lt;=VLOOKUP($C58,$C$3:$D$15,2,FALSE)*DK$20),IF(DK59-DJ60&lt;0,0,DK59-DJ60),
IF(AND(DJ60&lt;VLOOKUP($C58,$C$3:$D$15,2,FALSE)*DK$20,DK59&gt;VLOOKUP($C58,$C$3:$D$15,2,FALSE)*DK$20),VLOOKUP($C58,$C$3:$D$15,2,FALSE)*DK$20-DJ60)))</f>
        <v>0</v>
      </c>
      <c r="DL58" s="762">
        <f t="shared" ref="DL58" si="2344" xml:space="preserve">
IF(DK60&gt;=VLOOKUP($C58,$C$3:$D$15,2,FALSE)*DL$20,0,
IF(AND(DK60&lt;VLOOKUP($C58,$C$3:$D$15,2,FALSE)*DL$20,DL59&lt;=VLOOKUP($C58,$C$3:$D$15,2,FALSE)*DL$20),IF(DL59-DK60&lt;0,0,DL59-DK60),
IF(AND(DK60&lt;VLOOKUP($C58,$C$3:$D$15,2,FALSE)*DL$20,DL59&gt;VLOOKUP($C58,$C$3:$D$15,2,FALSE)*DL$20),VLOOKUP($C58,$C$3:$D$15,2,FALSE)*DL$20-DK60)))</f>
        <v>0</v>
      </c>
      <c r="DM58" s="762">
        <f t="shared" ref="DM58" si="2345" xml:space="preserve">
IF(DL60&gt;=VLOOKUP($C58,$C$3:$D$15,2,FALSE)*DM$20,0,
IF(AND(DL60&lt;VLOOKUP($C58,$C$3:$D$15,2,FALSE)*DM$20,DM59&lt;=VLOOKUP($C58,$C$3:$D$15,2,FALSE)*DM$20),IF(DM59-DL60&lt;0,0,DM59-DL60),
IF(AND(DL60&lt;VLOOKUP($C58,$C$3:$D$15,2,FALSE)*DM$20,DM59&gt;VLOOKUP($C58,$C$3:$D$15,2,FALSE)*DM$20),VLOOKUP($C58,$C$3:$D$15,2,FALSE)*DM$20-DL60)))</f>
        <v>0</v>
      </c>
      <c r="DN58" s="762">
        <f t="shared" ref="DN58" si="2346" xml:space="preserve">
IF(DM60&gt;=VLOOKUP($C58,$C$3:$D$15,2,FALSE)*DN$20,0,
IF(AND(DM60&lt;VLOOKUP($C58,$C$3:$D$15,2,FALSE)*DN$20,DN59&lt;=VLOOKUP($C58,$C$3:$D$15,2,FALSE)*DN$20),IF(DN59-DM60&lt;0,0,DN59-DM60),
IF(AND(DM60&lt;VLOOKUP($C58,$C$3:$D$15,2,FALSE)*DN$20,DN59&gt;VLOOKUP($C58,$C$3:$D$15,2,FALSE)*DN$20),VLOOKUP($C58,$C$3:$D$15,2,FALSE)*DN$20-DM60)))</f>
        <v>0</v>
      </c>
      <c r="DO58" s="762">
        <f t="shared" ref="DO58" si="2347" xml:space="preserve">
IF(DN60&gt;=VLOOKUP($C58,$C$3:$D$15,2,FALSE)*DO$20,0,
IF(AND(DN60&lt;VLOOKUP($C58,$C$3:$D$15,2,FALSE)*DO$20,DO59&lt;=VLOOKUP($C58,$C$3:$D$15,2,FALSE)*DO$20),IF(DO59-DN60&lt;0,0,DO59-DN60),
IF(AND(DN60&lt;VLOOKUP($C58,$C$3:$D$15,2,FALSE)*DO$20,DO59&gt;VLOOKUP($C58,$C$3:$D$15,2,FALSE)*DO$20),VLOOKUP($C58,$C$3:$D$15,2,FALSE)*DO$20-DN60)))</f>
        <v>0</v>
      </c>
      <c r="DP58" s="762">
        <f t="shared" ref="DP58" si="2348" xml:space="preserve">
IF(DO60&gt;=VLOOKUP($C58,$C$3:$D$15,2,FALSE)*DP$20,0,
IF(AND(DO60&lt;VLOOKUP($C58,$C$3:$D$15,2,FALSE)*DP$20,DP59&lt;=VLOOKUP($C58,$C$3:$D$15,2,FALSE)*DP$20),IF(DP59-DO60&lt;0,0,DP59-DO60),
IF(AND(DO60&lt;VLOOKUP($C58,$C$3:$D$15,2,FALSE)*DP$20,DP59&gt;VLOOKUP($C58,$C$3:$D$15,2,FALSE)*DP$20),VLOOKUP($C58,$C$3:$D$15,2,FALSE)*DP$20-DO60)))</f>
        <v>0</v>
      </c>
      <c r="DQ58" s="762">
        <f t="shared" ref="DQ58" si="2349" xml:space="preserve">
IF(DP60&gt;=VLOOKUP($C58,$C$3:$D$15,2,FALSE)*DQ$20,0,
IF(AND(DP60&lt;VLOOKUP($C58,$C$3:$D$15,2,FALSE)*DQ$20,DQ59&lt;=VLOOKUP($C58,$C$3:$D$15,2,FALSE)*DQ$20),IF(DQ59-DP60&lt;0,0,DQ59-DP60),
IF(AND(DP60&lt;VLOOKUP($C58,$C$3:$D$15,2,FALSE)*DQ$20,DQ59&gt;VLOOKUP($C58,$C$3:$D$15,2,FALSE)*DQ$20),VLOOKUP($C58,$C$3:$D$15,2,FALSE)*DQ$20-DP60)))</f>
        <v>0</v>
      </c>
      <c r="DR58" s="762">
        <f t="shared" ref="DR58" si="2350" xml:space="preserve">
IF(DQ60&gt;=VLOOKUP($C58,$C$3:$D$15,2,FALSE)*DR$20,0,
IF(AND(DQ60&lt;VLOOKUP($C58,$C$3:$D$15,2,FALSE)*DR$20,DR59&lt;=VLOOKUP($C58,$C$3:$D$15,2,FALSE)*DR$20),IF(DR59-DQ60&lt;0,0,DR59-DQ60),
IF(AND(DQ60&lt;VLOOKUP($C58,$C$3:$D$15,2,FALSE)*DR$20,DR59&gt;VLOOKUP($C58,$C$3:$D$15,2,FALSE)*DR$20),VLOOKUP($C58,$C$3:$D$15,2,FALSE)*DR$20-DQ60)))</f>
        <v>0</v>
      </c>
      <c r="DS58" s="762">
        <f t="shared" ref="DS58" si="2351" xml:space="preserve">
IF(DR60&gt;=VLOOKUP($C58,$C$3:$D$15,2,FALSE)*DS$20,0,
IF(AND(DR60&lt;VLOOKUP($C58,$C$3:$D$15,2,FALSE)*DS$20,DS59&lt;=VLOOKUP($C58,$C$3:$D$15,2,FALSE)*DS$20),IF(DS59-DR60&lt;0,0,DS59-DR60),
IF(AND(DR60&lt;VLOOKUP($C58,$C$3:$D$15,2,FALSE)*DS$20,DS59&gt;VLOOKUP($C58,$C$3:$D$15,2,FALSE)*DS$20),VLOOKUP($C58,$C$3:$D$15,2,FALSE)*DS$20-DR60)))</f>
        <v>0</v>
      </c>
      <c r="DT58" s="762">
        <f t="shared" ref="DT58" si="2352" xml:space="preserve">
IF(DS60&gt;=VLOOKUP($C58,$C$3:$D$15,2,FALSE)*DT$20,0,
IF(AND(DS60&lt;VLOOKUP($C58,$C$3:$D$15,2,FALSE)*DT$20,DT59&lt;=VLOOKUP($C58,$C$3:$D$15,2,FALSE)*DT$20),IF(DT59-DS60&lt;0,0,DT59-DS60),
IF(AND(DS60&lt;VLOOKUP($C58,$C$3:$D$15,2,FALSE)*DT$20,DT59&gt;VLOOKUP($C58,$C$3:$D$15,2,FALSE)*DT$20),VLOOKUP($C58,$C$3:$D$15,2,FALSE)*DT$20-DS60)))</f>
        <v>0</v>
      </c>
      <c r="DU58" s="762">
        <f t="shared" ref="DU58" si="2353" xml:space="preserve">
IF(DT60&gt;=VLOOKUP($C58,$C$3:$D$15,2,FALSE)*DU$20,0,
IF(AND(DT60&lt;VLOOKUP($C58,$C$3:$D$15,2,FALSE)*DU$20,DU59&lt;=VLOOKUP($C58,$C$3:$D$15,2,FALSE)*DU$20),IF(DU59-DT60&lt;0,0,DU59-DT60),
IF(AND(DT60&lt;VLOOKUP($C58,$C$3:$D$15,2,FALSE)*DU$20,DU59&gt;VLOOKUP($C58,$C$3:$D$15,2,FALSE)*DU$20),VLOOKUP($C58,$C$3:$D$15,2,FALSE)*DU$20-DT60)))</f>
        <v>0</v>
      </c>
      <c r="DV58" s="762">
        <f t="shared" ref="DV58" si="2354" xml:space="preserve">
IF(DU60&gt;=VLOOKUP($C58,$C$3:$D$15,2,FALSE)*DV$20,0,
IF(AND(DU60&lt;VLOOKUP($C58,$C$3:$D$15,2,FALSE)*DV$20,DV59&lt;=VLOOKUP($C58,$C$3:$D$15,2,FALSE)*DV$20),IF(DV59-DU60&lt;0,0,DV59-DU60),
IF(AND(DU60&lt;VLOOKUP($C58,$C$3:$D$15,2,FALSE)*DV$20,DV59&gt;VLOOKUP($C58,$C$3:$D$15,2,FALSE)*DV$20),VLOOKUP($C58,$C$3:$D$15,2,FALSE)*DV$20-DU60)))</f>
        <v>0</v>
      </c>
      <c r="DW58" s="762">
        <f t="shared" ref="DW58" si="2355" xml:space="preserve">
IF(DV60&gt;=VLOOKUP($C58,$C$3:$D$15,2,FALSE)*DW$20,0,
IF(AND(DV60&lt;VLOOKUP($C58,$C$3:$D$15,2,FALSE)*DW$20,DW59&lt;=VLOOKUP($C58,$C$3:$D$15,2,FALSE)*DW$20),IF(DW59-DV60&lt;0,0,DW59-DV60),
IF(AND(DV60&lt;VLOOKUP($C58,$C$3:$D$15,2,FALSE)*DW$20,DW59&gt;VLOOKUP($C58,$C$3:$D$15,2,FALSE)*DW$20),VLOOKUP($C58,$C$3:$D$15,2,FALSE)*DW$20-DV60)))</f>
        <v>0</v>
      </c>
      <c r="DX58" s="762">
        <f t="shared" ref="DX58" si="2356" xml:space="preserve">
IF(DW60&gt;=VLOOKUP($C58,$C$3:$D$15,2,FALSE)*DX$20,0,
IF(AND(DW60&lt;VLOOKUP($C58,$C$3:$D$15,2,FALSE)*DX$20,DX59&lt;=VLOOKUP($C58,$C$3:$D$15,2,FALSE)*DX$20),IF(DX59-DW60&lt;0,0,DX59-DW60),
IF(AND(DW60&lt;VLOOKUP($C58,$C$3:$D$15,2,FALSE)*DX$20,DX59&gt;VLOOKUP($C58,$C$3:$D$15,2,FALSE)*DX$20),VLOOKUP($C58,$C$3:$D$15,2,FALSE)*DX$20-DW60)))</f>
        <v>0</v>
      </c>
      <c r="DY58" s="762">
        <f t="shared" ref="DY58" si="2357" xml:space="preserve">
IF(DX60&gt;=VLOOKUP($C58,$C$3:$D$15,2,FALSE)*DY$20,0,
IF(AND(DX60&lt;VLOOKUP($C58,$C$3:$D$15,2,FALSE)*DY$20,DY59&lt;=VLOOKUP($C58,$C$3:$D$15,2,FALSE)*DY$20),IF(DY59-DX60&lt;0,0,DY59-DX60),
IF(AND(DX60&lt;VLOOKUP($C58,$C$3:$D$15,2,FALSE)*DY$20,DY59&gt;VLOOKUP($C58,$C$3:$D$15,2,FALSE)*DY$20),VLOOKUP($C58,$C$3:$D$15,2,FALSE)*DY$20-DX60)))</f>
        <v>0</v>
      </c>
      <c r="DZ58" s="762">
        <f t="shared" ref="DZ58" si="2358" xml:space="preserve">
IF(DY60&gt;=VLOOKUP($C58,$C$3:$D$15,2,FALSE)*DZ$20,0,
IF(AND(DY60&lt;VLOOKUP($C58,$C$3:$D$15,2,FALSE)*DZ$20,DZ59&lt;=VLOOKUP($C58,$C$3:$D$15,2,FALSE)*DZ$20),IF(DZ59-DY60&lt;0,0,DZ59-DY60),
IF(AND(DY60&lt;VLOOKUP($C58,$C$3:$D$15,2,FALSE)*DZ$20,DZ59&gt;VLOOKUP($C58,$C$3:$D$15,2,FALSE)*DZ$20),VLOOKUP($C58,$C$3:$D$15,2,FALSE)*DZ$20-DY60)))</f>
        <v>0</v>
      </c>
      <c r="EA58" s="762">
        <f t="shared" ref="EA58" si="2359" xml:space="preserve">
IF(DZ60&gt;=VLOOKUP($C58,$C$3:$D$15,2,FALSE)*EA$20,0,
IF(AND(DZ60&lt;VLOOKUP($C58,$C$3:$D$15,2,FALSE)*EA$20,EA59&lt;=VLOOKUP($C58,$C$3:$D$15,2,FALSE)*EA$20),IF(EA59-DZ60&lt;0,0,EA59-DZ60),
IF(AND(DZ60&lt;VLOOKUP($C58,$C$3:$D$15,2,FALSE)*EA$20,EA59&gt;VLOOKUP($C58,$C$3:$D$15,2,FALSE)*EA$20),VLOOKUP($C58,$C$3:$D$15,2,FALSE)*EA$20-DZ60)))</f>
        <v>0</v>
      </c>
      <c r="EB58" s="762">
        <f t="shared" ref="EB58" si="2360" xml:space="preserve">
IF(EA60&gt;=VLOOKUP($C58,$C$3:$D$15,2,FALSE)*EB$20,0,
IF(AND(EA60&lt;VLOOKUP($C58,$C$3:$D$15,2,FALSE)*EB$20,EB59&lt;=VLOOKUP($C58,$C$3:$D$15,2,FALSE)*EB$20),IF(EB59-EA60&lt;0,0,EB59-EA60),
IF(AND(EA60&lt;VLOOKUP($C58,$C$3:$D$15,2,FALSE)*EB$20,EB59&gt;VLOOKUP($C58,$C$3:$D$15,2,FALSE)*EB$20),VLOOKUP($C58,$C$3:$D$15,2,FALSE)*EB$20-EA60)))</f>
        <v>0</v>
      </c>
      <c r="EC58" s="762">
        <f t="shared" ref="EC58" si="2361" xml:space="preserve">
IF(EB60&gt;=VLOOKUP($C58,$C$3:$D$15,2,FALSE)*EC$20,0,
IF(AND(EB60&lt;VLOOKUP($C58,$C$3:$D$15,2,FALSE)*EC$20,EC59&lt;=VLOOKUP($C58,$C$3:$D$15,2,FALSE)*EC$20),IF(EC59-EB60&lt;0,0,EC59-EB60),
IF(AND(EB60&lt;VLOOKUP($C58,$C$3:$D$15,2,FALSE)*EC$20,EC59&gt;VLOOKUP($C58,$C$3:$D$15,2,FALSE)*EC$20),VLOOKUP($C58,$C$3:$D$15,2,FALSE)*EC$20-EB60)))</f>
        <v>0</v>
      </c>
      <c r="ED58" s="762">
        <f t="shared" ref="ED58" si="2362" xml:space="preserve">
IF(EC60&gt;=VLOOKUP($C58,$C$3:$D$15,2,FALSE)*ED$20,0,
IF(AND(EC60&lt;VLOOKUP($C58,$C$3:$D$15,2,FALSE)*ED$20,ED59&lt;=VLOOKUP($C58,$C$3:$D$15,2,FALSE)*ED$20),IF(ED59-EC60&lt;0,0,ED59-EC60),
IF(AND(EC60&lt;VLOOKUP($C58,$C$3:$D$15,2,FALSE)*ED$20,ED59&gt;VLOOKUP($C58,$C$3:$D$15,2,FALSE)*ED$20),VLOOKUP($C58,$C$3:$D$15,2,FALSE)*ED$20-EC60)))</f>
        <v>0</v>
      </c>
      <c r="EE58" s="762">
        <f t="shared" ref="EE58" si="2363" xml:space="preserve">
IF(ED60&gt;=VLOOKUP($C58,$C$3:$D$15,2,FALSE)*EE$20,0,
IF(AND(ED60&lt;VLOOKUP($C58,$C$3:$D$15,2,FALSE)*EE$20,EE59&lt;=VLOOKUP($C58,$C$3:$D$15,2,FALSE)*EE$20),IF(EE59-ED60&lt;0,0,EE59-ED60),
IF(AND(ED60&lt;VLOOKUP($C58,$C$3:$D$15,2,FALSE)*EE$20,EE59&gt;VLOOKUP($C58,$C$3:$D$15,2,FALSE)*EE$20),VLOOKUP($C58,$C$3:$D$15,2,FALSE)*EE$20-ED60)))</f>
        <v>0</v>
      </c>
      <c r="EF58" s="762">
        <f t="shared" ref="EF58" si="2364" xml:space="preserve">
IF(EE60&gt;=VLOOKUP($C58,$C$3:$D$15,2,FALSE)*EF$20,0,
IF(AND(EE60&lt;VLOOKUP($C58,$C$3:$D$15,2,FALSE)*EF$20,EF59&lt;=VLOOKUP($C58,$C$3:$D$15,2,FALSE)*EF$20),IF(EF59-EE60&lt;0,0,EF59-EE60),
IF(AND(EE60&lt;VLOOKUP($C58,$C$3:$D$15,2,FALSE)*EF$20,EF59&gt;VLOOKUP($C58,$C$3:$D$15,2,FALSE)*EF$20),VLOOKUP($C58,$C$3:$D$15,2,FALSE)*EF$20-EE60)))</f>
        <v>0</v>
      </c>
      <c r="EG58" s="762">
        <f t="shared" ref="EG58" si="2365" xml:space="preserve">
IF(EF60&gt;=VLOOKUP($C58,$C$3:$D$15,2,FALSE)*EG$20,0,
IF(AND(EF60&lt;VLOOKUP($C58,$C$3:$D$15,2,FALSE)*EG$20,EG59&lt;=VLOOKUP($C58,$C$3:$D$15,2,FALSE)*EG$20),IF(EG59-EF60&lt;0,0,EG59-EF60),
IF(AND(EF60&lt;VLOOKUP($C58,$C$3:$D$15,2,FALSE)*EG$20,EG59&gt;VLOOKUP($C58,$C$3:$D$15,2,FALSE)*EG$20),VLOOKUP($C58,$C$3:$D$15,2,FALSE)*EG$20-EF60)))</f>
        <v>0</v>
      </c>
      <c r="EH58" s="762">
        <f t="shared" ref="EH58" si="2366" xml:space="preserve">
IF(EG60&gt;=VLOOKUP($C58,$C$3:$D$15,2,FALSE)*EH$20,0,
IF(AND(EG60&lt;VLOOKUP($C58,$C$3:$D$15,2,FALSE)*EH$20,EH59&lt;=VLOOKUP($C58,$C$3:$D$15,2,FALSE)*EH$20),IF(EH59-EG60&lt;0,0,EH59-EG60),
IF(AND(EG60&lt;VLOOKUP($C58,$C$3:$D$15,2,FALSE)*EH$20,EH59&gt;VLOOKUP($C58,$C$3:$D$15,2,FALSE)*EH$20),VLOOKUP($C58,$C$3:$D$15,2,FALSE)*EH$20-EG60)))</f>
        <v>0</v>
      </c>
      <c r="EI58" s="762">
        <f t="shared" ref="EI58" si="2367" xml:space="preserve">
IF(EH60&gt;=VLOOKUP($C58,$C$3:$D$15,2,FALSE)*EI$20,0,
IF(AND(EH60&lt;VLOOKUP($C58,$C$3:$D$15,2,FALSE)*EI$20,EI59&lt;=VLOOKUP($C58,$C$3:$D$15,2,FALSE)*EI$20),IF(EI59-EH60&lt;0,0,EI59-EH60),
IF(AND(EH60&lt;VLOOKUP($C58,$C$3:$D$15,2,FALSE)*EI$20,EI59&gt;VLOOKUP($C58,$C$3:$D$15,2,FALSE)*EI$20),VLOOKUP($C58,$C$3:$D$15,2,FALSE)*EI$20-EH60)))</f>
        <v>0</v>
      </c>
      <c r="EJ58" s="762">
        <f t="shared" ref="EJ58" si="2368" xml:space="preserve">
IF(EI60&gt;=VLOOKUP($C58,$C$3:$D$15,2,FALSE)*EJ$20,0,
IF(AND(EI60&lt;VLOOKUP($C58,$C$3:$D$15,2,FALSE)*EJ$20,EJ59&lt;=VLOOKUP($C58,$C$3:$D$15,2,FALSE)*EJ$20),IF(EJ59-EI60&lt;0,0,EJ59-EI60),
IF(AND(EI60&lt;VLOOKUP($C58,$C$3:$D$15,2,FALSE)*EJ$20,EJ59&gt;VLOOKUP($C58,$C$3:$D$15,2,FALSE)*EJ$20),VLOOKUP($C58,$C$3:$D$15,2,FALSE)*EJ$20-EI60)))</f>
        <v>0</v>
      </c>
      <c r="EK58" s="762">
        <f t="shared" ref="EK58" si="2369" xml:space="preserve">
IF(EJ60&gt;=VLOOKUP($C58,$C$3:$D$15,2,FALSE)*EK$20,0,
IF(AND(EJ60&lt;VLOOKUP($C58,$C$3:$D$15,2,FALSE)*EK$20,EK59&lt;=VLOOKUP($C58,$C$3:$D$15,2,FALSE)*EK$20),IF(EK59-EJ60&lt;0,0,EK59-EJ60),
IF(AND(EJ60&lt;VLOOKUP($C58,$C$3:$D$15,2,FALSE)*EK$20,EK59&gt;VLOOKUP($C58,$C$3:$D$15,2,FALSE)*EK$20),VLOOKUP($C58,$C$3:$D$15,2,FALSE)*EK$20-EJ60)))</f>
        <v>0</v>
      </c>
      <c r="EL58" s="762">
        <f t="shared" ref="EL58" si="2370" xml:space="preserve">
IF(EK60&gt;=VLOOKUP($C58,$C$3:$D$15,2,FALSE)*EL$20,0,
IF(AND(EK60&lt;VLOOKUP($C58,$C$3:$D$15,2,FALSE)*EL$20,EL59&lt;=VLOOKUP($C58,$C$3:$D$15,2,FALSE)*EL$20),IF(EL59-EK60&lt;0,0,EL59-EK60),
IF(AND(EK60&lt;VLOOKUP($C58,$C$3:$D$15,2,FALSE)*EL$20,EL59&gt;VLOOKUP($C58,$C$3:$D$15,2,FALSE)*EL$20),VLOOKUP($C58,$C$3:$D$15,2,FALSE)*EL$20-EK60)))</f>
        <v>0</v>
      </c>
      <c r="EM58" s="762">
        <f t="shared" ref="EM58" si="2371" xml:space="preserve">
IF(EL60&gt;=VLOOKUP($C58,$C$3:$D$15,2,FALSE)*EM$20,0,
IF(AND(EL60&lt;VLOOKUP($C58,$C$3:$D$15,2,FALSE)*EM$20,EM59&lt;=VLOOKUP($C58,$C$3:$D$15,2,FALSE)*EM$20),IF(EM59-EL60&lt;0,0,EM59-EL60),
IF(AND(EL60&lt;VLOOKUP($C58,$C$3:$D$15,2,FALSE)*EM$20,EM59&gt;VLOOKUP($C58,$C$3:$D$15,2,FALSE)*EM$20),VLOOKUP($C58,$C$3:$D$15,2,FALSE)*EM$20-EL60)))</f>
        <v>0</v>
      </c>
      <c r="EN58" s="762">
        <f t="shared" ref="EN58" si="2372" xml:space="preserve">
IF(EM60&gt;=VLOOKUP($C58,$C$3:$D$15,2,FALSE)*EN$20,0,
IF(AND(EM60&lt;VLOOKUP($C58,$C$3:$D$15,2,FALSE)*EN$20,EN59&lt;=VLOOKUP($C58,$C$3:$D$15,2,FALSE)*EN$20),IF(EN59-EM60&lt;0,0,EN59-EM60),
IF(AND(EM60&lt;VLOOKUP($C58,$C$3:$D$15,2,FALSE)*EN$20,EN59&gt;VLOOKUP($C58,$C$3:$D$15,2,FALSE)*EN$20),VLOOKUP($C58,$C$3:$D$15,2,FALSE)*EN$20-EM60)))</f>
        <v>0</v>
      </c>
      <c r="EO58" s="762">
        <f t="shared" ref="EO58" si="2373" xml:space="preserve">
IF(EN60&gt;=VLOOKUP($C58,$C$3:$D$15,2,FALSE)*EO$20,0,
IF(AND(EN60&lt;VLOOKUP($C58,$C$3:$D$15,2,FALSE)*EO$20,EO59&lt;=VLOOKUP($C58,$C$3:$D$15,2,FALSE)*EO$20),IF(EO59-EN60&lt;0,0,EO59-EN60),
IF(AND(EN60&lt;VLOOKUP($C58,$C$3:$D$15,2,FALSE)*EO$20,EO59&gt;VLOOKUP($C58,$C$3:$D$15,2,FALSE)*EO$20),VLOOKUP($C58,$C$3:$D$15,2,FALSE)*EO$20-EN60)))</f>
        <v>0</v>
      </c>
      <c r="EP58" s="762">
        <f t="shared" ref="EP58" si="2374" xml:space="preserve">
IF(EO60&gt;=VLOOKUP($C58,$C$3:$D$15,2,FALSE)*EP$20,0,
IF(AND(EO60&lt;VLOOKUP($C58,$C$3:$D$15,2,FALSE)*EP$20,EP59&lt;=VLOOKUP($C58,$C$3:$D$15,2,FALSE)*EP$20),IF(EP59-EO60&lt;0,0,EP59-EO60),
IF(AND(EO60&lt;VLOOKUP($C58,$C$3:$D$15,2,FALSE)*EP$20,EP59&gt;VLOOKUP($C58,$C$3:$D$15,2,FALSE)*EP$20),VLOOKUP($C58,$C$3:$D$15,2,FALSE)*EP$20-EO60)))</f>
        <v>0</v>
      </c>
      <c r="EQ58" s="762">
        <f t="shared" ref="EQ58" si="2375" xml:space="preserve">
IF(EP60&gt;=VLOOKUP($C58,$C$3:$D$15,2,FALSE)*EQ$20,0,
IF(AND(EP60&lt;VLOOKUP($C58,$C$3:$D$15,2,FALSE)*EQ$20,EQ59&lt;=VLOOKUP($C58,$C$3:$D$15,2,FALSE)*EQ$20),IF(EQ59-EP60&lt;0,0,EQ59-EP60),
IF(AND(EP60&lt;VLOOKUP($C58,$C$3:$D$15,2,FALSE)*EQ$20,EQ59&gt;VLOOKUP($C58,$C$3:$D$15,2,FALSE)*EQ$20),VLOOKUP($C58,$C$3:$D$15,2,FALSE)*EQ$20-EP60)))</f>
        <v>0</v>
      </c>
      <c r="ER58" s="762">
        <f t="shared" ref="ER58" si="2376" xml:space="preserve">
IF(EQ60&gt;=VLOOKUP($C58,$C$3:$D$15,2,FALSE)*ER$20,0,
IF(AND(EQ60&lt;VLOOKUP($C58,$C$3:$D$15,2,FALSE)*ER$20,ER59&lt;=VLOOKUP($C58,$C$3:$D$15,2,FALSE)*ER$20),IF(ER59-EQ60&lt;0,0,ER59-EQ60),
IF(AND(EQ60&lt;VLOOKUP($C58,$C$3:$D$15,2,FALSE)*ER$20,ER59&gt;VLOOKUP($C58,$C$3:$D$15,2,FALSE)*ER$20),VLOOKUP($C58,$C$3:$D$15,2,FALSE)*ER$20-EQ60)))</f>
        <v>0</v>
      </c>
      <c r="ES58" s="762">
        <f t="shared" ref="ES58" si="2377" xml:space="preserve">
IF(ER60&gt;=VLOOKUP($C58,$C$3:$D$15,2,FALSE)*ES$20,0,
IF(AND(ER60&lt;VLOOKUP($C58,$C$3:$D$15,2,FALSE)*ES$20,ES59&lt;=VLOOKUP($C58,$C$3:$D$15,2,FALSE)*ES$20),IF(ES59-ER60&lt;0,0,ES59-ER60),
IF(AND(ER60&lt;VLOOKUP($C58,$C$3:$D$15,2,FALSE)*ES$20,ES59&gt;VLOOKUP($C58,$C$3:$D$15,2,FALSE)*ES$20),VLOOKUP($C58,$C$3:$D$15,2,FALSE)*ES$20-ER60)))</f>
        <v>0</v>
      </c>
      <c r="ET58" s="762">
        <f t="shared" ref="ET58" si="2378" xml:space="preserve">
IF(ES60&gt;=VLOOKUP($C58,$C$3:$D$15,2,FALSE)*ET$20,0,
IF(AND(ES60&lt;VLOOKUP($C58,$C$3:$D$15,2,FALSE)*ET$20,ET59&lt;=VLOOKUP($C58,$C$3:$D$15,2,FALSE)*ET$20),IF(ET59-ES60&lt;0,0,ET59-ES60),
IF(AND(ES60&lt;VLOOKUP($C58,$C$3:$D$15,2,FALSE)*ET$20,ET59&gt;VLOOKUP($C58,$C$3:$D$15,2,FALSE)*ET$20),VLOOKUP($C58,$C$3:$D$15,2,FALSE)*ET$20-ES60)))</f>
        <v>0</v>
      </c>
      <c r="EU58" s="762">
        <f t="shared" ref="EU58" si="2379" xml:space="preserve">
IF(ET60&gt;=VLOOKUP($C58,$C$3:$D$15,2,FALSE)*EU$20,0,
IF(AND(ET60&lt;VLOOKUP($C58,$C$3:$D$15,2,FALSE)*EU$20,EU59&lt;=VLOOKUP($C58,$C$3:$D$15,2,FALSE)*EU$20),IF(EU59-ET60&lt;0,0,EU59-ET60),
IF(AND(ET60&lt;VLOOKUP($C58,$C$3:$D$15,2,FALSE)*EU$20,EU59&gt;VLOOKUP($C58,$C$3:$D$15,2,FALSE)*EU$20),VLOOKUP($C58,$C$3:$D$15,2,FALSE)*EU$20-ET60)))</f>
        <v>0</v>
      </c>
      <c r="EV58" s="762">
        <f t="shared" ref="EV58" si="2380" xml:space="preserve">
IF(EU60&gt;=VLOOKUP($C58,$C$3:$D$15,2,FALSE)*EV$20,0,
IF(AND(EU60&lt;VLOOKUP($C58,$C$3:$D$15,2,FALSE)*EV$20,EV59&lt;=VLOOKUP($C58,$C$3:$D$15,2,FALSE)*EV$20),IF(EV59-EU60&lt;0,0,EV59-EU60),
IF(AND(EU60&lt;VLOOKUP($C58,$C$3:$D$15,2,FALSE)*EV$20,EV59&gt;VLOOKUP($C58,$C$3:$D$15,2,FALSE)*EV$20),VLOOKUP($C58,$C$3:$D$15,2,FALSE)*EV$20-EU60)))</f>
        <v>0</v>
      </c>
      <c r="EW58" s="762">
        <f t="shared" ref="EW58" si="2381" xml:space="preserve">
IF(EV60&gt;=VLOOKUP($C58,$C$3:$D$15,2,FALSE)*EW$20,0,
IF(AND(EV60&lt;VLOOKUP($C58,$C$3:$D$15,2,FALSE)*EW$20,EW59&lt;=VLOOKUP($C58,$C$3:$D$15,2,FALSE)*EW$20),IF(EW59-EV60&lt;0,0,EW59-EV60),
IF(AND(EV60&lt;VLOOKUP($C58,$C$3:$D$15,2,FALSE)*EW$20,EW59&gt;VLOOKUP($C58,$C$3:$D$15,2,FALSE)*EW$20),VLOOKUP($C58,$C$3:$D$15,2,FALSE)*EW$20-EV60)))</f>
        <v>0</v>
      </c>
      <c r="EX58" s="762">
        <f t="shared" ref="EX58" si="2382" xml:space="preserve">
IF(EW60&gt;=VLOOKUP($C58,$C$3:$D$15,2,FALSE)*EX$20,0,
IF(AND(EW60&lt;VLOOKUP($C58,$C$3:$D$15,2,FALSE)*EX$20,EX59&lt;=VLOOKUP($C58,$C$3:$D$15,2,FALSE)*EX$20),IF(EX59-EW60&lt;0,0,EX59-EW60),
IF(AND(EW60&lt;VLOOKUP($C58,$C$3:$D$15,2,FALSE)*EX$20,EX59&gt;VLOOKUP($C58,$C$3:$D$15,2,FALSE)*EX$20),VLOOKUP($C58,$C$3:$D$15,2,FALSE)*EX$20-EW60)))</f>
        <v>0</v>
      </c>
      <c r="EY58" s="762">
        <f t="shared" ref="EY58" si="2383" xml:space="preserve">
IF(EX60&gt;=VLOOKUP($C58,$C$3:$D$15,2,FALSE)*EY$20,0,
IF(AND(EX60&lt;VLOOKUP($C58,$C$3:$D$15,2,FALSE)*EY$20,EY59&lt;=VLOOKUP($C58,$C$3:$D$15,2,FALSE)*EY$20),IF(EY59-EX60&lt;0,0,EY59-EX60),
IF(AND(EX60&lt;VLOOKUP($C58,$C$3:$D$15,2,FALSE)*EY$20,EY59&gt;VLOOKUP($C58,$C$3:$D$15,2,FALSE)*EY$20),VLOOKUP($C58,$C$3:$D$15,2,FALSE)*EY$20-EX60)))</f>
        <v>0</v>
      </c>
      <c r="EZ58" s="762">
        <f t="shared" ref="EZ58" si="2384" xml:space="preserve">
IF(EY60&gt;=VLOOKUP($C58,$C$3:$D$15,2,FALSE)*EZ$20,0,
IF(AND(EY60&lt;VLOOKUP($C58,$C$3:$D$15,2,FALSE)*EZ$20,EZ59&lt;=VLOOKUP($C58,$C$3:$D$15,2,FALSE)*EZ$20),IF(EZ59-EY60&lt;0,0,EZ59-EY60),
IF(AND(EY60&lt;VLOOKUP($C58,$C$3:$D$15,2,FALSE)*EZ$20,EZ59&gt;VLOOKUP($C58,$C$3:$D$15,2,FALSE)*EZ$20),VLOOKUP($C58,$C$3:$D$15,2,FALSE)*EZ$20-EY60)))</f>
        <v>0</v>
      </c>
      <c r="FA58" s="762">
        <f t="shared" ref="FA58" si="2385" xml:space="preserve">
IF(EZ60&gt;=VLOOKUP($C58,$C$3:$D$15,2,FALSE)*FA$20,0,
IF(AND(EZ60&lt;VLOOKUP($C58,$C$3:$D$15,2,FALSE)*FA$20,FA59&lt;=VLOOKUP($C58,$C$3:$D$15,2,FALSE)*FA$20),IF(FA59-EZ60&lt;0,0,FA59-EZ60),
IF(AND(EZ60&lt;VLOOKUP($C58,$C$3:$D$15,2,FALSE)*FA$20,FA59&gt;VLOOKUP($C58,$C$3:$D$15,2,FALSE)*FA$20),VLOOKUP($C58,$C$3:$D$15,2,FALSE)*FA$20-EZ60)))</f>
        <v>0</v>
      </c>
      <c r="FB58" s="762">
        <f t="shared" ref="FB58" si="2386" xml:space="preserve">
IF(FA60&gt;=VLOOKUP($C58,$C$3:$D$15,2,FALSE)*FB$20,0,
IF(AND(FA60&lt;VLOOKUP($C58,$C$3:$D$15,2,FALSE)*FB$20,FB59&lt;=VLOOKUP($C58,$C$3:$D$15,2,FALSE)*FB$20),IF(FB59-FA60&lt;0,0,FB59-FA60),
IF(AND(FA60&lt;VLOOKUP($C58,$C$3:$D$15,2,FALSE)*FB$20,FB59&gt;VLOOKUP($C58,$C$3:$D$15,2,FALSE)*FB$20),VLOOKUP($C58,$C$3:$D$15,2,FALSE)*FB$20-FA60)))</f>
        <v>0</v>
      </c>
      <c r="FC58" s="762">
        <f t="shared" ref="FC58" si="2387" xml:space="preserve">
IF(FB60&gt;=VLOOKUP($C58,$C$3:$D$15,2,FALSE)*FC$20,0,
IF(AND(FB60&lt;VLOOKUP($C58,$C$3:$D$15,2,FALSE)*FC$20,FC59&lt;=VLOOKUP($C58,$C$3:$D$15,2,FALSE)*FC$20),IF(FC59-FB60&lt;0,0,FC59-FB60),
IF(AND(FB60&lt;VLOOKUP($C58,$C$3:$D$15,2,FALSE)*FC$20,FC59&gt;VLOOKUP($C58,$C$3:$D$15,2,FALSE)*FC$20),VLOOKUP($C58,$C$3:$D$15,2,FALSE)*FC$20-FB60)))</f>
        <v>0</v>
      </c>
      <c r="FD58" s="762">
        <f t="shared" ref="FD58" si="2388" xml:space="preserve">
IF(FC60&gt;=VLOOKUP($C58,$C$3:$D$15,2,FALSE)*FD$20,0,
IF(AND(FC60&lt;VLOOKUP($C58,$C$3:$D$15,2,FALSE)*FD$20,FD59&lt;=VLOOKUP($C58,$C$3:$D$15,2,FALSE)*FD$20),IF(FD59-FC60&lt;0,0,FD59-FC60),
IF(AND(FC60&lt;VLOOKUP($C58,$C$3:$D$15,2,FALSE)*FD$20,FD59&gt;VLOOKUP($C58,$C$3:$D$15,2,FALSE)*FD$20),VLOOKUP($C58,$C$3:$D$15,2,FALSE)*FD$20-FC60)))</f>
        <v>0</v>
      </c>
      <c r="FE58" s="762">
        <f t="shared" ref="FE58" si="2389" xml:space="preserve">
IF(FD60&gt;=VLOOKUP($C58,$C$3:$D$15,2,FALSE)*FE$20,0,
IF(AND(FD60&lt;VLOOKUP($C58,$C$3:$D$15,2,FALSE)*FE$20,FE59&lt;=VLOOKUP($C58,$C$3:$D$15,2,FALSE)*FE$20),IF(FE59-FD60&lt;0,0,FE59-FD60),
IF(AND(FD60&lt;VLOOKUP($C58,$C$3:$D$15,2,FALSE)*FE$20,FE59&gt;VLOOKUP($C58,$C$3:$D$15,2,FALSE)*FE$20),VLOOKUP($C58,$C$3:$D$15,2,FALSE)*FE$20-FD60)))</f>
        <v>0</v>
      </c>
      <c r="FF58" s="762">
        <f t="shared" ref="FF58" si="2390" xml:space="preserve">
IF(FE60&gt;=VLOOKUP($C58,$C$3:$D$15,2,FALSE)*FF$20,0,
IF(AND(FE60&lt;VLOOKUP($C58,$C$3:$D$15,2,FALSE)*FF$20,FF59&lt;=VLOOKUP($C58,$C$3:$D$15,2,FALSE)*FF$20),IF(FF59-FE60&lt;0,0,FF59-FE60),
IF(AND(FE60&lt;VLOOKUP($C58,$C$3:$D$15,2,FALSE)*FF$20,FF59&gt;VLOOKUP($C58,$C$3:$D$15,2,FALSE)*FF$20),VLOOKUP($C58,$C$3:$D$15,2,FALSE)*FF$20-FE60)))</f>
        <v>0</v>
      </c>
      <c r="FG58" s="762">
        <f t="shared" ref="FG58" si="2391" xml:space="preserve">
IF(FF60&gt;=VLOOKUP($C58,$C$3:$D$15,2,FALSE)*FG$20,0,
IF(AND(FF60&lt;VLOOKUP($C58,$C$3:$D$15,2,FALSE)*FG$20,FG59&lt;=VLOOKUP($C58,$C$3:$D$15,2,FALSE)*FG$20),IF(FG59-FF60&lt;0,0,FG59-FF60),
IF(AND(FF60&lt;VLOOKUP($C58,$C$3:$D$15,2,FALSE)*FG$20,FG59&gt;VLOOKUP($C58,$C$3:$D$15,2,FALSE)*FG$20),VLOOKUP($C58,$C$3:$D$15,2,FALSE)*FG$20-FF60)))</f>
        <v>0</v>
      </c>
      <c r="FH58" s="762">
        <f t="shared" ref="FH58" si="2392" xml:space="preserve">
IF(FG60&gt;=VLOOKUP($C58,$C$3:$D$15,2,FALSE)*FH$20,0,
IF(AND(FG60&lt;VLOOKUP($C58,$C$3:$D$15,2,FALSE)*FH$20,FH59&lt;=VLOOKUP($C58,$C$3:$D$15,2,FALSE)*FH$20),IF(FH59-FG60&lt;0,0,FH59-FG60),
IF(AND(FG60&lt;VLOOKUP($C58,$C$3:$D$15,2,FALSE)*FH$20,FH59&gt;VLOOKUP($C58,$C$3:$D$15,2,FALSE)*FH$20),VLOOKUP($C58,$C$3:$D$15,2,FALSE)*FH$20-FG60)))</f>
        <v>0</v>
      </c>
      <c r="FI58" s="762">
        <f t="shared" ref="FI58" si="2393" xml:space="preserve">
IF(FH60&gt;=VLOOKUP($C58,$C$3:$D$15,2,FALSE)*FI$20,0,
IF(AND(FH60&lt;VLOOKUP($C58,$C$3:$D$15,2,FALSE)*FI$20,FI59&lt;=VLOOKUP($C58,$C$3:$D$15,2,FALSE)*FI$20),IF(FI59-FH60&lt;0,0,FI59-FH60),
IF(AND(FH60&lt;VLOOKUP($C58,$C$3:$D$15,2,FALSE)*FI$20,FI59&gt;VLOOKUP($C58,$C$3:$D$15,2,FALSE)*FI$20),VLOOKUP($C58,$C$3:$D$15,2,FALSE)*FI$20-FH60)))</f>
        <v>0</v>
      </c>
      <c r="FJ58" s="762">
        <f t="shared" ref="FJ58" si="2394" xml:space="preserve">
IF(FI60&gt;=VLOOKUP($C58,$C$3:$D$15,2,FALSE)*FJ$20,0,
IF(AND(FI60&lt;VLOOKUP($C58,$C$3:$D$15,2,FALSE)*FJ$20,FJ59&lt;=VLOOKUP($C58,$C$3:$D$15,2,FALSE)*FJ$20),IF(FJ59-FI60&lt;0,0,FJ59-FI60),
IF(AND(FI60&lt;VLOOKUP($C58,$C$3:$D$15,2,FALSE)*FJ$20,FJ59&gt;VLOOKUP($C58,$C$3:$D$15,2,FALSE)*FJ$20),VLOOKUP($C58,$C$3:$D$15,2,FALSE)*FJ$20-FI60)))</f>
        <v>0</v>
      </c>
      <c r="FK58" s="762">
        <f t="shared" ref="FK58" si="2395" xml:space="preserve">
IF(FJ60&gt;=VLOOKUP($C58,$C$3:$D$15,2,FALSE)*FK$20,0,
IF(AND(FJ60&lt;VLOOKUP($C58,$C$3:$D$15,2,FALSE)*FK$20,FK59&lt;=VLOOKUP($C58,$C$3:$D$15,2,FALSE)*FK$20),IF(FK59-FJ60&lt;0,0,FK59-FJ60),
IF(AND(FJ60&lt;VLOOKUP($C58,$C$3:$D$15,2,FALSE)*FK$20,FK59&gt;VLOOKUP($C58,$C$3:$D$15,2,FALSE)*FK$20),VLOOKUP($C58,$C$3:$D$15,2,FALSE)*FK$20-FJ60)))</f>
        <v>0</v>
      </c>
      <c r="FL58" s="762">
        <f t="shared" ref="FL58" si="2396" xml:space="preserve">
IF(FK60&gt;=VLOOKUP($C58,$C$3:$D$15,2,FALSE)*FL$20,0,
IF(AND(FK60&lt;VLOOKUP($C58,$C$3:$D$15,2,FALSE)*FL$20,FL59&lt;=VLOOKUP($C58,$C$3:$D$15,2,FALSE)*FL$20),IF(FL59-FK60&lt;0,0,FL59-FK60),
IF(AND(FK60&lt;VLOOKUP($C58,$C$3:$D$15,2,FALSE)*FL$20,FL59&gt;VLOOKUP($C58,$C$3:$D$15,2,FALSE)*FL$20),VLOOKUP($C58,$C$3:$D$15,2,FALSE)*FL$20-FK60)))</f>
        <v>0</v>
      </c>
      <c r="FM58" s="762">
        <f t="shared" ref="FM58" si="2397" xml:space="preserve">
IF(FL60&gt;=VLOOKUP($C58,$C$3:$D$15,2,FALSE)*FM$20,0,
IF(AND(FL60&lt;VLOOKUP($C58,$C$3:$D$15,2,FALSE)*FM$20,FM59&lt;=VLOOKUP($C58,$C$3:$D$15,2,FALSE)*FM$20),IF(FM59-FL60&lt;0,0,FM59-FL60),
IF(AND(FL60&lt;VLOOKUP($C58,$C$3:$D$15,2,FALSE)*FM$20,FM59&gt;VLOOKUP($C58,$C$3:$D$15,2,FALSE)*FM$20),VLOOKUP($C58,$C$3:$D$15,2,FALSE)*FM$20-FL60)))</f>
        <v>0</v>
      </c>
      <c r="FN58" s="762">
        <f t="shared" ref="FN58" si="2398" xml:space="preserve">
IF(FM60&gt;=VLOOKUP($C58,$C$3:$D$15,2,FALSE)*FN$20,0,
IF(AND(FM60&lt;VLOOKUP($C58,$C$3:$D$15,2,FALSE)*FN$20,FN59&lt;=VLOOKUP($C58,$C$3:$D$15,2,FALSE)*FN$20),IF(FN59-FM60&lt;0,0,FN59-FM60),
IF(AND(FM60&lt;VLOOKUP($C58,$C$3:$D$15,2,FALSE)*FN$20,FN59&gt;VLOOKUP($C58,$C$3:$D$15,2,FALSE)*FN$20),VLOOKUP($C58,$C$3:$D$15,2,FALSE)*FN$20-FM60)))</f>
        <v>0</v>
      </c>
      <c r="FO58" s="762">
        <f t="shared" ref="FO58" si="2399" xml:space="preserve">
IF(FN60&gt;=VLOOKUP($C58,$C$3:$D$15,2,FALSE)*FO$20,0,
IF(AND(FN60&lt;VLOOKUP($C58,$C$3:$D$15,2,FALSE)*FO$20,FO59&lt;=VLOOKUP($C58,$C$3:$D$15,2,FALSE)*FO$20),IF(FO59-FN60&lt;0,0,FO59-FN60),
IF(AND(FN60&lt;VLOOKUP($C58,$C$3:$D$15,2,FALSE)*FO$20,FO59&gt;VLOOKUP($C58,$C$3:$D$15,2,FALSE)*FO$20),VLOOKUP($C58,$C$3:$D$15,2,FALSE)*FO$20-FN60)))</f>
        <v>0</v>
      </c>
      <c r="FP58" s="762">
        <f t="shared" ref="FP58" si="2400" xml:space="preserve">
IF(FO60&gt;=VLOOKUP($C58,$C$3:$D$15,2,FALSE)*FP$20,0,
IF(AND(FO60&lt;VLOOKUP($C58,$C$3:$D$15,2,FALSE)*FP$20,FP59&lt;=VLOOKUP($C58,$C$3:$D$15,2,FALSE)*FP$20),IF(FP59-FO60&lt;0,0,FP59-FO60),
IF(AND(FO60&lt;VLOOKUP($C58,$C$3:$D$15,2,FALSE)*FP$20,FP59&gt;VLOOKUP($C58,$C$3:$D$15,2,FALSE)*FP$20),VLOOKUP($C58,$C$3:$D$15,2,FALSE)*FP$20-FO60)))</f>
        <v>0</v>
      </c>
      <c r="FQ58" s="762">
        <f t="shared" ref="FQ58" si="2401" xml:space="preserve">
IF(FP60&gt;=VLOOKUP($C58,$C$3:$D$15,2,FALSE)*FQ$20,0,
IF(AND(FP60&lt;VLOOKUP($C58,$C$3:$D$15,2,FALSE)*FQ$20,FQ59&lt;=VLOOKUP($C58,$C$3:$D$15,2,FALSE)*FQ$20),IF(FQ59-FP60&lt;0,0,FQ59-FP60),
IF(AND(FP60&lt;VLOOKUP($C58,$C$3:$D$15,2,FALSE)*FQ$20,FQ59&gt;VLOOKUP($C58,$C$3:$D$15,2,FALSE)*FQ$20),VLOOKUP($C58,$C$3:$D$15,2,FALSE)*FQ$20-FP60)))</f>
        <v>0</v>
      </c>
      <c r="FR58" s="762">
        <f t="shared" ref="FR58" si="2402" xml:space="preserve">
IF(FQ60&gt;=VLOOKUP($C58,$C$3:$D$15,2,FALSE)*FR$20,0,
IF(AND(FQ60&lt;VLOOKUP($C58,$C$3:$D$15,2,FALSE)*FR$20,FR59&lt;=VLOOKUP($C58,$C$3:$D$15,2,FALSE)*FR$20),IF(FR59-FQ60&lt;0,0,FR59-FQ60),
IF(AND(FQ60&lt;VLOOKUP($C58,$C$3:$D$15,2,FALSE)*FR$20,FR59&gt;VLOOKUP($C58,$C$3:$D$15,2,FALSE)*FR$20),VLOOKUP($C58,$C$3:$D$15,2,FALSE)*FR$20-FQ60)))</f>
        <v>0</v>
      </c>
      <c r="FS58" s="762">
        <f t="shared" ref="FS58" si="2403" xml:space="preserve">
IF(FR60&gt;=VLOOKUP($C58,$C$3:$D$15,2,FALSE)*FS$20,0,
IF(AND(FR60&lt;VLOOKUP($C58,$C$3:$D$15,2,FALSE)*FS$20,FS59&lt;=VLOOKUP($C58,$C$3:$D$15,2,FALSE)*FS$20),IF(FS59-FR60&lt;0,0,FS59-FR60),
IF(AND(FR60&lt;VLOOKUP($C58,$C$3:$D$15,2,FALSE)*FS$20,FS59&gt;VLOOKUP($C58,$C$3:$D$15,2,FALSE)*FS$20),VLOOKUP($C58,$C$3:$D$15,2,FALSE)*FS$20-FR60)))</f>
        <v>0</v>
      </c>
      <c r="FT58" s="762">
        <f t="shared" ref="FT58" si="2404" xml:space="preserve">
IF(FS60&gt;=VLOOKUP($C58,$C$3:$D$15,2,FALSE)*FT$20,0,
IF(AND(FS60&lt;VLOOKUP($C58,$C$3:$D$15,2,FALSE)*FT$20,FT59&lt;=VLOOKUP($C58,$C$3:$D$15,2,FALSE)*FT$20),IF(FT59-FS60&lt;0,0,FT59-FS60),
IF(AND(FS60&lt;VLOOKUP($C58,$C$3:$D$15,2,FALSE)*FT$20,FT59&gt;VLOOKUP($C58,$C$3:$D$15,2,FALSE)*FT$20),VLOOKUP($C58,$C$3:$D$15,2,FALSE)*FT$20-FS60)))</f>
        <v>0</v>
      </c>
      <c r="FU58" s="762">
        <f t="shared" ref="FU58" si="2405" xml:space="preserve">
IF(FT60&gt;=VLOOKUP($C58,$C$3:$D$15,2,FALSE)*FU$20,0,
IF(AND(FT60&lt;VLOOKUP($C58,$C$3:$D$15,2,FALSE)*FU$20,FU59&lt;=VLOOKUP($C58,$C$3:$D$15,2,FALSE)*FU$20),IF(FU59-FT60&lt;0,0,FU59-FT60),
IF(AND(FT60&lt;VLOOKUP($C58,$C$3:$D$15,2,FALSE)*FU$20,FU59&gt;VLOOKUP($C58,$C$3:$D$15,2,FALSE)*FU$20),VLOOKUP($C58,$C$3:$D$15,2,FALSE)*FU$20-FT60)))</f>
        <v>0</v>
      </c>
      <c r="FV58" s="762">
        <f t="shared" ref="FV58" si="2406" xml:space="preserve">
IF(FU60&gt;=VLOOKUP($C58,$C$3:$D$15,2,FALSE)*FV$20,0,
IF(AND(FU60&lt;VLOOKUP($C58,$C$3:$D$15,2,FALSE)*FV$20,FV59&lt;=VLOOKUP($C58,$C$3:$D$15,2,FALSE)*FV$20),IF(FV59-FU60&lt;0,0,FV59-FU60),
IF(AND(FU60&lt;VLOOKUP($C58,$C$3:$D$15,2,FALSE)*FV$20,FV59&gt;VLOOKUP($C58,$C$3:$D$15,2,FALSE)*FV$20),VLOOKUP($C58,$C$3:$D$15,2,FALSE)*FV$20-FU60)))</f>
        <v>0</v>
      </c>
      <c r="FW58" s="762">
        <f t="shared" ref="FW58" si="2407" xml:space="preserve">
IF(FV60&gt;=VLOOKUP($C58,$C$3:$D$15,2,FALSE)*FW$20,0,
IF(AND(FV60&lt;VLOOKUP($C58,$C$3:$D$15,2,FALSE)*FW$20,FW59&lt;=VLOOKUP($C58,$C$3:$D$15,2,FALSE)*FW$20),IF(FW59-FV60&lt;0,0,FW59-FV60),
IF(AND(FV60&lt;VLOOKUP($C58,$C$3:$D$15,2,FALSE)*FW$20,FW59&gt;VLOOKUP($C58,$C$3:$D$15,2,FALSE)*FW$20),VLOOKUP($C58,$C$3:$D$15,2,FALSE)*FW$20-FV60)))</f>
        <v>0</v>
      </c>
      <c r="FX58" s="762">
        <f t="shared" ref="FX58" si="2408" xml:space="preserve">
IF(FW60&gt;=VLOOKUP($C58,$C$3:$D$15,2,FALSE)*FX$20,0,
IF(AND(FW60&lt;VLOOKUP($C58,$C$3:$D$15,2,FALSE)*FX$20,FX59&lt;=VLOOKUP($C58,$C$3:$D$15,2,FALSE)*FX$20),IF(FX59-FW60&lt;0,0,FX59-FW60),
IF(AND(FW60&lt;VLOOKUP($C58,$C$3:$D$15,2,FALSE)*FX$20,FX59&gt;VLOOKUP($C58,$C$3:$D$15,2,FALSE)*FX$20),VLOOKUP($C58,$C$3:$D$15,2,FALSE)*FX$20-FW60)))</f>
        <v>0</v>
      </c>
      <c r="FY58" s="762">
        <f t="shared" ref="FY58" si="2409" xml:space="preserve">
IF(FX60&gt;=VLOOKUP($C58,$C$3:$D$15,2,FALSE)*FY$20,0,
IF(AND(FX60&lt;VLOOKUP($C58,$C$3:$D$15,2,FALSE)*FY$20,FY59&lt;=VLOOKUP($C58,$C$3:$D$15,2,FALSE)*FY$20),IF(FY59-FX60&lt;0,0,FY59-FX60),
IF(AND(FX60&lt;VLOOKUP($C58,$C$3:$D$15,2,FALSE)*FY$20,FY59&gt;VLOOKUP($C58,$C$3:$D$15,2,FALSE)*FY$20),VLOOKUP($C58,$C$3:$D$15,2,FALSE)*FY$20-FX60)))</f>
        <v>0</v>
      </c>
      <c r="FZ58" s="762">
        <f t="shared" ref="FZ58" si="2410" xml:space="preserve">
IF(FY60&gt;=VLOOKUP($C58,$C$3:$D$15,2,FALSE)*FZ$20,0,
IF(AND(FY60&lt;VLOOKUP($C58,$C$3:$D$15,2,FALSE)*FZ$20,FZ59&lt;=VLOOKUP($C58,$C$3:$D$15,2,FALSE)*FZ$20),IF(FZ59-FY60&lt;0,0,FZ59-FY60),
IF(AND(FY60&lt;VLOOKUP($C58,$C$3:$D$15,2,FALSE)*FZ$20,FZ59&gt;VLOOKUP($C58,$C$3:$D$15,2,FALSE)*FZ$20),VLOOKUP($C58,$C$3:$D$15,2,FALSE)*FZ$20-FY60)))</f>
        <v>0</v>
      </c>
      <c r="GA58" s="762">
        <f t="shared" ref="GA58" si="2411" xml:space="preserve">
IF(FZ60&gt;=VLOOKUP($C58,$C$3:$D$15,2,FALSE)*GA$20,0,
IF(AND(FZ60&lt;VLOOKUP($C58,$C$3:$D$15,2,FALSE)*GA$20,GA59&lt;=VLOOKUP($C58,$C$3:$D$15,2,FALSE)*GA$20),IF(GA59-FZ60&lt;0,0,GA59-FZ60),
IF(AND(FZ60&lt;VLOOKUP($C58,$C$3:$D$15,2,FALSE)*GA$20,GA59&gt;VLOOKUP($C58,$C$3:$D$15,2,FALSE)*GA$20),VLOOKUP($C58,$C$3:$D$15,2,FALSE)*GA$20-FZ60)))</f>
        <v>0</v>
      </c>
      <c r="GB58" s="762">
        <f t="shared" ref="GB58" si="2412" xml:space="preserve">
IF(GA60&gt;=VLOOKUP($C58,$C$3:$D$15,2,FALSE)*GB$20,0,
IF(AND(GA60&lt;VLOOKUP($C58,$C$3:$D$15,2,FALSE)*GB$20,GB59&lt;=VLOOKUP($C58,$C$3:$D$15,2,FALSE)*GB$20),IF(GB59-GA60&lt;0,0,GB59-GA60),
IF(AND(GA60&lt;VLOOKUP($C58,$C$3:$D$15,2,FALSE)*GB$20,GB59&gt;VLOOKUP($C58,$C$3:$D$15,2,FALSE)*GB$20),VLOOKUP($C58,$C$3:$D$15,2,FALSE)*GB$20-GA60)))</f>
        <v>0</v>
      </c>
      <c r="GC58" s="762">
        <f t="shared" ref="GC58" si="2413" xml:space="preserve">
IF(GB60&gt;=VLOOKUP($C58,$C$3:$D$15,2,FALSE)*GC$20,0,
IF(AND(GB60&lt;VLOOKUP($C58,$C$3:$D$15,2,FALSE)*GC$20,GC59&lt;=VLOOKUP($C58,$C$3:$D$15,2,FALSE)*GC$20),IF(GC59-GB60&lt;0,0,GC59-GB60),
IF(AND(GB60&lt;VLOOKUP($C58,$C$3:$D$15,2,FALSE)*GC$20,GC59&gt;VLOOKUP($C58,$C$3:$D$15,2,FALSE)*GC$20),VLOOKUP($C58,$C$3:$D$15,2,FALSE)*GC$20-GB60)))</f>
        <v>0</v>
      </c>
      <c r="GD58" s="762">
        <f t="shared" ref="GD58" si="2414" xml:space="preserve">
IF(GC60&gt;=VLOOKUP($C58,$C$3:$D$15,2,FALSE)*GD$20,0,
IF(AND(GC60&lt;VLOOKUP($C58,$C$3:$D$15,2,FALSE)*GD$20,GD59&lt;=VLOOKUP($C58,$C$3:$D$15,2,FALSE)*GD$20),IF(GD59-GC60&lt;0,0,GD59-GC60),
IF(AND(GC60&lt;VLOOKUP($C58,$C$3:$D$15,2,FALSE)*GD$20,GD59&gt;VLOOKUP($C58,$C$3:$D$15,2,FALSE)*GD$20),VLOOKUP($C58,$C$3:$D$15,2,FALSE)*GD$20-GC60)))</f>
        <v>0</v>
      </c>
      <c r="GE58" s="762">
        <f t="shared" ref="GE58" si="2415" xml:space="preserve">
IF(GD60&gt;=VLOOKUP($C58,$C$3:$D$15,2,FALSE)*GE$20,0,
IF(AND(GD60&lt;VLOOKUP($C58,$C$3:$D$15,2,FALSE)*GE$20,GE59&lt;=VLOOKUP($C58,$C$3:$D$15,2,FALSE)*GE$20),IF(GE59-GD60&lt;0,0,GE59-GD60),
IF(AND(GD60&lt;VLOOKUP($C58,$C$3:$D$15,2,FALSE)*GE$20,GE59&gt;VLOOKUP($C58,$C$3:$D$15,2,FALSE)*GE$20),VLOOKUP($C58,$C$3:$D$15,2,FALSE)*GE$20-GD60)))</f>
        <v>0</v>
      </c>
      <c r="GF58" s="762">
        <f t="shared" ref="GF58" si="2416" xml:space="preserve">
IF(GE60&gt;=VLOOKUP($C58,$C$3:$D$15,2,FALSE)*GF$20,0,
IF(AND(GE60&lt;VLOOKUP($C58,$C$3:$D$15,2,FALSE)*GF$20,GF59&lt;=VLOOKUP($C58,$C$3:$D$15,2,FALSE)*GF$20),IF(GF59-GE60&lt;0,0,GF59-GE60),
IF(AND(GE60&lt;VLOOKUP($C58,$C$3:$D$15,2,FALSE)*GF$20,GF59&gt;VLOOKUP($C58,$C$3:$D$15,2,FALSE)*GF$20),VLOOKUP($C58,$C$3:$D$15,2,FALSE)*GF$20-GE60)))</f>
        <v>0</v>
      </c>
      <c r="GG58" s="762">
        <f t="shared" ref="GG58" si="2417" xml:space="preserve">
IF(GF60&gt;=VLOOKUP($C58,$C$3:$D$15,2,FALSE)*GG$20,0,
IF(AND(GF60&lt;VLOOKUP($C58,$C$3:$D$15,2,FALSE)*GG$20,GG59&lt;=VLOOKUP($C58,$C$3:$D$15,2,FALSE)*GG$20),IF(GG59-GF60&lt;0,0,GG59-GF60),
IF(AND(GF60&lt;VLOOKUP($C58,$C$3:$D$15,2,FALSE)*GG$20,GG59&gt;VLOOKUP($C58,$C$3:$D$15,2,FALSE)*GG$20),VLOOKUP($C58,$C$3:$D$15,2,FALSE)*GG$20-GF60)))</f>
        <v>0</v>
      </c>
      <c r="GH58" s="762">
        <f t="shared" ref="GH58" si="2418" xml:space="preserve">
IF(GG60&gt;=VLOOKUP($C58,$C$3:$D$15,2,FALSE)*GH$20,0,
IF(AND(GG60&lt;VLOOKUP($C58,$C$3:$D$15,2,FALSE)*GH$20,GH59&lt;=VLOOKUP($C58,$C$3:$D$15,2,FALSE)*GH$20),IF(GH59-GG60&lt;0,0,GH59-GG60),
IF(AND(GG60&lt;VLOOKUP($C58,$C$3:$D$15,2,FALSE)*GH$20,GH59&gt;VLOOKUP($C58,$C$3:$D$15,2,FALSE)*GH$20),VLOOKUP($C58,$C$3:$D$15,2,FALSE)*GH$20-GG60)))</f>
        <v>0</v>
      </c>
      <c r="GI58" s="762">
        <f t="shared" ref="GI58" si="2419" xml:space="preserve">
IF(GH60&gt;=VLOOKUP($C58,$C$3:$D$15,2,FALSE)*GI$20,0,
IF(AND(GH60&lt;VLOOKUP($C58,$C$3:$D$15,2,FALSE)*GI$20,GI59&lt;=VLOOKUP($C58,$C$3:$D$15,2,FALSE)*GI$20),IF(GI59-GH60&lt;0,0,GI59-GH60),
IF(AND(GH60&lt;VLOOKUP($C58,$C$3:$D$15,2,FALSE)*GI$20,GI59&gt;VLOOKUP($C58,$C$3:$D$15,2,FALSE)*GI$20),VLOOKUP($C58,$C$3:$D$15,2,FALSE)*GI$20-GH60)))</f>
        <v>0</v>
      </c>
      <c r="GJ58" s="762">
        <f t="shared" ref="GJ58" si="2420" xml:space="preserve">
IF(GI60&gt;=VLOOKUP($C58,$C$3:$D$15,2,FALSE)*GJ$20,0,
IF(AND(GI60&lt;VLOOKUP($C58,$C$3:$D$15,2,FALSE)*GJ$20,GJ59&lt;=VLOOKUP($C58,$C$3:$D$15,2,FALSE)*GJ$20),IF(GJ59-GI60&lt;0,0,GJ59-GI60),
IF(AND(GI60&lt;VLOOKUP($C58,$C$3:$D$15,2,FALSE)*GJ$20,GJ59&gt;VLOOKUP($C58,$C$3:$D$15,2,FALSE)*GJ$20),VLOOKUP($C58,$C$3:$D$15,2,FALSE)*GJ$20-GI60)))</f>
        <v>0</v>
      </c>
    </row>
    <row r="59" spans="2:192" s="632" customFormat="1">
      <c r="B59" s="633"/>
      <c r="C59" s="625"/>
      <c r="D59" s="701" t="s">
        <v>1424</v>
      </c>
      <c r="E59" s="706"/>
      <c r="F59" s="653"/>
      <c r="G59" s="762">
        <f>SUMIF(防護具!$Y$30:$Y$212,G$17&amp;$C58,防護具!$Q$30:$Q$212)</f>
        <v>0</v>
      </c>
      <c r="H59" s="762">
        <f>IFERROR(
SUM(G59,SUMIF(防護具!$Y$30:$Y$212,H$17&amp;$C58,防護具!$Q$30:$Q$212))-G58,0)</f>
        <v>0</v>
      </c>
      <c r="I59" s="762">
        <f>IFERROR(
SUM(H59,SUMIF(防護具!$Y$30:$Y$212,I$17&amp;$C58,防護具!$Q$30:$Q$212))-H58,0)</f>
        <v>0</v>
      </c>
      <c r="J59" s="762">
        <f>IFERROR(
SUM(I59,SUMIF(防護具!$Y$30:$Y$212,J$17&amp;$C58,防護具!$Q$30:$Q$212))-I58,0)</f>
        <v>0</v>
      </c>
      <c r="K59" s="762">
        <f>IFERROR(
SUM(J59,SUMIF(防護具!$Y$30:$Y$212,K$17&amp;$C58,防護具!$Q$30:$Q$212))-J58,0)</f>
        <v>0</v>
      </c>
      <c r="L59" s="762">
        <f>IFERROR(
SUM(K59,SUMIF(防護具!$Y$30:$Y$212,L$17&amp;$C58,防護具!$Q$30:$Q$212))-K58,0)</f>
        <v>0</v>
      </c>
      <c r="M59" s="762">
        <f>IFERROR(
SUM(L59,SUMIF(防護具!$Y$30:$Y$212,M$17&amp;$C58,防護具!$Q$30:$Q$212))-L58,0)</f>
        <v>0</v>
      </c>
      <c r="N59" s="762">
        <f>IFERROR(
SUM(M59,SUMIF(防護具!$Y$30:$Y$212,N$17&amp;$C58,防護具!$Q$30:$Q$212))-M58,0)</f>
        <v>0</v>
      </c>
      <c r="O59" s="762">
        <f>IFERROR(
SUM(N59,SUMIF(防護具!$Y$30:$Y$212,O$17&amp;$C58,防護具!$Q$30:$Q$212))-N58,0)</f>
        <v>0</v>
      </c>
      <c r="P59" s="762">
        <f>IFERROR(
SUM(O59,SUMIF(防護具!$Y$30:$Y$212,P$17&amp;$C58,防護具!$Q$30:$Q$212))-O58,0)</f>
        <v>0</v>
      </c>
      <c r="Q59" s="762">
        <f>IFERROR(
SUM(P59,SUMIF(防護具!$Y$30:$Y$212,Q$17&amp;$C58,防護具!$Q$30:$Q$212))-P58,0)</f>
        <v>0</v>
      </c>
      <c r="R59" s="762">
        <f>IFERROR(
SUM(Q59,SUMIF(防護具!$Y$30:$Y$212,R$17&amp;$C58,防護具!$Q$30:$Q$212))-Q58,0)</f>
        <v>0</v>
      </c>
      <c r="S59" s="762">
        <f>IFERROR(
SUM(R59,SUMIF(防護具!$Y$30:$Y$212,S$17&amp;$C58,防護具!$Q$30:$Q$212))-R58,0)</f>
        <v>0</v>
      </c>
      <c r="T59" s="762">
        <f>IFERROR(
SUM(S59,SUMIF(防護具!$Y$30:$Y$212,T$17&amp;$C58,防護具!$Q$30:$Q$212))-S58,0)</f>
        <v>0</v>
      </c>
      <c r="U59" s="762">
        <f>IFERROR(
SUM(T59,SUMIF(防護具!$Y$30:$Y$212,U$17&amp;$C58,防護具!$Q$30:$Q$212))-T58,0)</f>
        <v>0</v>
      </c>
      <c r="V59" s="762">
        <f>IFERROR(
SUM(U59,SUMIF(防護具!$Y$30:$Y$212,V$17&amp;$C58,防護具!$Q$30:$Q$212))-U58,0)</f>
        <v>0</v>
      </c>
      <c r="W59" s="762">
        <f>IFERROR(
SUM(V59,SUMIF(防護具!$Y$30:$Y$212,W$17&amp;$C58,防護具!$Q$30:$Q$212))-V58,0)</f>
        <v>0</v>
      </c>
      <c r="X59" s="762">
        <f>IFERROR(
SUM(W59,SUMIF(防護具!$Y$30:$Y$212,X$17&amp;$C58,防護具!$Q$30:$Q$212))-W58,0)</f>
        <v>0</v>
      </c>
      <c r="Y59" s="762">
        <f>IFERROR(
SUM(X59,SUMIF(防護具!$Y$30:$Y$212,Y$17&amp;$C58,防護具!$Q$30:$Q$212))-X58,0)</f>
        <v>0</v>
      </c>
      <c r="Z59" s="762">
        <f>IFERROR(
SUM(Y59,SUMIF(防護具!$Y$30:$Y$212,Z$17&amp;$C58,防護具!$Q$30:$Q$212))-Y58,0)</f>
        <v>0</v>
      </c>
      <c r="AA59" s="762">
        <f>IFERROR(
SUM(Z59,SUMIF(防護具!$Y$30:$Y$212,AA$17&amp;$C58,防護具!$Q$30:$Q$212))-Z58,0)</f>
        <v>0</v>
      </c>
      <c r="AB59" s="762">
        <f>IFERROR(
SUM(AA59,SUMIF(防護具!$Y$30:$Y$212,AB$17&amp;$C58,防護具!$Q$30:$Q$212))-AA58,0)</f>
        <v>0</v>
      </c>
      <c r="AC59" s="762">
        <f>IFERROR(
SUM(AB59,SUMIF(防護具!$Y$30:$Y$212,AC$17&amp;$C58,防護具!$Q$30:$Q$212))-AB58,0)</f>
        <v>0</v>
      </c>
      <c r="AD59" s="762">
        <f>IFERROR(
SUM(AC59,SUMIF(防護具!$Y$30:$Y$212,AD$17&amp;$C58,防護具!$Q$30:$Q$212))-AC58,0)</f>
        <v>0</v>
      </c>
      <c r="AE59" s="762">
        <f>IFERROR(
SUM(AD59,SUMIF(防護具!$Y$30:$Y$212,AE$17&amp;$C58,防護具!$Q$30:$Q$212))-AD58,0)</f>
        <v>0</v>
      </c>
      <c r="AF59" s="762">
        <f>IFERROR(
SUM(AE59,SUMIF(防護具!$Y$30:$Y$212,AF$17&amp;$C58,防護具!$Q$30:$Q$212))-AE58,0)</f>
        <v>0</v>
      </c>
      <c r="AG59" s="762">
        <f>IFERROR(
SUM(AF59,SUMIF(防護具!$Y$30:$Y$212,AG$17&amp;$C58,防護具!$Q$30:$Q$212))-AF58,0)</f>
        <v>0</v>
      </c>
      <c r="AH59" s="762">
        <f>IFERROR(
SUM(AG59,SUMIF(防護具!$Y$30:$Y$212,AH$17&amp;$C58,防護具!$Q$30:$Q$212))-AG58,0)</f>
        <v>0</v>
      </c>
      <c r="AI59" s="762">
        <f>IFERROR(
SUM(AH59,SUMIF(防護具!$Y$30:$Y$212,AI$17&amp;$C58,防護具!$Q$30:$Q$212))-AH58,0)</f>
        <v>0</v>
      </c>
      <c r="AJ59" s="762">
        <f>IFERROR(
SUM(AI59,SUMIF(防護具!$Y$30:$Y$212,AJ$17&amp;$C58,防護具!$Q$30:$Q$212))-AI58,0)</f>
        <v>0</v>
      </c>
      <c r="AK59" s="762">
        <f>IFERROR(
SUM(AJ59,SUMIF(防護具!$Y$30:$Y$212,AK$17&amp;$C58,防護具!$Q$30:$Q$212))-AJ58,0)</f>
        <v>0</v>
      </c>
      <c r="AL59" s="762">
        <f>IFERROR(
SUM(AK59,SUMIF(防護具!$Y$30:$Y$212,AL$17&amp;$C58,防護具!$Q$30:$Q$212))-AK58,0)</f>
        <v>0</v>
      </c>
      <c r="AM59" s="762">
        <f>IFERROR(
SUM(AL59,SUMIF(防護具!$Y$30:$Y$212,AM$17&amp;$C58,防護具!$Q$30:$Q$212))-AL58,0)</f>
        <v>0</v>
      </c>
      <c r="AN59" s="762">
        <f>IFERROR(
SUM(AM59,SUMIF(防護具!$Y$30:$Y$212,AN$17&amp;$C58,防護具!$Q$30:$Q$212))-AM58,0)</f>
        <v>0</v>
      </c>
      <c r="AO59" s="762">
        <f>IFERROR(
SUM(AN59,SUMIF(防護具!$Y$30:$Y$212,AO$17&amp;$C58,防護具!$Q$30:$Q$212))-AN58,0)</f>
        <v>0</v>
      </c>
      <c r="AP59" s="762">
        <f>IFERROR(
SUM(AO59,SUMIF(防護具!$Y$30:$Y$212,AP$17&amp;$C58,防護具!$Q$30:$Q$212))-AO58,0)</f>
        <v>0</v>
      </c>
      <c r="AQ59" s="762">
        <f>IFERROR(
SUM(AP59,SUMIF(防護具!$Y$30:$Y$212,AQ$17&amp;$C58,防護具!$Q$30:$Q$212))-AP58,0)</f>
        <v>0</v>
      </c>
      <c r="AR59" s="762">
        <f>IFERROR(
SUM(AQ59,SUMIF(防護具!$Y$30:$Y$212,AR$17&amp;$C58,防護具!$Q$30:$Q$212))-AQ58,0)</f>
        <v>0</v>
      </c>
      <c r="AS59" s="762">
        <f>IFERROR(
SUM(AR59,SUMIF(防護具!$Y$30:$Y$212,AS$17&amp;$C58,防護具!$Q$30:$Q$212))-AR58,0)</f>
        <v>0</v>
      </c>
      <c r="AT59" s="762">
        <f>IFERROR(
SUM(AS59,SUMIF(防護具!$Y$30:$Y$212,AT$17&amp;$C58,防護具!$Q$30:$Q$212))-AS58,0)</f>
        <v>0</v>
      </c>
      <c r="AU59" s="762">
        <f>IFERROR(
SUM(AT59,SUMIF(防護具!$Y$30:$Y$212,AU$17&amp;$C58,防護具!$Q$30:$Q$212))-AT58,0)</f>
        <v>0</v>
      </c>
      <c r="AV59" s="762">
        <f>IFERROR(
SUM(AU59,SUMIF(防護具!$Y$30:$Y$212,AV$17&amp;$C58,防護具!$Q$30:$Q$212))-AU58,0)</f>
        <v>0</v>
      </c>
      <c r="AW59" s="762">
        <f>IFERROR(
SUM(AV59,SUMIF(防護具!$Y$30:$Y$212,AW$17&amp;$C58,防護具!$Q$30:$Q$212))-AV58,0)</f>
        <v>0</v>
      </c>
      <c r="AX59" s="762">
        <f>IFERROR(
SUM(AW59,SUMIF(防護具!$Y$30:$Y$212,AX$17&amp;$C58,防護具!$Q$30:$Q$212))-AW58,0)</f>
        <v>0</v>
      </c>
      <c r="AY59" s="762">
        <f>IFERROR(
SUM(AX59,SUMIF(防護具!$Y$30:$Y$212,AY$17&amp;$C58,防護具!$Q$30:$Q$212))-AX58,0)</f>
        <v>0</v>
      </c>
      <c r="AZ59" s="762">
        <f>IFERROR(
SUM(AY59,SUMIF(防護具!$Y$30:$Y$212,AZ$17&amp;$C58,防護具!$Q$30:$Q$212))-AY58,0)</f>
        <v>0</v>
      </c>
      <c r="BA59" s="762">
        <f>IFERROR(
SUM(AZ59,SUMIF(防護具!$Y$30:$Y$212,BA$17&amp;$C58,防護具!$Q$30:$Q$212))-AZ58,0)</f>
        <v>0</v>
      </c>
      <c r="BB59" s="762">
        <f>IFERROR(
SUM(BA59,SUMIF(防護具!$Y$30:$Y$212,BB$17&amp;$C58,防護具!$Q$30:$Q$212))-BA58,0)</f>
        <v>0</v>
      </c>
      <c r="BC59" s="762">
        <f>IFERROR(
SUM(BB59,SUMIF(防護具!$Y$30:$Y$212,BC$17&amp;$C58,防護具!$Q$30:$Q$212))-BB58,0)</f>
        <v>0</v>
      </c>
      <c r="BD59" s="762">
        <f>IFERROR(
SUM(BC59,SUMIF(防護具!$Y$30:$Y$212,BD$17&amp;$C58,防護具!$Q$30:$Q$212))-BC58,0)</f>
        <v>0</v>
      </c>
      <c r="BE59" s="762">
        <f>IFERROR(
SUM(BD59,SUMIF(防護具!$Y$30:$Y$212,BE$17&amp;$C58,防護具!$Q$30:$Q$212))-BD58,0)</f>
        <v>0</v>
      </c>
      <c r="BF59" s="762">
        <f>IFERROR(
SUM(BE59,SUMIF(防護具!$Y$30:$Y$212,BF$17&amp;$C58,防護具!$Q$30:$Q$212))-BE58,0)</f>
        <v>0</v>
      </c>
      <c r="BG59" s="762">
        <f>IFERROR(
SUM(BF59,SUMIF(防護具!$Y$30:$Y$212,BG$17&amp;$C58,防護具!$Q$30:$Q$212))-BF58,0)</f>
        <v>0</v>
      </c>
      <c r="BH59" s="762">
        <f>IFERROR(
SUM(BG59,SUMIF(防護具!$Y$30:$Y$212,BH$17&amp;$C58,防護具!$Q$30:$Q$212))-BG58,0)</f>
        <v>0</v>
      </c>
      <c r="BI59" s="762">
        <f>IFERROR(
SUM(BH59,SUMIF(防護具!$Y$30:$Y$212,BI$17&amp;$C58,防護具!$Q$30:$Q$212))-BH58,0)</f>
        <v>0</v>
      </c>
      <c r="BJ59" s="762">
        <f>IFERROR(
SUM(BI59,SUMIF(防護具!$Y$30:$Y$212,BJ$17&amp;$C58,防護具!$Q$30:$Q$212))-BI58,0)</f>
        <v>0</v>
      </c>
      <c r="BK59" s="762">
        <f>IFERROR(
SUM(BJ59,SUMIF(防護具!$Y$30:$Y$212,BK$17&amp;$C58,防護具!$Q$30:$Q$212))-BJ58,0)</f>
        <v>0</v>
      </c>
      <c r="BL59" s="762">
        <f>IFERROR(
SUM(BK59,SUMIF(防護具!$Y$30:$Y$212,BL$17&amp;$C58,防護具!$Q$30:$Q$212))-BK58,0)</f>
        <v>0</v>
      </c>
      <c r="BM59" s="762">
        <f>IFERROR(
SUM(BL59,SUMIF(防護具!$Y$30:$Y$212,BM$17&amp;$C58,防護具!$Q$30:$Q$212))-BL58,0)</f>
        <v>0</v>
      </c>
      <c r="BN59" s="762">
        <f>IFERROR(
SUM(BM59,SUMIF(防護具!$Y$30:$Y$212,BN$17&amp;$C58,防護具!$Q$30:$Q$212))-BM58,0)</f>
        <v>0</v>
      </c>
      <c r="BO59" s="762">
        <f>IFERROR(
SUM(BN59,SUMIF(防護具!$Y$30:$Y$212,BO$17&amp;$C58,防護具!$Q$30:$Q$212))-BN58,0)</f>
        <v>0</v>
      </c>
      <c r="BP59" s="762">
        <f>IFERROR(
SUM(BO59,SUMIF(防護具!$Y$30:$Y$212,BP$17&amp;$C58,防護具!$Q$30:$Q$212))-BO58,0)</f>
        <v>0</v>
      </c>
      <c r="BQ59" s="762">
        <f>IFERROR(
SUM(BP59,SUMIF(防護具!$Y$30:$Y$212,BQ$17&amp;$C58,防護具!$Q$30:$Q$212))-BP58,0)</f>
        <v>0</v>
      </c>
      <c r="BR59" s="762">
        <f>IFERROR(
SUM(BQ59,SUMIF(防護具!$Y$30:$Y$212,BR$17&amp;$C58,防護具!$Q$30:$Q$212))-BQ58,0)</f>
        <v>0</v>
      </c>
      <c r="BS59" s="762">
        <f>IFERROR(
SUM(BR59,SUMIF(防護具!$Y$30:$Y$212,BS$17&amp;$C58,防護具!$Q$30:$Q$212))-BR58,0)</f>
        <v>0</v>
      </c>
      <c r="BT59" s="762">
        <f>IFERROR(
SUM(BS59,SUMIF(防護具!$Y$30:$Y$212,BT$17&amp;$C58,防護具!$Q$30:$Q$212))-BS58,0)</f>
        <v>0</v>
      </c>
      <c r="BU59" s="762">
        <f>IFERROR(
SUM(BT59,SUMIF(防護具!$Y$30:$Y$212,BU$17&amp;$C58,防護具!$Q$30:$Q$212))-BT58,0)</f>
        <v>0</v>
      </c>
      <c r="BV59" s="762">
        <f>IFERROR(
SUM(BU59,SUMIF(防護具!$Y$30:$Y$212,BV$17&amp;$C58,防護具!$Q$30:$Q$212))-BU58,0)</f>
        <v>0</v>
      </c>
      <c r="BW59" s="762">
        <f>IFERROR(
SUM(BV59,SUMIF(防護具!$Y$30:$Y$212,BW$17&amp;$C58,防護具!$Q$30:$Q$212))-BV58,0)</f>
        <v>0</v>
      </c>
      <c r="BX59" s="762">
        <f>IFERROR(
SUM(BW59,SUMIF(防護具!$Y$30:$Y$212,BX$17&amp;$C58,防護具!$Q$30:$Q$212))-BW58,0)</f>
        <v>0</v>
      </c>
      <c r="BY59" s="762">
        <f>IFERROR(
SUM(BX59,SUMIF(防護具!$Y$30:$Y$212,BY$17&amp;$C58,防護具!$Q$30:$Q$212))-BX58,0)</f>
        <v>0</v>
      </c>
      <c r="BZ59" s="762">
        <f>IFERROR(
SUM(BY59,SUMIF(防護具!$Y$30:$Y$212,BZ$17&amp;$C58,防護具!$Q$30:$Q$212))-BY58,0)</f>
        <v>0</v>
      </c>
      <c r="CA59" s="762">
        <f>IFERROR(
SUM(BZ59,SUMIF(防護具!$Y$30:$Y$212,CA$17&amp;$C58,防護具!$Q$30:$Q$212))-BZ58,0)</f>
        <v>0</v>
      </c>
      <c r="CB59" s="762">
        <f>IFERROR(
SUM(CA59,SUMIF(防護具!$Y$30:$Y$212,CB$17&amp;$C58,防護具!$Q$30:$Q$212))-CA58,0)</f>
        <v>0</v>
      </c>
      <c r="CC59" s="762">
        <f>IFERROR(
SUM(CB59,SUMIF(防護具!$Y$30:$Y$212,CC$17&amp;$C58,防護具!$Q$30:$Q$212))-CB58,0)</f>
        <v>0</v>
      </c>
      <c r="CD59" s="762">
        <f>IFERROR(
SUM(CC59,SUMIF(防護具!$Y$30:$Y$212,CD$17&amp;$C58,防護具!$Q$30:$Q$212))-CC58,0)</f>
        <v>0</v>
      </c>
      <c r="CE59" s="762">
        <f>IFERROR(
SUM(CD59,SUMIF(防護具!$Y$30:$Y$212,CE$17&amp;$C58,防護具!$Q$30:$Q$212))-CD58,0)</f>
        <v>0</v>
      </c>
      <c r="CF59" s="762">
        <f>IFERROR(
SUM(CE59,SUMIF(防護具!$Y$30:$Y$212,CF$17&amp;$C58,防護具!$Q$30:$Q$212))-CE58,0)</f>
        <v>0</v>
      </c>
      <c r="CG59" s="762">
        <f>IFERROR(
SUM(CF59,SUMIF(防護具!$Y$30:$Y$212,CG$17&amp;$C58,防護具!$Q$30:$Q$212))-CF58,0)</f>
        <v>0</v>
      </c>
      <c r="CH59" s="762">
        <f>IFERROR(
SUM(CG59,SUMIF(防護具!$Y$30:$Y$212,CH$17&amp;$C58,防護具!$Q$30:$Q$212))-CG58,0)</f>
        <v>0</v>
      </c>
      <c r="CI59" s="762">
        <f>IFERROR(
SUM(CH59,SUMIF(防護具!$Y$30:$Y$212,CI$17&amp;$C58,防護具!$Q$30:$Q$212))-CH58,0)</f>
        <v>0</v>
      </c>
      <c r="CJ59" s="762">
        <f>IFERROR(
SUM(CI59,SUMIF(防護具!$Y$30:$Y$212,CJ$17&amp;$C58,防護具!$Q$30:$Q$212))-CI58,0)</f>
        <v>0</v>
      </c>
      <c r="CK59" s="762">
        <f>IFERROR(
SUM(CJ59,SUMIF(防護具!$Y$30:$Y$212,CK$17&amp;$C58,防護具!$Q$30:$Q$212))-CJ58,0)</f>
        <v>0</v>
      </c>
      <c r="CL59" s="762">
        <f>IFERROR(
SUM(CK59,SUMIF(防護具!$Y$30:$Y$212,CL$17&amp;$C58,防護具!$Q$30:$Q$212))-CK58,0)</f>
        <v>0</v>
      </c>
      <c r="CM59" s="762">
        <f>IFERROR(
SUM(CL59,SUMIF(防護具!$Y$30:$Y$212,CM$17&amp;$C58,防護具!$Q$30:$Q$212))-CL58,0)</f>
        <v>0</v>
      </c>
      <c r="CN59" s="762">
        <f>IFERROR(
SUM(CM59,SUMIF(防護具!$Y$30:$Y$212,CN$17&amp;$C58,防護具!$Q$30:$Q$212))-CM58,0)</f>
        <v>0</v>
      </c>
      <c r="CO59" s="762">
        <f>IFERROR(
SUM(CN59,SUMIF(防護具!$Y$30:$Y$212,CO$17&amp;$C58,防護具!$Q$30:$Q$212))-CN58,0)</f>
        <v>0</v>
      </c>
      <c r="CP59" s="762">
        <f>IFERROR(
SUM(CO59,SUMIF(防護具!$Y$30:$Y$212,CP$17&amp;$C58,防護具!$Q$30:$Q$212))-CO58,0)</f>
        <v>0</v>
      </c>
      <c r="CQ59" s="762">
        <f>IFERROR(
SUM(CP59,SUMIF(防護具!$Y$30:$Y$212,CQ$17&amp;$C58,防護具!$Q$30:$Q$212))-CP58,0)</f>
        <v>0</v>
      </c>
      <c r="CR59" s="762">
        <f>IFERROR(
SUM(CQ59,SUMIF(防護具!$Y$30:$Y$212,CR$17&amp;$C58,防護具!$Q$30:$Q$212))-CQ58,0)</f>
        <v>0</v>
      </c>
      <c r="CS59" s="762">
        <f>IFERROR(
SUM(CR59,SUMIF(防護具!$Y$30:$Y$212,CS$17&amp;$C58,防護具!$Q$30:$Q$212))-CR58,0)</f>
        <v>0</v>
      </c>
      <c r="CT59" s="762">
        <f>IFERROR(
SUM(CS59,SUMIF(防護具!$Y$30:$Y$212,CT$17&amp;$C58,防護具!$Q$30:$Q$212))-CS58,0)</f>
        <v>0</v>
      </c>
      <c r="CU59" s="762">
        <f>IFERROR(
SUM(CT59,SUMIF(防護具!$Y$30:$Y$212,CU$17&amp;$C58,防護具!$Q$30:$Q$212))-CT58,0)</f>
        <v>0</v>
      </c>
      <c r="CV59" s="762">
        <f>IFERROR(
SUM(CU59,SUMIF(防護具!$Y$30:$Y$212,CV$17&amp;$C58,防護具!$Q$30:$Q$212))-CU58,0)</f>
        <v>0</v>
      </c>
      <c r="CW59" s="762">
        <f>IFERROR(
SUM(CV59,SUMIF(防護具!$Y$30:$Y$212,CW$17&amp;$C58,防護具!$Q$30:$Q$212))-CV58,0)</f>
        <v>0</v>
      </c>
      <c r="CX59" s="762">
        <f>IFERROR(
SUM(CW59,SUMIF(防護具!$Y$30:$Y$212,CX$17&amp;$C58,防護具!$Q$30:$Q$212))-CW58,0)</f>
        <v>0</v>
      </c>
      <c r="CY59" s="762">
        <f>IFERROR(
SUM(CX59,SUMIF(防護具!$Y$30:$Y$212,CY$17&amp;$C58,防護具!$Q$30:$Q$212))-CX58,0)</f>
        <v>0</v>
      </c>
      <c r="CZ59" s="762">
        <f>IFERROR(
SUM(CY59,SUMIF(防護具!$Y$30:$Y$212,CZ$17&amp;$C58,防護具!$Q$30:$Q$212))-CY58,0)</f>
        <v>0</v>
      </c>
      <c r="DA59" s="762">
        <f>IFERROR(
SUM(CZ59,SUMIF(防護具!$Y$30:$Y$212,DA$17&amp;$C58,防護具!$Q$30:$Q$212))-CZ58,0)</f>
        <v>0</v>
      </c>
      <c r="DB59" s="762">
        <f>IFERROR(
SUM(DA59,SUMIF(防護具!$Y$30:$Y$212,DB$17&amp;$C58,防護具!$Q$30:$Q$212))-DA58,0)</f>
        <v>0</v>
      </c>
      <c r="DC59" s="762">
        <f>IFERROR(
SUM(DB59,SUMIF(防護具!$Y$30:$Y$212,DC$17&amp;$C58,防護具!$Q$30:$Q$212))-DB58,0)</f>
        <v>0</v>
      </c>
      <c r="DD59" s="762">
        <f>IFERROR(
SUM(DC59,SUMIF(防護具!$Y$30:$Y$212,DD$17&amp;$C58,防護具!$Q$30:$Q$212))-DC58,0)</f>
        <v>0</v>
      </c>
      <c r="DE59" s="762">
        <f>IFERROR(
SUM(DD59,SUMIF(防護具!$Y$30:$Y$212,DE$17&amp;$C58,防護具!$Q$30:$Q$212))-DD58,0)</f>
        <v>0</v>
      </c>
      <c r="DF59" s="762">
        <f>IFERROR(
SUM(DE59,SUMIF(防護具!$Y$30:$Y$212,DF$17&amp;$C58,防護具!$Q$30:$Q$212))-DE58,0)</f>
        <v>0</v>
      </c>
      <c r="DG59" s="762">
        <f>IFERROR(
SUM(DF59,SUMIF(防護具!$Y$30:$Y$212,DG$17&amp;$C58,防護具!$Q$30:$Q$212))-DF58,0)</f>
        <v>0</v>
      </c>
      <c r="DH59" s="762">
        <f>IFERROR(
SUM(DG59,SUMIF(防護具!$Y$30:$Y$212,DH$17&amp;$C58,防護具!$Q$30:$Q$212))-DG58,0)</f>
        <v>0</v>
      </c>
      <c r="DI59" s="762">
        <f>IFERROR(
SUM(DH59,SUMIF(防護具!$Y$30:$Y$212,DI$17&amp;$C58,防護具!$Q$30:$Q$212))-DH58,0)</f>
        <v>0</v>
      </c>
      <c r="DJ59" s="762">
        <f>IFERROR(
SUM(DI59,SUMIF(防護具!$Y$30:$Y$212,DJ$17&amp;$C58,防護具!$Q$30:$Q$212))-DI58,0)</f>
        <v>0</v>
      </c>
      <c r="DK59" s="762">
        <f>IFERROR(
SUM(DJ59,SUMIF(防護具!$Y$30:$Y$212,DK$17&amp;$C58,防護具!$Q$30:$Q$212))-DJ58,0)</f>
        <v>0</v>
      </c>
      <c r="DL59" s="762">
        <f>IFERROR(
SUM(DK59,SUMIF(防護具!$Y$30:$Y$212,DL$17&amp;$C58,防護具!$Q$30:$Q$212))-DK58,0)</f>
        <v>0</v>
      </c>
      <c r="DM59" s="762">
        <f>IFERROR(
SUM(DL59,SUMIF(防護具!$Y$30:$Y$212,DM$17&amp;$C58,防護具!$Q$30:$Q$212))-DL58,0)</f>
        <v>0</v>
      </c>
      <c r="DN59" s="762">
        <f>IFERROR(
SUM(DM59,SUMIF(防護具!$Y$30:$Y$212,DN$17&amp;$C58,防護具!$Q$30:$Q$212))-DM58,0)</f>
        <v>0</v>
      </c>
      <c r="DO59" s="762">
        <f>IFERROR(
SUM(DN59,SUMIF(防護具!$Y$30:$Y$212,DO$17&amp;$C58,防護具!$Q$30:$Q$212))-DN58,0)</f>
        <v>0</v>
      </c>
      <c r="DP59" s="762">
        <f>IFERROR(
SUM(DO59,SUMIF(防護具!$Y$30:$Y$212,DP$17&amp;$C58,防護具!$Q$30:$Q$212))-DO58,0)</f>
        <v>0</v>
      </c>
      <c r="DQ59" s="762">
        <f>IFERROR(
SUM(DP59,SUMIF(防護具!$Y$30:$Y$212,DQ$17&amp;$C58,防護具!$Q$30:$Q$212))-DP58,0)</f>
        <v>0</v>
      </c>
      <c r="DR59" s="762">
        <f>IFERROR(
SUM(DQ59,SUMIF(防護具!$Y$30:$Y$212,DR$17&amp;$C58,防護具!$Q$30:$Q$212))-DQ58,0)</f>
        <v>0</v>
      </c>
      <c r="DS59" s="762">
        <f>IFERROR(
SUM(DR59,SUMIF(防護具!$Y$30:$Y$212,DS$17&amp;$C58,防護具!$Q$30:$Q$212))-DR58,0)</f>
        <v>0</v>
      </c>
      <c r="DT59" s="762">
        <f>IFERROR(
SUM(DS59,SUMIF(防護具!$Y$30:$Y$212,DT$17&amp;$C58,防護具!$Q$30:$Q$212))-DS58,0)</f>
        <v>0</v>
      </c>
      <c r="DU59" s="762">
        <f>IFERROR(
SUM(DT59,SUMIF(防護具!$Y$30:$Y$212,DU$17&amp;$C58,防護具!$Q$30:$Q$212))-DT58,0)</f>
        <v>0</v>
      </c>
      <c r="DV59" s="762">
        <f>IFERROR(
SUM(DU59,SUMIF(防護具!$Y$30:$Y$212,DV$17&amp;$C58,防護具!$Q$30:$Q$212))-DU58,0)</f>
        <v>0</v>
      </c>
      <c r="DW59" s="762">
        <f>IFERROR(
SUM(DV59,SUMIF(防護具!$Y$30:$Y$212,DW$17&amp;$C58,防護具!$Q$30:$Q$212))-DV58,0)</f>
        <v>0</v>
      </c>
      <c r="DX59" s="762">
        <f>IFERROR(
SUM(DW59,SUMIF(防護具!$Y$30:$Y$212,DX$17&amp;$C58,防護具!$Q$30:$Q$212))-DW58,0)</f>
        <v>0</v>
      </c>
      <c r="DY59" s="762">
        <f>IFERROR(
SUM(DX59,SUMIF(防護具!$Y$30:$Y$212,DY$17&amp;$C58,防護具!$Q$30:$Q$212))-DX58,0)</f>
        <v>0</v>
      </c>
      <c r="DZ59" s="762">
        <f>IFERROR(
SUM(DY59,SUMIF(防護具!$Y$30:$Y$212,DZ$17&amp;$C58,防護具!$Q$30:$Q$212))-DY58,0)</f>
        <v>0</v>
      </c>
      <c r="EA59" s="762">
        <f>IFERROR(
SUM(DZ59,SUMIF(防護具!$Y$30:$Y$212,EA$17&amp;$C58,防護具!$Q$30:$Q$212))-DZ58,0)</f>
        <v>0</v>
      </c>
      <c r="EB59" s="762">
        <f>IFERROR(
SUM(EA59,SUMIF(防護具!$Y$30:$Y$212,EB$17&amp;$C58,防護具!$Q$30:$Q$212))-EA58,0)</f>
        <v>0</v>
      </c>
      <c r="EC59" s="762">
        <f>IFERROR(
SUM(EB59,SUMIF(防護具!$Y$30:$Y$212,EC$17&amp;$C58,防護具!$Q$30:$Q$212))-EB58,0)</f>
        <v>0</v>
      </c>
      <c r="ED59" s="762">
        <f>IFERROR(
SUM(EC59,SUMIF(防護具!$Y$30:$Y$212,ED$17&amp;$C58,防護具!$Q$30:$Q$212))-EC58,0)</f>
        <v>0</v>
      </c>
      <c r="EE59" s="762">
        <f>IFERROR(
SUM(ED59,SUMIF(防護具!$Y$30:$Y$212,EE$17&amp;$C58,防護具!$Q$30:$Q$212))-ED58,0)</f>
        <v>0</v>
      </c>
      <c r="EF59" s="762">
        <f>IFERROR(
SUM(EE59,SUMIF(防護具!$Y$30:$Y$212,EF$17&amp;$C58,防護具!$Q$30:$Q$212))-EE58,0)</f>
        <v>0</v>
      </c>
      <c r="EG59" s="762">
        <f>IFERROR(
SUM(EF59,SUMIF(防護具!$Y$30:$Y$212,EG$17&amp;$C58,防護具!$Q$30:$Q$212))-EF58,0)</f>
        <v>0</v>
      </c>
      <c r="EH59" s="762">
        <f>IFERROR(
SUM(EG59,SUMIF(防護具!$Y$30:$Y$212,EH$17&amp;$C58,防護具!$Q$30:$Q$212))-EG58,0)</f>
        <v>0</v>
      </c>
      <c r="EI59" s="762">
        <f>IFERROR(
SUM(EH59,SUMIF(防護具!$Y$30:$Y$212,EI$17&amp;$C58,防護具!$Q$30:$Q$212))-EH58,0)</f>
        <v>0</v>
      </c>
      <c r="EJ59" s="762">
        <f>IFERROR(
SUM(EI59,SUMIF(防護具!$Y$30:$Y$212,EJ$17&amp;$C58,防護具!$Q$30:$Q$212))-EI58,0)</f>
        <v>0</v>
      </c>
      <c r="EK59" s="762">
        <f>IFERROR(
SUM(EJ59,SUMIF(防護具!$Y$30:$Y$212,EK$17&amp;$C58,防護具!$Q$30:$Q$212))-EJ58,0)</f>
        <v>0</v>
      </c>
      <c r="EL59" s="762">
        <f>IFERROR(
SUM(EK59,SUMIF(防護具!$Y$30:$Y$212,EL$17&amp;$C58,防護具!$Q$30:$Q$212))-EK58,0)</f>
        <v>0</v>
      </c>
      <c r="EM59" s="762">
        <f>IFERROR(
SUM(EL59,SUMIF(防護具!$Y$30:$Y$212,EM$17&amp;$C58,防護具!$Q$30:$Q$212))-EL58,0)</f>
        <v>0</v>
      </c>
      <c r="EN59" s="762">
        <f>IFERROR(
SUM(EM59,SUMIF(防護具!$Y$30:$Y$212,EN$17&amp;$C58,防護具!$Q$30:$Q$212))-EM58,0)</f>
        <v>0</v>
      </c>
      <c r="EO59" s="762">
        <f>IFERROR(
SUM(EN59,SUMIF(防護具!$Y$30:$Y$212,EO$17&amp;$C58,防護具!$Q$30:$Q$212))-EN58,0)</f>
        <v>0</v>
      </c>
      <c r="EP59" s="762">
        <f>IFERROR(
SUM(EO59,SUMIF(防護具!$Y$30:$Y$212,EP$17&amp;$C58,防護具!$Q$30:$Q$212))-EO58,0)</f>
        <v>0</v>
      </c>
      <c r="EQ59" s="762">
        <f>IFERROR(
SUM(EP59,SUMIF(防護具!$Y$30:$Y$212,EQ$17&amp;$C58,防護具!$Q$30:$Q$212))-EP58,0)</f>
        <v>0</v>
      </c>
      <c r="ER59" s="762">
        <f>IFERROR(
SUM(EQ59,SUMIF(防護具!$Y$30:$Y$212,ER$17&amp;$C58,防護具!$Q$30:$Q$212))-EQ58,0)</f>
        <v>0</v>
      </c>
      <c r="ES59" s="762">
        <f>IFERROR(
SUM(ER59,SUMIF(防護具!$Y$30:$Y$212,ES$17&amp;$C58,防護具!$Q$30:$Q$212))-ER58,0)</f>
        <v>0</v>
      </c>
      <c r="ET59" s="762">
        <f>IFERROR(
SUM(ES59,SUMIF(防護具!$Y$30:$Y$212,ET$17&amp;$C58,防護具!$Q$30:$Q$212))-ES58,0)</f>
        <v>0</v>
      </c>
      <c r="EU59" s="762">
        <f>IFERROR(
SUM(ET59,SUMIF(防護具!$Y$30:$Y$212,EU$17&amp;$C58,防護具!$Q$30:$Q$212))-ET58,0)</f>
        <v>0</v>
      </c>
      <c r="EV59" s="762">
        <f>IFERROR(
SUM(EU59,SUMIF(防護具!$Y$30:$Y$212,EV$17&amp;$C58,防護具!$Q$30:$Q$212))-EU58,0)</f>
        <v>0</v>
      </c>
      <c r="EW59" s="762">
        <f>IFERROR(
SUM(EV59,SUMIF(防護具!$Y$30:$Y$212,EW$17&amp;$C58,防護具!$Q$30:$Q$212))-EV58,0)</f>
        <v>0</v>
      </c>
      <c r="EX59" s="762">
        <f>IFERROR(
SUM(EW59,SUMIF(防護具!$Y$30:$Y$212,EX$17&amp;$C58,防護具!$Q$30:$Q$212))-EW58,0)</f>
        <v>0</v>
      </c>
      <c r="EY59" s="762">
        <f>IFERROR(
SUM(EX59,SUMIF(防護具!$Y$30:$Y$212,EY$17&amp;$C58,防護具!$Q$30:$Q$212))-EX58,0)</f>
        <v>0</v>
      </c>
      <c r="EZ59" s="762">
        <f>IFERROR(
SUM(EY59,SUMIF(防護具!$Y$30:$Y$212,EZ$17&amp;$C58,防護具!$Q$30:$Q$212))-EY58,0)</f>
        <v>0</v>
      </c>
      <c r="FA59" s="762">
        <f>IFERROR(
SUM(EZ59,SUMIF(防護具!$Y$30:$Y$212,FA$17&amp;$C58,防護具!$Q$30:$Q$212))-EZ58,0)</f>
        <v>0</v>
      </c>
      <c r="FB59" s="762">
        <f>IFERROR(
SUM(FA59,SUMIF(防護具!$Y$30:$Y$212,FB$17&amp;$C58,防護具!$Q$30:$Q$212))-FA58,0)</f>
        <v>0</v>
      </c>
      <c r="FC59" s="762">
        <f>IFERROR(
SUM(FB59,SUMIF(防護具!$Y$30:$Y$212,FC$17&amp;$C58,防護具!$Q$30:$Q$212))-FB58,0)</f>
        <v>0</v>
      </c>
      <c r="FD59" s="762">
        <f>IFERROR(
SUM(FC59,SUMIF(防護具!$Y$30:$Y$212,FD$17&amp;$C58,防護具!$Q$30:$Q$212))-FC58,0)</f>
        <v>0</v>
      </c>
      <c r="FE59" s="762">
        <f>IFERROR(
SUM(FD59,SUMIF(防護具!$Y$30:$Y$212,FE$17&amp;$C58,防護具!$Q$30:$Q$212))-FD58,0)</f>
        <v>0</v>
      </c>
      <c r="FF59" s="762">
        <f>IFERROR(
SUM(FE59,SUMIF(防護具!$Y$30:$Y$212,FF$17&amp;$C58,防護具!$Q$30:$Q$212))-FE58,0)</f>
        <v>0</v>
      </c>
      <c r="FG59" s="762">
        <f>IFERROR(
SUM(FF59,SUMIF(防護具!$Y$30:$Y$212,FG$17&amp;$C58,防護具!$Q$30:$Q$212))-FF58,0)</f>
        <v>0</v>
      </c>
      <c r="FH59" s="762">
        <f>IFERROR(
SUM(FG59,SUMIF(防護具!$Y$30:$Y$212,FH$17&amp;$C58,防護具!$Q$30:$Q$212))-FG58,0)</f>
        <v>0</v>
      </c>
      <c r="FI59" s="762">
        <f>IFERROR(
SUM(FH59,SUMIF(防護具!$Y$30:$Y$212,FI$17&amp;$C58,防護具!$Q$30:$Q$212))-FH58,0)</f>
        <v>0</v>
      </c>
      <c r="FJ59" s="762">
        <f>IFERROR(
SUM(FI59,SUMIF(防護具!$Y$30:$Y$212,FJ$17&amp;$C58,防護具!$Q$30:$Q$212))-FI58,0)</f>
        <v>0</v>
      </c>
      <c r="FK59" s="762">
        <f>IFERROR(
SUM(FJ59,SUMIF(防護具!$Y$30:$Y$212,FK$17&amp;$C58,防護具!$Q$30:$Q$212))-FJ58,0)</f>
        <v>0</v>
      </c>
      <c r="FL59" s="762">
        <f>IFERROR(
SUM(FK59,SUMIF(防護具!$Y$30:$Y$212,FL$17&amp;$C58,防護具!$Q$30:$Q$212))-FK58,0)</f>
        <v>0</v>
      </c>
      <c r="FM59" s="762">
        <f>IFERROR(
SUM(FL59,SUMIF(防護具!$Y$30:$Y$212,FM$17&amp;$C58,防護具!$Q$30:$Q$212))-FL58,0)</f>
        <v>0</v>
      </c>
      <c r="FN59" s="762">
        <f>IFERROR(
SUM(FM59,SUMIF(防護具!$Y$30:$Y$212,FN$17&amp;$C58,防護具!$Q$30:$Q$212))-FM58,0)</f>
        <v>0</v>
      </c>
      <c r="FO59" s="762">
        <f>IFERROR(
SUM(FN59,SUMIF(防護具!$Y$30:$Y$212,FO$17&amp;$C58,防護具!$Q$30:$Q$212))-FN58,0)</f>
        <v>0</v>
      </c>
      <c r="FP59" s="762">
        <f>IFERROR(
SUM(FO59,SUMIF(防護具!$Y$30:$Y$212,FP$17&amp;$C58,防護具!$Q$30:$Q$212))-FO58,0)</f>
        <v>0</v>
      </c>
      <c r="FQ59" s="762">
        <f>IFERROR(
SUM(FP59,SUMIF(防護具!$Y$30:$Y$212,FQ$17&amp;$C58,防護具!$Q$30:$Q$212))-FP58,0)</f>
        <v>0</v>
      </c>
      <c r="FR59" s="762">
        <f>IFERROR(
SUM(FQ59,SUMIF(防護具!$Y$30:$Y$212,FR$17&amp;$C58,防護具!$Q$30:$Q$212))-FQ58,0)</f>
        <v>0</v>
      </c>
      <c r="FS59" s="762">
        <f>IFERROR(
SUM(FR59,SUMIF(防護具!$Y$30:$Y$212,FS$17&amp;$C58,防護具!$Q$30:$Q$212))-FR58,0)</f>
        <v>0</v>
      </c>
      <c r="FT59" s="762">
        <f>IFERROR(
SUM(FS59,SUMIF(防護具!$Y$30:$Y$212,FT$17&amp;$C58,防護具!$Q$30:$Q$212))-FS58,0)</f>
        <v>0</v>
      </c>
      <c r="FU59" s="762">
        <f>IFERROR(
SUM(FT59,SUMIF(防護具!$Y$30:$Y$212,FU$17&amp;$C58,防護具!$Q$30:$Q$212))-FT58,0)</f>
        <v>0</v>
      </c>
      <c r="FV59" s="762">
        <f>IFERROR(
SUM(FU59,SUMIF(防護具!$Y$30:$Y$212,FV$17&amp;$C58,防護具!$Q$30:$Q$212))-FU58,0)</f>
        <v>0</v>
      </c>
      <c r="FW59" s="762">
        <f>IFERROR(
SUM(FV59,SUMIF(防護具!$Y$30:$Y$212,FW$17&amp;$C58,防護具!$Q$30:$Q$212))-FV58,0)</f>
        <v>0</v>
      </c>
      <c r="FX59" s="762">
        <f>IFERROR(
SUM(FW59,SUMIF(防護具!$Y$30:$Y$212,FX$17&amp;$C58,防護具!$Q$30:$Q$212))-FW58,0)</f>
        <v>0</v>
      </c>
      <c r="FY59" s="762">
        <f>IFERROR(
SUM(FX59,SUMIF(防護具!$Y$30:$Y$212,FY$17&amp;$C58,防護具!$Q$30:$Q$212))-FX58,0)</f>
        <v>0</v>
      </c>
      <c r="FZ59" s="762">
        <f>IFERROR(
SUM(FY59,SUMIF(防護具!$Y$30:$Y$212,FZ$17&amp;$C58,防護具!$Q$30:$Q$212))-FY58,0)</f>
        <v>0</v>
      </c>
      <c r="GA59" s="762">
        <f>IFERROR(
SUM(FZ59,SUMIF(防護具!$Y$30:$Y$212,GA$17&amp;$C58,防護具!$Q$30:$Q$212))-FZ58,0)</f>
        <v>0</v>
      </c>
      <c r="GB59" s="762">
        <f>IFERROR(
SUM(GA59,SUMIF(防護具!$Y$30:$Y$212,GB$17&amp;$C58,防護具!$Q$30:$Q$212))-GA58,0)</f>
        <v>0</v>
      </c>
      <c r="GC59" s="762">
        <f>IFERROR(
SUM(GB59,SUMIF(防護具!$Y$30:$Y$212,GC$17&amp;$C58,防護具!$Q$30:$Q$212))-GB58,0)</f>
        <v>0</v>
      </c>
      <c r="GD59" s="762">
        <f>IFERROR(
SUM(GC59,SUMIF(防護具!$Y$30:$Y$212,GD$17&amp;$C58,防護具!$Q$30:$Q$212))-GC58,0)</f>
        <v>0</v>
      </c>
      <c r="GE59" s="762">
        <f>IFERROR(
SUM(GD59,SUMIF(防護具!$Y$30:$Y$212,GE$17&amp;$C58,防護具!$Q$30:$Q$212))-GD58,0)</f>
        <v>0</v>
      </c>
      <c r="GF59" s="762">
        <f>IFERROR(
SUM(GE59,SUMIF(防護具!$Y$30:$Y$212,GF$17&amp;$C58,防護具!$Q$30:$Q$212))-GE58,0)</f>
        <v>0</v>
      </c>
      <c r="GG59" s="762">
        <f>IFERROR(
SUM(GF59,SUMIF(防護具!$Y$30:$Y$212,GG$17&amp;$C58,防護具!$Q$30:$Q$212))-GF58,0)</f>
        <v>0</v>
      </c>
      <c r="GH59" s="762">
        <f>IFERROR(
SUM(GG59,SUMIF(防護具!$Y$30:$Y$212,GH$17&amp;$C58,防護具!$Q$30:$Q$212))-GG58,0)</f>
        <v>0</v>
      </c>
      <c r="GI59" s="762">
        <f>IFERROR(
SUM(GH59,SUMIF(防護具!$Y$30:$Y$212,GI$17&amp;$C58,防護具!$Q$30:$Q$212))-GH58,0)</f>
        <v>0</v>
      </c>
      <c r="GJ59" s="762">
        <f>IFERROR(
SUM(GI59,SUMIF(防護具!$Y$30:$Y$212,GJ$17&amp;$C58,防護具!$Q$30:$Q$212))-GI58,0)</f>
        <v>0</v>
      </c>
    </row>
    <row r="60" spans="2:192" s="632" customFormat="1">
      <c r="B60" s="633"/>
      <c r="C60" s="625"/>
      <c r="D60" s="701" t="s">
        <v>1425</v>
      </c>
      <c r="E60" s="706"/>
      <c r="F60" s="653"/>
      <c r="G60" s="762">
        <f xml:space="preserve">
IF(
SUM(SUMIF(防護具!$Y$13:$Y$29,G$17&amp;$C58,防護具!$Q$13:$Q$29),F60)-VLOOKUP($C58,$C$3:$D$15,2,FALSE)*F56&lt;0,0,
SUM(SUMIF(防護具!$Y$13:$Y$29,G$17&amp;$C58,防護具!$Q$13:$Q$29),F60)-VLOOKUP($C58,$C$3:$D$15,2,FALSE)*F56)</f>
        <v>0</v>
      </c>
      <c r="H60" s="762">
        <f xml:space="preserve">
IF(
SUM(SUMIF(防護具!$Y$13:$Y$29,H$17&amp;$C58,防護具!$Q$13:$Q$29),G60)-VLOOKUP($C58,$C$3:$D$15,2,FALSE)*G56&lt;0,0,
SUM(SUMIF(防護具!$Y$13:$Y$29,H$17&amp;$C58,防護具!$Q$13:$Q$29),G60)-VLOOKUP($C58,$C$3:$D$15,2,FALSE)*G56)</f>
        <v>0</v>
      </c>
      <c r="I60" s="762">
        <f xml:space="preserve">
IF(
SUM(SUMIF(防護具!$Y$13:$Y$29,I$17&amp;$C58,防護具!$Q$13:$Q$29),H60)-VLOOKUP($C58,$C$3:$D$15,2,FALSE)*H56&lt;0,0,
SUM(SUMIF(防護具!$Y$13:$Y$29,I$17&amp;$C58,防護具!$Q$13:$Q$29),H60)-VLOOKUP($C58,$C$3:$D$15,2,FALSE)*H56)</f>
        <v>0</v>
      </c>
      <c r="J60" s="762">
        <f xml:space="preserve">
IF(
SUM(SUMIF(防護具!$Y$13:$Y$29,J$17&amp;$C58,防護具!$Q$13:$Q$29),I60)-VLOOKUP($C58,$C$3:$D$15,2,FALSE)*I56&lt;0,0,
SUM(SUMIF(防護具!$Y$13:$Y$29,J$17&amp;$C58,防護具!$Q$13:$Q$29),I60)-VLOOKUP($C58,$C$3:$D$15,2,FALSE)*I56)</f>
        <v>0</v>
      </c>
      <c r="K60" s="762">
        <f xml:space="preserve">
IF(
SUM(SUMIF(防護具!$Y$13:$Y$29,K$17&amp;$C58,防護具!$Q$13:$Q$29),J60)-VLOOKUP($C58,$C$3:$D$15,2,FALSE)*J56&lt;0,0,
SUM(SUMIF(防護具!$Y$13:$Y$29,K$17&amp;$C58,防護具!$Q$13:$Q$29),J60)-VLOOKUP($C58,$C$3:$D$15,2,FALSE)*J56)</f>
        <v>0</v>
      </c>
      <c r="L60" s="762">
        <f xml:space="preserve">
IF(
SUM(SUMIF(防護具!$Y$13:$Y$29,L$17&amp;$C58,防護具!$Q$13:$Q$29),K60)-VLOOKUP($C58,$C$3:$D$15,2,FALSE)*K56&lt;0,0,
SUM(SUMIF(防護具!$Y$13:$Y$29,L$17&amp;$C58,防護具!$Q$13:$Q$29),K60)-VLOOKUP($C58,$C$3:$D$15,2,FALSE)*K56)</f>
        <v>0</v>
      </c>
      <c r="M60" s="762">
        <f xml:space="preserve">
IF(
SUM(SUMIF(防護具!$Y$13:$Y$29,M$17&amp;$C58,防護具!$Q$13:$Q$29),L60)-VLOOKUP($C58,$C$3:$D$15,2,FALSE)*L56&lt;0,0,
SUM(SUMIF(防護具!$Y$13:$Y$29,M$17&amp;$C58,防護具!$Q$13:$Q$29),L60)-VLOOKUP($C58,$C$3:$D$15,2,FALSE)*L56)</f>
        <v>0</v>
      </c>
      <c r="N60" s="762">
        <f xml:space="preserve">
IF(
SUM(SUMIF(防護具!$Y$13:$Y$29,N$17&amp;$C58,防護具!$Q$13:$Q$29),M60)-VLOOKUP($C58,$C$3:$D$15,2,FALSE)*M56&lt;0,0,
SUM(SUMIF(防護具!$Y$13:$Y$29,N$17&amp;$C58,防護具!$Q$13:$Q$29),M60)-VLOOKUP($C58,$C$3:$D$15,2,FALSE)*M56)</f>
        <v>0</v>
      </c>
      <c r="O60" s="762">
        <f xml:space="preserve">
IF(
SUM(SUMIF(防護具!$Y$13:$Y$29,O$17&amp;$C58,防護具!$Q$13:$Q$29),N60)-VLOOKUP($C58,$C$3:$D$15,2,FALSE)*N56&lt;0,0,
SUM(SUMIF(防護具!$Y$13:$Y$29,O$17&amp;$C58,防護具!$Q$13:$Q$29),N60)-VLOOKUP($C58,$C$3:$D$15,2,FALSE)*N56)</f>
        <v>0</v>
      </c>
      <c r="P60" s="762">
        <f xml:space="preserve">
IF(
SUM(SUMIF(防護具!$Y$13:$Y$29,P$17&amp;$C58,防護具!$Q$13:$Q$29),O60)-VLOOKUP($C58,$C$3:$D$15,2,FALSE)*O56&lt;0,0,
SUM(SUMIF(防護具!$Y$13:$Y$29,P$17&amp;$C58,防護具!$Q$13:$Q$29),O60)-VLOOKUP($C58,$C$3:$D$15,2,FALSE)*O56)</f>
        <v>0</v>
      </c>
      <c r="Q60" s="762">
        <f xml:space="preserve">
IF(
SUM(SUMIF(防護具!$Y$13:$Y$29,Q$17&amp;$C58,防護具!$Q$13:$Q$29),P60)-VLOOKUP($C58,$C$3:$D$15,2,FALSE)*P$20&lt;0,0,
SUM(SUMIF(防護具!$Y$13:$Y$29,Q$17&amp;$C58,防護具!$Q$13:$Q$29),P60)-VLOOKUP($C58,$C$3:$D$15,2,FALSE)*P$20)</f>
        <v>0</v>
      </c>
      <c r="R60" s="762">
        <f xml:space="preserve">
IF(
SUM(SUMIF(防護具!$Y$13:$Y$29,R$17&amp;$C58,防護具!$Q$13:$Q$29),Q60)-VLOOKUP($C58,$C$3:$D$15,2,FALSE)*Q$20&lt;0,0,
SUM(SUMIF(防護具!$Y$13:$Y$29,R$17&amp;$C58,防護具!$Q$13:$Q$29),Q60)-VLOOKUP($C58,$C$3:$D$15,2,FALSE)*Q$20)</f>
        <v>0</v>
      </c>
      <c r="S60" s="762">
        <f xml:space="preserve">
IF(
SUM(SUMIF(防護具!$Y$13:$Y$29,S$17&amp;$C58,防護具!$Q$13:$Q$29),R60)-VLOOKUP($C58,$C$3:$D$15,2,FALSE)*R$20&lt;0,0,
SUM(SUMIF(防護具!$Y$13:$Y$29,S$17&amp;$C58,防護具!$Q$13:$Q$29),R60)-VLOOKUP($C58,$C$3:$D$15,2,FALSE)*R$20)</f>
        <v>0</v>
      </c>
      <c r="T60" s="762">
        <f xml:space="preserve">
IF(
SUM(SUMIF(防護具!$Y$13:$Y$29,T$17&amp;$C58,防護具!$Q$13:$Q$29),S60)-VLOOKUP($C58,$C$3:$D$15,2,FALSE)*S$20&lt;0,0,
SUM(SUMIF(防護具!$Y$13:$Y$29,T$17&amp;$C58,防護具!$Q$13:$Q$29),S60)-VLOOKUP($C58,$C$3:$D$15,2,FALSE)*S$20)</f>
        <v>0</v>
      </c>
      <c r="U60" s="762">
        <f xml:space="preserve">
IF(
SUM(SUMIF(防護具!$Y$13:$Y$29,U$17&amp;$C58,防護具!$Q$13:$Q$29),T60)-VLOOKUP($C58,$C$3:$D$15,2,FALSE)*T$20&lt;0,0,
SUM(SUMIF(防護具!$Y$13:$Y$29,U$17&amp;$C58,防護具!$Q$13:$Q$29),T60)-VLOOKUP($C58,$C$3:$D$15,2,FALSE)*T$20)</f>
        <v>0</v>
      </c>
      <c r="V60" s="762">
        <f xml:space="preserve">
IF(
SUM(SUMIF(防護具!$Y$13:$Y$29,V$17&amp;$C58,防護具!$Q$13:$Q$29),U60)-VLOOKUP($C58,$C$3:$D$15,2,FALSE)*U$20&lt;0,0,
SUM(SUMIF(防護具!$Y$13:$Y$29,V$17&amp;$C58,防護具!$Q$13:$Q$29),U60)-VLOOKUP($C58,$C$3:$D$15,2,FALSE)*U$20)</f>
        <v>0</v>
      </c>
      <c r="W60" s="762">
        <f xml:space="preserve">
IF(
SUM(SUMIF(防護具!$Y$13:$Y$29,W$17&amp;$C58,防護具!$Q$13:$Q$29),V60)-VLOOKUP($C58,$C$3:$D$15,2,FALSE)*V$20&lt;0,0,
SUM(SUMIF(防護具!$Y$13:$Y$29,W$17&amp;$C58,防護具!$Q$13:$Q$29),V60)-VLOOKUP($C58,$C$3:$D$15,2,FALSE)*V$20)</f>
        <v>0</v>
      </c>
      <c r="X60" s="762">
        <f xml:space="preserve">
IF(
SUM(SUMIF(防護具!$Y$13:$Y$29,X$17&amp;$C58,防護具!$Q$13:$Q$29),W60)-VLOOKUP($C58,$C$3:$D$15,2,FALSE)*W$20&lt;0,0,
SUM(SUMIF(防護具!$Y$13:$Y$29,X$17&amp;$C58,防護具!$Q$13:$Q$29),W60)-VLOOKUP($C58,$C$3:$D$15,2,FALSE)*W$20)</f>
        <v>0</v>
      </c>
      <c r="Y60" s="762">
        <f xml:space="preserve">
IF(
SUM(SUMIF(防護具!$Y$13:$Y$29,Y$17&amp;$C58,防護具!$Q$13:$Q$29),X60)-VLOOKUP($C58,$C$3:$D$15,2,FALSE)*X$20&lt;0,0,
SUM(SUMIF(防護具!$Y$13:$Y$29,Y$17&amp;$C58,防護具!$Q$13:$Q$29),X60)-VLOOKUP($C58,$C$3:$D$15,2,FALSE)*X$20)</f>
        <v>0</v>
      </c>
      <c r="Z60" s="762">
        <f xml:space="preserve">
IF(
SUM(SUMIF(防護具!$Y$13:$Y$29,Z$17&amp;$C58,防護具!$Q$13:$Q$29),Y60)-VLOOKUP($C58,$C$3:$D$15,2,FALSE)*Y$20&lt;0,0,
SUM(SUMIF(防護具!$Y$13:$Y$29,Z$17&amp;$C58,防護具!$Q$13:$Q$29),Y60)-VLOOKUP($C58,$C$3:$D$15,2,FALSE)*Y$20)</f>
        <v>0</v>
      </c>
      <c r="AA60" s="762">
        <f xml:space="preserve">
IF(
SUM(SUMIF(防護具!$Y$13:$Y$29,AA$17&amp;$C58,防護具!$Q$13:$Q$29),Z60)-VLOOKUP($C58,$C$3:$D$15,2,FALSE)*Z$20&lt;0,0,
SUM(SUMIF(防護具!$Y$13:$Y$29,AA$17&amp;$C58,防護具!$Q$13:$Q$29),Z60)-VLOOKUP($C58,$C$3:$D$15,2,FALSE)*Z$20)</f>
        <v>0</v>
      </c>
      <c r="AB60" s="762">
        <f xml:space="preserve">
IF(
SUM(SUMIF(防護具!$Y$13:$Y$29,AB$17&amp;$C58,防護具!$Q$13:$Q$29),AA60)-VLOOKUP($C58,$C$3:$D$15,2,FALSE)*AA$20&lt;0,0,
SUM(SUMIF(防護具!$Y$13:$Y$29,AB$17&amp;$C58,防護具!$Q$13:$Q$29),AA60)-VLOOKUP($C58,$C$3:$D$15,2,FALSE)*AA$20)</f>
        <v>0</v>
      </c>
      <c r="AC60" s="762">
        <f xml:space="preserve">
IF(
SUM(SUMIF(防護具!$Y$13:$Y$29,AC$17&amp;$C58,防護具!$Q$13:$Q$29),AB60)-VLOOKUP($C58,$C$3:$D$15,2,FALSE)*AB$20&lt;0,0,
SUM(SUMIF(防護具!$Y$13:$Y$29,AC$17&amp;$C58,防護具!$Q$13:$Q$29),AB60)-VLOOKUP($C58,$C$3:$D$15,2,FALSE)*AB$20)</f>
        <v>0</v>
      </c>
      <c r="AD60" s="762">
        <f xml:space="preserve">
IF(
SUM(SUMIF(防護具!$Y$13:$Y$29,AD$17&amp;$C58,防護具!$Q$13:$Q$29),AC60)-VLOOKUP($C58,$C$3:$D$15,2,FALSE)*AC$20&lt;0,0,
SUM(SUMIF(防護具!$Y$13:$Y$29,AD$17&amp;$C58,防護具!$Q$13:$Q$29),AC60)-VLOOKUP($C58,$C$3:$D$15,2,FALSE)*AC$20)</f>
        <v>0</v>
      </c>
      <c r="AE60" s="762">
        <f xml:space="preserve">
IF(
SUM(SUMIF(防護具!$Y$13:$Y$29,AE$17&amp;$C58,防護具!$Q$13:$Q$29),AD60)-VLOOKUP($C58,$C$3:$D$15,2,FALSE)*AD$20&lt;0,0,
SUM(SUMIF(防護具!$Y$13:$Y$29,AE$17&amp;$C58,防護具!$Q$13:$Q$29),AD60)-VLOOKUP($C58,$C$3:$D$15,2,FALSE)*AD$20)</f>
        <v>0</v>
      </c>
      <c r="AF60" s="762">
        <f xml:space="preserve">
IF(
SUM(SUMIF(防護具!$Y$13:$Y$29,AF$17&amp;$C58,防護具!$Q$13:$Q$29),AE60)-VLOOKUP($C58,$C$3:$D$15,2,FALSE)*AE$20&lt;0,0,
SUM(SUMIF(防護具!$Y$13:$Y$29,AF$17&amp;$C58,防護具!$Q$13:$Q$29),AE60)-VLOOKUP($C58,$C$3:$D$15,2,FALSE)*AE$20)</f>
        <v>0</v>
      </c>
      <c r="AG60" s="762">
        <f xml:space="preserve">
IF(
SUM(SUMIF(防護具!$Y$13:$Y$29,AG$17&amp;$C58,防護具!$Q$13:$Q$29),AF60)-VLOOKUP($C58,$C$3:$D$15,2,FALSE)*AF$20&lt;0,0,
SUM(SUMIF(防護具!$Y$13:$Y$29,AG$17&amp;$C58,防護具!$Q$13:$Q$29),AF60)-VLOOKUP($C58,$C$3:$D$15,2,FALSE)*AF$20)</f>
        <v>0</v>
      </c>
      <c r="AH60" s="762">
        <f xml:space="preserve">
IF(
SUM(SUMIF(防護具!$Y$13:$Y$29,AH$17&amp;$C58,防護具!$Q$13:$Q$29),AG60)-VLOOKUP($C58,$C$3:$D$15,2,FALSE)*AG$20&lt;0,0,
SUM(SUMIF(防護具!$Y$13:$Y$29,AH$17&amp;$C58,防護具!$Q$13:$Q$29),AG60)-VLOOKUP($C58,$C$3:$D$15,2,FALSE)*AG$20)</f>
        <v>0</v>
      </c>
      <c r="AI60" s="762">
        <f xml:space="preserve">
IF(
SUM(SUMIF(防護具!$Y$13:$Y$29,AI$17&amp;$C58,防護具!$Q$13:$Q$29),AH60)-VLOOKUP($C58,$C$3:$D$15,2,FALSE)*AH$20&lt;0,0,
SUM(SUMIF(防護具!$Y$13:$Y$29,AI$17&amp;$C58,防護具!$Q$13:$Q$29),AH60)-VLOOKUP($C58,$C$3:$D$15,2,FALSE)*AH$20)</f>
        <v>0</v>
      </c>
      <c r="AJ60" s="762">
        <f xml:space="preserve">
IF(
SUM(SUMIF(防護具!$Y$13:$Y$29,AJ$17&amp;$C58,防護具!$Q$13:$Q$29),AI60)-VLOOKUP($C58,$C$3:$D$15,2,FALSE)*AI$20&lt;0,0,
SUM(SUMIF(防護具!$Y$13:$Y$29,AJ$17&amp;$C58,防護具!$Q$13:$Q$29),AI60)-VLOOKUP($C58,$C$3:$D$15,2,FALSE)*AI$20)</f>
        <v>0</v>
      </c>
      <c r="AK60" s="762">
        <f xml:space="preserve">
IF(
SUM(SUMIF(防護具!$Y$13:$Y$29,AK$17&amp;$C58,防護具!$Q$13:$Q$29),AJ60)-VLOOKUP($C58,$C$3:$D$15,2,FALSE)*AJ$20&lt;0,0,
SUM(SUMIF(防護具!$Y$13:$Y$29,AK$17&amp;$C58,防護具!$Q$13:$Q$29),AJ60)-VLOOKUP($C58,$C$3:$D$15,2,FALSE)*AJ$20)</f>
        <v>0</v>
      </c>
      <c r="AL60" s="762">
        <f xml:space="preserve">
IF(
SUM(SUMIF(防護具!$Y$13:$Y$29,AL$17&amp;$C58,防護具!$Q$13:$Q$29),AK60)-VLOOKUP($C58,$C$3:$D$15,2,FALSE)*AK$20&lt;0,0,
SUM(SUMIF(防護具!$Y$13:$Y$29,AL$17&amp;$C58,防護具!$Q$13:$Q$29),AK60)-VLOOKUP($C58,$C$3:$D$15,2,FALSE)*AK$20)</f>
        <v>0</v>
      </c>
      <c r="AM60" s="762">
        <f xml:space="preserve">
IF(
SUM(SUMIF(防護具!$Y$13:$Y$29,AM$17&amp;$C58,防護具!$Q$13:$Q$29),AL60)-VLOOKUP($C58,$C$3:$D$15,2,FALSE)*AL$20&lt;0,0,
SUM(SUMIF(防護具!$Y$13:$Y$29,AM$17&amp;$C58,防護具!$Q$13:$Q$29),AL60)-VLOOKUP($C58,$C$3:$D$15,2,FALSE)*AL$20)</f>
        <v>0</v>
      </c>
      <c r="AN60" s="762">
        <f xml:space="preserve">
IF(
SUM(SUMIF(防護具!$Y$13:$Y$29,AN$17&amp;$C58,防護具!$Q$13:$Q$29),AM60)-VLOOKUP($C58,$C$3:$D$15,2,FALSE)*AM$20&lt;0,0,
SUM(SUMIF(防護具!$Y$13:$Y$29,AN$17&amp;$C58,防護具!$Q$13:$Q$29),AM60)-VLOOKUP($C58,$C$3:$D$15,2,FALSE)*AM$20)</f>
        <v>0</v>
      </c>
      <c r="AO60" s="762">
        <f xml:space="preserve">
IF(
SUM(SUMIF(防護具!$Y$13:$Y$29,AO$17&amp;$C58,防護具!$Q$13:$Q$29),AN60)-VLOOKUP($C58,$C$3:$D$15,2,FALSE)*AN$20&lt;0,0,
SUM(SUMIF(防護具!$Y$13:$Y$29,AO$17&amp;$C58,防護具!$Q$13:$Q$29),AN60)-VLOOKUP($C58,$C$3:$D$15,2,FALSE)*AN$20)</f>
        <v>0</v>
      </c>
      <c r="AP60" s="762">
        <f xml:space="preserve">
IF(
SUM(SUMIF(防護具!$Y$13:$Y$29,AP$17&amp;$C58,防護具!$Q$13:$Q$29),AO60)-VLOOKUP($C58,$C$3:$D$15,2,FALSE)*AO$20&lt;0,0,
SUM(SUMIF(防護具!$Y$13:$Y$29,AP$17&amp;$C58,防護具!$Q$13:$Q$29),AO60)-VLOOKUP($C58,$C$3:$D$15,2,FALSE)*AO$20)</f>
        <v>0</v>
      </c>
      <c r="AQ60" s="762">
        <f xml:space="preserve">
IF(
SUM(SUMIF(防護具!$Y$13:$Y$29,AQ$17&amp;$C58,防護具!$Q$13:$Q$29),AP60)-VLOOKUP($C58,$C$3:$D$15,2,FALSE)*AP$20&lt;0,0,
SUM(SUMIF(防護具!$Y$13:$Y$29,AQ$17&amp;$C58,防護具!$Q$13:$Q$29),AP60)-VLOOKUP($C58,$C$3:$D$15,2,FALSE)*AP$20)</f>
        <v>0</v>
      </c>
      <c r="AR60" s="762">
        <f xml:space="preserve">
IF(
SUM(SUMIF(防護具!$Y$13:$Y$29,AR$17&amp;$C58,防護具!$Q$13:$Q$29),AQ60)-VLOOKUP($C58,$C$3:$D$15,2,FALSE)*AQ$20&lt;0,0,
SUM(SUMIF(防護具!$Y$13:$Y$29,AR$17&amp;$C58,防護具!$Q$13:$Q$29),AQ60)-VLOOKUP($C58,$C$3:$D$15,2,FALSE)*AQ$20)</f>
        <v>0</v>
      </c>
      <c r="AS60" s="762">
        <f xml:space="preserve">
IF(
SUM(SUMIF(防護具!$Y$13:$Y$29,AS$17&amp;$C58,防護具!$Q$13:$Q$29),AR60)-VLOOKUP($C58,$C$3:$D$15,2,FALSE)*AR$20&lt;0,0,
SUM(SUMIF(防護具!$Y$13:$Y$29,AS$17&amp;$C58,防護具!$Q$13:$Q$29),AR60)-VLOOKUP($C58,$C$3:$D$15,2,FALSE)*AR$20)</f>
        <v>0</v>
      </c>
      <c r="AT60" s="762">
        <f xml:space="preserve">
IF(
SUM(SUMIF(防護具!$Y$13:$Y$29,AT$17&amp;$C58,防護具!$Q$13:$Q$29),AS60)-VLOOKUP($C58,$C$3:$D$15,2,FALSE)*AS$20&lt;0,0,
SUM(SUMIF(防護具!$Y$13:$Y$29,AT$17&amp;$C58,防護具!$Q$13:$Q$29),AS60)-VLOOKUP($C58,$C$3:$D$15,2,FALSE)*AS$20)</f>
        <v>0</v>
      </c>
      <c r="AU60" s="762">
        <f xml:space="preserve">
IF(
SUM(SUMIF(防護具!$Y$13:$Y$29,AU$17&amp;$C58,防護具!$Q$13:$Q$29),AT60)-VLOOKUP($C58,$C$3:$D$15,2,FALSE)*AT$20&lt;0,0,
SUM(SUMIF(防護具!$Y$13:$Y$29,AU$17&amp;$C58,防護具!$Q$13:$Q$29),AT60)-VLOOKUP($C58,$C$3:$D$15,2,FALSE)*AT$20)</f>
        <v>0</v>
      </c>
      <c r="AV60" s="762">
        <f xml:space="preserve">
IF(
SUM(SUMIF(防護具!$Y$13:$Y$29,AV$17&amp;$C58,防護具!$Q$13:$Q$29),AU60)-VLOOKUP($C58,$C$3:$D$15,2,FALSE)*AU$20&lt;0,0,
SUM(SUMIF(防護具!$Y$13:$Y$29,AV$17&amp;$C58,防護具!$Q$13:$Q$29),AU60)-VLOOKUP($C58,$C$3:$D$15,2,FALSE)*AU$20)</f>
        <v>0</v>
      </c>
      <c r="AW60" s="762">
        <f xml:space="preserve">
IF(
SUM(SUMIF(防護具!$Y$13:$Y$29,AW$17&amp;$C58,防護具!$Q$13:$Q$29),AV60)-VLOOKUP($C58,$C$3:$D$15,2,FALSE)*AV$20&lt;0,0,
SUM(SUMIF(防護具!$Y$13:$Y$29,AW$17&amp;$C58,防護具!$Q$13:$Q$29),AV60)-VLOOKUP($C58,$C$3:$D$15,2,FALSE)*AV$20)</f>
        <v>0</v>
      </c>
      <c r="AX60" s="762">
        <f xml:space="preserve">
IF(
SUM(SUMIF(防護具!$Y$13:$Y$29,AX$17&amp;$C58,防護具!$Q$13:$Q$29),AW60)-VLOOKUP($C58,$C$3:$D$15,2,FALSE)*AW$20&lt;0,0,
SUM(SUMIF(防護具!$Y$13:$Y$29,AX$17&amp;$C58,防護具!$Q$13:$Q$29),AW60)-VLOOKUP($C58,$C$3:$D$15,2,FALSE)*AW$20)</f>
        <v>0</v>
      </c>
      <c r="AY60" s="762">
        <f xml:space="preserve">
IF(
SUM(SUMIF(防護具!$Y$13:$Y$29,AY$17&amp;$C58,防護具!$Q$13:$Q$29),AX60)-VLOOKUP($C58,$C$3:$D$15,2,FALSE)*AX$20&lt;0,0,
SUM(SUMIF(防護具!$Y$13:$Y$29,AY$17&amp;$C58,防護具!$Q$13:$Q$29),AX60)-VLOOKUP($C58,$C$3:$D$15,2,FALSE)*AX$20)</f>
        <v>0</v>
      </c>
      <c r="AZ60" s="762">
        <f xml:space="preserve">
IF(
SUM(SUMIF(防護具!$Y$13:$Y$29,AZ$17&amp;$C58,防護具!$Q$13:$Q$29),AY60)-VLOOKUP($C58,$C$3:$D$15,2,FALSE)*AY$20&lt;0,0,
SUM(SUMIF(防護具!$Y$13:$Y$29,AZ$17&amp;$C58,防護具!$Q$13:$Q$29),AY60)-VLOOKUP($C58,$C$3:$D$15,2,FALSE)*AY$20)</f>
        <v>0</v>
      </c>
      <c r="BA60" s="762">
        <f xml:space="preserve">
IF(
SUM(SUMIF(防護具!$Y$13:$Y$29,BA$17&amp;$C58,防護具!$Q$13:$Q$29),AZ60)-VLOOKUP($C58,$C$3:$D$15,2,FALSE)*AZ$20&lt;0,0,
SUM(SUMIF(防護具!$Y$13:$Y$29,BA$17&amp;$C58,防護具!$Q$13:$Q$29),AZ60)-VLOOKUP($C58,$C$3:$D$15,2,FALSE)*AZ$20)</f>
        <v>0</v>
      </c>
      <c r="BB60" s="762">
        <f xml:space="preserve">
IF(
SUM(SUMIF(防護具!$Y$13:$Y$29,BB$17&amp;$C58,防護具!$Q$13:$Q$29),BA60)-VLOOKUP($C58,$C$3:$D$15,2,FALSE)*BA$20&lt;0,0,
SUM(SUMIF(防護具!$Y$13:$Y$29,BB$17&amp;$C58,防護具!$Q$13:$Q$29),BA60)-VLOOKUP($C58,$C$3:$D$15,2,FALSE)*BA$20)</f>
        <v>0</v>
      </c>
      <c r="BC60" s="762">
        <f xml:space="preserve">
IF(
SUM(SUMIF(防護具!$Y$13:$Y$29,BC$17&amp;$C58,防護具!$Q$13:$Q$29),BB60)-VLOOKUP($C58,$C$3:$D$15,2,FALSE)*BB$20&lt;0,0,
SUM(SUMIF(防護具!$Y$13:$Y$29,BC$17&amp;$C58,防護具!$Q$13:$Q$29),BB60)-VLOOKUP($C58,$C$3:$D$15,2,FALSE)*BB$20)</f>
        <v>0</v>
      </c>
      <c r="BD60" s="762">
        <f xml:space="preserve">
IF(
SUM(SUMIF(防護具!$Y$13:$Y$29,BD$17&amp;$C58,防護具!$Q$13:$Q$29),BC60)-VLOOKUP($C58,$C$3:$D$15,2,FALSE)*BC$20&lt;0,0,
SUM(SUMIF(防護具!$Y$13:$Y$29,BD$17&amp;$C58,防護具!$Q$13:$Q$29),BC60)-VLOOKUP($C58,$C$3:$D$15,2,FALSE)*BC$20)</f>
        <v>0</v>
      </c>
      <c r="BE60" s="762">
        <f xml:space="preserve">
IF(
SUM(SUMIF(防護具!$Y$13:$Y$29,BE$17&amp;$C58,防護具!$Q$13:$Q$29),BD60)-VLOOKUP($C58,$C$3:$D$15,2,FALSE)*BD$20&lt;0,0,
SUM(SUMIF(防護具!$Y$13:$Y$29,BE$17&amp;$C58,防護具!$Q$13:$Q$29),BD60)-VLOOKUP($C58,$C$3:$D$15,2,FALSE)*BD$20)</f>
        <v>0</v>
      </c>
      <c r="BF60" s="762">
        <f xml:space="preserve">
IF(
SUM(SUMIF(防護具!$Y$13:$Y$29,BF$17&amp;$C58,防護具!$Q$13:$Q$29),BE60)-VLOOKUP($C58,$C$3:$D$15,2,FALSE)*BE$20&lt;0,0,
SUM(SUMIF(防護具!$Y$13:$Y$29,BF$17&amp;$C58,防護具!$Q$13:$Q$29),BE60)-VLOOKUP($C58,$C$3:$D$15,2,FALSE)*BE$20)</f>
        <v>0</v>
      </c>
      <c r="BG60" s="762">
        <f xml:space="preserve">
IF(
SUM(SUMIF(防護具!$Y$13:$Y$29,BG$17&amp;$C58,防護具!$Q$13:$Q$29),BF60)-VLOOKUP($C58,$C$3:$D$15,2,FALSE)*BF$20&lt;0,0,
SUM(SUMIF(防護具!$Y$13:$Y$29,BG$17&amp;$C58,防護具!$Q$13:$Q$29),BF60)-VLOOKUP($C58,$C$3:$D$15,2,FALSE)*BF$20)</f>
        <v>0</v>
      </c>
      <c r="BH60" s="762">
        <f xml:space="preserve">
IF(
SUM(SUMIF(防護具!$Y$13:$Y$29,BH$17&amp;$C58,防護具!$Q$13:$Q$29),BG60)-VLOOKUP($C58,$C$3:$D$15,2,FALSE)*BG$20&lt;0,0,
SUM(SUMIF(防護具!$Y$13:$Y$29,BH$17&amp;$C58,防護具!$Q$13:$Q$29),BG60)-VLOOKUP($C58,$C$3:$D$15,2,FALSE)*BG$20)</f>
        <v>0</v>
      </c>
      <c r="BI60" s="762">
        <f xml:space="preserve">
IF(
SUM(SUMIF(防護具!$Y$13:$Y$29,BI$17&amp;$C58,防護具!$Q$13:$Q$29),BH60)-VLOOKUP($C58,$C$3:$D$15,2,FALSE)*BH$20&lt;0,0,
SUM(SUMIF(防護具!$Y$13:$Y$29,BI$17&amp;$C58,防護具!$Q$13:$Q$29),BH60)-VLOOKUP($C58,$C$3:$D$15,2,FALSE)*BH$20)</f>
        <v>0</v>
      </c>
      <c r="BJ60" s="762">
        <f xml:space="preserve">
IF(
SUM(SUMIF(防護具!$Y$13:$Y$29,BJ$17&amp;$C58,防護具!$Q$13:$Q$29),BI60)-VLOOKUP($C58,$C$3:$D$15,2,FALSE)*BI$20&lt;0,0,
SUM(SUMIF(防護具!$Y$13:$Y$29,BJ$17&amp;$C58,防護具!$Q$13:$Q$29),BI60)-VLOOKUP($C58,$C$3:$D$15,2,FALSE)*BI$20)</f>
        <v>0</v>
      </c>
      <c r="BK60" s="762">
        <f xml:space="preserve">
IF(
SUM(SUMIF(防護具!$Y$13:$Y$29,BK$17&amp;$C58,防護具!$Q$13:$Q$29),BJ60)-VLOOKUP($C58,$C$3:$D$15,2,FALSE)*BJ$20&lt;0,0,
SUM(SUMIF(防護具!$Y$13:$Y$29,BK$17&amp;$C58,防護具!$Q$13:$Q$29),BJ60)-VLOOKUP($C58,$C$3:$D$15,2,FALSE)*BJ$20)</f>
        <v>0</v>
      </c>
      <c r="BL60" s="762">
        <f xml:space="preserve">
IF(
SUM(SUMIF(防護具!$Y$13:$Y$29,BL$17&amp;$C58,防護具!$Q$13:$Q$29),BK60)-VLOOKUP($C58,$C$3:$D$15,2,FALSE)*BK$20&lt;0,0,
SUM(SUMIF(防護具!$Y$13:$Y$29,BL$17&amp;$C58,防護具!$Q$13:$Q$29),BK60)-VLOOKUP($C58,$C$3:$D$15,2,FALSE)*BK$20)</f>
        <v>0</v>
      </c>
      <c r="BM60" s="762">
        <f xml:space="preserve">
IF(
SUM(SUMIF(防護具!$Y$13:$Y$29,BM$17&amp;$C58,防護具!$Q$13:$Q$29),BL60)-VLOOKUP($C58,$C$3:$D$15,2,FALSE)*BL$20&lt;0,0,
SUM(SUMIF(防護具!$Y$13:$Y$29,BM$17&amp;$C58,防護具!$Q$13:$Q$29),BL60)-VLOOKUP($C58,$C$3:$D$15,2,FALSE)*BL$20)</f>
        <v>0</v>
      </c>
      <c r="BN60" s="762">
        <f xml:space="preserve">
IF(
SUM(SUMIF(防護具!$Y$13:$Y$29,BN$17&amp;$C58,防護具!$Q$13:$Q$29),BM60)-VLOOKUP($C58,$C$3:$D$15,2,FALSE)*BM$20&lt;0,0,
SUM(SUMIF(防護具!$Y$13:$Y$29,BN$17&amp;$C58,防護具!$Q$13:$Q$29),BM60)-VLOOKUP($C58,$C$3:$D$15,2,FALSE)*BM$20)</f>
        <v>0</v>
      </c>
      <c r="BO60" s="762">
        <f xml:space="preserve">
IF(
SUM(SUMIF(防護具!$Y$13:$Y$29,BO$17&amp;$C58,防護具!$Q$13:$Q$29),BN60)-VLOOKUP($C58,$C$3:$D$15,2,FALSE)*BN$20&lt;0,0,
SUM(SUMIF(防護具!$Y$13:$Y$29,BO$17&amp;$C58,防護具!$Q$13:$Q$29),BN60)-VLOOKUP($C58,$C$3:$D$15,2,FALSE)*BN$20)</f>
        <v>0</v>
      </c>
      <c r="BP60" s="762">
        <f xml:space="preserve">
IF(
SUM(SUMIF(防護具!$Y$13:$Y$29,BP$17&amp;$C58,防護具!$Q$13:$Q$29),BO60)-VLOOKUP($C58,$C$3:$D$15,2,FALSE)*BO$20&lt;0,0,
SUM(SUMIF(防護具!$Y$13:$Y$29,BP$17&amp;$C58,防護具!$Q$13:$Q$29),BO60)-VLOOKUP($C58,$C$3:$D$15,2,FALSE)*BO$20)</f>
        <v>0</v>
      </c>
      <c r="BQ60" s="762">
        <f xml:space="preserve">
IF(
SUM(SUMIF(防護具!$Y$13:$Y$29,BQ$17&amp;$C58,防護具!$Q$13:$Q$29),BP60)-VLOOKUP($C58,$C$3:$D$15,2,FALSE)*BP$20&lt;0,0,
SUM(SUMIF(防護具!$Y$13:$Y$29,BQ$17&amp;$C58,防護具!$Q$13:$Q$29),BP60)-VLOOKUP($C58,$C$3:$D$15,2,FALSE)*BP$20)</f>
        <v>0</v>
      </c>
      <c r="BR60" s="762">
        <f xml:space="preserve">
IF(
SUM(SUMIF(防護具!$Y$13:$Y$29,BR$17&amp;$C58,防護具!$Q$13:$Q$29),BQ60)-VLOOKUP($C58,$C$3:$D$15,2,FALSE)*BQ$20&lt;0,0,
SUM(SUMIF(防護具!$Y$13:$Y$29,BR$17&amp;$C58,防護具!$Q$13:$Q$29),BQ60)-VLOOKUP($C58,$C$3:$D$15,2,FALSE)*BQ$20)</f>
        <v>0</v>
      </c>
      <c r="BS60" s="762">
        <f xml:space="preserve">
IF(
SUM(SUMIF(防護具!$Y$13:$Y$29,BS$17&amp;$C58,防護具!$Q$13:$Q$29),BR60)-VLOOKUP($C58,$C$3:$D$15,2,FALSE)*BR$20&lt;0,0,
SUM(SUMIF(防護具!$Y$13:$Y$29,BS$17&amp;$C58,防護具!$Q$13:$Q$29),BR60)-VLOOKUP($C58,$C$3:$D$15,2,FALSE)*BR$20)</f>
        <v>0</v>
      </c>
      <c r="BT60" s="762">
        <f xml:space="preserve">
IF(
SUM(SUMIF(防護具!$Y$13:$Y$29,BT$17&amp;$C58,防護具!$Q$13:$Q$29),BS60)-VLOOKUP($C58,$C$3:$D$15,2,FALSE)*BS$20&lt;0,0,
SUM(SUMIF(防護具!$Y$13:$Y$29,BT$17&amp;$C58,防護具!$Q$13:$Q$29),BS60)-VLOOKUP($C58,$C$3:$D$15,2,FALSE)*BS$20)</f>
        <v>0</v>
      </c>
      <c r="BU60" s="762">
        <f xml:space="preserve">
IF(
SUM(SUMIF(防護具!$Y$13:$Y$29,BU$17&amp;$C58,防護具!$Q$13:$Q$29),BT60)-VLOOKUP($C58,$C$3:$D$15,2,FALSE)*BT$20&lt;0,0,
SUM(SUMIF(防護具!$Y$13:$Y$29,BU$17&amp;$C58,防護具!$Q$13:$Q$29),BT60)-VLOOKUP($C58,$C$3:$D$15,2,FALSE)*BT$20)</f>
        <v>0</v>
      </c>
      <c r="BV60" s="762">
        <f xml:space="preserve">
IF(
SUM(SUMIF(防護具!$Y$13:$Y$29,BV$17&amp;$C58,防護具!$Q$13:$Q$29),BU60)-VLOOKUP($C58,$C$3:$D$15,2,FALSE)*BU$20&lt;0,0,
SUM(SUMIF(防護具!$Y$13:$Y$29,BV$17&amp;$C58,防護具!$Q$13:$Q$29),BU60)-VLOOKUP($C58,$C$3:$D$15,2,FALSE)*BU$20)</f>
        <v>0</v>
      </c>
      <c r="BW60" s="762">
        <f xml:space="preserve">
IF(
SUM(SUMIF(防護具!$Y$13:$Y$29,BW$17&amp;$C58,防護具!$Q$13:$Q$29),BV60)-VLOOKUP($C58,$C$3:$D$15,2,FALSE)*BV$20&lt;0,0,
SUM(SUMIF(防護具!$Y$13:$Y$29,BW$17&amp;$C58,防護具!$Q$13:$Q$29),BV60)-VLOOKUP($C58,$C$3:$D$15,2,FALSE)*BV$20)</f>
        <v>0</v>
      </c>
      <c r="BX60" s="762">
        <f xml:space="preserve">
IF(
SUM(SUMIF(防護具!$Y$13:$Y$29,BX$17&amp;$C58,防護具!$Q$13:$Q$29),BW60)-VLOOKUP($C58,$C$3:$D$15,2,FALSE)*BW$20&lt;0,0,
SUM(SUMIF(防護具!$Y$13:$Y$29,BX$17&amp;$C58,防護具!$Q$13:$Q$29),BW60)-VLOOKUP($C58,$C$3:$D$15,2,FALSE)*BW$20)</f>
        <v>0</v>
      </c>
      <c r="BY60" s="762">
        <f xml:space="preserve">
IF(
SUM(SUMIF(防護具!$Y$13:$Y$29,BY$17&amp;$C58,防護具!$Q$13:$Q$29),BX60)-VLOOKUP($C58,$C$3:$D$15,2,FALSE)*BX$20&lt;0,0,
SUM(SUMIF(防護具!$Y$13:$Y$29,BY$17&amp;$C58,防護具!$Q$13:$Q$29),BX60)-VLOOKUP($C58,$C$3:$D$15,2,FALSE)*BX$20)</f>
        <v>0</v>
      </c>
      <c r="BZ60" s="762">
        <f xml:space="preserve">
IF(
SUM(SUMIF(防護具!$Y$13:$Y$29,BZ$17&amp;$C58,防護具!$Q$13:$Q$29),BY60)-VLOOKUP($C58,$C$3:$D$15,2,FALSE)*BY$20&lt;0,0,
SUM(SUMIF(防護具!$Y$13:$Y$29,BZ$17&amp;$C58,防護具!$Q$13:$Q$29),BY60)-VLOOKUP($C58,$C$3:$D$15,2,FALSE)*BY$20)</f>
        <v>0</v>
      </c>
      <c r="CA60" s="762">
        <f xml:space="preserve">
IF(
SUM(SUMIF(防護具!$Y$13:$Y$29,CA$17&amp;$C58,防護具!$Q$13:$Q$29),BZ60)-VLOOKUP($C58,$C$3:$D$15,2,FALSE)*BZ$20&lt;0,0,
SUM(SUMIF(防護具!$Y$13:$Y$29,CA$17&amp;$C58,防護具!$Q$13:$Q$29),BZ60)-VLOOKUP($C58,$C$3:$D$15,2,FALSE)*BZ$20)</f>
        <v>0</v>
      </c>
      <c r="CB60" s="762">
        <f xml:space="preserve">
IF(
SUM(SUMIF(防護具!$Y$13:$Y$29,CB$17&amp;$C58,防護具!$Q$13:$Q$29),CA60)-VLOOKUP($C58,$C$3:$D$15,2,FALSE)*CA$20&lt;0,0,
SUM(SUMIF(防護具!$Y$13:$Y$29,CB$17&amp;$C58,防護具!$Q$13:$Q$29),CA60)-VLOOKUP($C58,$C$3:$D$15,2,FALSE)*CA$20)</f>
        <v>0</v>
      </c>
      <c r="CC60" s="762">
        <f xml:space="preserve">
IF(
SUM(SUMIF(防護具!$Y$13:$Y$29,CC$17&amp;$C58,防護具!$Q$13:$Q$29),CB60)-VLOOKUP($C58,$C$3:$D$15,2,FALSE)*CB$20&lt;0,0,
SUM(SUMIF(防護具!$Y$13:$Y$29,CC$17&amp;$C58,防護具!$Q$13:$Q$29),CB60)-VLOOKUP($C58,$C$3:$D$15,2,FALSE)*CB$20)</f>
        <v>0</v>
      </c>
      <c r="CD60" s="762">
        <f xml:space="preserve">
IF(
SUM(SUMIF(防護具!$Y$13:$Y$29,CD$17&amp;$C58,防護具!$Q$13:$Q$29),CC60)-VLOOKUP($C58,$C$3:$D$15,2,FALSE)*CC$20&lt;0,0,
SUM(SUMIF(防護具!$Y$13:$Y$29,CD$17&amp;$C58,防護具!$Q$13:$Q$29),CC60)-VLOOKUP($C58,$C$3:$D$15,2,FALSE)*CC$20)</f>
        <v>0</v>
      </c>
      <c r="CE60" s="762">
        <f xml:space="preserve">
IF(
SUM(SUMIF(防護具!$Y$13:$Y$29,CE$17&amp;$C58,防護具!$Q$13:$Q$29),CD60)-VLOOKUP($C58,$C$3:$D$15,2,FALSE)*CD$20&lt;0,0,
SUM(SUMIF(防護具!$Y$13:$Y$29,CE$17&amp;$C58,防護具!$Q$13:$Q$29),CD60)-VLOOKUP($C58,$C$3:$D$15,2,FALSE)*CD$20)</f>
        <v>0</v>
      </c>
      <c r="CF60" s="762">
        <f xml:space="preserve">
IF(
SUM(SUMIF(防護具!$Y$13:$Y$29,CF$17&amp;$C58,防護具!$Q$13:$Q$29),CE60)-VLOOKUP($C58,$C$3:$D$15,2,FALSE)*CE$20&lt;0,0,
SUM(SUMIF(防護具!$Y$13:$Y$29,CF$17&amp;$C58,防護具!$Q$13:$Q$29),CE60)-VLOOKUP($C58,$C$3:$D$15,2,FALSE)*CE$20)</f>
        <v>0</v>
      </c>
      <c r="CG60" s="762">
        <f xml:space="preserve">
IF(
SUM(SUMIF(防護具!$Y$13:$Y$29,CG$17&amp;$C58,防護具!$Q$13:$Q$29),CF60)-VLOOKUP($C58,$C$3:$D$15,2,FALSE)*CF$20&lt;0,0,
SUM(SUMIF(防護具!$Y$13:$Y$29,CG$17&amp;$C58,防護具!$Q$13:$Q$29),CF60)-VLOOKUP($C58,$C$3:$D$15,2,FALSE)*CF$20)</f>
        <v>0</v>
      </c>
      <c r="CH60" s="762">
        <f xml:space="preserve">
IF(
SUM(SUMIF(防護具!$Y$13:$Y$29,CH$17&amp;$C58,防護具!$Q$13:$Q$29),CG60)-VLOOKUP($C58,$C$3:$D$15,2,FALSE)*CG$20&lt;0,0,
SUM(SUMIF(防護具!$Y$13:$Y$29,CH$17&amp;$C58,防護具!$Q$13:$Q$29),CG60)-VLOOKUP($C58,$C$3:$D$15,2,FALSE)*CG$20)</f>
        <v>0</v>
      </c>
      <c r="CI60" s="762">
        <f xml:space="preserve">
IF(
SUM(SUMIF(防護具!$Y$13:$Y$29,CI$17&amp;$C58,防護具!$Q$13:$Q$29),CH60)-VLOOKUP($C58,$C$3:$D$15,2,FALSE)*CH$20&lt;0,0,
SUM(SUMIF(防護具!$Y$13:$Y$29,CI$17&amp;$C58,防護具!$Q$13:$Q$29),CH60)-VLOOKUP($C58,$C$3:$D$15,2,FALSE)*CH$20)</f>
        <v>0</v>
      </c>
      <c r="CJ60" s="762">
        <f xml:space="preserve">
IF(
SUM(SUMIF(防護具!$Y$13:$Y$29,CJ$17&amp;$C58,防護具!$Q$13:$Q$29),CI60)-VLOOKUP($C58,$C$3:$D$15,2,FALSE)*CI$20&lt;0,0,
SUM(SUMIF(防護具!$Y$13:$Y$29,CJ$17&amp;$C58,防護具!$Q$13:$Q$29),CI60)-VLOOKUP($C58,$C$3:$D$15,2,FALSE)*CI$20)</f>
        <v>0</v>
      </c>
      <c r="CK60" s="762">
        <f xml:space="preserve">
IF(
SUM(SUMIF(防護具!$Y$13:$Y$29,CK$17&amp;$C58,防護具!$Q$13:$Q$29),CJ60)-VLOOKUP($C58,$C$3:$D$15,2,FALSE)*CJ$20&lt;0,0,
SUM(SUMIF(防護具!$Y$13:$Y$29,CK$17&amp;$C58,防護具!$Q$13:$Q$29),CJ60)-VLOOKUP($C58,$C$3:$D$15,2,FALSE)*CJ$20)</f>
        <v>0</v>
      </c>
      <c r="CL60" s="762">
        <f xml:space="preserve">
IF(
SUM(SUMIF(防護具!$Y$13:$Y$29,CL$17&amp;$C58,防護具!$Q$13:$Q$29),CK60)-VLOOKUP($C58,$C$3:$D$15,2,FALSE)*CK$20&lt;0,0,
SUM(SUMIF(防護具!$Y$13:$Y$29,CL$17&amp;$C58,防護具!$Q$13:$Q$29),CK60)-VLOOKUP($C58,$C$3:$D$15,2,FALSE)*CK$20)</f>
        <v>0</v>
      </c>
      <c r="CM60" s="762">
        <f xml:space="preserve">
IF(
SUM(SUMIF(防護具!$Y$13:$Y$29,CM$17&amp;$C58,防護具!$Q$13:$Q$29),CL60)-VLOOKUP($C58,$C$3:$D$15,2,FALSE)*CL$20&lt;0,0,
SUM(SUMIF(防護具!$Y$13:$Y$29,CM$17&amp;$C58,防護具!$Q$13:$Q$29),CL60)-VLOOKUP($C58,$C$3:$D$15,2,FALSE)*CL$20)</f>
        <v>0</v>
      </c>
      <c r="CN60" s="762">
        <f xml:space="preserve">
IF(
SUM(SUMIF(防護具!$Y$13:$Y$29,CN$17&amp;$C58,防護具!$Q$13:$Q$29),CM60)-VLOOKUP($C58,$C$3:$D$15,2,FALSE)*CM$20&lt;0,0,
SUM(SUMIF(防護具!$Y$13:$Y$29,CN$17&amp;$C58,防護具!$Q$13:$Q$29),CM60)-VLOOKUP($C58,$C$3:$D$15,2,FALSE)*CM$20)</f>
        <v>0</v>
      </c>
      <c r="CO60" s="762">
        <f xml:space="preserve">
IF(
SUM(SUMIF(防護具!$Y$13:$Y$29,CO$17&amp;$C58,防護具!$Q$13:$Q$29),CN60)-VLOOKUP($C58,$C$3:$D$15,2,FALSE)*CN$20&lt;0,0,
SUM(SUMIF(防護具!$Y$13:$Y$29,CO$17&amp;$C58,防護具!$Q$13:$Q$29),CN60)-VLOOKUP($C58,$C$3:$D$15,2,FALSE)*CN$20)</f>
        <v>0</v>
      </c>
      <c r="CP60" s="762">
        <f xml:space="preserve">
IF(
SUM(SUMIF(防護具!$Y$13:$Y$29,CP$17&amp;$C58,防護具!$Q$13:$Q$29),CO60)-VLOOKUP($C58,$C$3:$D$15,2,FALSE)*CO$20&lt;0,0,
SUM(SUMIF(防護具!$Y$13:$Y$29,CP$17&amp;$C58,防護具!$Q$13:$Q$29),CO60)-VLOOKUP($C58,$C$3:$D$15,2,FALSE)*CO$20)</f>
        <v>0</v>
      </c>
      <c r="CQ60" s="762">
        <f xml:space="preserve">
IF(
SUM(SUMIF(防護具!$Y$13:$Y$29,CQ$17&amp;$C58,防護具!$Q$13:$Q$29),CP60)-VLOOKUP($C58,$C$3:$D$15,2,FALSE)*CP$20&lt;0,0,
SUM(SUMIF(防護具!$Y$13:$Y$29,CQ$17&amp;$C58,防護具!$Q$13:$Q$29),CP60)-VLOOKUP($C58,$C$3:$D$15,2,FALSE)*CP$20)</f>
        <v>0</v>
      </c>
      <c r="CR60" s="762">
        <f xml:space="preserve">
IF(
SUM(SUMIF(防護具!$Y$13:$Y$29,CR$17&amp;$C58,防護具!$Q$13:$Q$29),CQ60)-VLOOKUP($C58,$C$3:$D$15,2,FALSE)*CQ$20&lt;0,0,
SUM(SUMIF(防護具!$Y$13:$Y$29,CR$17&amp;$C58,防護具!$Q$13:$Q$29),CQ60)-VLOOKUP($C58,$C$3:$D$15,2,FALSE)*CQ$20)</f>
        <v>0</v>
      </c>
      <c r="CS60" s="762">
        <f xml:space="preserve">
IF(
SUM(SUMIF(防護具!$Y$13:$Y$29,CS$17&amp;$C58,防護具!$Q$13:$Q$29),CR60)-VLOOKUP($C58,$C$3:$D$15,2,FALSE)*CR$20&lt;0,0,
SUM(SUMIF(防護具!$Y$13:$Y$29,CS$17&amp;$C58,防護具!$Q$13:$Q$29),CR60)-VLOOKUP($C58,$C$3:$D$15,2,FALSE)*CR$20)</f>
        <v>0</v>
      </c>
      <c r="CT60" s="762">
        <f xml:space="preserve">
IF(
SUM(SUMIF(防護具!$Y$13:$Y$29,CT$17&amp;$C58,防護具!$Q$13:$Q$29),CS60)-VLOOKUP($C58,$C$3:$D$15,2,FALSE)*CS$20&lt;0,0,
SUM(SUMIF(防護具!$Y$13:$Y$29,CT$17&amp;$C58,防護具!$Q$13:$Q$29),CS60)-VLOOKUP($C58,$C$3:$D$15,2,FALSE)*CS$20)</f>
        <v>0</v>
      </c>
      <c r="CU60" s="762">
        <f xml:space="preserve">
IF(
SUM(SUMIF(防護具!$Y$13:$Y$29,CU$17&amp;$C58,防護具!$Q$13:$Q$29),CT60)-VLOOKUP($C58,$C$3:$D$15,2,FALSE)*CT$20&lt;0,0,
SUM(SUMIF(防護具!$Y$13:$Y$29,CU$17&amp;$C58,防護具!$Q$13:$Q$29),CT60)-VLOOKUP($C58,$C$3:$D$15,2,FALSE)*CT$20)</f>
        <v>0</v>
      </c>
      <c r="CV60" s="762">
        <f xml:space="preserve">
IF(
SUM(SUMIF(防護具!$Y$13:$Y$29,CV$17&amp;$C58,防護具!$Q$13:$Q$29),CU60)-VLOOKUP($C58,$C$3:$D$15,2,FALSE)*CU$20&lt;0,0,
SUM(SUMIF(防護具!$Y$13:$Y$29,CV$17&amp;$C58,防護具!$Q$13:$Q$29),CU60)-VLOOKUP($C58,$C$3:$D$15,2,FALSE)*CU$20)</f>
        <v>0</v>
      </c>
      <c r="CW60" s="762">
        <f xml:space="preserve">
IF(
SUM(SUMIF(防護具!$Y$13:$Y$29,CW$17&amp;$C58,防護具!$Q$13:$Q$29),CV60)-VLOOKUP($C58,$C$3:$D$15,2,FALSE)*CV$20&lt;0,0,
SUM(SUMIF(防護具!$Y$13:$Y$29,CW$17&amp;$C58,防護具!$Q$13:$Q$29),CV60)-VLOOKUP($C58,$C$3:$D$15,2,FALSE)*CV$20)</f>
        <v>0</v>
      </c>
      <c r="CX60" s="762">
        <f xml:space="preserve">
IF(
SUM(SUMIF(防護具!$Y$13:$Y$29,CX$17&amp;$C58,防護具!$Q$13:$Q$29),CW60)-VLOOKUP($C58,$C$3:$D$15,2,FALSE)*CW$20&lt;0,0,
SUM(SUMIF(防護具!$Y$13:$Y$29,CX$17&amp;$C58,防護具!$Q$13:$Q$29),CW60)-VLOOKUP($C58,$C$3:$D$15,2,FALSE)*CW$20)</f>
        <v>0</v>
      </c>
      <c r="CY60" s="762">
        <f xml:space="preserve">
IF(
SUM(SUMIF(防護具!$Y$13:$Y$29,CY$17&amp;$C58,防護具!$Q$13:$Q$29),CX60)-VLOOKUP($C58,$C$3:$D$15,2,FALSE)*CX$20&lt;0,0,
SUM(SUMIF(防護具!$Y$13:$Y$29,CY$17&amp;$C58,防護具!$Q$13:$Q$29),CX60)-VLOOKUP($C58,$C$3:$D$15,2,FALSE)*CX$20)</f>
        <v>0</v>
      </c>
      <c r="CZ60" s="762">
        <f xml:space="preserve">
IF(
SUM(SUMIF(防護具!$Y$13:$Y$29,CZ$17&amp;$C58,防護具!$Q$13:$Q$29),CY60)-VLOOKUP($C58,$C$3:$D$15,2,FALSE)*CY$20&lt;0,0,
SUM(SUMIF(防護具!$Y$13:$Y$29,CZ$17&amp;$C58,防護具!$Q$13:$Q$29),CY60)-VLOOKUP($C58,$C$3:$D$15,2,FALSE)*CY$20)</f>
        <v>0</v>
      </c>
      <c r="DA60" s="762">
        <f xml:space="preserve">
IF(
SUM(SUMIF(防護具!$Y$13:$Y$29,DA$17&amp;$C58,防護具!$Q$13:$Q$29),CZ60)-VLOOKUP($C58,$C$3:$D$15,2,FALSE)*CZ$20&lt;0,0,
SUM(SUMIF(防護具!$Y$13:$Y$29,DA$17&amp;$C58,防護具!$Q$13:$Q$29),CZ60)-VLOOKUP($C58,$C$3:$D$15,2,FALSE)*CZ$20)</f>
        <v>0</v>
      </c>
      <c r="DB60" s="762">
        <f xml:space="preserve">
IF(
SUM(SUMIF(防護具!$Y$13:$Y$29,DB$17&amp;$C58,防護具!$Q$13:$Q$29),DA60)-VLOOKUP($C58,$C$3:$D$15,2,FALSE)*DA$20&lt;0,0,
SUM(SUMIF(防護具!$Y$13:$Y$29,DB$17&amp;$C58,防護具!$Q$13:$Q$29),DA60)-VLOOKUP($C58,$C$3:$D$15,2,FALSE)*DA$20)</f>
        <v>0</v>
      </c>
      <c r="DC60" s="762">
        <f xml:space="preserve">
IF(
SUM(SUMIF(防護具!$Y$13:$Y$29,DC$17&amp;$C58,防護具!$Q$13:$Q$29),DB60)-VLOOKUP($C58,$C$3:$D$15,2,FALSE)*DB$20&lt;0,0,
SUM(SUMIF(防護具!$Y$13:$Y$29,DC$17&amp;$C58,防護具!$Q$13:$Q$29),DB60)-VLOOKUP($C58,$C$3:$D$15,2,FALSE)*DB$20)</f>
        <v>0</v>
      </c>
      <c r="DD60" s="762">
        <f xml:space="preserve">
IF(
SUM(SUMIF(防護具!$Y$13:$Y$29,DD$17&amp;$C58,防護具!$Q$13:$Q$29),DC60)-VLOOKUP($C58,$C$3:$D$15,2,FALSE)*DC$20&lt;0,0,
SUM(SUMIF(防護具!$Y$13:$Y$29,DD$17&amp;$C58,防護具!$Q$13:$Q$29),DC60)-VLOOKUP($C58,$C$3:$D$15,2,FALSE)*DC$20)</f>
        <v>0</v>
      </c>
      <c r="DE60" s="762">
        <f xml:space="preserve">
IF(
SUM(SUMIF(防護具!$Y$13:$Y$29,DE$17&amp;$C58,防護具!$Q$13:$Q$29),DD60)-VLOOKUP($C58,$C$3:$D$15,2,FALSE)*DD$20&lt;0,0,
SUM(SUMIF(防護具!$Y$13:$Y$29,DE$17&amp;$C58,防護具!$Q$13:$Q$29),DD60)-VLOOKUP($C58,$C$3:$D$15,2,FALSE)*DD$20)</f>
        <v>0</v>
      </c>
      <c r="DF60" s="762">
        <f xml:space="preserve">
IF(
SUM(SUMIF(防護具!$Y$13:$Y$29,DF$17&amp;$C58,防護具!$Q$13:$Q$29),DE60)-VLOOKUP($C58,$C$3:$D$15,2,FALSE)*DE$20&lt;0,0,
SUM(SUMIF(防護具!$Y$13:$Y$29,DF$17&amp;$C58,防護具!$Q$13:$Q$29),DE60)-VLOOKUP($C58,$C$3:$D$15,2,FALSE)*DE$20)</f>
        <v>0</v>
      </c>
      <c r="DG60" s="762">
        <f xml:space="preserve">
IF(
SUM(SUMIF(防護具!$Y$13:$Y$29,DG$17&amp;$C58,防護具!$Q$13:$Q$29),DF60)-VLOOKUP($C58,$C$3:$D$15,2,FALSE)*DF$20&lt;0,0,
SUM(SUMIF(防護具!$Y$13:$Y$29,DG$17&amp;$C58,防護具!$Q$13:$Q$29),DF60)-VLOOKUP($C58,$C$3:$D$15,2,FALSE)*DF$20)</f>
        <v>0</v>
      </c>
      <c r="DH60" s="762">
        <f xml:space="preserve">
IF(
SUM(SUMIF(防護具!$Y$13:$Y$29,DH$17&amp;$C58,防護具!$Q$13:$Q$29),DG60)-VLOOKUP($C58,$C$3:$D$15,2,FALSE)*DG$20&lt;0,0,
SUM(SUMIF(防護具!$Y$13:$Y$29,DH$17&amp;$C58,防護具!$Q$13:$Q$29),DG60)-VLOOKUP($C58,$C$3:$D$15,2,FALSE)*DG$20)</f>
        <v>0</v>
      </c>
      <c r="DI60" s="762">
        <f xml:space="preserve">
IF(
SUM(SUMIF(防護具!$Y$13:$Y$29,DI$17&amp;$C58,防護具!$Q$13:$Q$29),DH60)-VLOOKUP($C58,$C$3:$D$15,2,FALSE)*DH$20&lt;0,0,
SUM(SUMIF(防護具!$Y$13:$Y$29,DI$17&amp;$C58,防護具!$Q$13:$Q$29),DH60)-VLOOKUP($C58,$C$3:$D$15,2,FALSE)*DH$20)</f>
        <v>0</v>
      </c>
      <c r="DJ60" s="762">
        <f xml:space="preserve">
IF(
SUM(SUMIF(防護具!$Y$13:$Y$29,DJ$17&amp;$C58,防護具!$Q$13:$Q$29),DI60)-VLOOKUP($C58,$C$3:$D$15,2,FALSE)*DI$20&lt;0,0,
SUM(SUMIF(防護具!$Y$13:$Y$29,DJ$17&amp;$C58,防護具!$Q$13:$Q$29),DI60)-VLOOKUP($C58,$C$3:$D$15,2,FALSE)*DI$20)</f>
        <v>0</v>
      </c>
      <c r="DK60" s="762">
        <f xml:space="preserve">
IF(
SUM(SUMIF(防護具!$Y$13:$Y$29,DK$17&amp;$C58,防護具!$Q$13:$Q$29),DJ60)-VLOOKUP($C58,$C$3:$D$15,2,FALSE)*DJ$20&lt;0,0,
SUM(SUMIF(防護具!$Y$13:$Y$29,DK$17&amp;$C58,防護具!$Q$13:$Q$29),DJ60)-VLOOKUP($C58,$C$3:$D$15,2,FALSE)*DJ$20)</f>
        <v>0</v>
      </c>
      <c r="DL60" s="762">
        <f xml:space="preserve">
IF(
SUM(SUMIF(防護具!$Y$13:$Y$29,DL$17&amp;$C58,防護具!$Q$13:$Q$29),DK60)-VLOOKUP($C58,$C$3:$D$15,2,FALSE)*DK$20&lt;0,0,
SUM(SUMIF(防護具!$Y$13:$Y$29,DL$17&amp;$C58,防護具!$Q$13:$Q$29),DK60)-VLOOKUP($C58,$C$3:$D$15,2,FALSE)*DK$20)</f>
        <v>0</v>
      </c>
      <c r="DM60" s="762">
        <f xml:space="preserve">
IF(
SUM(SUMIF(防護具!$Y$13:$Y$29,DM$17&amp;$C58,防護具!$Q$13:$Q$29),DL60)-VLOOKUP($C58,$C$3:$D$15,2,FALSE)*DL$20&lt;0,0,
SUM(SUMIF(防護具!$Y$13:$Y$29,DM$17&amp;$C58,防護具!$Q$13:$Q$29),DL60)-VLOOKUP($C58,$C$3:$D$15,2,FALSE)*DL$20)</f>
        <v>0</v>
      </c>
      <c r="DN60" s="762">
        <f xml:space="preserve">
IF(
SUM(SUMIF(防護具!$Y$13:$Y$29,DN$17&amp;$C58,防護具!$Q$13:$Q$29),DM60)-VLOOKUP($C58,$C$3:$D$15,2,FALSE)*DM$20&lt;0,0,
SUM(SUMIF(防護具!$Y$13:$Y$29,DN$17&amp;$C58,防護具!$Q$13:$Q$29),DM60)-VLOOKUP($C58,$C$3:$D$15,2,FALSE)*DM$20)</f>
        <v>0</v>
      </c>
      <c r="DO60" s="762">
        <f xml:space="preserve">
IF(
SUM(SUMIF(防護具!$Y$13:$Y$29,DO$17&amp;$C58,防護具!$Q$13:$Q$29),DN60)-VLOOKUP($C58,$C$3:$D$15,2,FALSE)*DN$20&lt;0,0,
SUM(SUMIF(防護具!$Y$13:$Y$29,DO$17&amp;$C58,防護具!$Q$13:$Q$29),DN60)-VLOOKUP($C58,$C$3:$D$15,2,FALSE)*DN$20)</f>
        <v>0</v>
      </c>
      <c r="DP60" s="762">
        <f xml:space="preserve">
IF(
SUM(SUMIF(防護具!$Y$13:$Y$29,DP$17&amp;$C58,防護具!$Q$13:$Q$29),DO60)-VLOOKUP($C58,$C$3:$D$15,2,FALSE)*DO$20&lt;0,0,
SUM(SUMIF(防護具!$Y$13:$Y$29,DP$17&amp;$C58,防護具!$Q$13:$Q$29),DO60)-VLOOKUP($C58,$C$3:$D$15,2,FALSE)*DO$20)</f>
        <v>0</v>
      </c>
      <c r="DQ60" s="762">
        <f xml:space="preserve">
IF(
SUM(SUMIF(防護具!$Y$13:$Y$29,DQ$17&amp;$C58,防護具!$Q$13:$Q$29),DP60)-VLOOKUP($C58,$C$3:$D$15,2,FALSE)*DP$20&lt;0,0,
SUM(SUMIF(防護具!$Y$13:$Y$29,DQ$17&amp;$C58,防護具!$Q$13:$Q$29),DP60)-VLOOKUP($C58,$C$3:$D$15,2,FALSE)*DP$20)</f>
        <v>0</v>
      </c>
      <c r="DR60" s="762">
        <f xml:space="preserve">
IF(
SUM(SUMIF(防護具!$Y$13:$Y$29,DR$17&amp;$C58,防護具!$Q$13:$Q$29),DQ60)-VLOOKUP($C58,$C$3:$D$15,2,FALSE)*DQ$20&lt;0,0,
SUM(SUMIF(防護具!$Y$13:$Y$29,DR$17&amp;$C58,防護具!$Q$13:$Q$29),DQ60)-VLOOKUP($C58,$C$3:$D$15,2,FALSE)*DQ$20)</f>
        <v>0</v>
      </c>
      <c r="DS60" s="762">
        <f xml:space="preserve">
IF(
SUM(SUMIF(防護具!$Y$13:$Y$29,DS$17&amp;$C58,防護具!$Q$13:$Q$29),DR60)-VLOOKUP($C58,$C$3:$D$15,2,FALSE)*DR$20&lt;0,0,
SUM(SUMIF(防護具!$Y$13:$Y$29,DS$17&amp;$C58,防護具!$Q$13:$Q$29),DR60)-VLOOKUP($C58,$C$3:$D$15,2,FALSE)*DR$20)</f>
        <v>0</v>
      </c>
      <c r="DT60" s="762">
        <f xml:space="preserve">
IF(
SUM(SUMIF(防護具!$Y$13:$Y$29,DT$17&amp;$C58,防護具!$Q$13:$Q$29),DS60)-VLOOKUP($C58,$C$3:$D$15,2,FALSE)*DS$20&lt;0,0,
SUM(SUMIF(防護具!$Y$13:$Y$29,DT$17&amp;$C58,防護具!$Q$13:$Q$29),DS60)-VLOOKUP($C58,$C$3:$D$15,2,FALSE)*DS$20)</f>
        <v>0</v>
      </c>
      <c r="DU60" s="762">
        <f xml:space="preserve">
IF(
SUM(SUMIF(防護具!$Y$13:$Y$29,DU$17&amp;$C58,防護具!$Q$13:$Q$29),DT60)-VLOOKUP($C58,$C$3:$D$15,2,FALSE)*DT$20&lt;0,0,
SUM(SUMIF(防護具!$Y$13:$Y$29,DU$17&amp;$C58,防護具!$Q$13:$Q$29),DT60)-VLOOKUP($C58,$C$3:$D$15,2,FALSE)*DT$20)</f>
        <v>0</v>
      </c>
      <c r="DV60" s="762">
        <f xml:space="preserve">
IF(
SUM(SUMIF(防護具!$Y$13:$Y$29,DV$17&amp;$C58,防護具!$Q$13:$Q$29),DU60)-VLOOKUP($C58,$C$3:$D$15,2,FALSE)*DU$20&lt;0,0,
SUM(SUMIF(防護具!$Y$13:$Y$29,DV$17&amp;$C58,防護具!$Q$13:$Q$29),DU60)-VLOOKUP($C58,$C$3:$D$15,2,FALSE)*DU$20)</f>
        <v>0</v>
      </c>
      <c r="DW60" s="762">
        <f xml:space="preserve">
IF(
SUM(SUMIF(防護具!$Y$13:$Y$29,DW$17&amp;$C58,防護具!$Q$13:$Q$29),DV60)-VLOOKUP($C58,$C$3:$D$15,2,FALSE)*DV$20&lt;0,0,
SUM(SUMIF(防護具!$Y$13:$Y$29,DW$17&amp;$C58,防護具!$Q$13:$Q$29),DV60)-VLOOKUP($C58,$C$3:$D$15,2,FALSE)*DV$20)</f>
        <v>0</v>
      </c>
      <c r="DX60" s="762">
        <f xml:space="preserve">
IF(
SUM(SUMIF(防護具!$Y$13:$Y$29,DX$17&amp;$C58,防護具!$Q$13:$Q$29),DW60)-VLOOKUP($C58,$C$3:$D$15,2,FALSE)*DW$20&lt;0,0,
SUM(SUMIF(防護具!$Y$13:$Y$29,DX$17&amp;$C58,防護具!$Q$13:$Q$29),DW60)-VLOOKUP($C58,$C$3:$D$15,2,FALSE)*DW$20)</f>
        <v>0</v>
      </c>
      <c r="DY60" s="762">
        <f xml:space="preserve">
IF(
SUM(SUMIF(防護具!$Y$13:$Y$29,DY$17&amp;$C58,防護具!$Q$13:$Q$29),DX60)-VLOOKUP($C58,$C$3:$D$15,2,FALSE)*DX$20&lt;0,0,
SUM(SUMIF(防護具!$Y$13:$Y$29,DY$17&amp;$C58,防護具!$Q$13:$Q$29),DX60)-VLOOKUP($C58,$C$3:$D$15,2,FALSE)*DX$20)</f>
        <v>0</v>
      </c>
      <c r="DZ60" s="762">
        <f xml:space="preserve">
IF(
SUM(SUMIF(防護具!$Y$13:$Y$29,DZ$17&amp;$C58,防護具!$Q$13:$Q$29),DY60)-VLOOKUP($C58,$C$3:$D$15,2,FALSE)*DY$20&lt;0,0,
SUM(SUMIF(防護具!$Y$13:$Y$29,DZ$17&amp;$C58,防護具!$Q$13:$Q$29),DY60)-VLOOKUP($C58,$C$3:$D$15,2,FALSE)*DY$20)</f>
        <v>0</v>
      </c>
      <c r="EA60" s="762">
        <f xml:space="preserve">
IF(
SUM(SUMIF(防護具!$Y$13:$Y$29,EA$17&amp;$C58,防護具!$Q$13:$Q$29),DZ60)-VLOOKUP($C58,$C$3:$D$15,2,FALSE)*DZ$20&lt;0,0,
SUM(SUMIF(防護具!$Y$13:$Y$29,EA$17&amp;$C58,防護具!$Q$13:$Q$29),DZ60)-VLOOKUP($C58,$C$3:$D$15,2,FALSE)*DZ$20)</f>
        <v>0</v>
      </c>
      <c r="EB60" s="762">
        <f xml:space="preserve">
IF(
SUM(SUMIF(防護具!$Y$13:$Y$29,EB$17&amp;$C58,防護具!$Q$13:$Q$29),EA60)-VLOOKUP($C58,$C$3:$D$15,2,FALSE)*EA$20&lt;0,0,
SUM(SUMIF(防護具!$Y$13:$Y$29,EB$17&amp;$C58,防護具!$Q$13:$Q$29),EA60)-VLOOKUP($C58,$C$3:$D$15,2,FALSE)*EA$20)</f>
        <v>0</v>
      </c>
      <c r="EC60" s="762">
        <f xml:space="preserve">
IF(
SUM(SUMIF(防護具!$Y$13:$Y$29,EC$17&amp;$C58,防護具!$Q$13:$Q$29),EB60)-VLOOKUP($C58,$C$3:$D$15,2,FALSE)*EB$20&lt;0,0,
SUM(SUMIF(防護具!$Y$13:$Y$29,EC$17&amp;$C58,防護具!$Q$13:$Q$29),EB60)-VLOOKUP($C58,$C$3:$D$15,2,FALSE)*EB$20)</f>
        <v>0</v>
      </c>
      <c r="ED60" s="762">
        <f xml:space="preserve">
IF(
SUM(SUMIF(防護具!$Y$13:$Y$29,ED$17&amp;$C58,防護具!$Q$13:$Q$29),EC60)-VLOOKUP($C58,$C$3:$D$15,2,FALSE)*EC$20&lt;0,0,
SUM(SUMIF(防護具!$Y$13:$Y$29,ED$17&amp;$C58,防護具!$Q$13:$Q$29),EC60)-VLOOKUP($C58,$C$3:$D$15,2,FALSE)*EC$20)</f>
        <v>0</v>
      </c>
      <c r="EE60" s="762">
        <f xml:space="preserve">
IF(
SUM(SUMIF(防護具!$Y$13:$Y$29,EE$17&amp;$C58,防護具!$Q$13:$Q$29),ED60)-VLOOKUP($C58,$C$3:$D$15,2,FALSE)*ED$20&lt;0,0,
SUM(SUMIF(防護具!$Y$13:$Y$29,EE$17&amp;$C58,防護具!$Q$13:$Q$29),ED60)-VLOOKUP($C58,$C$3:$D$15,2,FALSE)*ED$20)</f>
        <v>0</v>
      </c>
      <c r="EF60" s="762">
        <f xml:space="preserve">
IF(
SUM(SUMIF(防護具!$Y$13:$Y$29,EF$17&amp;$C58,防護具!$Q$13:$Q$29),EE60)-VLOOKUP($C58,$C$3:$D$15,2,FALSE)*EE$20&lt;0,0,
SUM(SUMIF(防護具!$Y$13:$Y$29,EF$17&amp;$C58,防護具!$Q$13:$Q$29),EE60)-VLOOKUP($C58,$C$3:$D$15,2,FALSE)*EE$20)</f>
        <v>0</v>
      </c>
      <c r="EG60" s="762">
        <f xml:space="preserve">
IF(
SUM(SUMIF(防護具!$Y$13:$Y$29,EG$17&amp;$C58,防護具!$Q$13:$Q$29),EF60)-VLOOKUP($C58,$C$3:$D$15,2,FALSE)*EF$20&lt;0,0,
SUM(SUMIF(防護具!$Y$13:$Y$29,EG$17&amp;$C58,防護具!$Q$13:$Q$29),EF60)-VLOOKUP($C58,$C$3:$D$15,2,FALSE)*EF$20)</f>
        <v>0</v>
      </c>
      <c r="EH60" s="762">
        <f xml:space="preserve">
IF(
SUM(SUMIF(防護具!$Y$13:$Y$29,EH$17&amp;$C58,防護具!$Q$13:$Q$29),EG60)-VLOOKUP($C58,$C$3:$D$15,2,FALSE)*EG$20&lt;0,0,
SUM(SUMIF(防護具!$Y$13:$Y$29,EH$17&amp;$C58,防護具!$Q$13:$Q$29),EG60)-VLOOKUP($C58,$C$3:$D$15,2,FALSE)*EG$20)</f>
        <v>0</v>
      </c>
      <c r="EI60" s="762">
        <f xml:space="preserve">
IF(
SUM(SUMIF(防護具!$Y$13:$Y$29,EI$17&amp;$C58,防護具!$Q$13:$Q$29),EH60)-VLOOKUP($C58,$C$3:$D$15,2,FALSE)*EH$20&lt;0,0,
SUM(SUMIF(防護具!$Y$13:$Y$29,EI$17&amp;$C58,防護具!$Q$13:$Q$29),EH60)-VLOOKUP($C58,$C$3:$D$15,2,FALSE)*EH$20)</f>
        <v>0</v>
      </c>
      <c r="EJ60" s="762">
        <f xml:space="preserve">
IF(
SUM(SUMIF(防護具!$Y$13:$Y$29,EJ$17&amp;$C58,防護具!$Q$13:$Q$29),EI60)-VLOOKUP($C58,$C$3:$D$15,2,FALSE)*EI$20&lt;0,0,
SUM(SUMIF(防護具!$Y$13:$Y$29,EJ$17&amp;$C58,防護具!$Q$13:$Q$29),EI60)-VLOOKUP($C58,$C$3:$D$15,2,FALSE)*EI$20)</f>
        <v>0</v>
      </c>
      <c r="EK60" s="762">
        <f xml:space="preserve">
IF(
SUM(SUMIF(防護具!$Y$13:$Y$29,EK$17&amp;$C58,防護具!$Q$13:$Q$29),EJ60)-VLOOKUP($C58,$C$3:$D$15,2,FALSE)*EJ$20&lt;0,0,
SUM(SUMIF(防護具!$Y$13:$Y$29,EK$17&amp;$C58,防護具!$Q$13:$Q$29),EJ60)-VLOOKUP($C58,$C$3:$D$15,2,FALSE)*EJ$20)</f>
        <v>0</v>
      </c>
      <c r="EL60" s="762">
        <f xml:space="preserve">
IF(
SUM(SUMIF(防護具!$Y$13:$Y$29,EL$17&amp;$C58,防護具!$Q$13:$Q$29),EK60)-VLOOKUP($C58,$C$3:$D$15,2,FALSE)*EK$20&lt;0,0,
SUM(SUMIF(防護具!$Y$13:$Y$29,EL$17&amp;$C58,防護具!$Q$13:$Q$29),EK60)-VLOOKUP($C58,$C$3:$D$15,2,FALSE)*EK$20)</f>
        <v>0</v>
      </c>
      <c r="EM60" s="762">
        <f xml:space="preserve">
IF(
SUM(SUMIF(防護具!$Y$13:$Y$29,EM$17&amp;$C58,防護具!$Q$13:$Q$29),EL60)-VLOOKUP($C58,$C$3:$D$15,2,FALSE)*EL$20&lt;0,0,
SUM(SUMIF(防護具!$Y$13:$Y$29,EM$17&amp;$C58,防護具!$Q$13:$Q$29),EL60)-VLOOKUP($C58,$C$3:$D$15,2,FALSE)*EL$20)</f>
        <v>0</v>
      </c>
      <c r="EN60" s="762">
        <f xml:space="preserve">
IF(
SUM(SUMIF(防護具!$Y$13:$Y$29,EN$17&amp;$C58,防護具!$Q$13:$Q$29),EM60)-VLOOKUP($C58,$C$3:$D$15,2,FALSE)*EM$20&lt;0,0,
SUM(SUMIF(防護具!$Y$13:$Y$29,EN$17&amp;$C58,防護具!$Q$13:$Q$29),EM60)-VLOOKUP($C58,$C$3:$D$15,2,FALSE)*EM$20)</f>
        <v>0</v>
      </c>
      <c r="EO60" s="762">
        <f xml:space="preserve">
IF(
SUM(SUMIF(防護具!$Y$13:$Y$29,EO$17&amp;$C58,防護具!$Q$13:$Q$29),EN60)-VLOOKUP($C58,$C$3:$D$15,2,FALSE)*EN$20&lt;0,0,
SUM(SUMIF(防護具!$Y$13:$Y$29,EO$17&amp;$C58,防護具!$Q$13:$Q$29),EN60)-VLOOKUP($C58,$C$3:$D$15,2,FALSE)*EN$20)</f>
        <v>0</v>
      </c>
      <c r="EP60" s="762">
        <f xml:space="preserve">
IF(
SUM(SUMIF(防護具!$Y$13:$Y$29,EP$17&amp;$C58,防護具!$Q$13:$Q$29),EO60)-VLOOKUP($C58,$C$3:$D$15,2,FALSE)*EO$20&lt;0,0,
SUM(SUMIF(防護具!$Y$13:$Y$29,EP$17&amp;$C58,防護具!$Q$13:$Q$29),EO60)-VLOOKUP($C58,$C$3:$D$15,2,FALSE)*EO$20)</f>
        <v>0</v>
      </c>
      <c r="EQ60" s="762">
        <f xml:space="preserve">
IF(
SUM(SUMIF(防護具!$Y$13:$Y$29,EQ$17&amp;$C58,防護具!$Q$13:$Q$29),EP60)-VLOOKUP($C58,$C$3:$D$15,2,FALSE)*EP$20&lt;0,0,
SUM(SUMIF(防護具!$Y$13:$Y$29,EQ$17&amp;$C58,防護具!$Q$13:$Q$29),EP60)-VLOOKUP($C58,$C$3:$D$15,2,FALSE)*EP$20)</f>
        <v>0</v>
      </c>
      <c r="ER60" s="762">
        <f xml:space="preserve">
IF(
SUM(SUMIF(防護具!$Y$13:$Y$29,ER$17&amp;$C58,防護具!$Q$13:$Q$29),EQ60)-VLOOKUP($C58,$C$3:$D$15,2,FALSE)*EQ$20&lt;0,0,
SUM(SUMIF(防護具!$Y$13:$Y$29,ER$17&amp;$C58,防護具!$Q$13:$Q$29),EQ60)-VLOOKUP($C58,$C$3:$D$15,2,FALSE)*EQ$20)</f>
        <v>0</v>
      </c>
      <c r="ES60" s="762">
        <f xml:space="preserve">
IF(
SUM(SUMIF(防護具!$Y$13:$Y$29,ES$17&amp;$C58,防護具!$Q$13:$Q$29),ER60)-VLOOKUP($C58,$C$3:$D$15,2,FALSE)*ER$20&lt;0,0,
SUM(SUMIF(防護具!$Y$13:$Y$29,ES$17&amp;$C58,防護具!$Q$13:$Q$29),ER60)-VLOOKUP($C58,$C$3:$D$15,2,FALSE)*ER$20)</f>
        <v>0</v>
      </c>
      <c r="ET60" s="762">
        <f xml:space="preserve">
IF(
SUM(SUMIF(防護具!$Y$13:$Y$29,ET$17&amp;$C58,防護具!$Q$13:$Q$29),ES60)-VLOOKUP($C58,$C$3:$D$15,2,FALSE)*ES$20&lt;0,0,
SUM(SUMIF(防護具!$Y$13:$Y$29,ET$17&amp;$C58,防護具!$Q$13:$Q$29),ES60)-VLOOKUP($C58,$C$3:$D$15,2,FALSE)*ES$20)</f>
        <v>0</v>
      </c>
      <c r="EU60" s="762">
        <f xml:space="preserve">
IF(
SUM(SUMIF(防護具!$Y$13:$Y$29,EU$17&amp;$C58,防護具!$Q$13:$Q$29),ET60)-VLOOKUP($C58,$C$3:$D$15,2,FALSE)*ET$20&lt;0,0,
SUM(SUMIF(防護具!$Y$13:$Y$29,EU$17&amp;$C58,防護具!$Q$13:$Q$29),ET60)-VLOOKUP($C58,$C$3:$D$15,2,FALSE)*ET$20)</f>
        <v>0</v>
      </c>
      <c r="EV60" s="762">
        <f xml:space="preserve">
IF(
SUM(SUMIF(防護具!$Y$13:$Y$29,EV$17&amp;$C58,防護具!$Q$13:$Q$29),EU60)-VLOOKUP($C58,$C$3:$D$15,2,FALSE)*EU$20&lt;0,0,
SUM(SUMIF(防護具!$Y$13:$Y$29,EV$17&amp;$C58,防護具!$Q$13:$Q$29),EU60)-VLOOKUP($C58,$C$3:$D$15,2,FALSE)*EU$20)</f>
        <v>0</v>
      </c>
      <c r="EW60" s="762">
        <f xml:space="preserve">
IF(
SUM(SUMIF(防護具!$Y$13:$Y$29,EW$17&amp;$C58,防護具!$Q$13:$Q$29),EV60)-VLOOKUP($C58,$C$3:$D$15,2,FALSE)*EV$20&lt;0,0,
SUM(SUMIF(防護具!$Y$13:$Y$29,EW$17&amp;$C58,防護具!$Q$13:$Q$29),EV60)-VLOOKUP($C58,$C$3:$D$15,2,FALSE)*EV$20)</f>
        <v>0</v>
      </c>
      <c r="EX60" s="762">
        <f xml:space="preserve">
IF(
SUM(SUMIF(防護具!$Y$13:$Y$29,EX$17&amp;$C58,防護具!$Q$13:$Q$29),EW60)-VLOOKUP($C58,$C$3:$D$15,2,FALSE)*EW$20&lt;0,0,
SUM(SUMIF(防護具!$Y$13:$Y$29,EX$17&amp;$C58,防護具!$Q$13:$Q$29),EW60)-VLOOKUP($C58,$C$3:$D$15,2,FALSE)*EW$20)</f>
        <v>0</v>
      </c>
      <c r="EY60" s="762">
        <f xml:space="preserve">
IF(
SUM(SUMIF(防護具!$Y$13:$Y$29,EY$17&amp;$C58,防護具!$Q$13:$Q$29),EX60)-VLOOKUP($C58,$C$3:$D$15,2,FALSE)*EX$20&lt;0,0,
SUM(SUMIF(防護具!$Y$13:$Y$29,EY$17&amp;$C58,防護具!$Q$13:$Q$29),EX60)-VLOOKUP($C58,$C$3:$D$15,2,FALSE)*EX$20)</f>
        <v>0</v>
      </c>
      <c r="EZ60" s="762">
        <f xml:space="preserve">
IF(
SUM(SUMIF(防護具!$Y$13:$Y$29,EZ$17&amp;$C58,防護具!$Q$13:$Q$29),EY60)-VLOOKUP($C58,$C$3:$D$15,2,FALSE)*EY$20&lt;0,0,
SUM(SUMIF(防護具!$Y$13:$Y$29,EZ$17&amp;$C58,防護具!$Q$13:$Q$29),EY60)-VLOOKUP($C58,$C$3:$D$15,2,FALSE)*EY$20)</f>
        <v>0</v>
      </c>
      <c r="FA60" s="762">
        <f xml:space="preserve">
IF(
SUM(SUMIF(防護具!$Y$13:$Y$29,FA$17&amp;$C58,防護具!$Q$13:$Q$29),EZ60)-VLOOKUP($C58,$C$3:$D$15,2,FALSE)*EZ$20&lt;0,0,
SUM(SUMIF(防護具!$Y$13:$Y$29,FA$17&amp;$C58,防護具!$Q$13:$Q$29),EZ60)-VLOOKUP($C58,$C$3:$D$15,2,FALSE)*EZ$20)</f>
        <v>0</v>
      </c>
      <c r="FB60" s="762">
        <f xml:space="preserve">
IF(
SUM(SUMIF(防護具!$Y$13:$Y$29,FB$17&amp;$C58,防護具!$Q$13:$Q$29),FA60)-VLOOKUP($C58,$C$3:$D$15,2,FALSE)*FA$20&lt;0,0,
SUM(SUMIF(防護具!$Y$13:$Y$29,FB$17&amp;$C58,防護具!$Q$13:$Q$29),FA60)-VLOOKUP($C58,$C$3:$D$15,2,FALSE)*FA$20)</f>
        <v>0</v>
      </c>
      <c r="FC60" s="762">
        <f xml:space="preserve">
IF(
SUM(SUMIF(防護具!$Y$13:$Y$29,FC$17&amp;$C58,防護具!$Q$13:$Q$29),FB60)-VLOOKUP($C58,$C$3:$D$15,2,FALSE)*FB$20&lt;0,0,
SUM(SUMIF(防護具!$Y$13:$Y$29,FC$17&amp;$C58,防護具!$Q$13:$Q$29),FB60)-VLOOKUP($C58,$C$3:$D$15,2,FALSE)*FB$20)</f>
        <v>0</v>
      </c>
      <c r="FD60" s="762">
        <f xml:space="preserve">
IF(
SUM(SUMIF(防護具!$Y$13:$Y$29,FD$17&amp;$C58,防護具!$Q$13:$Q$29),FC60)-VLOOKUP($C58,$C$3:$D$15,2,FALSE)*FC$20&lt;0,0,
SUM(SUMIF(防護具!$Y$13:$Y$29,FD$17&amp;$C58,防護具!$Q$13:$Q$29),FC60)-VLOOKUP($C58,$C$3:$D$15,2,FALSE)*FC$20)</f>
        <v>0</v>
      </c>
      <c r="FE60" s="762">
        <f xml:space="preserve">
IF(
SUM(SUMIF(防護具!$Y$13:$Y$29,FE$17&amp;$C58,防護具!$Q$13:$Q$29),FD60)-VLOOKUP($C58,$C$3:$D$15,2,FALSE)*FD$20&lt;0,0,
SUM(SUMIF(防護具!$Y$13:$Y$29,FE$17&amp;$C58,防護具!$Q$13:$Q$29),FD60)-VLOOKUP($C58,$C$3:$D$15,2,FALSE)*FD$20)</f>
        <v>0</v>
      </c>
      <c r="FF60" s="762">
        <f xml:space="preserve">
IF(
SUM(SUMIF(防護具!$Y$13:$Y$29,FF$17&amp;$C58,防護具!$Q$13:$Q$29),FE60)-VLOOKUP($C58,$C$3:$D$15,2,FALSE)*FE$20&lt;0,0,
SUM(SUMIF(防護具!$Y$13:$Y$29,FF$17&amp;$C58,防護具!$Q$13:$Q$29),FE60)-VLOOKUP($C58,$C$3:$D$15,2,FALSE)*FE$20)</f>
        <v>0</v>
      </c>
      <c r="FG60" s="762">
        <f xml:space="preserve">
IF(
SUM(SUMIF(防護具!$Y$13:$Y$29,FG$17&amp;$C58,防護具!$Q$13:$Q$29),FF60)-VLOOKUP($C58,$C$3:$D$15,2,FALSE)*FF$20&lt;0,0,
SUM(SUMIF(防護具!$Y$13:$Y$29,FG$17&amp;$C58,防護具!$Q$13:$Q$29),FF60)-VLOOKUP($C58,$C$3:$D$15,2,FALSE)*FF$20)</f>
        <v>0</v>
      </c>
      <c r="FH60" s="762">
        <f xml:space="preserve">
IF(
SUM(SUMIF(防護具!$Y$13:$Y$29,FH$17&amp;$C58,防護具!$Q$13:$Q$29),FG60)-VLOOKUP($C58,$C$3:$D$15,2,FALSE)*FG$20&lt;0,0,
SUM(SUMIF(防護具!$Y$13:$Y$29,FH$17&amp;$C58,防護具!$Q$13:$Q$29),FG60)-VLOOKUP($C58,$C$3:$D$15,2,FALSE)*FG$20)</f>
        <v>0</v>
      </c>
      <c r="FI60" s="762">
        <f xml:space="preserve">
IF(
SUM(SUMIF(防護具!$Y$13:$Y$29,FI$17&amp;$C58,防護具!$Q$13:$Q$29),FH60)-VLOOKUP($C58,$C$3:$D$15,2,FALSE)*FH$20&lt;0,0,
SUM(SUMIF(防護具!$Y$13:$Y$29,FI$17&amp;$C58,防護具!$Q$13:$Q$29),FH60)-VLOOKUP($C58,$C$3:$D$15,2,FALSE)*FH$20)</f>
        <v>0</v>
      </c>
      <c r="FJ60" s="762">
        <f xml:space="preserve">
IF(
SUM(SUMIF(防護具!$Y$13:$Y$29,FJ$17&amp;$C58,防護具!$Q$13:$Q$29),FI60)-VLOOKUP($C58,$C$3:$D$15,2,FALSE)*FI$20&lt;0,0,
SUM(SUMIF(防護具!$Y$13:$Y$29,FJ$17&amp;$C58,防護具!$Q$13:$Q$29),FI60)-VLOOKUP($C58,$C$3:$D$15,2,FALSE)*FI$20)</f>
        <v>0</v>
      </c>
      <c r="FK60" s="762">
        <f xml:space="preserve">
IF(
SUM(SUMIF(防護具!$Y$13:$Y$29,FK$17&amp;$C58,防護具!$Q$13:$Q$29),FJ60)-VLOOKUP($C58,$C$3:$D$15,2,FALSE)*FJ$20&lt;0,0,
SUM(SUMIF(防護具!$Y$13:$Y$29,FK$17&amp;$C58,防護具!$Q$13:$Q$29),FJ60)-VLOOKUP($C58,$C$3:$D$15,2,FALSE)*FJ$20)</f>
        <v>0</v>
      </c>
      <c r="FL60" s="762">
        <f xml:space="preserve">
IF(
SUM(SUMIF(防護具!$Y$13:$Y$29,FL$17&amp;$C58,防護具!$Q$13:$Q$29),FK60)-VLOOKUP($C58,$C$3:$D$15,2,FALSE)*FK$20&lt;0,0,
SUM(SUMIF(防護具!$Y$13:$Y$29,FL$17&amp;$C58,防護具!$Q$13:$Q$29),FK60)-VLOOKUP($C58,$C$3:$D$15,2,FALSE)*FK$20)</f>
        <v>0</v>
      </c>
      <c r="FM60" s="762">
        <f xml:space="preserve">
IF(
SUM(SUMIF(防護具!$Y$13:$Y$29,FM$17&amp;$C58,防護具!$Q$13:$Q$29),FL60)-VLOOKUP($C58,$C$3:$D$15,2,FALSE)*FL$20&lt;0,0,
SUM(SUMIF(防護具!$Y$13:$Y$29,FM$17&amp;$C58,防護具!$Q$13:$Q$29),FL60)-VLOOKUP($C58,$C$3:$D$15,2,FALSE)*FL$20)</f>
        <v>0</v>
      </c>
      <c r="FN60" s="762">
        <f xml:space="preserve">
IF(
SUM(SUMIF(防護具!$Y$13:$Y$29,FN$17&amp;$C58,防護具!$Q$13:$Q$29),FM60)-VLOOKUP($C58,$C$3:$D$15,2,FALSE)*FM$20&lt;0,0,
SUM(SUMIF(防護具!$Y$13:$Y$29,FN$17&amp;$C58,防護具!$Q$13:$Q$29),FM60)-VLOOKUP($C58,$C$3:$D$15,2,FALSE)*FM$20)</f>
        <v>0</v>
      </c>
      <c r="FO60" s="762">
        <f xml:space="preserve">
IF(
SUM(SUMIF(防護具!$Y$13:$Y$29,FO$17&amp;$C58,防護具!$Q$13:$Q$29),FN60)-VLOOKUP($C58,$C$3:$D$15,2,FALSE)*FN$20&lt;0,0,
SUM(SUMIF(防護具!$Y$13:$Y$29,FO$17&amp;$C58,防護具!$Q$13:$Q$29),FN60)-VLOOKUP($C58,$C$3:$D$15,2,FALSE)*FN$20)</f>
        <v>0</v>
      </c>
      <c r="FP60" s="762">
        <f xml:space="preserve">
IF(
SUM(SUMIF(防護具!$Y$13:$Y$29,FP$17&amp;$C58,防護具!$Q$13:$Q$29),FO60)-VLOOKUP($C58,$C$3:$D$15,2,FALSE)*FO$20&lt;0,0,
SUM(SUMIF(防護具!$Y$13:$Y$29,FP$17&amp;$C58,防護具!$Q$13:$Q$29),FO60)-VLOOKUP($C58,$C$3:$D$15,2,FALSE)*FO$20)</f>
        <v>0</v>
      </c>
      <c r="FQ60" s="762">
        <f xml:space="preserve">
IF(
SUM(SUMIF(防護具!$Y$13:$Y$29,FQ$17&amp;$C58,防護具!$Q$13:$Q$29),FP60)-VLOOKUP($C58,$C$3:$D$15,2,FALSE)*FP$20&lt;0,0,
SUM(SUMIF(防護具!$Y$13:$Y$29,FQ$17&amp;$C58,防護具!$Q$13:$Q$29),FP60)-VLOOKUP($C58,$C$3:$D$15,2,FALSE)*FP$20)</f>
        <v>0</v>
      </c>
      <c r="FR60" s="762">
        <f xml:space="preserve">
IF(
SUM(SUMIF(防護具!$Y$13:$Y$29,FR$17&amp;$C58,防護具!$Q$13:$Q$29),FQ60)-VLOOKUP($C58,$C$3:$D$15,2,FALSE)*FQ$20&lt;0,0,
SUM(SUMIF(防護具!$Y$13:$Y$29,FR$17&amp;$C58,防護具!$Q$13:$Q$29),FQ60)-VLOOKUP($C58,$C$3:$D$15,2,FALSE)*FQ$20)</f>
        <v>0</v>
      </c>
      <c r="FS60" s="762">
        <f xml:space="preserve">
IF(
SUM(SUMIF(防護具!$Y$13:$Y$29,FS$17&amp;$C58,防護具!$Q$13:$Q$29),FR60)-VLOOKUP($C58,$C$3:$D$15,2,FALSE)*FR$20&lt;0,0,
SUM(SUMIF(防護具!$Y$13:$Y$29,FS$17&amp;$C58,防護具!$Q$13:$Q$29),FR60)-VLOOKUP($C58,$C$3:$D$15,2,FALSE)*FR$20)</f>
        <v>0</v>
      </c>
      <c r="FT60" s="762">
        <f xml:space="preserve">
IF(
SUM(SUMIF(防護具!$Y$13:$Y$29,FT$17&amp;$C58,防護具!$Q$13:$Q$29),FS60)-VLOOKUP($C58,$C$3:$D$15,2,FALSE)*FS$20&lt;0,0,
SUM(SUMIF(防護具!$Y$13:$Y$29,FT$17&amp;$C58,防護具!$Q$13:$Q$29),FS60)-VLOOKUP($C58,$C$3:$D$15,2,FALSE)*FS$20)</f>
        <v>0</v>
      </c>
      <c r="FU60" s="762">
        <f xml:space="preserve">
IF(
SUM(SUMIF(防護具!$Y$13:$Y$29,FU$17&amp;$C58,防護具!$Q$13:$Q$29),FT60)-VLOOKUP($C58,$C$3:$D$15,2,FALSE)*FT$20&lt;0,0,
SUM(SUMIF(防護具!$Y$13:$Y$29,FU$17&amp;$C58,防護具!$Q$13:$Q$29),FT60)-VLOOKUP($C58,$C$3:$D$15,2,FALSE)*FT$20)</f>
        <v>0</v>
      </c>
      <c r="FV60" s="762">
        <f xml:space="preserve">
IF(
SUM(SUMIF(防護具!$Y$13:$Y$29,FV$17&amp;$C58,防護具!$Q$13:$Q$29),FU60)-VLOOKUP($C58,$C$3:$D$15,2,FALSE)*FU$20&lt;0,0,
SUM(SUMIF(防護具!$Y$13:$Y$29,FV$17&amp;$C58,防護具!$Q$13:$Q$29),FU60)-VLOOKUP($C58,$C$3:$D$15,2,FALSE)*FU$20)</f>
        <v>0</v>
      </c>
      <c r="FW60" s="762">
        <f xml:space="preserve">
IF(
SUM(SUMIF(防護具!$Y$13:$Y$29,FW$17&amp;$C58,防護具!$Q$13:$Q$29),FV60)-VLOOKUP($C58,$C$3:$D$15,2,FALSE)*FV$20&lt;0,0,
SUM(SUMIF(防護具!$Y$13:$Y$29,FW$17&amp;$C58,防護具!$Q$13:$Q$29),FV60)-VLOOKUP($C58,$C$3:$D$15,2,FALSE)*FV$20)</f>
        <v>0</v>
      </c>
      <c r="FX60" s="762">
        <f xml:space="preserve">
IF(
SUM(SUMIF(防護具!$Y$13:$Y$29,FX$17&amp;$C58,防護具!$Q$13:$Q$29),FW60)-VLOOKUP($C58,$C$3:$D$15,2,FALSE)*FW$20&lt;0,0,
SUM(SUMIF(防護具!$Y$13:$Y$29,FX$17&amp;$C58,防護具!$Q$13:$Q$29),FW60)-VLOOKUP($C58,$C$3:$D$15,2,FALSE)*FW$20)</f>
        <v>0</v>
      </c>
      <c r="FY60" s="762">
        <f xml:space="preserve">
IF(
SUM(SUMIF(防護具!$Y$13:$Y$29,FY$17&amp;$C58,防護具!$Q$13:$Q$29),FX60)-VLOOKUP($C58,$C$3:$D$15,2,FALSE)*FX$20&lt;0,0,
SUM(SUMIF(防護具!$Y$13:$Y$29,FY$17&amp;$C58,防護具!$Q$13:$Q$29),FX60)-VLOOKUP($C58,$C$3:$D$15,2,FALSE)*FX$20)</f>
        <v>0</v>
      </c>
      <c r="FZ60" s="762">
        <f xml:space="preserve">
IF(
SUM(SUMIF(防護具!$Y$13:$Y$29,FZ$17&amp;$C58,防護具!$Q$13:$Q$29),FY60)-VLOOKUP($C58,$C$3:$D$15,2,FALSE)*FY$20&lt;0,0,
SUM(SUMIF(防護具!$Y$13:$Y$29,FZ$17&amp;$C58,防護具!$Q$13:$Q$29),FY60)-VLOOKUP($C58,$C$3:$D$15,2,FALSE)*FY$20)</f>
        <v>0</v>
      </c>
      <c r="GA60" s="762">
        <f xml:space="preserve">
IF(
SUM(SUMIF(防護具!$Y$13:$Y$29,GA$17&amp;$C58,防護具!$Q$13:$Q$29),FZ60)-VLOOKUP($C58,$C$3:$D$15,2,FALSE)*FZ$20&lt;0,0,
SUM(SUMIF(防護具!$Y$13:$Y$29,GA$17&amp;$C58,防護具!$Q$13:$Q$29),FZ60)-VLOOKUP($C58,$C$3:$D$15,2,FALSE)*FZ$20)</f>
        <v>0</v>
      </c>
      <c r="GB60" s="762">
        <f xml:space="preserve">
IF(
SUM(SUMIF(防護具!$Y$13:$Y$29,GB$17&amp;$C58,防護具!$Q$13:$Q$29),GA60)-VLOOKUP($C58,$C$3:$D$15,2,FALSE)*GA$20&lt;0,0,
SUM(SUMIF(防護具!$Y$13:$Y$29,GB$17&amp;$C58,防護具!$Q$13:$Q$29),GA60)-VLOOKUP($C58,$C$3:$D$15,2,FALSE)*GA$20)</f>
        <v>0</v>
      </c>
      <c r="GC60" s="762">
        <f xml:space="preserve">
IF(
SUM(SUMIF(防護具!$Y$13:$Y$29,GC$17&amp;$C58,防護具!$Q$13:$Q$29),GB60)-VLOOKUP($C58,$C$3:$D$15,2,FALSE)*GB$20&lt;0,0,
SUM(SUMIF(防護具!$Y$13:$Y$29,GC$17&amp;$C58,防護具!$Q$13:$Q$29),GB60)-VLOOKUP($C58,$C$3:$D$15,2,FALSE)*GB$20)</f>
        <v>0</v>
      </c>
      <c r="GD60" s="762">
        <f xml:space="preserve">
IF(
SUM(SUMIF(防護具!$Y$13:$Y$29,GD$17&amp;$C58,防護具!$Q$13:$Q$29),GC60)-VLOOKUP($C58,$C$3:$D$15,2,FALSE)*GC$20&lt;0,0,
SUM(SUMIF(防護具!$Y$13:$Y$29,GD$17&amp;$C58,防護具!$Q$13:$Q$29),GC60)-VLOOKUP($C58,$C$3:$D$15,2,FALSE)*GC$20)</f>
        <v>0</v>
      </c>
      <c r="GE60" s="762">
        <f xml:space="preserve">
IF(
SUM(SUMIF(防護具!$Y$13:$Y$29,GE$17&amp;$C58,防護具!$Q$13:$Q$29),GD60)-VLOOKUP($C58,$C$3:$D$15,2,FALSE)*GD$20&lt;0,0,
SUM(SUMIF(防護具!$Y$13:$Y$29,GE$17&amp;$C58,防護具!$Q$13:$Q$29),GD60)-VLOOKUP($C58,$C$3:$D$15,2,FALSE)*GD$20)</f>
        <v>0</v>
      </c>
      <c r="GF60" s="762">
        <f xml:space="preserve">
IF(
SUM(SUMIF(防護具!$Y$13:$Y$29,GF$17&amp;$C58,防護具!$Q$13:$Q$29),GE60)-VLOOKUP($C58,$C$3:$D$15,2,FALSE)*GE$20&lt;0,0,
SUM(SUMIF(防護具!$Y$13:$Y$29,GF$17&amp;$C58,防護具!$Q$13:$Q$29),GE60)-VLOOKUP($C58,$C$3:$D$15,2,FALSE)*GE$20)</f>
        <v>0</v>
      </c>
      <c r="GG60" s="762">
        <f xml:space="preserve">
IF(
SUM(SUMIF(防護具!$Y$13:$Y$29,GG$17&amp;$C58,防護具!$Q$13:$Q$29),GF60)-VLOOKUP($C58,$C$3:$D$15,2,FALSE)*GF$20&lt;0,0,
SUM(SUMIF(防護具!$Y$13:$Y$29,GG$17&amp;$C58,防護具!$Q$13:$Q$29),GF60)-VLOOKUP($C58,$C$3:$D$15,2,FALSE)*GF$20)</f>
        <v>0</v>
      </c>
      <c r="GH60" s="762">
        <f xml:space="preserve">
IF(
SUM(SUMIF(防護具!$Y$13:$Y$29,GH$17&amp;$C58,防護具!$Q$13:$Q$29),GG60)-VLOOKUP($C58,$C$3:$D$15,2,FALSE)*GG$20&lt;0,0,
SUM(SUMIF(防護具!$Y$13:$Y$29,GH$17&amp;$C58,防護具!$Q$13:$Q$29),GG60)-VLOOKUP($C58,$C$3:$D$15,2,FALSE)*GG$20)</f>
        <v>0</v>
      </c>
      <c r="GI60" s="762">
        <f xml:space="preserve">
IF(
SUM(SUMIF(防護具!$Y$13:$Y$29,GI$17&amp;$C58,防護具!$Q$13:$Q$29),GH60)-VLOOKUP($C58,$C$3:$D$15,2,FALSE)*GH$20&lt;0,0,
SUM(SUMIF(防護具!$Y$13:$Y$29,GI$17&amp;$C58,防護具!$Q$13:$Q$29),GH60)-VLOOKUP($C58,$C$3:$D$15,2,FALSE)*GH$20)</f>
        <v>0</v>
      </c>
      <c r="GJ60" s="762">
        <f xml:space="preserve">
IF(
SUM(SUMIF(防護具!$Y$13:$Y$29,GJ$17&amp;$C58,防護具!$Q$13:$Q$29),GI60)-VLOOKUP($C58,$C$3:$D$15,2,FALSE)*GI$20&lt;0,0,
SUM(SUMIF(防護具!$Y$13:$Y$29,GJ$17&amp;$C58,防護具!$Q$13:$Q$29),GI60)-VLOOKUP($C58,$C$3:$D$15,2,FALSE)*GI$20)</f>
        <v>0</v>
      </c>
    </row>
    <row r="61" spans="2:192">
      <c r="B61" s="622"/>
      <c r="C61" s="618"/>
      <c r="D61" s="618"/>
      <c r="E61" s="618"/>
      <c r="F61" s="618"/>
      <c r="G61" s="618"/>
      <c r="H61" s="618"/>
      <c r="I61" s="618"/>
      <c r="J61" s="618"/>
      <c r="K61" s="618"/>
    </row>
    <row r="62" spans="2:192">
      <c r="B62" s="622"/>
      <c r="C62" s="618"/>
      <c r="D62" s="618"/>
      <c r="E62" s="618"/>
      <c r="F62" s="618"/>
      <c r="G62" s="618"/>
      <c r="H62" s="618"/>
      <c r="I62" s="618"/>
      <c r="J62" s="618"/>
      <c r="K62" s="618"/>
    </row>
    <row r="63" spans="2:192">
      <c r="B63" s="622"/>
      <c r="C63" s="618"/>
      <c r="D63" s="618"/>
      <c r="E63" s="618"/>
      <c r="F63" s="618"/>
      <c r="G63" s="618"/>
      <c r="H63" s="618"/>
      <c r="I63" s="618"/>
      <c r="J63" s="618"/>
      <c r="K63" s="618"/>
    </row>
    <row r="64" spans="2:192">
      <c r="B64" s="622"/>
      <c r="C64" s="618"/>
      <c r="D64" s="618"/>
      <c r="E64" s="618"/>
      <c r="F64" s="618"/>
      <c r="G64" s="618"/>
      <c r="H64" s="618"/>
      <c r="I64" s="618"/>
      <c r="J64" s="618"/>
      <c r="K64" s="618"/>
    </row>
    <row r="65" spans="2:11">
      <c r="B65" s="622"/>
      <c r="C65" s="618"/>
      <c r="D65" s="618"/>
      <c r="E65" s="618"/>
      <c r="F65" s="618"/>
      <c r="G65" s="618"/>
      <c r="H65" s="618"/>
      <c r="I65" s="618"/>
      <c r="J65" s="618"/>
      <c r="K65" s="618"/>
    </row>
    <row r="66" spans="2:11">
      <c r="B66" s="622"/>
      <c r="C66" s="618"/>
      <c r="D66" s="618"/>
      <c r="E66" s="618"/>
      <c r="F66" s="618"/>
      <c r="G66" s="618"/>
      <c r="H66" s="618"/>
      <c r="I66" s="618"/>
      <c r="J66" s="618"/>
      <c r="K66" s="618"/>
    </row>
    <row r="67" spans="2:11">
      <c r="B67" s="622"/>
      <c r="C67" s="618"/>
      <c r="D67" s="618"/>
      <c r="E67" s="618"/>
      <c r="F67" s="618"/>
      <c r="G67" s="618"/>
      <c r="H67" s="618"/>
      <c r="I67" s="618"/>
      <c r="J67" s="618"/>
      <c r="K67" s="618"/>
    </row>
    <row r="68" spans="2:11">
      <c r="B68" s="622"/>
      <c r="C68" s="618"/>
      <c r="D68" s="618"/>
      <c r="E68" s="618"/>
      <c r="F68" s="618"/>
      <c r="G68" s="618"/>
      <c r="H68" s="618"/>
      <c r="I68" s="618"/>
      <c r="J68" s="618"/>
      <c r="K68" s="618"/>
    </row>
    <row r="69" spans="2:11">
      <c r="B69" s="622"/>
      <c r="C69" s="618"/>
      <c r="D69" s="618"/>
      <c r="E69" s="618"/>
      <c r="F69" s="618"/>
      <c r="G69" s="618"/>
      <c r="H69" s="618"/>
      <c r="I69" s="618"/>
      <c r="J69" s="618"/>
      <c r="K69" s="618"/>
    </row>
    <row r="70" spans="2:11">
      <c r="B70" s="618"/>
      <c r="C70" s="618"/>
      <c r="D70" s="618"/>
      <c r="E70" s="618"/>
      <c r="F70" s="618"/>
      <c r="G70" s="618"/>
      <c r="H70" s="618"/>
      <c r="I70" s="618"/>
      <c r="J70" s="618"/>
      <c r="K70" s="618"/>
    </row>
    <row r="71" spans="2:11">
      <c r="B71" s="618"/>
      <c r="C71" s="618"/>
      <c r="D71" s="618"/>
      <c r="E71" s="618"/>
      <c r="F71" s="618"/>
      <c r="G71" s="618"/>
      <c r="H71" s="618"/>
      <c r="I71" s="618"/>
      <c r="J71" s="618"/>
      <c r="K71" s="618"/>
    </row>
  </sheetData>
  <sheetProtection algorithmName="SHA-512" hashValue="xjQL+G6pDI7Z8RkzGmA0GH1eXzywH4Co4FmQiyf9qZdDpS3t05LFQgay/FaVQM2tjwT8vLMKQgZLzZpdRI+s8A==" saltValue="/nCMlTbwaP9o9KVNEVcThQ==" spinCount="100000" sheet="1" objects="1" scenarios="1"/>
  <mergeCells count="18">
    <mergeCell ref="E2:F2"/>
    <mergeCell ref="E3:F3"/>
    <mergeCell ref="E4:F4"/>
    <mergeCell ref="E5:F5"/>
    <mergeCell ref="E6:F6"/>
    <mergeCell ref="C17:C19"/>
    <mergeCell ref="D20:E20"/>
    <mergeCell ref="D21:E21"/>
    <mergeCell ref="D17:F19"/>
    <mergeCell ref="E7:F7"/>
    <mergeCell ref="E8:F8"/>
    <mergeCell ref="E9:F9"/>
    <mergeCell ref="E10:F10"/>
    <mergeCell ref="E11:F11"/>
    <mergeCell ref="E12:F12"/>
    <mergeCell ref="E13:F13"/>
    <mergeCell ref="E14:F14"/>
    <mergeCell ref="E15:F15"/>
  </mergeCells>
  <phoneticPr fontId="9"/>
  <conditionalFormatting sqref="F22:GJ60 G17:GJ21">
    <cfRule type="expression" dxfId="120" priority="5">
      <formula>#REF!="休診日"</formula>
    </cfRule>
  </conditionalFormatting>
  <conditionalFormatting sqref="G22:GJ60">
    <cfRule type="cellIs" dxfId="119" priority="4" operator="greaterThan">
      <formula>0</formula>
    </cfRule>
  </conditionalFormatting>
  <conditionalFormatting sqref="G19:GJ19">
    <cfRule type="cellIs" dxfId="118" priority="3" operator="greaterThan">
      <formula>0</formula>
    </cfRule>
  </conditionalFormatting>
  <conditionalFormatting sqref="E2:GJ15">
    <cfRule type="cellIs" dxfId="117" priority="2" operator="greaterThan">
      <formula>0</formula>
    </cfRule>
  </conditionalFormatting>
  <conditionalFormatting sqref="A20:B21 G20:XFD21">
    <cfRule type="cellIs" dxfId="116" priority="1" operator="greaterThan">
      <formula>0</formula>
    </cfRule>
  </conditionalFormatting>
  <pageMargins left="0.7" right="0.7" top="0.75" bottom="0.75" header="0.3" footer="0.3"/>
  <pageSetup paperSize="9" orientation="portrait" copies="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pageSetUpPr fitToPage="1"/>
  </sheetPr>
  <dimension ref="A1:EW70"/>
  <sheetViews>
    <sheetView topLeftCell="A21" workbookViewId="0">
      <selection activeCell="EX35" sqref="EX35"/>
    </sheetView>
  </sheetViews>
  <sheetFormatPr defaultColWidth="9" defaultRowHeight="9.75"/>
  <cols>
    <col min="1" max="1" width="3.625" style="20" customWidth="1"/>
    <col min="2" max="2" width="9" style="20"/>
    <col min="3" max="25" width="9" style="20" hidden="1" customWidth="1"/>
    <col min="26" max="26" width="9" style="20"/>
    <col min="27" max="33" width="9" style="20" hidden="1" customWidth="1"/>
    <col min="34" max="34" width="9" style="20" customWidth="1"/>
    <col min="35" max="122" width="9" style="20" hidden="1" customWidth="1"/>
    <col min="123" max="125" width="3.625" style="20" customWidth="1"/>
    <col min="126" max="129" width="9" style="20"/>
    <col min="130" max="144" width="9" style="20" hidden="1" customWidth="1"/>
    <col min="145" max="145" width="9" style="20"/>
    <col min="146" max="152" width="0" style="20" hidden="1" customWidth="1"/>
    <col min="153" max="16384" width="9" style="20"/>
  </cols>
  <sheetData>
    <row r="1" spans="1:153" s="63" customFormat="1">
      <c r="A1" s="66"/>
      <c r="B1" s="66"/>
      <c r="C1" s="70" t="s">
        <v>501</v>
      </c>
      <c r="D1" s="70"/>
      <c r="E1" s="70"/>
      <c r="F1" s="70"/>
      <c r="G1" s="70"/>
      <c r="H1" s="70"/>
      <c r="I1" s="70"/>
      <c r="J1" s="70" t="s">
        <v>1461</v>
      </c>
      <c r="L1" s="70"/>
      <c r="M1" s="70"/>
      <c r="N1" s="70"/>
      <c r="O1" s="70"/>
      <c r="P1" s="70"/>
      <c r="Q1" s="70"/>
      <c r="R1" s="70" t="s">
        <v>502</v>
      </c>
      <c r="T1" s="70"/>
      <c r="U1" s="70"/>
      <c r="V1" s="70"/>
      <c r="W1" s="70"/>
      <c r="X1" s="70"/>
      <c r="Y1" s="70"/>
      <c r="Z1" s="70" t="s">
        <v>527</v>
      </c>
      <c r="AB1" s="70"/>
      <c r="AC1" s="70"/>
      <c r="AD1" s="70"/>
      <c r="AE1" s="70"/>
      <c r="AF1" s="70"/>
      <c r="AG1" s="70"/>
      <c r="AH1" s="70" t="s">
        <v>562</v>
      </c>
      <c r="AJ1" s="70"/>
      <c r="AK1" s="70"/>
      <c r="AL1" s="70"/>
      <c r="AM1" s="70"/>
      <c r="AN1" s="70"/>
      <c r="AO1" s="70"/>
      <c r="AP1" s="70" t="s">
        <v>529</v>
      </c>
      <c r="AR1" s="70"/>
      <c r="AS1" s="70"/>
      <c r="AT1" s="70"/>
      <c r="AU1" s="70"/>
      <c r="AV1" s="70"/>
      <c r="AW1" s="70"/>
      <c r="AX1" s="70" t="s">
        <v>563</v>
      </c>
      <c r="AZ1" s="70"/>
      <c r="BA1" s="70"/>
      <c r="BB1" s="70"/>
      <c r="BC1" s="70"/>
      <c r="BD1" s="70"/>
      <c r="BE1" s="70"/>
      <c r="BF1" s="70" t="s">
        <v>531</v>
      </c>
      <c r="BH1" s="70"/>
      <c r="BI1" s="70"/>
      <c r="BJ1" s="70"/>
      <c r="BK1" s="70"/>
      <c r="BL1" s="70"/>
      <c r="BM1" s="70"/>
      <c r="BN1" s="70" t="s">
        <v>510</v>
      </c>
      <c r="BP1" s="70"/>
      <c r="BQ1" s="70"/>
      <c r="BR1" s="70"/>
      <c r="BS1" s="70"/>
      <c r="BT1" s="70"/>
      <c r="BU1" s="70"/>
      <c r="BV1" s="70" t="s">
        <v>513</v>
      </c>
      <c r="BW1" s="70" t="s">
        <v>514</v>
      </c>
      <c r="BX1" s="70"/>
      <c r="BY1" s="70"/>
      <c r="BZ1" s="70"/>
      <c r="CA1" s="70"/>
      <c r="CB1" s="70"/>
      <c r="CC1" s="70"/>
      <c r="CD1" s="70"/>
      <c r="CE1" s="70" t="s">
        <v>515</v>
      </c>
      <c r="CF1" s="70"/>
      <c r="CG1" s="70"/>
      <c r="CH1" s="70"/>
      <c r="CI1" s="70"/>
      <c r="CJ1" s="70"/>
      <c r="CK1" s="70"/>
      <c r="CL1" s="70"/>
      <c r="CM1" s="70" t="s">
        <v>564</v>
      </c>
      <c r="CN1" s="70"/>
      <c r="CO1" s="70"/>
      <c r="CP1" s="70"/>
      <c r="CQ1" s="70"/>
      <c r="CR1" s="70"/>
      <c r="CS1" s="70"/>
      <c r="CT1" s="70"/>
      <c r="CU1" s="70" t="s">
        <v>565</v>
      </c>
      <c r="CV1" s="70"/>
      <c r="CW1" s="70"/>
      <c r="CX1" s="70"/>
      <c r="CY1" s="70"/>
      <c r="CZ1" s="70"/>
      <c r="DA1" s="70"/>
      <c r="DB1" s="70"/>
      <c r="DC1" s="70" t="s">
        <v>517</v>
      </c>
      <c r="DD1" s="70"/>
      <c r="DE1" s="70"/>
      <c r="DF1" s="70"/>
      <c r="DG1" s="70"/>
      <c r="DH1" s="70"/>
      <c r="DI1" s="70"/>
      <c r="DJ1" s="70"/>
      <c r="DK1" s="70" t="s">
        <v>518</v>
      </c>
      <c r="DL1" s="70"/>
      <c r="DM1" s="70"/>
      <c r="DN1" s="70"/>
      <c r="DO1" s="70"/>
      <c r="DP1" s="70"/>
      <c r="DQ1" s="70"/>
      <c r="DR1" s="70"/>
      <c r="DS1" s="70" t="s">
        <v>566</v>
      </c>
      <c r="DT1" s="70"/>
      <c r="DU1" s="70"/>
      <c r="DV1" s="70" t="s">
        <v>579</v>
      </c>
      <c r="DW1" s="70"/>
      <c r="DX1" s="70"/>
      <c r="EA1" s="70"/>
      <c r="EB1" s="70"/>
      <c r="EC1" s="70"/>
      <c r="ED1" s="70"/>
      <c r="EE1" s="70"/>
      <c r="EF1" s="70"/>
      <c r="EG1" s="70" t="s">
        <v>1426</v>
      </c>
      <c r="EI1" s="70"/>
      <c r="EJ1" s="70"/>
      <c r="EK1" s="70"/>
      <c r="EL1" s="70"/>
      <c r="EM1" s="70"/>
      <c r="EN1" s="70"/>
      <c r="EO1" s="70" t="s">
        <v>1427</v>
      </c>
      <c r="EQ1" s="70"/>
      <c r="ER1" s="70"/>
      <c r="ES1" s="70"/>
      <c r="ET1" s="70"/>
      <c r="EU1" s="70"/>
      <c r="EV1" s="70"/>
      <c r="EW1" s="70" t="s">
        <v>1462</v>
      </c>
    </row>
    <row r="2" spans="1:153" s="63" customFormat="1">
      <c r="A2" s="66"/>
      <c r="B2" s="66" t="s">
        <v>567</v>
      </c>
      <c r="C2" s="66" t="s">
        <v>568</v>
      </c>
      <c r="D2" s="66" t="s">
        <v>569</v>
      </c>
      <c r="E2" s="66" t="s">
        <v>570</v>
      </c>
      <c r="F2" s="66" t="s">
        <v>571</v>
      </c>
      <c r="G2" s="66" t="s">
        <v>572</v>
      </c>
      <c r="H2" s="66" t="s">
        <v>573</v>
      </c>
      <c r="I2" s="66" t="s">
        <v>574</v>
      </c>
      <c r="J2" s="66" t="s">
        <v>575</v>
      </c>
      <c r="K2" s="66" t="s">
        <v>568</v>
      </c>
      <c r="L2" s="66" t="s">
        <v>569</v>
      </c>
      <c r="M2" s="66" t="s">
        <v>570</v>
      </c>
      <c r="N2" s="66" t="s">
        <v>571</v>
      </c>
      <c r="O2" s="66" t="s">
        <v>572</v>
      </c>
      <c r="P2" s="66" t="s">
        <v>573</v>
      </c>
      <c r="Q2" s="66" t="s">
        <v>574</v>
      </c>
      <c r="R2" s="66" t="s">
        <v>575</v>
      </c>
      <c r="S2" s="66" t="s">
        <v>568</v>
      </c>
      <c r="T2" s="66" t="s">
        <v>569</v>
      </c>
      <c r="U2" s="66" t="s">
        <v>570</v>
      </c>
      <c r="V2" s="66" t="s">
        <v>571</v>
      </c>
      <c r="W2" s="66" t="s">
        <v>572</v>
      </c>
      <c r="X2" s="66" t="s">
        <v>573</v>
      </c>
      <c r="Y2" s="66" t="s">
        <v>574</v>
      </c>
      <c r="Z2" s="66" t="s">
        <v>575</v>
      </c>
      <c r="AA2" s="66" t="s">
        <v>568</v>
      </c>
      <c r="AB2" s="66" t="s">
        <v>569</v>
      </c>
      <c r="AC2" s="66" t="s">
        <v>570</v>
      </c>
      <c r="AD2" s="66" t="s">
        <v>571</v>
      </c>
      <c r="AE2" s="66" t="s">
        <v>572</v>
      </c>
      <c r="AF2" s="66" t="s">
        <v>573</v>
      </c>
      <c r="AG2" s="66" t="s">
        <v>574</v>
      </c>
      <c r="AH2" s="66" t="s">
        <v>575</v>
      </c>
      <c r="AI2" s="66" t="s">
        <v>568</v>
      </c>
      <c r="AJ2" s="66" t="s">
        <v>569</v>
      </c>
      <c r="AK2" s="66" t="s">
        <v>570</v>
      </c>
      <c r="AL2" s="66" t="s">
        <v>571</v>
      </c>
      <c r="AM2" s="66" t="s">
        <v>572</v>
      </c>
      <c r="AN2" s="66" t="s">
        <v>573</v>
      </c>
      <c r="AO2" s="66" t="s">
        <v>574</v>
      </c>
      <c r="AP2" s="66" t="s">
        <v>575</v>
      </c>
      <c r="AQ2" s="66" t="s">
        <v>568</v>
      </c>
      <c r="AR2" s="66" t="s">
        <v>569</v>
      </c>
      <c r="AS2" s="66" t="s">
        <v>570</v>
      </c>
      <c r="AT2" s="66" t="s">
        <v>571</v>
      </c>
      <c r="AU2" s="66" t="s">
        <v>572</v>
      </c>
      <c r="AV2" s="66" t="s">
        <v>573</v>
      </c>
      <c r="AW2" s="66" t="s">
        <v>574</v>
      </c>
      <c r="AX2" s="66" t="s">
        <v>575</v>
      </c>
      <c r="AY2" s="66" t="s">
        <v>568</v>
      </c>
      <c r="AZ2" s="66" t="s">
        <v>569</v>
      </c>
      <c r="BA2" s="66" t="s">
        <v>570</v>
      </c>
      <c r="BB2" s="66" t="s">
        <v>571</v>
      </c>
      <c r="BC2" s="66" t="s">
        <v>572</v>
      </c>
      <c r="BD2" s="66" t="s">
        <v>573</v>
      </c>
      <c r="BE2" s="66" t="s">
        <v>574</v>
      </c>
      <c r="BF2" s="66" t="s">
        <v>575</v>
      </c>
      <c r="BG2" s="66" t="s">
        <v>568</v>
      </c>
      <c r="BH2" s="66" t="s">
        <v>569</v>
      </c>
      <c r="BI2" s="66" t="s">
        <v>570</v>
      </c>
      <c r="BJ2" s="66" t="s">
        <v>571</v>
      </c>
      <c r="BK2" s="66" t="s">
        <v>572</v>
      </c>
      <c r="BL2" s="66" t="s">
        <v>573</v>
      </c>
      <c r="BM2" s="66" t="s">
        <v>574</v>
      </c>
      <c r="BN2" s="66" t="s">
        <v>575</v>
      </c>
      <c r="BO2" s="66" t="s">
        <v>568</v>
      </c>
      <c r="BP2" s="66" t="s">
        <v>569</v>
      </c>
      <c r="BQ2" s="66" t="s">
        <v>570</v>
      </c>
      <c r="BR2" s="66" t="s">
        <v>571</v>
      </c>
      <c r="BS2" s="66" t="s">
        <v>572</v>
      </c>
      <c r="BT2" s="66" t="s">
        <v>573</v>
      </c>
      <c r="BU2" s="66" t="s">
        <v>574</v>
      </c>
      <c r="BV2" s="66" t="s">
        <v>575</v>
      </c>
      <c r="BW2" s="66" t="s">
        <v>568</v>
      </c>
      <c r="BX2" s="66" t="s">
        <v>569</v>
      </c>
      <c r="BY2" s="66" t="s">
        <v>570</v>
      </c>
      <c r="BZ2" s="66" t="s">
        <v>571</v>
      </c>
      <c r="CA2" s="66" t="s">
        <v>572</v>
      </c>
      <c r="CB2" s="66" t="s">
        <v>573</v>
      </c>
      <c r="CC2" s="66" t="s">
        <v>574</v>
      </c>
      <c r="CD2" s="66" t="s">
        <v>575</v>
      </c>
      <c r="CE2" s="66" t="s">
        <v>568</v>
      </c>
      <c r="CF2" s="66" t="s">
        <v>569</v>
      </c>
      <c r="CG2" s="66" t="s">
        <v>570</v>
      </c>
      <c r="CH2" s="66" t="s">
        <v>571</v>
      </c>
      <c r="CI2" s="66" t="s">
        <v>572</v>
      </c>
      <c r="CJ2" s="66" t="s">
        <v>573</v>
      </c>
      <c r="CK2" s="66" t="s">
        <v>574</v>
      </c>
      <c r="CL2" s="66" t="s">
        <v>575</v>
      </c>
      <c r="CM2" s="66" t="s">
        <v>568</v>
      </c>
      <c r="CN2" s="66" t="s">
        <v>569</v>
      </c>
      <c r="CO2" s="66" t="s">
        <v>570</v>
      </c>
      <c r="CP2" s="66" t="s">
        <v>571</v>
      </c>
      <c r="CQ2" s="66" t="s">
        <v>572</v>
      </c>
      <c r="CR2" s="66" t="s">
        <v>573</v>
      </c>
      <c r="CS2" s="66" t="s">
        <v>574</v>
      </c>
      <c r="CT2" s="66" t="s">
        <v>575</v>
      </c>
      <c r="CU2" s="66" t="s">
        <v>568</v>
      </c>
      <c r="CV2" s="66" t="s">
        <v>569</v>
      </c>
      <c r="CW2" s="66" t="s">
        <v>570</v>
      </c>
      <c r="CX2" s="66" t="s">
        <v>571</v>
      </c>
      <c r="CY2" s="66" t="s">
        <v>572</v>
      </c>
      <c r="CZ2" s="66" t="s">
        <v>573</v>
      </c>
      <c r="DA2" s="66" t="s">
        <v>574</v>
      </c>
      <c r="DB2" s="66" t="s">
        <v>575</v>
      </c>
      <c r="DC2" s="66" t="s">
        <v>568</v>
      </c>
      <c r="DD2" s="66" t="s">
        <v>569</v>
      </c>
      <c r="DE2" s="66" t="s">
        <v>570</v>
      </c>
      <c r="DF2" s="66" t="s">
        <v>571</v>
      </c>
      <c r="DG2" s="66" t="s">
        <v>572</v>
      </c>
      <c r="DH2" s="66" t="s">
        <v>573</v>
      </c>
      <c r="DI2" s="66" t="s">
        <v>574</v>
      </c>
      <c r="DJ2" s="66" t="s">
        <v>575</v>
      </c>
      <c r="DK2" s="66" t="s">
        <v>568</v>
      </c>
      <c r="DL2" s="66" t="s">
        <v>569</v>
      </c>
      <c r="DM2" s="66" t="s">
        <v>570</v>
      </c>
      <c r="DN2" s="66" t="s">
        <v>571</v>
      </c>
      <c r="DO2" s="66" t="s">
        <v>572</v>
      </c>
      <c r="DP2" s="66" t="s">
        <v>573</v>
      </c>
      <c r="DQ2" s="66" t="s">
        <v>574</v>
      </c>
      <c r="DR2" s="66" t="s">
        <v>575</v>
      </c>
      <c r="DS2" s="66" t="s">
        <v>494</v>
      </c>
      <c r="DT2" s="66" t="s">
        <v>495</v>
      </c>
      <c r="DU2" s="66" t="s">
        <v>497</v>
      </c>
      <c r="DV2" s="66" t="s">
        <v>576</v>
      </c>
      <c r="DW2" s="66" t="s">
        <v>577</v>
      </c>
      <c r="DX2" s="66" t="s">
        <v>578</v>
      </c>
      <c r="DZ2" s="66" t="s">
        <v>568</v>
      </c>
      <c r="EA2" s="66" t="s">
        <v>569</v>
      </c>
      <c r="EB2" s="66" t="s">
        <v>570</v>
      </c>
      <c r="EC2" s="66" t="s">
        <v>571</v>
      </c>
      <c r="ED2" s="66" t="s">
        <v>572</v>
      </c>
      <c r="EE2" s="66" t="s">
        <v>573</v>
      </c>
      <c r="EF2" s="66" t="s">
        <v>574</v>
      </c>
      <c r="EG2" s="66" t="s">
        <v>575</v>
      </c>
      <c r="EH2" s="66" t="s">
        <v>568</v>
      </c>
      <c r="EI2" s="66" t="s">
        <v>569</v>
      </c>
      <c r="EJ2" s="66" t="s">
        <v>570</v>
      </c>
      <c r="EK2" s="66" t="s">
        <v>571</v>
      </c>
      <c r="EL2" s="66" t="s">
        <v>572</v>
      </c>
      <c r="EM2" s="66" t="s">
        <v>573</v>
      </c>
      <c r="EN2" s="66" t="s">
        <v>574</v>
      </c>
      <c r="EO2" s="66" t="s">
        <v>575</v>
      </c>
      <c r="EP2" s="66" t="s">
        <v>568</v>
      </c>
      <c r="EQ2" s="66" t="s">
        <v>569</v>
      </c>
      <c r="ER2" s="66" t="s">
        <v>570</v>
      </c>
      <c r="ES2" s="66" t="s">
        <v>571</v>
      </c>
      <c r="ET2" s="66" t="s">
        <v>572</v>
      </c>
      <c r="EU2" s="66" t="s">
        <v>573</v>
      </c>
      <c r="EV2" s="66" t="s">
        <v>574</v>
      </c>
      <c r="EW2" s="66" t="s">
        <v>575</v>
      </c>
    </row>
    <row r="3" spans="1:153" s="63" customFormat="1">
      <c r="A3" s="113">
        <v>21</v>
      </c>
      <c r="B3" s="68">
        <v>118000</v>
      </c>
      <c r="C3" s="68">
        <v>0</v>
      </c>
      <c r="D3" s="68">
        <v>0</v>
      </c>
      <c r="E3" s="68">
        <v>0</v>
      </c>
      <c r="F3" s="68">
        <v>0</v>
      </c>
      <c r="G3" s="68">
        <v>0</v>
      </c>
      <c r="H3" s="68">
        <v>0</v>
      </c>
      <c r="I3" s="68">
        <v>0</v>
      </c>
      <c r="J3" s="68">
        <v>0</v>
      </c>
      <c r="K3" s="68">
        <v>0</v>
      </c>
      <c r="L3" s="68">
        <v>0</v>
      </c>
      <c r="M3" s="68">
        <v>0</v>
      </c>
      <c r="N3" s="68">
        <v>0</v>
      </c>
      <c r="O3" s="68">
        <v>0</v>
      </c>
      <c r="P3" s="68">
        <v>0</v>
      </c>
      <c r="Q3" s="68">
        <v>0</v>
      </c>
      <c r="R3" s="68">
        <v>0</v>
      </c>
      <c r="S3" s="68"/>
      <c r="T3" s="68"/>
      <c r="U3" s="68"/>
      <c r="V3" s="68"/>
      <c r="W3" s="68"/>
      <c r="X3" s="68"/>
      <c r="Y3" s="68"/>
      <c r="Z3" s="68">
        <v>118000</v>
      </c>
      <c r="AA3" s="68">
        <v>0</v>
      </c>
      <c r="AB3" s="68">
        <v>0</v>
      </c>
      <c r="AC3" s="68">
        <v>0</v>
      </c>
      <c r="AD3" s="68">
        <v>0</v>
      </c>
      <c r="AE3" s="68">
        <v>0</v>
      </c>
      <c r="AF3" s="68">
        <v>0</v>
      </c>
      <c r="AG3" s="68">
        <v>0</v>
      </c>
      <c r="AH3" s="68">
        <v>0</v>
      </c>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68"/>
      <c r="DC3" s="68"/>
      <c r="DD3" s="68"/>
      <c r="DE3" s="68"/>
      <c r="DF3" s="68"/>
      <c r="DG3" s="68"/>
      <c r="DH3" s="68"/>
      <c r="DI3" s="68"/>
      <c r="DJ3" s="68"/>
      <c r="DK3" s="68"/>
      <c r="DL3" s="68"/>
      <c r="DM3" s="68"/>
      <c r="DN3" s="68"/>
      <c r="DO3" s="68"/>
      <c r="DP3" s="68"/>
      <c r="DQ3" s="68"/>
      <c r="DR3" s="68"/>
      <c r="DS3" s="66">
        <v>5</v>
      </c>
      <c r="DT3" s="66">
        <v>10</v>
      </c>
      <c r="DU3" s="66">
        <v>2</v>
      </c>
      <c r="DV3" s="115" t="s">
        <v>990</v>
      </c>
      <c r="DW3" s="115" t="s">
        <v>599</v>
      </c>
      <c r="DX3" s="115" t="s">
        <v>592</v>
      </c>
      <c r="DY3" s="63" t="str">
        <f>IF(B3=SUM(J3,R3,Z3,AH3,AP3,AX3,BF3,BN3,BV3,CD3,CL3,CT3,DB3,DJ3,DR3),"○","×")</f>
        <v>○</v>
      </c>
      <c r="DZ3" s="68">
        <v>0</v>
      </c>
      <c r="EA3" s="68">
        <v>0</v>
      </c>
      <c r="EB3" s="68">
        <v>0</v>
      </c>
      <c r="EC3" s="68">
        <v>0</v>
      </c>
      <c r="ED3" s="68">
        <v>0</v>
      </c>
      <c r="EE3" s="68">
        <v>0</v>
      </c>
      <c r="EF3" s="68">
        <v>0</v>
      </c>
      <c r="EG3" s="68">
        <v>0</v>
      </c>
      <c r="EH3" s="68">
        <v>0</v>
      </c>
      <c r="EI3" s="68">
        <v>0</v>
      </c>
      <c r="EJ3" s="68">
        <v>0</v>
      </c>
      <c r="EK3" s="68">
        <v>0</v>
      </c>
      <c r="EL3" s="68">
        <v>0</v>
      </c>
      <c r="EM3" s="68">
        <v>0</v>
      </c>
      <c r="EN3" s="68">
        <v>0</v>
      </c>
      <c r="EO3" s="68">
        <v>0</v>
      </c>
      <c r="EP3" s="68">
        <v>0</v>
      </c>
      <c r="EQ3" s="68">
        <v>0</v>
      </c>
      <c r="ER3" s="68">
        <v>0</v>
      </c>
      <c r="ES3" s="68">
        <v>0</v>
      </c>
      <c r="ET3" s="68">
        <v>0</v>
      </c>
      <c r="EU3" s="68">
        <v>0</v>
      </c>
      <c r="EV3" s="68">
        <v>0</v>
      </c>
      <c r="EW3" s="68">
        <v>0</v>
      </c>
    </row>
    <row r="4" spans="1:153">
      <c r="A4" s="113">
        <v>22</v>
      </c>
      <c r="B4" s="68">
        <v>270000</v>
      </c>
      <c r="C4" s="68">
        <v>0</v>
      </c>
      <c r="D4" s="68">
        <v>0</v>
      </c>
      <c r="E4" s="68">
        <v>0</v>
      </c>
      <c r="F4" s="68">
        <v>0</v>
      </c>
      <c r="G4" s="68">
        <v>0</v>
      </c>
      <c r="H4" s="68">
        <v>0</v>
      </c>
      <c r="I4" s="68">
        <v>0</v>
      </c>
      <c r="J4" s="68">
        <v>0</v>
      </c>
      <c r="K4" s="68">
        <v>0</v>
      </c>
      <c r="L4" s="68">
        <v>0</v>
      </c>
      <c r="M4" s="68">
        <v>0</v>
      </c>
      <c r="N4" s="68">
        <v>0</v>
      </c>
      <c r="O4" s="68">
        <v>0</v>
      </c>
      <c r="P4" s="68">
        <v>0</v>
      </c>
      <c r="Q4" s="68">
        <v>0</v>
      </c>
      <c r="R4" s="68">
        <v>0</v>
      </c>
      <c r="S4" s="68"/>
      <c r="T4" s="68"/>
      <c r="U4" s="68"/>
      <c r="V4" s="68"/>
      <c r="W4" s="68"/>
      <c r="X4" s="68"/>
      <c r="Y4" s="68"/>
      <c r="Z4" s="68">
        <v>270000</v>
      </c>
      <c r="AA4" s="68">
        <v>0</v>
      </c>
      <c r="AB4" s="68">
        <v>0</v>
      </c>
      <c r="AC4" s="68">
        <v>0</v>
      </c>
      <c r="AD4" s="68">
        <v>0</v>
      </c>
      <c r="AE4" s="68">
        <v>0</v>
      </c>
      <c r="AF4" s="68">
        <v>0</v>
      </c>
      <c r="AG4" s="68">
        <v>0</v>
      </c>
      <c r="AH4" s="68">
        <v>0</v>
      </c>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c r="BV4" s="101"/>
      <c r="BW4" s="101"/>
      <c r="BX4" s="101"/>
      <c r="BY4" s="101"/>
      <c r="BZ4" s="101"/>
      <c r="CA4" s="101"/>
      <c r="CB4" s="101"/>
      <c r="CC4" s="101"/>
      <c r="CD4" s="101"/>
      <c r="CE4" s="101"/>
      <c r="CF4" s="101"/>
      <c r="CG4" s="101"/>
      <c r="CH4" s="101"/>
      <c r="CI4" s="101"/>
      <c r="CJ4" s="101"/>
      <c r="CK4" s="101"/>
      <c r="CL4" s="101"/>
      <c r="CM4" s="101"/>
      <c r="CN4" s="101"/>
      <c r="CO4" s="101"/>
      <c r="CP4" s="101"/>
      <c r="CQ4" s="101"/>
      <c r="CR4" s="101"/>
      <c r="CS4" s="101"/>
      <c r="CT4" s="101"/>
      <c r="CU4" s="101"/>
      <c r="CV4" s="101"/>
      <c r="CW4" s="101"/>
      <c r="CX4" s="101"/>
      <c r="CY4" s="101"/>
      <c r="CZ4" s="101"/>
      <c r="DA4" s="101"/>
      <c r="DB4" s="101"/>
      <c r="DC4" s="101"/>
      <c r="DD4" s="101"/>
      <c r="DE4" s="101"/>
      <c r="DF4" s="101"/>
      <c r="DG4" s="101"/>
      <c r="DH4" s="101"/>
      <c r="DI4" s="101"/>
      <c r="DJ4" s="101"/>
      <c r="DK4" s="101"/>
      <c r="DL4" s="101"/>
      <c r="DM4" s="101"/>
      <c r="DN4" s="101"/>
      <c r="DO4" s="101"/>
      <c r="DP4" s="101"/>
      <c r="DQ4" s="101"/>
      <c r="DR4" s="101"/>
      <c r="DS4" s="66">
        <v>5</v>
      </c>
      <c r="DT4" s="66">
        <v>10</v>
      </c>
      <c r="DU4" s="66">
        <v>2</v>
      </c>
      <c r="DV4" s="115" t="s">
        <v>997</v>
      </c>
      <c r="DW4" s="115" t="s">
        <v>998</v>
      </c>
      <c r="DX4" s="115" t="s">
        <v>581</v>
      </c>
      <c r="DY4" s="63" t="str">
        <f t="shared" ref="DY4:DY35" si="0">IF(B4=SUM(J4,R4,Z4,AH4,AP4,AX4,BF4,BN4,BV4,CD4,CL4,CT4,DB4,DJ4,DR4),"○","×")</f>
        <v>○</v>
      </c>
      <c r="DZ4" s="101">
        <v>0</v>
      </c>
      <c r="EA4" s="101">
        <v>0</v>
      </c>
      <c r="EB4" s="101">
        <v>0</v>
      </c>
      <c r="EC4" s="101">
        <v>0</v>
      </c>
      <c r="ED4" s="101">
        <v>0</v>
      </c>
      <c r="EE4" s="101">
        <v>0</v>
      </c>
      <c r="EF4" s="101">
        <v>0</v>
      </c>
      <c r="EG4" s="101">
        <v>0</v>
      </c>
      <c r="EH4" s="101">
        <v>0</v>
      </c>
      <c r="EI4" s="101">
        <v>0</v>
      </c>
      <c r="EJ4" s="101">
        <v>0</v>
      </c>
      <c r="EK4" s="101">
        <v>0</v>
      </c>
      <c r="EL4" s="101">
        <v>0</v>
      </c>
      <c r="EM4" s="101">
        <v>0</v>
      </c>
      <c r="EN4" s="101">
        <v>0</v>
      </c>
      <c r="EO4" s="68">
        <v>0</v>
      </c>
      <c r="EP4" s="68">
        <v>0</v>
      </c>
      <c r="EQ4" s="68">
        <v>0</v>
      </c>
      <c r="ER4" s="68">
        <v>0</v>
      </c>
      <c r="ES4" s="68">
        <v>0</v>
      </c>
      <c r="ET4" s="68">
        <v>0</v>
      </c>
      <c r="EU4" s="68">
        <v>0</v>
      </c>
      <c r="EV4" s="68">
        <v>0</v>
      </c>
      <c r="EW4" s="68">
        <v>0</v>
      </c>
    </row>
    <row r="5" spans="1:153">
      <c r="A5" s="113">
        <v>23</v>
      </c>
      <c r="B5" s="68">
        <v>592000</v>
      </c>
      <c r="C5" s="68">
        <v>0</v>
      </c>
      <c r="D5" s="68">
        <v>0</v>
      </c>
      <c r="E5" s="68">
        <v>0</v>
      </c>
      <c r="F5" s="68">
        <v>0</v>
      </c>
      <c r="G5" s="68">
        <v>0</v>
      </c>
      <c r="H5" s="68">
        <v>0</v>
      </c>
      <c r="I5" s="68">
        <v>0</v>
      </c>
      <c r="J5" s="68">
        <v>0</v>
      </c>
      <c r="K5" s="68">
        <v>0</v>
      </c>
      <c r="L5" s="68">
        <v>0</v>
      </c>
      <c r="M5" s="68">
        <v>0</v>
      </c>
      <c r="N5" s="68">
        <v>0</v>
      </c>
      <c r="O5" s="68">
        <v>0</v>
      </c>
      <c r="P5" s="68">
        <v>0</v>
      </c>
      <c r="Q5" s="68">
        <v>0</v>
      </c>
      <c r="R5" s="68">
        <v>0</v>
      </c>
      <c r="S5" s="68"/>
      <c r="T5" s="68"/>
      <c r="U5" s="68"/>
      <c r="V5" s="68"/>
      <c r="W5" s="68"/>
      <c r="X5" s="68"/>
      <c r="Y5" s="68"/>
      <c r="Z5" s="68">
        <v>592000</v>
      </c>
      <c r="AA5" s="68">
        <v>0</v>
      </c>
      <c r="AB5" s="68">
        <v>0</v>
      </c>
      <c r="AC5" s="68">
        <v>0</v>
      </c>
      <c r="AD5" s="68">
        <v>0</v>
      </c>
      <c r="AE5" s="68">
        <v>0</v>
      </c>
      <c r="AF5" s="68">
        <v>0</v>
      </c>
      <c r="AG5" s="68">
        <v>0</v>
      </c>
      <c r="AH5" s="68">
        <v>0</v>
      </c>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1"/>
      <c r="BK5" s="101"/>
      <c r="BL5" s="101"/>
      <c r="BM5" s="101"/>
      <c r="BN5" s="101"/>
      <c r="BO5" s="101"/>
      <c r="BP5" s="101"/>
      <c r="BQ5" s="101"/>
      <c r="BR5" s="101"/>
      <c r="BS5" s="101"/>
      <c r="BT5" s="101"/>
      <c r="BU5" s="101"/>
      <c r="BV5" s="101"/>
      <c r="BW5" s="101"/>
      <c r="BX5" s="101"/>
      <c r="BY5" s="101"/>
      <c r="BZ5" s="101"/>
      <c r="CA5" s="101"/>
      <c r="CB5" s="101"/>
      <c r="CC5" s="101"/>
      <c r="CD5" s="101"/>
      <c r="CE5" s="101"/>
      <c r="CF5" s="101"/>
      <c r="CG5" s="101"/>
      <c r="CH5" s="101"/>
      <c r="CI5" s="101"/>
      <c r="CJ5" s="101"/>
      <c r="CK5" s="101"/>
      <c r="CL5" s="101"/>
      <c r="CM5" s="101"/>
      <c r="CN5" s="101"/>
      <c r="CO5" s="101"/>
      <c r="CP5" s="101"/>
      <c r="CQ5" s="101"/>
      <c r="CR5" s="101"/>
      <c r="CS5" s="101"/>
      <c r="CT5" s="101"/>
      <c r="CU5" s="101"/>
      <c r="CV5" s="101"/>
      <c r="CW5" s="101"/>
      <c r="CX5" s="101"/>
      <c r="CY5" s="101"/>
      <c r="CZ5" s="101"/>
      <c r="DA5" s="101"/>
      <c r="DB5" s="101"/>
      <c r="DC5" s="101"/>
      <c r="DD5" s="101"/>
      <c r="DE5" s="101"/>
      <c r="DF5" s="101"/>
      <c r="DG5" s="101"/>
      <c r="DH5" s="101"/>
      <c r="DI5" s="101"/>
      <c r="DJ5" s="101"/>
      <c r="DK5" s="101"/>
      <c r="DL5" s="101"/>
      <c r="DM5" s="101"/>
      <c r="DN5" s="101"/>
      <c r="DO5" s="101"/>
      <c r="DP5" s="101"/>
      <c r="DQ5" s="101"/>
      <c r="DR5" s="101"/>
      <c r="DS5" s="66">
        <v>5</v>
      </c>
      <c r="DT5" s="66">
        <v>10</v>
      </c>
      <c r="DU5" s="66">
        <v>2</v>
      </c>
      <c r="DV5" s="115" t="s">
        <v>594</v>
      </c>
      <c r="DW5" s="115" t="s">
        <v>595</v>
      </c>
      <c r="DX5" s="115" t="s">
        <v>581</v>
      </c>
      <c r="DY5" s="63" t="str">
        <f t="shared" si="0"/>
        <v>○</v>
      </c>
      <c r="DZ5" s="101">
        <v>0</v>
      </c>
      <c r="EA5" s="101">
        <v>0</v>
      </c>
      <c r="EB5" s="101">
        <v>0</v>
      </c>
      <c r="EC5" s="101">
        <v>0</v>
      </c>
      <c r="ED5" s="101">
        <v>0</v>
      </c>
      <c r="EE5" s="101">
        <v>0</v>
      </c>
      <c r="EF5" s="101">
        <v>0</v>
      </c>
      <c r="EG5" s="101">
        <v>0</v>
      </c>
      <c r="EH5" s="101">
        <v>0</v>
      </c>
      <c r="EI5" s="101">
        <v>0</v>
      </c>
      <c r="EJ5" s="101">
        <v>0</v>
      </c>
      <c r="EK5" s="101">
        <v>0</v>
      </c>
      <c r="EL5" s="101">
        <v>0</v>
      </c>
      <c r="EM5" s="101">
        <v>0</v>
      </c>
      <c r="EN5" s="101">
        <v>0</v>
      </c>
      <c r="EO5" s="68">
        <v>0</v>
      </c>
      <c r="EP5" s="68">
        <v>0</v>
      </c>
      <c r="EQ5" s="68">
        <v>0</v>
      </c>
      <c r="ER5" s="68">
        <v>0</v>
      </c>
      <c r="ES5" s="68">
        <v>0</v>
      </c>
      <c r="ET5" s="68">
        <v>0</v>
      </c>
      <c r="EU5" s="68">
        <v>0</v>
      </c>
      <c r="EV5" s="68">
        <v>0</v>
      </c>
      <c r="EW5" s="68">
        <v>0</v>
      </c>
    </row>
    <row r="6" spans="1:153">
      <c r="A6" s="113">
        <v>24</v>
      </c>
      <c r="B6" s="68">
        <v>2399000</v>
      </c>
      <c r="C6" s="68">
        <v>0</v>
      </c>
      <c r="D6" s="68">
        <v>0</v>
      </c>
      <c r="E6" s="68">
        <v>0</v>
      </c>
      <c r="F6" s="68">
        <v>0</v>
      </c>
      <c r="G6" s="68">
        <v>0</v>
      </c>
      <c r="H6" s="68">
        <v>0</v>
      </c>
      <c r="I6" s="68">
        <v>0</v>
      </c>
      <c r="J6" s="68">
        <v>0</v>
      </c>
      <c r="K6" s="68">
        <v>0</v>
      </c>
      <c r="L6" s="68">
        <v>0</v>
      </c>
      <c r="M6" s="68">
        <v>0</v>
      </c>
      <c r="N6" s="68">
        <v>0</v>
      </c>
      <c r="O6" s="68">
        <v>0</v>
      </c>
      <c r="P6" s="68">
        <v>0</v>
      </c>
      <c r="Q6" s="68">
        <v>0</v>
      </c>
      <c r="R6" s="68">
        <v>0</v>
      </c>
      <c r="S6" s="68"/>
      <c r="T6" s="68"/>
      <c r="U6" s="68"/>
      <c r="V6" s="68"/>
      <c r="W6" s="68"/>
      <c r="X6" s="68"/>
      <c r="Y6" s="68"/>
      <c r="Z6" s="68">
        <v>2399000</v>
      </c>
      <c r="AA6" s="68">
        <v>0</v>
      </c>
      <c r="AB6" s="68">
        <v>0</v>
      </c>
      <c r="AC6" s="68">
        <v>0</v>
      </c>
      <c r="AD6" s="68">
        <v>0</v>
      </c>
      <c r="AE6" s="68">
        <v>0</v>
      </c>
      <c r="AF6" s="68">
        <v>0</v>
      </c>
      <c r="AG6" s="68">
        <v>0</v>
      </c>
      <c r="AH6" s="68">
        <v>0</v>
      </c>
      <c r="AI6" s="101"/>
      <c r="AJ6" s="101"/>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101"/>
      <c r="BS6" s="101"/>
      <c r="BT6" s="101"/>
      <c r="BU6" s="101"/>
      <c r="BV6" s="101"/>
      <c r="BW6" s="101"/>
      <c r="BX6" s="101"/>
      <c r="BY6" s="101"/>
      <c r="BZ6" s="101"/>
      <c r="CA6" s="101"/>
      <c r="CB6" s="101"/>
      <c r="CC6" s="101"/>
      <c r="CD6" s="101"/>
      <c r="CE6" s="101"/>
      <c r="CF6" s="101"/>
      <c r="CG6" s="101"/>
      <c r="CH6" s="101"/>
      <c r="CI6" s="101"/>
      <c r="CJ6" s="101"/>
      <c r="CK6" s="101"/>
      <c r="CL6" s="101"/>
      <c r="CM6" s="101"/>
      <c r="CN6" s="101"/>
      <c r="CO6" s="101"/>
      <c r="CP6" s="101"/>
      <c r="CQ6" s="101"/>
      <c r="CR6" s="101"/>
      <c r="CS6" s="101"/>
      <c r="CT6" s="101"/>
      <c r="CU6" s="101"/>
      <c r="CV6" s="101"/>
      <c r="CW6" s="101"/>
      <c r="CX6" s="101"/>
      <c r="CY6" s="101"/>
      <c r="CZ6" s="101"/>
      <c r="DA6" s="101"/>
      <c r="DB6" s="101"/>
      <c r="DC6" s="101"/>
      <c r="DD6" s="101"/>
      <c r="DE6" s="101"/>
      <c r="DF6" s="101"/>
      <c r="DG6" s="101"/>
      <c r="DH6" s="101"/>
      <c r="DI6" s="101"/>
      <c r="DJ6" s="101"/>
      <c r="DK6" s="101"/>
      <c r="DL6" s="101"/>
      <c r="DM6" s="101"/>
      <c r="DN6" s="101"/>
      <c r="DO6" s="101"/>
      <c r="DP6" s="101"/>
      <c r="DQ6" s="101"/>
      <c r="DR6" s="101"/>
      <c r="DS6" s="66">
        <v>5</v>
      </c>
      <c r="DT6" s="66">
        <v>10</v>
      </c>
      <c r="DU6" s="66">
        <v>2</v>
      </c>
      <c r="DV6" s="115" t="s">
        <v>990</v>
      </c>
      <c r="DW6" s="115" t="s">
        <v>596</v>
      </c>
      <c r="DX6" s="115" t="s">
        <v>581</v>
      </c>
      <c r="DY6" s="63" t="str">
        <f t="shared" si="0"/>
        <v>○</v>
      </c>
      <c r="DZ6" s="101">
        <v>0</v>
      </c>
      <c r="EA6" s="101">
        <v>0</v>
      </c>
      <c r="EB6" s="101">
        <v>0</v>
      </c>
      <c r="EC6" s="101">
        <v>0</v>
      </c>
      <c r="ED6" s="101">
        <v>0</v>
      </c>
      <c r="EE6" s="101">
        <v>0</v>
      </c>
      <c r="EF6" s="101">
        <v>0</v>
      </c>
      <c r="EG6" s="101">
        <v>0</v>
      </c>
      <c r="EH6" s="101">
        <v>0</v>
      </c>
      <c r="EI6" s="101">
        <v>0</v>
      </c>
      <c r="EJ6" s="101">
        <v>0</v>
      </c>
      <c r="EK6" s="101">
        <v>0</v>
      </c>
      <c r="EL6" s="101">
        <v>0</v>
      </c>
      <c r="EM6" s="101">
        <v>0</v>
      </c>
      <c r="EN6" s="101">
        <v>0</v>
      </c>
      <c r="EO6" s="68">
        <v>0</v>
      </c>
      <c r="EP6" s="68">
        <v>0</v>
      </c>
      <c r="EQ6" s="68">
        <v>0</v>
      </c>
      <c r="ER6" s="68">
        <v>0</v>
      </c>
      <c r="ES6" s="68">
        <v>0</v>
      </c>
      <c r="ET6" s="68">
        <v>0</v>
      </c>
      <c r="EU6" s="68">
        <v>0</v>
      </c>
      <c r="EV6" s="68">
        <v>0</v>
      </c>
      <c r="EW6" s="68">
        <v>0</v>
      </c>
    </row>
    <row r="7" spans="1:153">
      <c r="A7" s="113">
        <v>25</v>
      </c>
      <c r="B7" s="68">
        <v>1550000</v>
      </c>
      <c r="C7" s="68">
        <v>0</v>
      </c>
      <c r="D7" s="68">
        <v>0</v>
      </c>
      <c r="E7" s="68">
        <v>0</v>
      </c>
      <c r="F7" s="68">
        <v>0</v>
      </c>
      <c r="G7" s="68">
        <v>0</v>
      </c>
      <c r="H7" s="68">
        <v>0</v>
      </c>
      <c r="I7" s="68">
        <v>0</v>
      </c>
      <c r="J7" s="68">
        <v>0</v>
      </c>
      <c r="K7" s="68">
        <v>0</v>
      </c>
      <c r="L7" s="68">
        <v>0</v>
      </c>
      <c r="M7" s="68">
        <v>0</v>
      </c>
      <c r="N7" s="68">
        <v>0</v>
      </c>
      <c r="O7" s="68">
        <v>0</v>
      </c>
      <c r="P7" s="68">
        <v>0</v>
      </c>
      <c r="Q7" s="68">
        <v>0</v>
      </c>
      <c r="R7" s="68">
        <v>0</v>
      </c>
      <c r="S7" s="68"/>
      <c r="T7" s="68"/>
      <c r="U7" s="68"/>
      <c r="V7" s="68"/>
      <c r="W7" s="68"/>
      <c r="X7" s="68"/>
      <c r="Y7" s="68"/>
      <c r="Z7" s="68">
        <v>1550000</v>
      </c>
      <c r="AA7" s="68">
        <v>0</v>
      </c>
      <c r="AB7" s="68">
        <v>0</v>
      </c>
      <c r="AC7" s="68">
        <v>0</v>
      </c>
      <c r="AD7" s="68">
        <v>0</v>
      </c>
      <c r="AE7" s="68">
        <v>0</v>
      </c>
      <c r="AF7" s="68">
        <v>0</v>
      </c>
      <c r="AG7" s="68">
        <v>0</v>
      </c>
      <c r="AH7" s="68">
        <v>0</v>
      </c>
      <c r="AI7" s="101"/>
      <c r="AJ7" s="101"/>
      <c r="AK7" s="101"/>
      <c r="AL7" s="101"/>
      <c r="AM7" s="101"/>
      <c r="AN7" s="101"/>
      <c r="AO7" s="101"/>
      <c r="AP7" s="101"/>
      <c r="AQ7" s="101"/>
      <c r="AR7" s="101"/>
      <c r="AS7" s="101"/>
      <c r="AT7" s="101"/>
      <c r="AU7" s="101"/>
      <c r="AV7" s="101"/>
      <c r="AW7" s="101"/>
      <c r="AX7" s="101"/>
      <c r="AY7" s="101"/>
      <c r="AZ7" s="101"/>
      <c r="BA7" s="101"/>
      <c r="BB7" s="101"/>
      <c r="BC7" s="101"/>
      <c r="BD7" s="101"/>
      <c r="BE7" s="101"/>
      <c r="BF7" s="101"/>
      <c r="BG7" s="101"/>
      <c r="BH7" s="101"/>
      <c r="BI7" s="101"/>
      <c r="BJ7" s="101"/>
      <c r="BK7" s="101"/>
      <c r="BL7" s="101"/>
      <c r="BM7" s="101"/>
      <c r="BN7" s="101"/>
      <c r="BO7" s="101"/>
      <c r="BP7" s="101"/>
      <c r="BQ7" s="101"/>
      <c r="BR7" s="101"/>
      <c r="BS7" s="101"/>
      <c r="BT7" s="101"/>
      <c r="BU7" s="101"/>
      <c r="BV7" s="101"/>
      <c r="BW7" s="101"/>
      <c r="BX7" s="101"/>
      <c r="BY7" s="101"/>
      <c r="BZ7" s="101"/>
      <c r="CA7" s="101"/>
      <c r="CB7" s="101"/>
      <c r="CC7" s="101"/>
      <c r="CD7" s="101"/>
      <c r="CE7" s="101"/>
      <c r="CF7" s="101"/>
      <c r="CG7" s="101"/>
      <c r="CH7" s="101"/>
      <c r="CI7" s="101"/>
      <c r="CJ7" s="101"/>
      <c r="CK7" s="101"/>
      <c r="CL7" s="101"/>
      <c r="CM7" s="101"/>
      <c r="CN7" s="101"/>
      <c r="CO7" s="101"/>
      <c r="CP7" s="101"/>
      <c r="CQ7" s="101"/>
      <c r="CR7" s="101"/>
      <c r="CS7" s="101"/>
      <c r="CT7" s="101"/>
      <c r="CU7" s="101"/>
      <c r="CV7" s="101"/>
      <c r="CW7" s="101"/>
      <c r="CX7" s="101"/>
      <c r="CY7" s="101"/>
      <c r="CZ7" s="101"/>
      <c r="DA7" s="101"/>
      <c r="DB7" s="101"/>
      <c r="DC7" s="101"/>
      <c r="DD7" s="101"/>
      <c r="DE7" s="101"/>
      <c r="DF7" s="101"/>
      <c r="DG7" s="101"/>
      <c r="DH7" s="101"/>
      <c r="DI7" s="101"/>
      <c r="DJ7" s="101"/>
      <c r="DK7" s="101"/>
      <c r="DL7" s="101"/>
      <c r="DM7" s="101"/>
      <c r="DN7" s="101"/>
      <c r="DO7" s="101"/>
      <c r="DP7" s="101"/>
      <c r="DQ7" s="101"/>
      <c r="DR7" s="101"/>
      <c r="DS7" s="66">
        <v>5</v>
      </c>
      <c r="DT7" s="66">
        <v>10</v>
      </c>
      <c r="DU7" s="66">
        <v>2</v>
      </c>
      <c r="DV7" s="115" t="s">
        <v>990</v>
      </c>
      <c r="DW7" s="115" t="s">
        <v>603</v>
      </c>
      <c r="DX7" s="115" t="s">
        <v>592</v>
      </c>
      <c r="DY7" s="63" t="str">
        <f t="shared" si="0"/>
        <v>○</v>
      </c>
      <c r="DZ7" s="101">
        <v>0</v>
      </c>
      <c r="EA7" s="101">
        <v>0</v>
      </c>
      <c r="EB7" s="101">
        <v>0</v>
      </c>
      <c r="EC7" s="101">
        <v>0</v>
      </c>
      <c r="ED7" s="101">
        <v>0</v>
      </c>
      <c r="EE7" s="101">
        <v>0</v>
      </c>
      <c r="EF7" s="101">
        <v>0</v>
      </c>
      <c r="EG7" s="101">
        <v>0</v>
      </c>
      <c r="EH7" s="101">
        <v>0</v>
      </c>
      <c r="EI7" s="101">
        <v>0</v>
      </c>
      <c r="EJ7" s="101">
        <v>0</v>
      </c>
      <c r="EK7" s="101">
        <v>0</v>
      </c>
      <c r="EL7" s="101">
        <v>0</v>
      </c>
      <c r="EM7" s="101">
        <v>0</v>
      </c>
      <c r="EN7" s="101">
        <v>0</v>
      </c>
      <c r="EO7" s="68">
        <v>0</v>
      </c>
      <c r="EP7" s="68">
        <v>0</v>
      </c>
      <c r="EQ7" s="68">
        <v>0</v>
      </c>
      <c r="ER7" s="68">
        <v>0</v>
      </c>
      <c r="ES7" s="68">
        <v>0</v>
      </c>
      <c r="ET7" s="68">
        <v>0</v>
      </c>
      <c r="EU7" s="68">
        <v>0</v>
      </c>
      <c r="EV7" s="68">
        <v>0</v>
      </c>
      <c r="EW7" s="68">
        <v>0</v>
      </c>
    </row>
    <row r="8" spans="1:153">
      <c r="A8" s="113">
        <v>26</v>
      </c>
      <c r="B8" s="68">
        <v>3723000</v>
      </c>
      <c r="C8" s="68">
        <v>0</v>
      </c>
      <c r="D8" s="68">
        <v>0</v>
      </c>
      <c r="E8" s="68">
        <v>0</v>
      </c>
      <c r="F8" s="68">
        <v>0</v>
      </c>
      <c r="G8" s="68">
        <v>0</v>
      </c>
      <c r="H8" s="68">
        <v>0</v>
      </c>
      <c r="I8" s="68">
        <v>0</v>
      </c>
      <c r="J8" s="68">
        <v>0</v>
      </c>
      <c r="K8" s="68">
        <v>0</v>
      </c>
      <c r="L8" s="68">
        <v>0</v>
      </c>
      <c r="M8" s="68">
        <v>0</v>
      </c>
      <c r="N8" s="68">
        <v>0</v>
      </c>
      <c r="O8" s="68">
        <v>0</v>
      </c>
      <c r="P8" s="68">
        <v>0</v>
      </c>
      <c r="Q8" s="68">
        <v>0</v>
      </c>
      <c r="R8" s="68">
        <v>0</v>
      </c>
      <c r="S8" s="68"/>
      <c r="T8" s="68"/>
      <c r="U8" s="68"/>
      <c r="V8" s="68"/>
      <c r="W8" s="68"/>
      <c r="X8" s="68"/>
      <c r="Y8" s="68"/>
      <c r="Z8" s="68">
        <v>3723000</v>
      </c>
      <c r="AA8" s="68">
        <v>0</v>
      </c>
      <c r="AB8" s="68">
        <v>0</v>
      </c>
      <c r="AC8" s="68">
        <v>0</v>
      </c>
      <c r="AD8" s="68">
        <v>0</v>
      </c>
      <c r="AE8" s="68">
        <v>0</v>
      </c>
      <c r="AF8" s="68">
        <v>0</v>
      </c>
      <c r="AG8" s="68">
        <v>0</v>
      </c>
      <c r="AH8" s="68">
        <v>0</v>
      </c>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c r="BH8" s="101"/>
      <c r="BI8" s="101"/>
      <c r="BJ8" s="101"/>
      <c r="BK8" s="101"/>
      <c r="BL8" s="101"/>
      <c r="BM8" s="101"/>
      <c r="BN8" s="101"/>
      <c r="BO8" s="101"/>
      <c r="BP8" s="101"/>
      <c r="BQ8" s="101"/>
      <c r="BR8" s="101"/>
      <c r="BS8" s="101"/>
      <c r="BT8" s="101"/>
      <c r="BU8" s="101"/>
      <c r="BV8" s="101"/>
      <c r="BW8" s="101"/>
      <c r="BX8" s="101"/>
      <c r="BY8" s="101"/>
      <c r="BZ8" s="101"/>
      <c r="CA8" s="101"/>
      <c r="CB8" s="101"/>
      <c r="CC8" s="101"/>
      <c r="CD8" s="101"/>
      <c r="CE8" s="101"/>
      <c r="CF8" s="101"/>
      <c r="CG8" s="101"/>
      <c r="CH8" s="101"/>
      <c r="CI8" s="101"/>
      <c r="CJ8" s="101"/>
      <c r="CK8" s="101"/>
      <c r="CL8" s="101"/>
      <c r="CM8" s="101"/>
      <c r="CN8" s="101"/>
      <c r="CO8" s="101"/>
      <c r="CP8" s="101"/>
      <c r="CQ8" s="101"/>
      <c r="CR8" s="101"/>
      <c r="CS8" s="101"/>
      <c r="CT8" s="101"/>
      <c r="CU8" s="101"/>
      <c r="CV8" s="101"/>
      <c r="CW8" s="101"/>
      <c r="CX8" s="101"/>
      <c r="CY8" s="101"/>
      <c r="CZ8" s="101"/>
      <c r="DA8" s="101"/>
      <c r="DB8" s="101"/>
      <c r="DC8" s="101"/>
      <c r="DD8" s="101"/>
      <c r="DE8" s="101"/>
      <c r="DF8" s="101"/>
      <c r="DG8" s="101"/>
      <c r="DH8" s="101"/>
      <c r="DI8" s="101"/>
      <c r="DJ8" s="101"/>
      <c r="DK8" s="101"/>
      <c r="DL8" s="101"/>
      <c r="DM8" s="101"/>
      <c r="DN8" s="101"/>
      <c r="DO8" s="101"/>
      <c r="DP8" s="101"/>
      <c r="DQ8" s="101"/>
      <c r="DR8" s="101"/>
      <c r="DS8" s="66">
        <v>5</v>
      </c>
      <c r="DT8" s="66">
        <v>10</v>
      </c>
      <c r="DU8" s="66">
        <v>2</v>
      </c>
      <c r="DV8" s="115" t="s">
        <v>993</v>
      </c>
      <c r="DW8" s="115" t="s">
        <v>994</v>
      </c>
      <c r="DX8" s="115" t="s">
        <v>581</v>
      </c>
      <c r="DY8" s="63" t="str">
        <f t="shared" si="0"/>
        <v>○</v>
      </c>
      <c r="DZ8" s="101">
        <v>0</v>
      </c>
      <c r="EA8" s="101">
        <v>0</v>
      </c>
      <c r="EB8" s="101">
        <v>0</v>
      </c>
      <c r="EC8" s="101">
        <v>0</v>
      </c>
      <c r="ED8" s="101">
        <v>0</v>
      </c>
      <c r="EE8" s="101">
        <v>0</v>
      </c>
      <c r="EF8" s="101">
        <v>0</v>
      </c>
      <c r="EG8" s="101">
        <v>0</v>
      </c>
      <c r="EH8" s="101">
        <v>0</v>
      </c>
      <c r="EI8" s="101">
        <v>0</v>
      </c>
      <c r="EJ8" s="101">
        <v>0</v>
      </c>
      <c r="EK8" s="101">
        <v>0</v>
      </c>
      <c r="EL8" s="101">
        <v>0</v>
      </c>
      <c r="EM8" s="101">
        <v>0</v>
      </c>
      <c r="EN8" s="101">
        <v>0</v>
      </c>
      <c r="EO8" s="68">
        <v>0</v>
      </c>
      <c r="EP8" s="68">
        <v>0</v>
      </c>
      <c r="EQ8" s="68">
        <v>0</v>
      </c>
      <c r="ER8" s="68">
        <v>0</v>
      </c>
      <c r="ES8" s="68">
        <v>0</v>
      </c>
      <c r="ET8" s="68">
        <v>0</v>
      </c>
      <c r="EU8" s="68">
        <v>0</v>
      </c>
      <c r="EV8" s="68">
        <v>0</v>
      </c>
      <c r="EW8" s="68">
        <v>0</v>
      </c>
    </row>
    <row r="9" spans="1:153">
      <c r="A9" s="113">
        <v>27</v>
      </c>
      <c r="B9" s="68">
        <v>4660000</v>
      </c>
      <c r="C9" s="68">
        <v>0</v>
      </c>
      <c r="D9" s="68">
        <v>0</v>
      </c>
      <c r="E9" s="68">
        <v>0</v>
      </c>
      <c r="F9" s="68">
        <v>0</v>
      </c>
      <c r="G9" s="68">
        <v>0</v>
      </c>
      <c r="H9" s="68">
        <v>0</v>
      </c>
      <c r="I9" s="68">
        <v>0</v>
      </c>
      <c r="J9" s="68">
        <v>0</v>
      </c>
      <c r="K9" s="68">
        <v>0</v>
      </c>
      <c r="L9" s="68">
        <v>0</v>
      </c>
      <c r="M9" s="68">
        <v>0</v>
      </c>
      <c r="N9" s="68">
        <v>0</v>
      </c>
      <c r="O9" s="68">
        <v>0</v>
      </c>
      <c r="P9" s="68">
        <v>0</v>
      </c>
      <c r="Q9" s="68">
        <v>0</v>
      </c>
      <c r="R9" s="68">
        <v>0</v>
      </c>
      <c r="S9" s="68"/>
      <c r="T9" s="68"/>
      <c r="U9" s="68"/>
      <c r="V9" s="68"/>
      <c r="W9" s="68"/>
      <c r="X9" s="68"/>
      <c r="Y9" s="68"/>
      <c r="Z9" s="68">
        <v>4660000</v>
      </c>
      <c r="AA9" s="68">
        <v>0</v>
      </c>
      <c r="AB9" s="68">
        <v>0</v>
      </c>
      <c r="AC9" s="68">
        <v>0</v>
      </c>
      <c r="AD9" s="68">
        <v>0</v>
      </c>
      <c r="AE9" s="68">
        <v>0</v>
      </c>
      <c r="AF9" s="68">
        <v>0</v>
      </c>
      <c r="AG9" s="68">
        <v>0</v>
      </c>
      <c r="AH9" s="68">
        <v>0</v>
      </c>
      <c r="AI9" s="101"/>
      <c r="AJ9" s="101"/>
      <c r="AK9" s="101"/>
      <c r="AL9" s="101"/>
      <c r="AM9" s="101"/>
      <c r="AN9" s="101"/>
      <c r="AO9" s="101"/>
      <c r="AP9" s="101"/>
      <c r="AQ9" s="101"/>
      <c r="AR9" s="101"/>
      <c r="AS9" s="101"/>
      <c r="AT9" s="101"/>
      <c r="AU9" s="101"/>
      <c r="AV9" s="101"/>
      <c r="AW9" s="101"/>
      <c r="AX9" s="101"/>
      <c r="AY9" s="101"/>
      <c r="AZ9" s="101"/>
      <c r="BA9" s="101"/>
      <c r="BB9" s="101"/>
      <c r="BC9" s="101"/>
      <c r="BD9" s="101"/>
      <c r="BE9" s="101"/>
      <c r="BF9" s="101"/>
      <c r="BG9" s="101"/>
      <c r="BH9" s="101"/>
      <c r="BI9" s="101"/>
      <c r="BJ9" s="101"/>
      <c r="BK9" s="101"/>
      <c r="BL9" s="101"/>
      <c r="BM9" s="101"/>
      <c r="BN9" s="101"/>
      <c r="BO9" s="101"/>
      <c r="BP9" s="101"/>
      <c r="BQ9" s="101"/>
      <c r="BR9" s="101"/>
      <c r="BS9" s="101"/>
      <c r="BT9" s="101"/>
      <c r="BU9" s="101"/>
      <c r="BV9" s="101"/>
      <c r="BW9" s="101"/>
      <c r="BX9" s="101"/>
      <c r="BY9" s="101"/>
      <c r="BZ9" s="101"/>
      <c r="CA9" s="101"/>
      <c r="CB9" s="101"/>
      <c r="CC9" s="101"/>
      <c r="CD9" s="101"/>
      <c r="CE9" s="101"/>
      <c r="CF9" s="101"/>
      <c r="CG9" s="101"/>
      <c r="CH9" s="101"/>
      <c r="CI9" s="101"/>
      <c r="CJ9" s="101"/>
      <c r="CK9" s="101"/>
      <c r="CL9" s="101"/>
      <c r="CM9" s="101"/>
      <c r="CN9" s="101"/>
      <c r="CO9" s="101"/>
      <c r="CP9" s="101"/>
      <c r="CQ9" s="101"/>
      <c r="CR9" s="101"/>
      <c r="CS9" s="101"/>
      <c r="CT9" s="101"/>
      <c r="CU9" s="101"/>
      <c r="CV9" s="101"/>
      <c r="CW9" s="101"/>
      <c r="CX9" s="101"/>
      <c r="CY9" s="101"/>
      <c r="CZ9" s="101"/>
      <c r="DA9" s="101"/>
      <c r="DB9" s="101"/>
      <c r="DC9" s="101"/>
      <c r="DD9" s="101"/>
      <c r="DE9" s="101"/>
      <c r="DF9" s="101"/>
      <c r="DG9" s="101"/>
      <c r="DH9" s="101"/>
      <c r="DI9" s="101"/>
      <c r="DJ9" s="101"/>
      <c r="DK9" s="101"/>
      <c r="DL9" s="101"/>
      <c r="DM9" s="101"/>
      <c r="DN9" s="101"/>
      <c r="DO9" s="101"/>
      <c r="DP9" s="101"/>
      <c r="DQ9" s="101"/>
      <c r="DR9" s="101"/>
      <c r="DS9" s="66">
        <v>5</v>
      </c>
      <c r="DT9" s="66">
        <v>10</v>
      </c>
      <c r="DU9" s="66">
        <v>2</v>
      </c>
      <c r="DV9" s="115" t="s">
        <v>990</v>
      </c>
      <c r="DW9" s="115" t="s">
        <v>597</v>
      </c>
      <c r="DX9" s="115" t="s">
        <v>581</v>
      </c>
      <c r="DY9" s="63" t="str">
        <f t="shared" si="0"/>
        <v>○</v>
      </c>
      <c r="DZ9" s="101">
        <v>0</v>
      </c>
      <c r="EA9" s="101">
        <v>0</v>
      </c>
      <c r="EB9" s="101">
        <v>0</v>
      </c>
      <c r="EC9" s="101">
        <v>0</v>
      </c>
      <c r="ED9" s="101">
        <v>0</v>
      </c>
      <c r="EE9" s="101">
        <v>0</v>
      </c>
      <c r="EF9" s="101">
        <v>0</v>
      </c>
      <c r="EG9" s="101">
        <v>0</v>
      </c>
      <c r="EH9" s="101">
        <v>0</v>
      </c>
      <c r="EI9" s="101">
        <v>0</v>
      </c>
      <c r="EJ9" s="101">
        <v>0</v>
      </c>
      <c r="EK9" s="101">
        <v>0</v>
      </c>
      <c r="EL9" s="101">
        <v>0</v>
      </c>
      <c r="EM9" s="101">
        <v>0</v>
      </c>
      <c r="EN9" s="101">
        <v>0</v>
      </c>
      <c r="EO9" s="68">
        <v>0</v>
      </c>
      <c r="EP9" s="68">
        <v>0</v>
      </c>
      <c r="EQ9" s="68">
        <v>0</v>
      </c>
      <c r="ER9" s="68">
        <v>0</v>
      </c>
      <c r="ES9" s="68">
        <v>0</v>
      </c>
      <c r="ET9" s="68">
        <v>0</v>
      </c>
      <c r="EU9" s="68">
        <v>0</v>
      </c>
      <c r="EV9" s="68">
        <v>0</v>
      </c>
      <c r="EW9" s="68">
        <v>0</v>
      </c>
    </row>
    <row r="10" spans="1:153">
      <c r="A10" s="113">
        <v>28</v>
      </c>
      <c r="B10" s="68">
        <v>9150000</v>
      </c>
      <c r="C10" s="68">
        <v>0</v>
      </c>
      <c r="D10" s="68">
        <v>0</v>
      </c>
      <c r="E10" s="68">
        <v>0</v>
      </c>
      <c r="F10" s="68">
        <v>0</v>
      </c>
      <c r="G10" s="68">
        <v>0</v>
      </c>
      <c r="H10" s="68">
        <v>0</v>
      </c>
      <c r="I10" s="68">
        <v>0</v>
      </c>
      <c r="J10" s="68">
        <v>0</v>
      </c>
      <c r="K10" s="68">
        <v>0</v>
      </c>
      <c r="L10" s="68">
        <v>0</v>
      </c>
      <c r="M10" s="68">
        <v>0</v>
      </c>
      <c r="N10" s="68">
        <v>0</v>
      </c>
      <c r="O10" s="68">
        <v>0</v>
      </c>
      <c r="P10" s="68">
        <v>0</v>
      </c>
      <c r="Q10" s="68">
        <v>0</v>
      </c>
      <c r="R10" s="68">
        <v>0</v>
      </c>
      <c r="S10" s="68"/>
      <c r="T10" s="68"/>
      <c r="U10" s="68"/>
      <c r="V10" s="68"/>
      <c r="W10" s="68"/>
      <c r="X10" s="68"/>
      <c r="Y10" s="68"/>
      <c r="Z10" s="68">
        <v>9150000</v>
      </c>
      <c r="AA10" s="68">
        <v>0</v>
      </c>
      <c r="AB10" s="68">
        <v>0</v>
      </c>
      <c r="AC10" s="68">
        <v>0</v>
      </c>
      <c r="AD10" s="68">
        <v>0</v>
      </c>
      <c r="AE10" s="68">
        <v>0</v>
      </c>
      <c r="AF10" s="68">
        <v>0</v>
      </c>
      <c r="AG10" s="68">
        <v>0</v>
      </c>
      <c r="AH10" s="68">
        <v>0</v>
      </c>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c r="BH10" s="101"/>
      <c r="BI10" s="101"/>
      <c r="BJ10" s="101"/>
      <c r="BK10" s="101"/>
      <c r="BL10" s="101"/>
      <c r="BM10" s="101"/>
      <c r="BN10" s="101"/>
      <c r="BO10" s="101"/>
      <c r="BP10" s="101"/>
      <c r="BQ10" s="101"/>
      <c r="BR10" s="101"/>
      <c r="BS10" s="101"/>
      <c r="BT10" s="101"/>
      <c r="BU10" s="101"/>
      <c r="BV10" s="101"/>
      <c r="BW10" s="101"/>
      <c r="BX10" s="101"/>
      <c r="BY10" s="101"/>
      <c r="BZ10" s="101"/>
      <c r="CA10" s="101"/>
      <c r="CB10" s="101"/>
      <c r="CC10" s="101"/>
      <c r="CD10" s="101"/>
      <c r="CE10" s="101"/>
      <c r="CF10" s="101"/>
      <c r="CG10" s="101"/>
      <c r="CH10" s="101"/>
      <c r="CI10" s="101"/>
      <c r="CJ10" s="101"/>
      <c r="CK10" s="101"/>
      <c r="CL10" s="101"/>
      <c r="CM10" s="101"/>
      <c r="CN10" s="101"/>
      <c r="CO10" s="101"/>
      <c r="CP10" s="101"/>
      <c r="CQ10" s="101"/>
      <c r="CR10" s="101"/>
      <c r="CS10" s="101"/>
      <c r="CT10" s="101"/>
      <c r="CU10" s="101"/>
      <c r="CV10" s="101"/>
      <c r="CW10" s="101"/>
      <c r="CX10" s="101"/>
      <c r="CY10" s="101"/>
      <c r="CZ10" s="101"/>
      <c r="DA10" s="101"/>
      <c r="DB10" s="101"/>
      <c r="DC10" s="101"/>
      <c r="DD10" s="101"/>
      <c r="DE10" s="101"/>
      <c r="DF10" s="101"/>
      <c r="DG10" s="101"/>
      <c r="DH10" s="101"/>
      <c r="DI10" s="101"/>
      <c r="DJ10" s="101"/>
      <c r="DK10" s="101"/>
      <c r="DL10" s="101"/>
      <c r="DM10" s="101"/>
      <c r="DN10" s="101"/>
      <c r="DO10" s="101"/>
      <c r="DP10" s="101"/>
      <c r="DQ10" s="101"/>
      <c r="DR10" s="101"/>
      <c r="DS10" s="66">
        <v>5</v>
      </c>
      <c r="DT10" s="66">
        <v>10</v>
      </c>
      <c r="DU10" s="66">
        <v>2</v>
      </c>
      <c r="DV10" s="115" t="s">
        <v>990</v>
      </c>
      <c r="DW10" s="115" t="s">
        <v>598</v>
      </c>
      <c r="DX10" s="115" t="s">
        <v>581</v>
      </c>
      <c r="DY10" s="63" t="str">
        <f t="shared" si="0"/>
        <v>○</v>
      </c>
      <c r="DZ10" s="101">
        <v>0</v>
      </c>
      <c r="EA10" s="101">
        <v>0</v>
      </c>
      <c r="EB10" s="101">
        <v>0</v>
      </c>
      <c r="EC10" s="101">
        <v>0</v>
      </c>
      <c r="ED10" s="101">
        <v>0</v>
      </c>
      <c r="EE10" s="101">
        <v>0</v>
      </c>
      <c r="EF10" s="101">
        <v>0</v>
      </c>
      <c r="EG10" s="101">
        <v>0</v>
      </c>
      <c r="EH10" s="101">
        <v>0</v>
      </c>
      <c r="EI10" s="101">
        <v>0</v>
      </c>
      <c r="EJ10" s="101">
        <v>0</v>
      </c>
      <c r="EK10" s="101">
        <v>0</v>
      </c>
      <c r="EL10" s="101">
        <v>0</v>
      </c>
      <c r="EM10" s="101">
        <v>0</v>
      </c>
      <c r="EN10" s="101">
        <v>0</v>
      </c>
      <c r="EO10" s="68">
        <v>0</v>
      </c>
      <c r="EP10" s="68">
        <v>0</v>
      </c>
      <c r="EQ10" s="68">
        <v>0</v>
      </c>
      <c r="ER10" s="68">
        <v>0</v>
      </c>
      <c r="ES10" s="68">
        <v>0</v>
      </c>
      <c r="ET10" s="68">
        <v>0</v>
      </c>
      <c r="EU10" s="68">
        <v>0</v>
      </c>
      <c r="EV10" s="68">
        <v>0</v>
      </c>
      <c r="EW10" s="68">
        <v>0</v>
      </c>
    </row>
    <row r="11" spans="1:153">
      <c r="A11" s="113">
        <v>29</v>
      </c>
      <c r="B11" s="68">
        <v>861000</v>
      </c>
      <c r="C11" s="68">
        <v>0</v>
      </c>
      <c r="D11" s="68">
        <v>0</v>
      </c>
      <c r="E11" s="68">
        <v>0</v>
      </c>
      <c r="F11" s="68">
        <v>0</v>
      </c>
      <c r="G11" s="68">
        <v>0</v>
      </c>
      <c r="H11" s="68">
        <v>0</v>
      </c>
      <c r="I11" s="68">
        <v>0</v>
      </c>
      <c r="J11" s="68">
        <v>0</v>
      </c>
      <c r="K11" s="68">
        <v>0</v>
      </c>
      <c r="L11" s="68">
        <v>0</v>
      </c>
      <c r="M11" s="68">
        <v>0</v>
      </c>
      <c r="N11" s="68">
        <v>0</v>
      </c>
      <c r="O11" s="68">
        <v>0</v>
      </c>
      <c r="P11" s="68">
        <v>0</v>
      </c>
      <c r="Q11" s="68">
        <v>0</v>
      </c>
      <c r="R11" s="68">
        <v>0</v>
      </c>
      <c r="S11" s="68"/>
      <c r="T11" s="68"/>
      <c r="U11" s="68"/>
      <c r="V11" s="68"/>
      <c r="W11" s="68"/>
      <c r="X11" s="68"/>
      <c r="Y11" s="68"/>
      <c r="Z11" s="68">
        <v>861000</v>
      </c>
      <c r="AA11" s="68">
        <v>0</v>
      </c>
      <c r="AB11" s="68">
        <v>0</v>
      </c>
      <c r="AC11" s="68">
        <v>0</v>
      </c>
      <c r="AD11" s="68">
        <v>0</v>
      </c>
      <c r="AE11" s="68">
        <v>0</v>
      </c>
      <c r="AF11" s="68">
        <v>0</v>
      </c>
      <c r="AG11" s="68">
        <v>0</v>
      </c>
      <c r="AH11" s="68">
        <v>0</v>
      </c>
      <c r="AI11" s="101"/>
      <c r="AJ11" s="101"/>
      <c r="AK11" s="101"/>
      <c r="AL11" s="101"/>
      <c r="AM11" s="101"/>
      <c r="AN11" s="101"/>
      <c r="AO11" s="101"/>
      <c r="AP11" s="101"/>
      <c r="AQ11" s="101"/>
      <c r="AR11" s="101"/>
      <c r="AS11" s="101"/>
      <c r="AT11" s="101"/>
      <c r="AU11" s="101"/>
      <c r="AV11" s="101"/>
      <c r="AW11" s="101"/>
      <c r="AX11" s="101"/>
      <c r="AY11" s="101"/>
      <c r="AZ11" s="101"/>
      <c r="BA11" s="101"/>
      <c r="BB11" s="101"/>
      <c r="BC11" s="101"/>
      <c r="BD11" s="101"/>
      <c r="BE11" s="101"/>
      <c r="BF11" s="101"/>
      <c r="BG11" s="101"/>
      <c r="BH11" s="101"/>
      <c r="BI11" s="101"/>
      <c r="BJ11" s="101"/>
      <c r="BK11" s="101"/>
      <c r="BL11" s="101"/>
      <c r="BM11" s="101"/>
      <c r="BN11" s="101"/>
      <c r="BO11" s="101"/>
      <c r="BP11" s="101"/>
      <c r="BQ11" s="101"/>
      <c r="BR11" s="101"/>
      <c r="BS11" s="101"/>
      <c r="BT11" s="101"/>
      <c r="BU11" s="101"/>
      <c r="BV11" s="101"/>
      <c r="BW11" s="101"/>
      <c r="BX11" s="101"/>
      <c r="BY11" s="101"/>
      <c r="BZ11" s="101"/>
      <c r="CA11" s="101"/>
      <c r="CB11" s="101"/>
      <c r="CC11" s="101"/>
      <c r="CD11" s="101"/>
      <c r="CE11" s="101"/>
      <c r="CF11" s="101"/>
      <c r="CG11" s="101"/>
      <c r="CH11" s="101"/>
      <c r="CI11" s="101"/>
      <c r="CJ11" s="101"/>
      <c r="CK11" s="101"/>
      <c r="CL11" s="101"/>
      <c r="CM11" s="101"/>
      <c r="CN11" s="101"/>
      <c r="CO11" s="101"/>
      <c r="CP11" s="101"/>
      <c r="CQ11" s="101"/>
      <c r="CR11" s="101"/>
      <c r="CS11" s="101"/>
      <c r="CT11" s="101"/>
      <c r="CU11" s="101"/>
      <c r="CV11" s="101"/>
      <c r="CW11" s="101"/>
      <c r="CX11" s="101"/>
      <c r="CY11" s="101"/>
      <c r="CZ11" s="101"/>
      <c r="DA11" s="101"/>
      <c r="DB11" s="101"/>
      <c r="DC11" s="101"/>
      <c r="DD11" s="101"/>
      <c r="DE11" s="101"/>
      <c r="DF11" s="101"/>
      <c r="DG11" s="101"/>
      <c r="DH11" s="101"/>
      <c r="DI11" s="101"/>
      <c r="DJ11" s="101"/>
      <c r="DK11" s="101"/>
      <c r="DL11" s="101"/>
      <c r="DM11" s="101"/>
      <c r="DN11" s="101"/>
      <c r="DO11" s="101"/>
      <c r="DP11" s="101"/>
      <c r="DQ11" s="101"/>
      <c r="DR11" s="101"/>
      <c r="DS11" s="66">
        <v>5</v>
      </c>
      <c r="DT11" s="66">
        <v>10</v>
      </c>
      <c r="DU11" s="66">
        <v>2</v>
      </c>
      <c r="DV11" s="115" t="s">
        <v>602</v>
      </c>
      <c r="DW11" s="115" t="s">
        <v>1469</v>
      </c>
      <c r="DX11" s="115" t="s">
        <v>581</v>
      </c>
      <c r="DY11" s="63" t="str">
        <f t="shared" si="0"/>
        <v>○</v>
      </c>
      <c r="DZ11" s="101">
        <v>0</v>
      </c>
      <c r="EA11" s="101">
        <v>0</v>
      </c>
      <c r="EB11" s="101">
        <v>0</v>
      </c>
      <c r="EC11" s="101">
        <v>0</v>
      </c>
      <c r="ED11" s="101">
        <v>0</v>
      </c>
      <c r="EE11" s="101">
        <v>0</v>
      </c>
      <c r="EF11" s="101">
        <v>0</v>
      </c>
      <c r="EG11" s="101">
        <v>0</v>
      </c>
      <c r="EH11" s="101">
        <v>0</v>
      </c>
      <c r="EI11" s="101">
        <v>0</v>
      </c>
      <c r="EJ11" s="101">
        <v>0</v>
      </c>
      <c r="EK11" s="101">
        <v>0</v>
      </c>
      <c r="EL11" s="101">
        <v>0</v>
      </c>
      <c r="EM11" s="101">
        <v>0</v>
      </c>
      <c r="EN11" s="101">
        <v>0</v>
      </c>
      <c r="EO11" s="68">
        <v>0</v>
      </c>
      <c r="EP11" s="68">
        <v>0</v>
      </c>
      <c r="EQ11" s="68">
        <v>0</v>
      </c>
      <c r="ER11" s="68">
        <v>0</v>
      </c>
      <c r="ES11" s="68">
        <v>0</v>
      </c>
      <c r="ET11" s="68">
        <v>0</v>
      </c>
      <c r="EU11" s="68">
        <v>0</v>
      </c>
      <c r="EV11" s="68">
        <v>0</v>
      </c>
      <c r="EW11" s="68">
        <v>0</v>
      </c>
    </row>
    <row r="12" spans="1:153">
      <c r="A12" s="113">
        <v>30</v>
      </c>
      <c r="B12" s="68">
        <v>293000</v>
      </c>
      <c r="C12" s="68">
        <v>0</v>
      </c>
      <c r="D12" s="68">
        <v>0</v>
      </c>
      <c r="E12" s="68">
        <v>0</v>
      </c>
      <c r="F12" s="68">
        <v>0</v>
      </c>
      <c r="G12" s="68">
        <v>0</v>
      </c>
      <c r="H12" s="68">
        <v>0</v>
      </c>
      <c r="I12" s="68">
        <v>0</v>
      </c>
      <c r="J12" s="68">
        <v>0</v>
      </c>
      <c r="K12" s="68">
        <v>0</v>
      </c>
      <c r="L12" s="68">
        <v>0</v>
      </c>
      <c r="M12" s="68">
        <v>0</v>
      </c>
      <c r="N12" s="68">
        <v>0</v>
      </c>
      <c r="O12" s="68">
        <v>0</v>
      </c>
      <c r="P12" s="68">
        <v>0</v>
      </c>
      <c r="Q12" s="68">
        <v>0</v>
      </c>
      <c r="R12" s="68">
        <v>0</v>
      </c>
      <c r="S12" s="68"/>
      <c r="T12" s="68"/>
      <c r="U12" s="68"/>
      <c r="V12" s="68"/>
      <c r="W12" s="68"/>
      <c r="X12" s="68"/>
      <c r="Y12" s="68"/>
      <c r="Z12" s="68">
        <v>293000</v>
      </c>
      <c r="AA12" s="68">
        <v>0</v>
      </c>
      <c r="AB12" s="68">
        <v>0</v>
      </c>
      <c r="AC12" s="68">
        <v>0</v>
      </c>
      <c r="AD12" s="68">
        <v>0</v>
      </c>
      <c r="AE12" s="68">
        <v>0</v>
      </c>
      <c r="AF12" s="68">
        <v>0</v>
      </c>
      <c r="AG12" s="68">
        <v>0</v>
      </c>
      <c r="AH12" s="68">
        <v>0</v>
      </c>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c r="BH12" s="101"/>
      <c r="BI12" s="101"/>
      <c r="BJ12" s="101"/>
      <c r="BK12" s="101"/>
      <c r="BL12" s="101"/>
      <c r="BM12" s="101"/>
      <c r="BN12" s="101"/>
      <c r="BO12" s="101"/>
      <c r="BP12" s="101"/>
      <c r="BQ12" s="101"/>
      <c r="BR12" s="101"/>
      <c r="BS12" s="101"/>
      <c r="BT12" s="101"/>
      <c r="BU12" s="101"/>
      <c r="BV12" s="101"/>
      <c r="BW12" s="101"/>
      <c r="BX12" s="101"/>
      <c r="BY12" s="101"/>
      <c r="BZ12" s="101"/>
      <c r="CA12" s="101"/>
      <c r="CB12" s="101"/>
      <c r="CC12" s="101"/>
      <c r="CD12" s="101"/>
      <c r="CE12" s="101"/>
      <c r="CF12" s="101"/>
      <c r="CG12" s="101"/>
      <c r="CH12" s="101"/>
      <c r="CI12" s="101"/>
      <c r="CJ12" s="101"/>
      <c r="CK12" s="101"/>
      <c r="CL12" s="101"/>
      <c r="CM12" s="101"/>
      <c r="CN12" s="101"/>
      <c r="CO12" s="101"/>
      <c r="CP12" s="101"/>
      <c r="CQ12" s="101"/>
      <c r="CR12" s="101"/>
      <c r="CS12" s="101"/>
      <c r="CT12" s="101"/>
      <c r="CU12" s="101"/>
      <c r="CV12" s="101"/>
      <c r="CW12" s="101"/>
      <c r="CX12" s="101"/>
      <c r="CY12" s="101"/>
      <c r="CZ12" s="101"/>
      <c r="DA12" s="101"/>
      <c r="DB12" s="101"/>
      <c r="DC12" s="101"/>
      <c r="DD12" s="101"/>
      <c r="DE12" s="101"/>
      <c r="DF12" s="101"/>
      <c r="DG12" s="101"/>
      <c r="DH12" s="101"/>
      <c r="DI12" s="101"/>
      <c r="DJ12" s="101"/>
      <c r="DK12" s="101"/>
      <c r="DL12" s="101"/>
      <c r="DM12" s="101"/>
      <c r="DN12" s="101"/>
      <c r="DO12" s="101"/>
      <c r="DP12" s="101"/>
      <c r="DQ12" s="101"/>
      <c r="DR12" s="101"/>
      <c r="DS12" s="66">
        <v>5</v>
      </c>
      <c r="DT12" s="66">
        <v>10</v>
      </c>
      <c r="DU12" s="66">
        <v>2</v>
      </c>
      <c r="DV12" s="115" t="s">
        <v>602</v>
      </c>
      <c r="DW12" s="115" t="s">
        <v>605</v>
      </c>
      <c r="DX12" s="115" t="s">
        <v>581</v>
      </c>
      <c r="DY12" s="63" t="str">
        <f t="shared" si="0"/>
        <v>○</v>
      </c>
      <c r="DZ12" s="101">
        <v>0</v>
      </c>
      <c r="EA12" s="101">
        <v>0</v>
      </c>
      <c r="EB12" s="101">
        <v>0</v>
      </c>
      <c r="EC12" s="101">
        <v>0</v>
      </c>
      <c r="ED12" s="101">
        <v>0</v>
      </c>
      <c r="EE12" s="101">
        <v>0</v>
      </c>
      <c r="EF12" s="101">
        <v>0</v>
      </c>
      <c r="EG12" s="101">
        <v>0</v>
      </c>
      <c r="EH12" s="101">
        <v>0</v>
      </c>
      <c r="EI12" s="101">
        <v>0</v>
      </c>
      <c r="EJ12" s="101">
        <v>0</v>
      </c>
      <c r="EK12" s="101">
        <v>0</v>
      </c>
      <c r="EL12" s="101">
        <v>0</v>
      </c>
      <c r="EM12" s="101">
        <v>0</v>
      </c>
      <c r="EN12" s="101">
        <v>0</v>
      </c>
      <c r="EO12" s="68">
        <v>0</v>
      </c>
      <c r="EP12" s="68">
        <v>0</v>
      </c>
      <c r="EQ12" s="68">
        <v>0</v>
      </c>
      <c r="ER12" s="68">
        <v>0</v>
      </c>
      <c r="ES12" s="68">
        <v>0</v>
      </c>
      <c r="ET12" s="68">
        <v>0</v>
      </c>
      <c r="EU12" s="68">
        <v>0</v>
      </c>
      <c r="EV12" s="68">
        <v>0</v>
      </c>
      <c r="EW12" s="68">
        <v>0</v>
      </c>
    </row>
    <row r="13" spans="1:153">
      <c r="A13" s="113">
        <v>31</v>
      </c>
      <c r="B13" s="68">
        <v>726000</v>
      </c>
      <c r="C13" s="68">
        <v>0</v>
      </c>
      <c r="D13" s="68">
        <v>0</v>
      </c>
      <c r="E13" s="68">
        <v>0</v>
      </c>
      <c r="F13" s="68">
        <v>0</v>
      </c>
      <c r="G13" s="68">
        <v>0</v>
      </c>
      <c r="H13" s="68">
        <v>0</v>
      </c>
      <c r="I13" s="68">
        <v>0</v>
      </c>
      <c r="J13" s="68">
        <v>0</v>
      </c>
      <c r="K13" s="68">
        <v>0</v>
      </c>
      <c r="L13" s="68">
        <v>0</v>
      </c>
      <c r="M13" s="68">
        <v>0</v>
      </c>
      <c r="N13" s="68">
        <v>0</v>
      </c>
      <c r="O13" s="68">
        <v>0</v>
      </c>
      <c r="P13" s="68">
        <v>0</v>
      </c>
      <c r="Q13" s="68">
        <v>0</v>
      </c>
      <c r="R13" s="68">
        <v>0</v>
      </c>
      <c r="S13" s="68"/>
      <c r="T13" s="68"/>
      <c r="U13" s="68"/>
      <c r="V13" s="68"/>
      <c r="W13" s="68"/>
      <c r="X13" s="68"/>
      <c r="Y13" s="68"/>
      <c r="Z13" s="68">
        <v>726000</v>
      </c>
      <c r="AA13" s="68">
        <v>0</v>
      </c>
      <c r="AB13" s="68">
        <v>0</v>
      </c>
      <c r="AC13" s="68">
        <v>0</v>
      </c>
      <c r="AD13" s="68">
        <v>0</v>
      </c>
      <c r="AE13" s="68">
        <v>0</v>
      </c>
      <c r="AF13" s="68">
        <v>0</v>
      </c>
      <c r="AG13" s="68">
        <v>0</v>
      </c>
      <c r="AH13" s="68">
        <v>0</v>
      </c>
      <c r="AI13" s="101"/>
      <c r="AJ13" s="101"/>
      <c r="AK13" s="101"/>
      <c r="AL13" s="101"/>
      <c r="AM13" s="101"/>
      <c r="AN13" s="101"/>
      <c r="AO13" s="101"/>
      <c r="AP13" s="101"/>
      <c r="AQ13" s="101"/>
      <c r="AR13" s="101"/>
      <c r="AS13" s="101"/>
      <c r="AT13" s="101"/>
      <c r="AU13" s="101"/>
      <c r="AV13" s="101"/>
      <c r="AW13" s="101"/>
      <c r="AX13" s="101"/>
      <c r="AY13" s="101"/>
      <c r="AZ13" s="101"/>
      <c r="BA13" s="101"/>
      <c r="BB13" s="101"/>
      <c r="BC13" s="101"/>
      <c r="BD13" s="101"/>
      <c r="BE13" s="101"/>
      <c r="BF13" s="101"/>
      <c r="BG13" s="101"/>
      <c r="BH13" s="101"/>
      <c r="BI13" s="101"/>
      <c r="BJ13" s="101"/>
      <c r="BK13" s="101"/>
      <c r="BL13" s="101"/>
      <c r="BM13" s="101"/>
      <c r="BN13" s="101"/>
      <c r="BO13" s="101"/>
      <c r="BP13" s="101"/>
      <c r="BQ13" s="101"/>
      <c r="BR13" s="101"/>
      <c r="BS13" s="101"/>
      <c r="BT13" s="101"/>
      <c r="BU13" s="101"/>
      <c r="BV13" s="101"/>
      <c r="BW13" s="101"/>
      <c r="BX13" s="101"/>
      <c r="BY13" s="101"/>
      <c r="BZ13" s="101"/>
      <c r="CA13" s="101"/>
      <c r="CB13" s="101"/>
      <c r="CC13" s="101"/>
      <c r="CD13" s="101"/>
      <c r="CE13" s="101"/>
      <c r="CF13" s="101"/>
      <c r="CG13" s="101"/>
      <c r="CH13" s="101"/>
      <c r="CI13" s="101"/>
      <c r="CJ13" s="101"/>
      <c r="CK13" s="101"/>
      <c r="CL13" s="101"/>
      <c r="CM13" s="101"/>
      <c r="CN13" s="101"/>
      <c r="CO13" s="101"/>
      <c r="CP13" s="101"/>
      <c r="CQ13" s="101"/>
      <c r="CR13" s="101"/>
      <c r="CS13" s="101"/>
      <c r="CT13" s="101"/>
      <c r="CU13" s="101"/>
      <c r="CV13" s="101"/>
      <c r="CW13" s="101"/>
      <c r="CX13" s="101"/>
      <c r="CY13" s="101"/>
      <c r="CZ13" s="101"/>
      <c r="DA13" s="101"/>
      <c r="DB13" s="101"/>
      <c r="DC13" s="101"/>
      <c r="DD13" s="101"/>
      <c r="DE13" s="101"/>
      <c r="DF13" s="101"/>
      <c r="DG13" s="101"/>
      <c r="DH13" s="101"/>
      <c r="DI13" s="101"/>
      <c r="DJ13" s="101"/>
      <c r="DK13" s="101"/>
      <c r="DL13" s="101"/>
      <c r="DM13" s="101"/>
      <c r="DN13" s="101"/>
      <c r="DO13" s="101"/>
      <c r="DP13" s="101"/>
      <c r="DQ13" s="101"/>
      <c r="DR13" s="101"/>
      <c r="DS13" s="66">
        <v>5</v>
      </c>
      <c r="DT13" s="66">
        <v>10</v>
      </c>
      <c r="DU13" s="66">
        <v>2</v>
      </c>
      <c r="DV13" s="115" t="s">
        <v>990</v>
      </c>
      <c r="DW13" s="115" t="s">
        <v>1470</v>
      </c>
      <c r="DX13" s="115" t="s">
        <v>581</v>
      </c>
      <c r="DY13" s="63" t="str">
        <f t="shared" si="0"/>
        <v>○</v>
      </c>
      <c r="DZ13" s="101">
        <v>0</v>
      </c>
      <c r="EA13" s="101">
        <v>0</v>
      </c>
      <c r="EB13" s="101">
        <v>0</v>
      </c>
      <c r="EC13" s="101">
        <v>0</v>
      </c>
      <c r="ED13" s="101">
        <v>0</v>
      </c>
      <c r="EE13" s="101">
        <v>0</v>
      </c>
      <c r="EF13" s="101">
        <v>0</v>
      </c>
      <c r="EG13" s="101">
        <v>0</v>
      </c>
      <c r="EH13" s="101">
        <v>0</v>
      </c>
      <c r="EI13" s="101">
        <v>0</v>
      </c>
      <c r="EJ13" s="101">
        <v>0</v>
      </c>
      <c r="EK13" s="101">
        <v>0</v>
      </c>
      <c r="EL13" s="101">
        <v>0</v>
      </c>
      <c r="EM13" s="101">
        <v>0</v>
      </c>
      <c r="EN13" s="101">
        <v>0</v>
      </c>
      <c r="EO13" s="68">
        <v>0</v>
      </c>
      <c r="EP13" s="68">
        <v>0</v>
      </c>
      <c r="EQ13" s="68">
        <v>0</v>
      </c>
      <c r="ER13" s="68">
        <v>0</v>
      </c>
      <c r="ES13" s="68">
        <v>0</v>
      </c>
      <c r="ET13" s="68">
        <v>0</v>
      </c>
      <c r="EU13" s="68">
        <v>0</v>
      </c>
      <c r="EV13" s="68">
        <v>0</v>
      </c>
      <c r="EW13" s="68">
        <v>0</v>
      </c>
    </row>
    <row r="14" spans="1:153">
      <c r="A14" s="113">
        <v>32</v>
      </c>
      <c r="B14" s="68">
        <v>809000</v>
      </c>
      <c r="C14" s="68">
        <v>0</v>
      </c>
      <c r="D14" s="68">
        <v>0</v>
      </c>
      <c r="E14" s="68">
        <v>0</v>
      </c>
      <c r="F14" s="68">
        <v>0</v>
      </c>
      <c r="G14" s="68">
        <v>0</v>
      </c>
      <c r="H14" s="68">
        <v>0</v>
      </c>
      <c r="I14" s="68">
        <v>0</v>
      </c>
      <c r="J14" s="68">
        <v>0</v>
      </c>
      <c r="K14" s="68">
        <v>0</v>
      </c>
      <c r="L14" s="68">
        <v>0</v>
      </c>
      <c r="M14" s="68">
        <v>0</v>
      </c>
      <c r="N14" s="68">
        <v>0</v>
      </c>
      <c r="O14" s="68">
        <v>0</v>
      </c>
      <c r="P14" s="68">
        <v>0</v>
      </c>
      <c r="Q14" s="68">
        <v>0</v>
      </c>
      <c r="R14" s="68">
        <v>0</v>
      </c>
      <c r="S14" s="68"/>
      <c r="T14" s="68"/>
      <c r="U14" s="68"/>
      <c r="V14" s="68"/>
      <c r="W14" s="68"/>
      <c r="X14" s="68"/>
      <c r="Y14" s="68"/>
      <c r="Z14" s="68">
        <v>809000</v>
      </c>
      <c r="AA14" s="68">
        <v>0</v>
      </c>
      <c r="AB14" s="68">
        <v>0</v>
      </c>
      <c r="AC14" s="68">
        <v>0</v>
      </c>
      <c r="AD14" s="68">
        <v>0</v>
      </c>
      <c r="AE14" s="68">
        <v>0</v>
      </c>
      <c r="AF14" s="68">
        <v>0</v>
      </c>
      <c r="AG14" s="68">
        <v>0</v>
      </c>
      <c r="AH14" s="68">
        <v>0</v>
      </c>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c r="BH14" s="101"/>
      <c r="BI14" s="101"/>
      <c r="BJ14" s="101"/>
      <c r="BK14" s="101"/>
      <c r="BL14" s="101"/>
      <c r="BM14" s="101"/>
      <c r="BN14" s="101"/>
      <c r="BO14" s="101"/>
      <c r="BP14" s="101"/>
      <c r="BQ14" s="101"/>
      <c r="BR14" s="101"/>
      <c r="BS14" s="101"/>
      <c r="BT14" s="101"/>
      <c r="BU14" s="101"/>
      <c r="BV14" s="101"/>
      <c r="BW14" s="101"/>
      <c r="BX14" s="101"/>
      <c r="BY14" s="101"/>
      <c r="BZ14" s="101"/>
      <c r="CA14" s="101"/>
      <c r="CB14" s="101"/>
      <c r="CC14" s="101"/>
      <c r="CD14" s="101"/>
      <c r="CE14" s="101"/>
      <c r="CF14" s="101"/>
      <c r="CG14" s="101"/>
      <c r="CH14" s="101"/>
      <c r="CI14" s="101"/>
      <c r="CJ14" s="101"/>
      <c r="CK14" s="101"/>
      <c r="CL14" s="101"/>
      <c r="CM14" s="101"/>
      <c r="CN14" s="101"/>
      <c r="CO14" s="101"/>
      <c r="CP14" s="101"/>
      <c r="CQ14" s="101"/>
      <c r="CR14" s="101"/>
      <c r="CS14" s="101"/>
      <c r="CT14" s="101"/>
      <c r="CU14" s="101"/>
      <c r="CV14" s="101"/>
      <c r="CW14" s="101"/>
      <c r="CX14" s="101"/>
      <c r="CY14" s="101"/>
      <c r="CZ14" s="101"/>
      <c r="DA14" s="101"/>
      <c r="DB14" s="101"/>
      <c r="DC14" s="101"/>
      <c r="DD14" s="101"/>
      <c r="DE14" s="101"/>
      <c r="DF14" s="101"/>
      <c r="DG14" s="101"/>
      <c r="DH14" s="101"/>
      <c r="DI14" s="101"/>
      <c r="DJ14" s="101"/>
      <c r="DK14" s="101"/>
      <c r="DL14" s="101"/>
      <c r="DM14" s="101"/>
      <c r="DN14" s="101"/>
      <c r="DO14" s="101"/>
      <c r="DP14" s="101"/>
      <c r="DQ14" s="101"/>
      <c r="DR14" s="101"/>
      <c r="DS14" s="66">
        <v>5</v>
      </c>
      <c r="DT14" s="66">
        <v>10</v>
      </c>
      <c r="DU14" s="66">
        <v>2</v>
      </c>
      <c r="DV14" s="115" t="s">
        <v>990</v>
      </c>
      <c r="DW14" s="115" t="s">
        <v>995</v>
      </c>
      <c r="DX14" s="115" t="s">
        <v>581</v>
      </c>
      <c r="DY14" s="63" t="str">
        <f t="shared" si="0"/>
        <v>○</v>
      </c>
      <c r="DZ14" s="101">
        <v>0</v>
      </c>
      <c r="EA14" s="101">
        <v>0</v>
      </c>
      <c r="EB14" s="101">
        <v>0</v>
      </c>
      <c r="EC14" s="101">
        <v>0</v>
      </c>
      <c r="ED14" s="101">
        <v>0</v>
      </c>
      <c r="EE14" s="101">
        <v>0</v>
      </c>
      <c r="EF14" s="101">
        <v>0</v>
      </c>
      <c r="EG14" s="101">
        <v>0</v>
      </c>
      <c r="EH14" s="101">
        <v>0</v>
      </c>
      <c r="EI14" s="101">
        <v>0</v>
      </c>
      <c r="EJ14" s="101">
        <v>0</v>
      </c>
      <c r="EK14" s="101">
        <v>0</v>
      </c>
      <c r="EL14" s="101">
        <v>0</v>
      </c>
      <c r="EM14" s="101">
        <v>0</v>
      </c>
      <c r="EN14" s="101">
        <v>0</v>
      </c>
      <c r="EO14" s="68">
        <v>0</v>
      </c>
      <c r="EP14" s="68">
        <v>0</v>
      </c>
      <c r="EQ14" s="68">
        <v>0</v>
      </c>
      <c r="ER14" s="68">
        <v>0</v>
      </c>
      <c r="ES14" s="68">
        <v>0</v>
      </c>
      <c r="ET14" s="68">
        <v>0</v>
      </c>
      <c r="EU14" s="68">
        <v>0</v>
      </c>
      <c r="EV14" s="68">
        <v>0</v>
      </c>
      <c r="EW14" s="68">
        <v>0</v>
      </c>
    </row>
    <row r="15" spans="1:153">
      <c r="A15" s="113">
        <v>33</v>
      </c>
      <c r="B15" s="68">
        <v>83000</v>
      </c>
      <c r="C15" s="68">
        <v>0</v>
      </c>
      <c r="D15" s="68">
        <v>0</v>
      </c>
      <c r="E15" s="68">
        <v>0</v>
      </c>
      <c r="F15" s="68">
        <v>0</v>
      </c>
      <c r="G15" s="68">
        <v>0</v>
      </c>
      <c r="H15" s="68">
        <v>0</v>
      </c>
      <c r="I15" s="68">
        <v>0</v>
      </c>
      <c r="J15" s="68">
        <v>0</v>
      </c>
      <c r="K15" s="68">
        <v>0</v>
      </c>
      <c r="L15" s="68">
        <v>0</v>
      </c>
      <c r="M15" s="68">
        <v>0</v>
      </c>
      <c r="N15" s="68">
        <v>0</v>
      </c>
      <c r="O15" s="68">
        <v>0</v>
      </c>
      <c r="P15" s="68">
        <v>0</v>
      </c>
      <c r="Q15" s="68">
        <v>0</v>
      </c>
      <c r="R15" s="68">
        <v>0</v>
      </c>
      <c r="S15" s="68"/>
      <c r="T15" s="68"/>
      <c r="U15" s="68"/>
      <c r="V15" s="68"/>
      <c r="W15" s="68"/>
      <c r="X15" s="68"/>
      <c r="Y15" s="68"/>
      <c r="Z15" s="68">
        <v>83000</v>
      </c>
      <c r="AA15" s="68">
        <v>0</v>
      </c>
      <c r="AB15" s="68">
        <v>0</v>
      </c>
      <c r="AC15" s="68">
        <v>0</v>
      </c>
      <c r="AD15" s="68">
        <v>0</v>
      </c>
      <c r="AE15" s="68">
        <v>0</v>
      </c>
      <c r="AF15" s="68">
        <v>0</v>
      </c>
      <c r="AG15" s="68">
        <v>0</v>
      </c>
      <c r="AH15" s="68">
        <v>0</v>
      </c>
      <c r="AI15" s="101"/>
      <c r="AJ15" s="101"/>
      <c r="AK15" s="101"/>
      <c r="AL15" s="101"/>
      <c r="AM15" s="101"/>
      <c r="AN15" s="101"/>
      <c r="AO15" s="101"/>
      <c r="AP15" s="101"/>
      <c r="AQ15" s="101"/>
      <c r="AR15" s="101"/>
      <c r="AS15" s="101"/>
      <c r="AT15" s="101"/>
      <c r="AU15" s="101"/>
      <c r="AV15" s="101"/>
      <c r="AW15" s="101"/>
      <c r="AX15" s="101"/>
      <c r="AY15" s="101"/>
      <c r="AZ15" s="101"/>
      <c r="BA15" s="101"/>
      <c r="BB15" s="101"/>
      <c r="BC15" s="101"/>
      <c r="BD15" s="101"/>
      <c r="BE15" s="101"/>
      <c r="BF15" s="101"/>
      <c r="BG15" s="101"/>
      <c r="BH15" s="101"/>
      <c r="BI15" s="101"/>
      <c r="BJ15" s="101"/>
      <c r="BK15" s="101"/>
      <c r="BL15" s="101"/>
      <c r="BM15" s="101"/>
      <c r="BN15" s="101"/>
      <c r="BO15" s="101"/>
      <c r="BP15" s="101"/>
      <c r="BQ15" s="101"/>
      <c r="BR15" s="101"/>
      <c r="BS15" s="101"/>
      <c r="BT15" s="101"/>
      <c r="BU15" s="101"/>
      <c r="BV15" s="101"/>
      <c r="BW15" s="101"/>
      <c r="BX15" s="101"/>
      <c r="BY15" s="101"/>
      <c r="BZ15" s="101"/>
      <c r="CA15" s="101"/>
      <c r="CB15" s="101"/>
      <c r="CC15" s="101"/>
      <c r="CD15" s="101"/>
      <c r="CE15" s="101"/>
      <c r="CF15" s="101"/>
      <c r="CG15" s="101"/>
      <c r="CH15" s="101"/>
      <c r="CI15" s="101"/>
      <c r="CJ15" s="101"/>
      <c r="CK15" s="101"/>
      <c r="CL15" s="101"/>
      <c r="CM15" s="101"/>
      <c r="CN15" s="101"/>
      <c r="CO15" s="101"/>
      <c r="CP15" s="101"/>
      <c r="CQ15" s="101"/>
      <c r="CR15" s="101"/>
      <c r="CS15" s="101"/>
      <c r="CT15" s="101"/>
      <c r="CU15" s="101"/>
      <c r="CV15" s="101"/>
      <c r="CW15" s="101"/>
      <c r="CX15" s="101"/>
      <c r="CY15" s="101"/>
      <c r="CZ15" s="101"/>
      <c r="DA15" s="101"/>
      <c r="DB15" s="101"/>
      <c r="DC15" s="101"/>
      <c r="DD15" s="101"/>
      <c r="DE15" s="101"/>
      <c r="DF15" s="101"/>
      <c r="DG15" s="101"/>
      <c r="DH15" s="101"/>
      <c r="DI15" s="101"/>
      <c r="DJ15" s="101"/>
      <c r="DK15" s="101"/>
      <c r="DL15" s="101"/>
      <c r="DM15" s="101"/>
      <c r="DN15" s="101"/>
      <c r="DO15" s="101"/>
      <c r="DP15" s="101"/>
      <c r="DQ15" s="101"/>
      <c r="DR15" s="101"/>
      <c r="DS15" s="66">
        <v>5</v>
      </c>
      <c r="DT15" s="66">
        <v>10</v>
      </c>
      <c r="DU15" s="66">
        <v>2</v>
      </c>
      <c r="DV15" s="115" t="s">
        <v>990</v>
      </c>
      <c r="DW15" s="115" t="s">
        <v>599</v>
      </c>
      <c r="DX15" s="115" t="s">
        <v>592</v>
      </c>
      <c r="DY15" s="63" t="str">
        <f t="shared" si="0"/>
        <v>○</v>
      </c>
      <c r="DZ15" s="101">
        <v>0</v>
      </c>
      <c r="EA15" s="101">
        <v>0</v>
      </c>
      <c r="EB15" s="101">
        <v>0</v>
      </c>
      <c r="EC15" s="101">
        <v>0</v>
      </c>
      <c r="ED15" s="101">
        <v>0</v>
      </c>
      <c r="EE15" s="101">
        <v>0</v>
      </c>
      <c r="EF15" s="101">
        <v>0</v>
      </c>
      <c r="EG15" s="101">
        <v>0</v>
      </c>
      <c r="EH15" s="101">
        <v>0</v>
      </c>
      <c r="EI15" s="101">
        <v>0</v>
      </c>
      <c r="EJ15" s="101">
        <v>0</v>
      </c>
      <c r="EK15" s="101">
        <v>0</v>
      </c>
      <c r="EL15" s="101">
        <v>0</v>
      </c>
      <c r="EM15" s="101">
        <v>0</v>
      </c>
      <c r="EN15" s="101">
        <v>0</v>
      </c>
      <c r="EO15" s="68">
        <v>0</v>
      </c>
      <c r="EP15" s="68">
        <v>0</v>
      </c>
      <c r="EQ15" s="68">
        <v>0</v>
      </c>
      <c r="ER15" s="68">
        <v>0</v>
      </c>
      <c r="ES15" s="68">
        <v>0</v>
      </c>
      <c r="ET15" s="68">
        <v>0</v>
      </c>
      <c r="EU15" s="68">
        <v>0</v>
      </c>
      <c r="EV15" s="68">
        <v>0</v>
      </c>
      <c r="EW15" s="68">
        <v>0</v>
      </c>
    </row>
    <row r="16" spans="1:153">
      <c r="A16" s="113">
        <v>34</v>
      </c>
      <c r="B16" s="68">
        <v>207000</v>
      </c>
      <c r="C16" s="68">
        <v>0</v>
      </c>
      <c r="D16" s="68">
        <v>0</v>
      </c>
      <c r="E16" s="68">
        <v>0</v>
      </c>
      <c r="F16" s="68">
        <v>0</v>
      </c>
      <c r="G16" s="68">
        <v>0</v>
      </c>
      <c r="H16" s="68">
        <v>0</v>
      </c>
      <c r="I16" s="68">
        <v>0</v>
      </c>
      <c r="J16" s="68">
        <v>0</v>
      </c>
      <c r="K16" s="68">
        <v>0</v>
      </c>
      <c r="L16" s="68">
        <v>0</v>
      </c>
      <c r="M16" s="68">
        <v>0</v>
      </c>
      <c r="N16" s="68">
        <v>0</v>
      </c>
      <c r="O16" s="68">
        <v>0</v>
      </c>
      <c r="P16" s="68">
        <v>0</v>
      </c>
      <c r="Q16" s="68">
        <v>0</v>
      </c>
      <c r="R16" s="68">
        <v>0</v>
      </c>
      <c r="S16" s="68"/>
      <c r="T16" s="68"/>
      <c r="U16" s="68"/>
      <c r="V16" s="68"/>
      <c r="W16" s="68"/>
      <c r="X16" s="68"/>
      <c r="Y16" s="68"/>
      <c r="Z16" s="68">
        <v>207000</v>
      </c>
      <c r="AA16" s="68">
        <v>0</v>
      </c>
      <c r="AB16" s="68">
        <v>0</v>
      </c>
      <c r="AC16" s="68">
        <v>0</v>
      </c>
      <c r="AD16" s="68">
        <v>0</v>
      </c>
      <c r="AE16" s="68">
        <v>0</v>
      </c>
      <c r="AF16" s="68">
        <v>0</v>
      </c>
      <c r="AG16" s="68">
        <v>0</v>
      </c>
      <c r="AH16" s="68">
        <v>0</v>
      </c>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c r="BH16" s="101"/>
      <c r="BI16" s="101"/>
      <c r="BJ16" s="101"/>
      <c r="BK16" s="101"/>
      <c r="BL16" s="101"/>
      <c r="BM16" s="101"/>
      <c r="BN16" s="101"/>
      <c r="BO16" s="101"/>
      <c r="BP16" s="101"/>
      <c r="BQ16" s="101"/>
      <c r="BR16" s="101"/>
      <c r="BS16" s="101"/>
      <c r="BT16" s="101"/>
      <c r="BU16" s="101"/>
      <c r="BV16" s="101"/>
      <c r="BW16" s="101"/>
      <c r="BX16" s="101"/>
      <c r="BY16" s="101"/>
      <c r="BZ16" s="101"/>
      <c r="CA16" s="101"/>
      <c r="CB16" s="101"/>
      <c r="CC16" s="101"/>
      <c r="CD16" s="101"/>
      <c r="CE16" s="101"/>
      <c r="CF16" s="101"/>
      <c r="CG16" s="101"/>
      <c r="CH16" s="101"/>
      <c r="CI16" s="101"/>
      <c r="CJ16" s="101"/>
      <c r="CK16" s="101"/>
      <c r="CL16" s="101"/>
      <c r="CM16" s="101"/>
      <c r="CN16" s="101"/>
      <c r="CO16" s="101"/>
      <c r="CP16" s="101"/>
      <c r="CQ16" s="101"/>
      <c r="CR16" s="101"/>
      <c r="CS16" s="101"/>
      <c r="CT16" s="101"/>
      <c r="CU16" s="101"/>
      <c r="CV16" s="101"/>
      <c r="CW16" s="101"/>
      <c r="CX16" s="101"/>
      <c r="CY16" s="101"/>
      <c r="CZ16" s="101"/>
      <c r="DA16" s="101"/>
      <c r="DB16" s="101"/>
      <c r="DC16" s="101"/>
      <c r="DD16" s="101"/>
      <c r="DE16" s="101"/>
      <c r="DF16" s="101"/>
      <c r="DG16" s="101"/>
      <c r="DH16" s="101"/>
      <c r="DI16" s="101"/>
      <c r="DJ16" s="101"/>
      <c r="DK16" s="101"/>
      <c r="DL16" s="101"/>
      <c r="DM16" s="101"/>
      <c r="DN16" s="101"/>
      <c r="DO16" s="101"/>
      <c r="DP16" s="101"/>
      <c r="DQ16" s="101"/>
      <c r="DR16" s="101"/>
      <c r="DS16" s="66">
        <v>5</v>
      </c>
      <c r="DT16" s="66">
        <v>10</v>
      </c>
      <c r="DU16" s="66">
        <v>2</v>
      </c>
      <c r="DV16" s="115" t="s">
        <v>990</v>
      </c>
      <c r="DW16" s="115" t="s">
        <v>604</v>
      </c>
      <c r="DX16" s="115" t="s">
        <v>581</v>
      </c>
      <c r="DY16" s="63" t="str">
        <f t="shared" si="0"/>
        <v>○</v>
      </c>
      <c r="DZ16" s="101">
        <v>0</v>
      </c>
      <c r="EA16" s="101">
        <v>0</v>
      </c>
      <c r="EB16" s="101">
        <v>0</v>
      </c>
      <c r="EC16" s="101">
        <v>0</v>
      </c>
      <c r="ED16" s="101">
        <v>0</v>
      </c>
      <c r="EE16" s="101">
        <v>0</v>
      </c>
      <c r="EF16" s="101">
        <v>0</v>
      </c>
      <c r="EG16" s="101">
        <v>0</v>
      </c>
      <c r="EH16" s="101">
        <v>0</v>
      </c>
      <c r="EI16" s="101">
        <v>0</v>
      </c>
      <c r="EJ16" s="101">
        <v>0</v>
      </c>
      <c r="EK16" s="101">
        <v>0</v>
      </c>
      <c r="EL16" s="101">
        <v>0</v>
      </c>
      <c r="EM16" s="101">
        <v>0</v>
      </c>
      <c r="EN16" s="101">
        <v>0</v>
      </c>
      <c r="EO16" s="68">
        <v>0</v>
      </c>
      <c r="EP16" s="68">
        <v>0</v>
      </c>
      <c r="EQ16" s="68">
        <v>0</v>
      </c>
      <c r="ER16" s="68">
        <v>0</v>
      </c>
      <c r="ES16" s="68">
        <v>0</v>
      </c>
      <c r="ET16" s="68">
        <v>0</v>
      </c>
      <c r="EU16" s="68">
        <v>0</v>
      </c>
      <c r="EV16" s="68">
        <v>0</v>
      </c>
      <c r="EW16" s="68">
        <v>0</v>
      </c>
    </row>
    <row r="17" spans="1:153">
      <c r="A17" s="113">
        <v>35</v>
      </c>
      <c r="B17" s="68">
        <v>802000</v>
      </c>
      <c r="C17" s="68">
        <v>0</v>
      </c>
      <c r="D17" s="68">
        <v>0</v>
      </c>
      <c r="E17" s="68">
        <v>0</v>
      </c>
      <c r="F17" s="68">
        <v>0</v>
      </c>
      <c r="G17" s="68">
        <v>0</v>
      </c>
      <c r="H17" s="68">
        <v>0</v>
      </c>
      <c r="I17" s="68">
        <v>0</v>
      </c>
      <c r="J17" s="68">
        <v>0</v>
      </c>
      <c r="K17" s="68">
        <v>0</v>
      </c>
      <c r="L17" s="68">
        <v>0</v>
      </c>
      <c r="M17" s="68">
        <v>0</v>
      </c>
      <c r="N17" s="68">
        <v>0</v>
      </c>
      <c r="O17" s="68">
        <v>0</v>
      </c>
      <c r="P17" s="68">
        <v>0</v>
      </c>
      <c r="Q17" s="68">
        <v>0</v>
      </c>
      <c r="R17" s="68">
        <v>0</v>
      </c>
      <c r="S17" s="68"/>
      <c r="T17" s="68"/>
      <c r="U17" s="68"/>
      <c r="V17" s="68"/>
      <c r="W17" s="68"/>
      <c r="X17" s="68"/>
      <c r="Y17" s="68"/>
      <c r="Z17" s="68">
        <v>802000</v>
      </c>
      <c r="AA17" s="68">
        <v>0</v>
      </c>
      <c r="AB17" s="68">
        <v>0</v>
      </c>
      <c r="AC17" s="68">
        <v>0</v>
      </c>
      <c r="AD17" s="68">
        <v>0</v>
      </c>
      <c r="AE17" s="68">
        <v>0</v>
      </c>
      <c r="AF17" s="68">
        <v>0</v>
      </c>
      <c r="AG17" s="68">
        <v>0</v>
      </c>
      <c r="AH17" s="68">
        <v>0</v>
      </c>
      <c r="AI17" s="101"/>
      <c r="AJ17" s="101"/>
      <c r="AK17" s="101"/>
      <c r="AL17" s="101"/>
      <c r="AM17" s="101"/>
      <c r="AN17" s="101"/>
      <c r="AO17" s="101"/>
      <c r="AP17" s="101"/>
      <c r="AQ17" s="101"/>
      <c r="AR17" s="101"/>
      <c r="AS17" s="101"/>
      <c r="AT17" s="101"/>
      <c r="AU17" s="101"/>
      <c r="AV17" s="101"/>
      <c r="AW17" s="101"/>
      <c r="AX17" s="101"/>
      <c r="AY17" s="101"/>
      <c r="AZ17" s="101"/>
      <c r="BA17" s="101"/>
      <c r="BB17" s="101"/>
      <c r="BC17" s="101"/>
      <c r="BD17" s="101"/>
      <c r="BE17" s="101"/>
      <c r="BF17" s="101"/>
      <c r="BG17" s="101"/>
      <c r="BH17" s="101"/>
      <c r="BI17" s="101"/>
      <c r="BJ17" s="101"/>
      <c r="BK17" s="101"/>
      <c r="BL17" s="101"/>
      <c r="BM17" s="101"/>
      <c r="BN17" s="101"/>
      <c r="BO17" s="101"/>
      <c r="BP17" s="101"/>
      <c r="BQ17" s="101"/>
      <c r="BR17" s="101"/>
      <c r="BS17" s="101"/>
      <c r="BT17" s="101"/>
      <c r="BU17" s="101"/>
      <c r="BV17" s="101"/>
      <c r="BW17" s="101"/>
      <c r="BX17" s="101"/>
      <c r="BY17" s="101"/>
      <c r="BZ17" s="101"/>
      <c r="CA17" s="101"/>
      <c r="CB17" s="101"/>
      <c r="CC17" s="101"/>
      <c r="CD17" s="101"/>
      <c r="CE17" s="101"/>
      <c r="CF17" s="101"/>
      <c r="CG17" s="101"/>
      <c r="CH17" s="101"/>
      <c r="CI17" s="101"/>
      <c r="CJ17" s="101"/>
      <c r="CK17" s="101"/>
      <c r="CL17" s="101"/>
      <c r="CM17" s="101"/>
      <c r="CN17" s="101"/>
      <c r="CO17" s="101"/>
      <c r="CP17" s="101"/>
      <c r="CQ17" s="101"/>
      <c r="CR17" s="101"/>
      <c r="CS17" s="101"/>
      <c r="CT17" s="101"/>
      <c r="CU17" s="101"/>
      <c r="CV17" s="101"/>
      <c r="CW17" s="101"/>
      <c r="CX17" s="101"/>
      <c r="CY17" s="101"/>
      <c r="CZ17" s="101"/>
      <c r="DA17" s="101"/>
      <c r="DB17" s="101"/>
      <c r="DC17" s="101"/>
      <c r="DD17" s="101"/>
      <c r="DE17" s="101"/>
      <c r="DF17" s="101"/>
      <c r="DG17" s="101"/>
      <c r="DH17" s="101"/>
      <c r="DI17" s="101"/>
      <c r="DJ17" s="101"/>
      <c r="DK17" s="101"/>
      <c r="DL17" s="101"/>
      <c r="DM17" s="101"/>
      <c r="DN17" s="101"/>
      <c r="DO17" s="101"/>
      <c r="DP17" s="101"/>
      <c r="DQ17" s="101"/>
      <c r="DR17" s="101"/>
      <c r="DS17" s="66">
        <v>5</v>
      </c>
      <c r="DT17" s="66">
        <v>10</v>
      </c>
      <c r="DU17" s="66">
        <v>2</v>
      </c>
      <c r="DV17" s="115" t="s">
        <v>990</v>
      </c>
      <c r="DW17" s="115" t="s">
        <v>598</v>
      </c>
      <c r="DX17" s="115" t="s">
        <v>581</v>
      </c>
      <c r="DY17" s="63" t="str">
        <f t="shared" si="0"/>
        <v>○</v>
      </c>
      <c r="DZ17" s="101">
        <v>0</v>
      </c>
      <c r="EA17" s="101">
        <v>0</v>
      </c>
      <c r="EB17" s="101">
        <v>0</v>
      </c>
      <c r="EC17" s="101">
        <v>0</v>
      </c>
      <c r="ED17" s="101">
        <v>0</v>
      </c>
      <c r="EE17" s="101">
        <v>0</v>
      </c>
      <c r="EF17" s="101">
        <v>0</v>
      </c>
      <c r="EG17" s="101">
        <v>0</v>
      </c>
      <c r="EH17" s="101">
        <v>0</v>
      </c>
      <c r="EI17" s="101">
        <v>0</v>
      </c>
      <c r="EJ17" s="101">
        <v>0</v>
      </c>
      <c r="EK17" s="101">
        <v>0</v>
      </c>
      <c r="EL17" s="101">
        <v>0</v>
      </c>
      <c r="EM17" s="101">
        <v>0</v>
      </c>
      <c r="EN17" s="101">
        <v>0</v>
      </c>
      <c r="EO17" s="68">
        <v>0</v>
      </c>
      <c r="EP17" s="68">
        <v>0</v>
      </c>
      <c r="EQ17" s="68">
        <v>0</v>
      </c>
      <c r="ER17" s="68">
        <v>0</v>
      </c>
      <c r="ES17" s="68">
        <v>0</v>
      </c>
      <c r="ET17" s="68">
        <v>0</v>
      </c>
      <c r="EU17" s="68">
        <v>0</v>
      </c>
      <c r="EV17" s="68">
        <v>0</v>
      </c>
      <c r="EW17" s="68">
        <v>0</v>
      </c>
    </row>
    <row r="18" spans="1:153">
      <c r="A18" s="113">
        <v>36</v>
      </c>
      <c r="B18" s="68">
        <v>129000</v>
      </c>
      <c r="C18" s="68">
        <v>0</v>
      </c>
      <c r="D18" s="68">
        <v>0</v>
      </c>
      <c r="E18" s="68">
        <v>0</v>
      </c>
      <c r="F18" s="68">
        <v>0</v>
      </c>
      <c r="G18" s="68">
        <v>0</v>
      </c>
      <c r="H18" s="68">
        <v>0</v>
      </c>
      <c r="I18" s="68">
        <v>0</v>
      </c>
      <c r="J18" s="68">
        <v>0</v>
      </c>
      <c r="K18" s="68">
        <v>0</v>
      </c>
      <c r="L18" s="68">
        <v>0</v>
      </c>
      <c r="M18" s="68">
        <v>0</v>
      </c>
      <c r="N18" s="68">
        <v>0</v>
      </c>
      <c r="O18" s="68">
        <v>0</v>
      </c>
      <c r="P18" s="68">
        <v>0</v>
      </c>
      <c r="Q18" s="68">
        <v>0</v>
      </c>
      <c r="R18" s="68">
        <v>0</v>
      </c>
      <c r="S18" s="68"/>
      <c r="T18" s="68"/>
      <c r="U18" s="68"/>
      <c r="V18" s="68"/>
      <c r="W18" s="68"/>
      <c r="X18" s="68"/>
      <c r="Y18" s="68"/>
      <c r="Z18" s="68">
        <v>129000</v>
      </c>
      <c r="AA18" s="68">
        <v>0</v>
      </c>
      <c r="AB18" s="68">
        <v>0</v>
      </c>
      <c r="AC18" s="68">
        <v>0</v>
      </c>
      <c r="AD18" s="68">
        <v>0</v>
      </c>
      <c r="AE18" s="68">
        <v>0</v>
      </c>
      <c r="AF18" s="68">
        <v>0</v>
      </c>
      <c r="AG18" s="68">
        <v>0</v>
      </c>
      <c r="AH18" s="68">
        <v>0</v>
      </c>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c r="BH18" s="101"/>
      <c r="BI18" s="101"/>
      <c r="BJ18" s="101"/>
      <c r="BK18" s="101"/>
      <c r="BL18" s="101"/>
      <c r="BM18" s="101"/>
      <c r="BN18" s="101"/>
      <c r="BO18" s="101"/>
      <c r="BP18" s="101"/>
      <c r="BQ18" s="101"/>
      <c r="BR18" s="101"/>
      <c r="BS18" s="101"/>
      <c r="BT18" s="101"/>
      <c r="BU18" s="101"/>
      <c r="BV18" s="101"/>
      <c r="BW18" s="101"/>
      <c r="BX18" s="101"/>
      <c r="BY18" s="101"/>
      <c r="BZ18" s="101"/>
      <c r="CA18" s="101"/>
      <c r="CB18" s="101"/>
      <c r="CC18" s="101"/>
      <c r="CD18" s="101"/>
      <c r="CE18" s="101"/>
      <c r="CF18" s="101"/>
      <c r="CG18" s="101"/>
      <c r="CH18" s="101"/>
      <c r="CI18" s="101"/>
      <c r="CJ18" s="101"/>
      <c r="CK18" s="101"/>
      <c r="CL18" s="101"/>
      <c r="CM18" s="101"/>
      <c r="CN18" s="101"/>
      <c r="CO18" s="101"/>
      <c r="CP18" s="101"/>
      <c r="CQ18" s="101"/>
      <c r="CR18" s="101"/>
      <c r="CS18" s="101"/>
      <c r="CT18" s="101"/>
      <c r="CU18" s="101"/>
      <c r="CV18" s="101"/>
      <c r="CW18" s="101"/>
      <c r="CX18" s="101"/>
      <c r="CY18" s="101"/>
      <c r="CZ18" s="101"/>
      <c r="DA18" s="101"/>
      <c r="DB18" s="101"/>
      <c r="DC18" s="101"/>
      <c r="DD18" s="101"/>
      <c r="DE18" s="101"/>
      <c r="DF18" s="101"/>
      <c r="DG18" s="101"/>
      <c r="DH18" s="101"/>
      <c r="DI18" s="101"/>
      <c r="DJ18" s="101"/>
      <c r="DK18" s="101"/>
      <c r="DL18" s="101"/>
      <c r="DM18" s="101"/>
      <c r="DN18" s="101"/>
      <c r="DO18" s="101"/>
      <c r="DP18" s="101"/>
      <c r="DQ18" s="101"/>
      <c r="DR18" s="101"/>
      <c r="DS18" s="66">
        <v>5</v>
      </c>
      <c r="DT18" s="66">
        <v>10</v>
      </c>
      <c r="DU18" s="66">
        <v>2</v>
      </c>
      <c r="DV18" s="115" t="s">
        <v>585</v>
      </c>
      <c r="DW18" s="115" t="s">
        <v>593</v>
      </c>
      <c r="DX18" s="115" t="s">
        <v>581</v>
      </c>
      <c r="DY18" s="63" t="str">
        <f t="shared" si="0"/>
        <v>○</v>
      </c>
      <c r="DZ18" s="101">
        <v>0</v>
      </c>
      <c r="EA18" s="101">
        <v>0</v>
      </c>
      <c r="EB18" s="101">
        <v>0</v>
      </c>
      <c r="EC18" s="101">
        <v>0</v>
      </c>
      <c r="ED18" s="101">
        <v>0</v>
      </c>
      <c r="EE18" s="101">
        <v>0</v>
      </c>
      <c r="EF18" s="101">
        <v>0</v>
      </c>
      <c r="EG18" s="101">
        <v>0</v>
      </c>
      <c r="EH18" s="101">
        <v>0</v>
      </c>
      <c r="EI18" s="101">
        <v>0</v>
      </c>
      <c r="EJ18" s="101">
        <v>0</v>
      </c>
      <c r="EK18" s="101">
        <v>0</v>
      </c>
      <c r="EL18" s="101">
        <v>0</v>
      </c>
      <c r="EM18" s="101">
        <v>0</v>
      </c>
      <c r="EN18" s="101">
        <v>0</v>
      </c>
      <c r="EO18" s="68">
        <v>0</v>
      </c>
      <c r="EP18" s="68">
        <v>0</v>
      </c>
      <c r="EQ18" s="68">
        <v>0</v>
      </c>
      <c r="ER18" s="68">
        <v>0</v>
      </c>
      <c r="ES18" s="68">
        <v>0</v>
      </c>
      <c r="ET18" s="68">
        <v>0</v>
      </c>
      <c r="EU18" s="68">
        <v>0</v>
      </c>
      <c r="EV18" s="68">
        <v>0</v>
      </c>
      <c r="EW18" s="68">
        <v>0</v>
      </c>
    </row>
    <row r="19" spans="1:153">
      <c r="A19" s="113">
        <v>37</v>
      </c>
      <c r="B19" s="68">
        <v>1520000</v>
      </c>
      <c r="C19" s="68">
        <v>0</v>
      </c>
      <c r="D19" s="68">
        <v>0</v>
      </c>
      <c r="E19" s="68">
        <v>0</v>
      </c>
      <c r="F19" s="68">
        <v>0</v>
      </c>
      <c r="G19" s="68">
        <v>0</v>
      </c>
      <c r="H19" s="68">
        <v>0</v>
      </c>
      <c r="I19" s="68">
        <v>0</v>
      </c>
      <c r="J19" s="68">
        <v>0</v>
      </c>
      <c r="K19" s="68">
        <v>0</v>
      </c>
      <c r="L19" s="68">
        <v>0</v>
      </c>
      <c r="M19" s="68">
        <v>0</v>
      </c>
      <c r="N19" s="68">
        <v>0</v>
      </c>
      <c r="O19" s="68">
        <v>0</v>
      </c>
      <c r="P19" s="68">
        <v>0</v>
      </c>
      <c r="Q19" s="68">
        <v>0</v>
      </c>
      <c r="R19" s="68">
        <v>0</v>
      </c>
      <c r="S19" s="68"/>
      <c r="T19" s="68"/>
      <c r="U19" s="68"/>
      <c r="V19" s="68"/>
      <c r="W19" s="68"/>
      <c r="X19" s="68"/>
      <c r="Y19" s="68"/>
      <c r="Z19" s="68">
        <v>1520000</v>
      </c>
      <c r="AA19" s="68">
        <v>0</v>
      </c>
      <c r="AB19" s="68">
        <v>0</v>
      </c>
      <c r="AC19" s="68">
        <v>0</v>
      </c>
      <c r="AD19" s="68">
        <v>0</v>
      </c>
      <c r="AE19" s="68">
        <v>0</v>
      </c>
      <c r="AF19" s="68">
        <v>0</v>
      </c>
      <c r="AG19" s="68">
        <v>0</v>
      </c>
      <c r="AH19" s="68">
        <v>0</v>
      </c>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c r="BE19" s="101"/>
      <c r="BF19" s="101"/>
      <c r="BG19" s="101"/>
      <c r="BH19" s="101"/>
      <c r="BI19" s="101"/>
      <c r="BJ19" s="101"/>
      <c r="BK19" s="101"/>
      <c r="BL19" s="101"/>
      <c r="BM19" s="101"/>
      <c r="BN19" s="101"/>
      <c r="BO19" s="101"/>
      <c r="BP19" s="101"/>
      <c r="BQ19" s="101"/>
      <c r="BR19" s="101"/>
      <c r="BS19" s="101"/>
      <c r="BT19" s="101"/>
      <c r="BU19" s="101"/>
      <c r="BV19" s="101"/>
      <c r="BW19" s="101"/>
      <c r="BX19" s="101"/>
      <c r="BY19" s="101"/>
      <c r="BZ19" s="101"/>
      <c r="CA19" s="101"/>
      <c r="CB19" s="101"/>
      <c r="CC19" s="101"/>
      <c r="CD19" s="101"/>
      <c r="CE19" s="101"/>
      <c r="CF19" s="101"/>
      <c r="CG19" s="101"/>
      <c r="CH19" s="101"/>
      <c r="CI19" s="101"/>
      <c r="CJ19" s="101"/>
      <c r="CK19" s="101"/>
      <c r="CL19" s="101"/>
      <c r="CM19" s="101"/>
      <c r="CN19" s="101"/>
      <c r="CO19" s="101"/>
      <c r="CP19" s="101"/>
      <c r="CQ19" s="101"/>
      <c r="CR19" s="101"/>
      <c r="CS19" s="101"/>
      <c r="CT19" s="101"/>
      <c r="CU19" s="101"/>
      <c r="CV19" s="101"/>
      <c r="CW19" s="101"/>
      <c r="CX19" s="101"/>
      <c r="CY19" s="101"/>
      <c r="CZ19" s="101"/>
      <c r="DA19" s="101"/>
      <c r="DB19" s="101"/>
      <c r="DC19" s="101"/>
      <c r="DD19" s="101"/>
      <c r="DE19" s="101"/>
      <c r="DF19" s="101"/>
      <c r="DG19" s="101"/>
      <c r="DH19" s="101"/>
      <c r="DI19" s="101"/>
      <c r="DJ19" s="101"/>
      <c r="DK19" s="101"/>
      <c r="DL19" s="101"/>
      <c r="DM19" s="101"/>
      <c r="DN19" s="101"/>
      <c r="DO19" s="101"/>
      <c r="DP19" s="101"/>
      <c r="DQ19" s="101"/>
      <c r="DR19" s="101"/>
      <c r="DS19" s="66">
        <v>5</v>
      </c>
      <c r="DT19" s="66">
        <v>10</v>
      </c>
      <c r="DU19" s="66">
        <v>2</v>
      </c>
      <c r="DV19" s="115" t="s">
        <v>588</v>
      </c>
      <c r="DW19" s="115" t="s">
        <v>589</v>
      </c>
      <c r="DX19" s="115" t="s">
        <v>581</v>
      </c>
      <c r="DY19" s="63" t="str">
        <f t="shared" si="0"/>
        <v>○</v>
      </c>
      <c r="DZ19" s="101">
        <v>0</v>
      </c>
      <c r="EA19" s="101">
        <v>0</v>
      </c>
      <c r="EB19" s="101">
        <v>0</v>
      </c>
      <c r="EC19" s="101">
        <v>0</v>
      </c>
      <c r="ED19" s="101">
        <v>0</v>
      </c>
      <c r="EE19" s="101">
        <v>0</v>
      </c>
      <c r="EF19" s="101">
        <v>0</v>
      </c>
      <c r="EG19" s="101">
        <v>0</v>
      </c>
      <c r="EH19" s="101">
        <v>0</v>
      </c>
      <c r="EI19" s="101">
        <v>0</v>
      </c>
      <c r="EJ19" s="101">
        <v>0</v>
      </c>
      <c r="EK19" s="101">
        <v>0</v>
      </c>
      <c r="EL19" s="101">
        <v>0</v>
      </c>
      <c r="EM19" s="101">
        <v>0</v>
      </c>
      <c r="EN19" s="101">
        <v>0</v>
      </c>
      <c r="EO19" s="68">
        <v>0</v>
      </c>
      <c r="EP19" s="68">
        <v>0</v>
      </c>
      <c r="EQ19" s="68">
        <v>0</v>
      </c>
      <c r="ER19" s="68">
        <v>0</v>
      </c>
      <c r="ES19" s="68">
        <v>0</v>
      </c>
      <c r="ET19" s="68">
        <v>0</v>
      </c>
      <c r="EU19" s="68">
        <v>0</v>
      </c>
      <c r="EV19" s="68">
        <v>0</v>
      </c>
      <c r="EW19" s="68">
        <v>0</v>
      </c>
    </row>
    <row r="20" spans="1:153">
      <c r="A20" s="113">
        <v>38</v>
      </c>
      <c r="B20" s="68">
        <v>473000</v>
      </c>
      <c r="C20" s="68">
        <v>0</v>
      </c>
      <c r="D20" s="68">
        <v>0</v>
      </c>
      <c r="E20" s="68">
        <v>0</v>
      </c>
      <c r="F20" s="68">
        <v>0</v>
      </c>
      <c r="G20" s="68">
        <v>0</v>
      </c>
      <c r="H20" s="68">
        <v>0</v>
      </c>
      <c r="I20" s="68">
        <v>0</v>
      </c>
      <c r="J20" s="68">
        <v>0</v>
      </c>
      <c r="K20" s="68">
        <v>0</v>
      </c>
      <c r="L20" s="68">
        <v>0</v>
      </c>
      <c r="M20" s="68">
        <v>0</v>
      </c>
      <c r="N20" s="68">
        <v>0</v>
      </c>
      <c r="O20" s="68">
        <v>0</v>
      </c>
      <c r="P20" s="68">
        <v>0</v>
      </c>
      <c r="Q20" s="68">
        <v>0</v>
      </c>
      <c r="R20" s="68">
        <v>0</v>
      </c>
      <c r="S20" s="68"/>
      <c r="T20" s="68"/>
      <c r="U20" s="68"/>
      <c r="V20" s="68"/>
      <c r="W20" s="68"/>
      <c r="X20" s="68"/>
      <c r="Y20" s="68"/>
      <c r="Z20" s="68">
        <v>473000</v>
      </c>
      <c r="AA20" s="68">
        <v>0</v>
      </c>
      <c r="AB20" s="68">
        <v>0</v>
      </c>
      <c r="AC20" s="68">
        <v>0</v>
      </c>
      <c r="AD20" s="68">
        <v>0</v>
      </c>
      <c r="AE20" s="68">
        <v>0</v>
      </c>
      <c r="AF20" s="68">
        <v>0</v>
      </c>
      <c r="AG20" s="68">
        <v>0</v>
      </c>
      <c r="AH20" s="68">
        <v>0</v>
      </c>
      <c r="AI20" s="101"/>
      <c r="AJ20" s="101"/>
      <c r="AK20" s="101"/>
      <c r="AL20" s="101"/>
      <c r="AM20" s="101"/>
      <c r="AN20" s="101"/>
      <c r="AO20" s="101"/>
      <c r="AP20" s="101"/>
      <c r="AQ20" s="101"/>
      <c r="AR20" s="101"/>
      <c r="AS20" s="101"/>
      <c r="AT20" s="101"/>
      <c r="AU20" s="101"/>
      <c r="AV20" s="101"/>
      <c r="AW20" s="101"/>
      <c r="AX20" s="101"/>
      <c r="AY20" s="101"/>
      <c r="AZ20" s="101"/>
      <c r="BA20" s="101"/>
      <c r="BB20" s="101"/>
      <c r="BC20" s="101"/>
      <c r="BD20" s="101"/>
      <c r="BE20" s="101"/>
      <c r="BF20" s="101"/>
      <c r="BG20" s="101"/>
      <c r="BH20" s="101"/>
      <c r="BI20" s="101"/>
      <c r="BJ20" s="101"/>
      <c r="BK20" s="101"/>
      <c r="BL20" s="101"/>
      <c r="BM20" s="101"/>
      <c r="BN20" s="101"/>
      <c r="BO20" s="101"/>
      <c r="BP20" s="101"/>
      <c r="BQ20" s="101"/>
      <c r="BR20" s="101"/>
      <c r="BS20" s="101"/>
      <c r="BT20" s="101"/>
      <c r="BU20" s="101"/>
      <c r="BV20" s="101"/>
      <c r="BW20" s="101"/>
      <c r="BX20" s="101"/>
      <c r="BY20" s="101"/>
      <c r="BZ20" s="101"/>
      <c r="CA20" s="101"/>
      <c r="CB20" s="101"/>
      <c r="CC20" s="101"/>
      <c r="CD20" s="101"/>
      <c r="CE20" s="101"/>
      <c r="CF20" s="101"/>
      <c r="CG20" s="101"/>
      <c r="CH20" s="101"/>
      <c r="CI20" s="101"/>
      <c r="CJ20" s="101"/>
      <c r="CK20" s="101"/>
      <c r="CL20" s="101"/>
      <c r="CM20" s="101"/>
      <c r="CN20" s="101"/>
      <c r="CO20" s="101"/>
      <c r="CP20" s="101"/>
      <c r="CQ20" s="101"/>
      <c r="CR20" s="101"/>
      <c r="CS20" s="101"/>
      <c r="CT20" s="101"/>
      <c r="CU20" s="101"/>
      <c r="CV20" s="101"/>
      <c r="CW20" s="101"/>
      <c r="CX20" s="101"/>
      <c r="CY20" s="101"/>
      <c r="CZ20" s="101"/>
      <c r="DA20" s="101"/>
      <c r="DB20" s="101"/>
      <c r="DC20" s="101"/>
      <c r="DD20" s="101"/>
      <c r="DE20" s="101"/>
      <c r="DF20" s="101"/>
      <c r="DG20" s="101"/>
      <c r="DH20" s="101"/>
      <c r="DI20" s="101"/>
      <c r="DJ20" s="101"/>
      <c r="DK20" s="101"/>
      <c r="DL20" s="101"/>
      <c r="DM20" s="101"/>
      <c r="DN20" s="101"/>
      <c r="DO20" s="101"/>
      <c r="DP20" s="101"/>
      <c r="DQ20" s="101"/>
      <c r="DR20" s="101"/>
      <c r="DS20" s="66">
        <v>5</v>
      </c>
      <c r="DT20" s="66">
        <v>10</v>
      </c>
      <c r="DU20" s="66">
        <v>2</v>
      </c>
      <c r="DV20" s="115" t="s">
        <v>590</v>
      </c>
      <c r="DW20" s="115" t="s">
        <v>591</v>
      </c>
      <c r="DX20" s="115" t="s">
        <v>581</v>
      </c>
      <c r="DY20" s="63" t="str">
        <f t="shared" si="0"/>
        <v>○</v>
      </c>
      <c r="DZ20" s="101">
        <v>0</v>
      </c>
      <c r="EA20" s="101">
        <v>0</v>
      </c>
      <c r="EB20" s="101">
        <v>0</v>
      </c>
      <c r="EC20" s="101">
        <v>0</v>
      </c>
      <c r="ED20" s="101">
        <v>0</v>
      </c>
      <c r="EE20" s="101">
        <v>0</v>
      </c>
      <c r="EF20" s="101">
        <v>0</v>
      </c>
      <c r="EG20" s="101">
        <v>0</v>
      </c>
      <c r="EH20" s="101">
        <v>0</v>
      </c>
      <c r="EI20" s="101">
        <v>0</v>
      </c>
      <c r="EJ20" s="101">
        <v>0</v>
      </c>
      <c r="EK20" s="101">
        <v>0</v>
      </c>
      <c r="EL20" s="101">
        <v>0</v>
      </c>
      <c r="EM20" s="101">
        <v>0</v>
      </c>
      <c r="EN20" s="101">
        <v>0</v>
      </c>
      <c r="EO20" s="68">
        <v>0</v>
      </c>
      <c r="EP20" s="68">
        <v>0</v>
      </c>
      <c r="EQ20" s="68">
        <v>0</v>
      </c>
      <c r="ER20" s="68">
        <v>0</v>
      </c>
      <c r="ES20" s="68">
        <v>0</v>
      </c>
      <c r="ET20" s="68">
        <v>0</v>
      </c>
      <c r="EU20" s="68">
        <v>0</v>
      </c>
      <c r="EV20" s="68">
        <v>0</v>
      </c>
      <c r="EW20" s="68">
        <v>0</v>
      </c>
    </row>
    <row r="21" spans="1:153">
      <c r="A21" s="113">
        <v>39</v>
      </c>
      <c r="B21" s="68">
        <v>354000</v>
      </c>
      <c r="C21" s="68">
        <v>0</v>
      </c>
      <c r="D21" s="68">
        <v>0</v>
      </c>
      <c r="E21" s="68">
        <v>0</v>
      </c>
      <c r="F21" s="68">
        <v>0</v>
      </c>
      <c r="G21" s="68">
        <v>0</v>
      </c>
      <c r="H21" s="68">
        <v>0</v>
      </c>
      <c r="I21" s="68">
        <v>0</v>
      </c>
      <c r="J21" s="68">
        <v>0</v>
      </c>
      <c r="K21" s="68">
        <v>0</v>
      </c>
      <c r="L21" s="68">
        <v>0</v>
      </c>
      <c r="M21" s="68">
        <v>0</v>
      </c>
      <c r="N21" s="68">
        <v>0</v>
      </c>
      <c r="O21" s="68">
        <v>0</v>
      </c>
      <c r="P21" s="68">
        <v>0</v>
      </c>
      <c r="Q21" s="68">
        <v>0</v>
      </c>
      <c r="R21" s="68">
        <v>0</v>
      </c>
      <c r="S21" s="68"/>
      <c r="T21" s="68"/>
      <c r="U21" s="68"/>
      <c r="V21" s="68"/>
      <c r="W21" s="68"/>
      <c r="X21" s="68"/>
      <c r="Y21" s="68"/>
      <c r="Z21" s="68">
        <v>354000</v>
      </c>
      <c r="AA21" s="68">
        <v>0</v>
      </c>
      <c r="AB21" s="68">
        <v>0</v>
      </c>
      <c r="AC21" s="68">
        <v>0</v>
      </c>
      <c r="AD21" s="68">
        <v>0</v>
      </c>
      <c r="AE21" s="68">
        <v>0</v>
      </c>
      <c r="AF21" s="68">
        <v>0</v>
      </c>
      <c r="AG21" s="68">
        <v>0</v>
      </c>
      <c r="AH21" s="68">
        <v>0</v>
      </c>
      <c r="AI21" s="101"/>
      <c r="AJ21" s="101"/>
      <c r="AK21" s="101"/>
      <c r="AL21" s="101"/>
      <c r="AM21" s="101"/>
      <c r="AN21" s="101"/>
      <c r="AO21" s="101"/>
      <c r="AP21" s="101"/>
      <c r="AQ21" s="101"/>
      <c r="AR21" s="101"/>
      <c r="AS21" s="101"/>
      <c r="AT21" s="101"/>
      <c r="AU21" s="101"/>
      <c r="AV21" s="101"/>
      <c r="AW21" s="101"/>
      <c r="AX21" s="101"/>
      <c r="AY21" s="101"/>
      <c r="AZ21" s="101"/>
      <c r="BA21" s="101"/>
      <c r="BB21" s="101"/>
      <c r="BC21" s="101"/>
      <c r="BD21" s="101"/>
      <c r="BE21" s="101"/>
      <c r="BF21" s="101"/>
      <c r="BG21" s="101"/>
      <c r="BH21" s="101"/>
      <c r="BI21" s="101"/>
      <c r="BJ21" s="101"/>
      <c r="BK21" s="101"/>
      <c r="BL21" s="101"/>
      <c r="BM21" s="101"/>
      <c r="BN21" s="101"/>
      <c r="BO21" s="101"/>
      <c r="BP21" s="101"/>
      <c r="BQ21" s="101"/>
      <c r="BR21" s="101"/>
      <c r="BS21" s="101"/>
      <c r="BT21" s="101"/>
      <c r="BU21" s="101"/>
      <c r="BV21" s="101"/>
      <c r="BW21" s="101"/>
      <c r="BX21" s="101"/>
      <c r="BY21" s="101"/>
      <c r="BZ21" s="101"/>
      <c r="CA21" s="101"/>
      <c r="CB21" s="101"/>
      <c r="CC21" s="101"/>
      <c r="CD21" s="101"/>
      <c r="CE21" s="101"/>
      <c r="CF21" s="101"/>
      <c r="CG21" s="101"/>
      <c r="CH21" s="101"/>
      <c r="CI21" s="101"/>
      <c r="CJ21" s="101"/>
      <c r="CK21" s="101"/>
      <c r="CL21" s="101"/>
      <c r="CM21" s="101"/>
      <c r="CN21" s="101"/>
      <c r="CO21" s="101"/>
      <c r="CP21" s="101"/>
      <c r="CQ21" s="101"/>
      <c r="CR21" s="101"/>
      <c r="CS21" s="101"/>
      <c r="CT21" s="101"/>
      <c r="CU21" s="101"/>
      <c r="CV21" s="101"/>
      <c r="CW21" s="101"/>
      <c r="CX21" s="101"/>
      <c r="CY21" s="101"/>
      <c r="CZ21" s="101"/>
      <c r="DA21" s="101"/>
      <c r="DB21" s="101"/>
      <c r="DC21" s="101"/>
      <c r="DD21" s="101"/>
      <c r="DE21" s="101"/>
      <c r="DF21" s="101"/>
      <c r="DG21" s="101"/>
      <c r="DH21" s="101"/>
      <c r="DI21" s="101"/>
      <c r="DJ21" s="101"/>
      <c r="DK21" s="101"/>
      <c r="DL21" s="101"/>
      <c r="DM21" s="101"/>
      <c r="DN21" s="101"/>
      <c r="DO21" s="101"/>
      <c r="DP21" s="101"/>
      <c r="DQ21" s="101"/>
      <c r="DR21" s="101"/>
      <c r="DS21" s="66">
        <v>5</v>
      </c>
      <c r="DT21" s="66">
        <v>10</v>
      </c>
      <c r="DU21" s="66">
        <v>2</v>
      </c>
      <c r="DV21" s="115" t="s">
        <v>990</v>
      </c>
      <c r="DW21" s="115" t="s">
        <v>1471</v>
      </c>
      <c r="DX21" s="115" t="s">
        <v>592</v>
      </c>
      <c r="DY21" s="63" t="str">
        <f t="shared" si="0"/>
        <v>○</v>
      </c>
      <c r="DZ21" s="101">
        <v>0</v>
      </c>
      <c r="EA21" s="101">
        <v>0</v>
      </c>
      <c r="EB21" s="101">
        <v>0</v>
      </c>
      <c r="EC21" s="101">
        <v>0</v>
      </c>
      <c r="ED21" s="101">
        <v>0</v>
      </c>
      <c r="EE21" s="101">
        <v>0</v>
      </c>
      <c r="EF21" s="101">
        <v>0</v>
      </c>
      <c r="EG21" s="101">
        <v>0</v>
      </c>
      <c r="EH21" s="101">
        <v>0</v>
      </c>
      <c r="EI21" s="101">
        <v>0</v>
      </c>
      <c r="EJ21" s="101">
        <v>0</v>
      </c>
      <c r="EK21" s="101">
        <v>0</v>
      </c>
      <c r="EL21" s="101">
        <v>0</v>
      </c>
      <c r="EM21" s="101">
        <v>0</v>
      </c>
      <c r="EN21" s="101">
        <v>0</v>
      </c>
      <c r="EO21" s="68">
        <v>0</v>
      </c>
      <c r="EP21" s="68">
        <v>0</v>
      </c>
      <c r="EQ21" s="68">
        <v>0</v>
      </c>
      <c r="ER21" s="68">
        <v>0</v>
      </c>
      <c r="ES21" s="68">
        <v>0</v>
      </c>
      <c r="ET21" s="68">
        <v>0</v>
      </c>
      <c r="EU21" s="68">
        <v>0</v>
      </c>
      <c r="EV21" s="68">
        <v>0</v>
      </c>
      <c r="EW21" s="68">
        <v>0</v>
      </c>
    </row>
    <row r="22" spans="1:153">
      <c r="A22" s="113">
        <v>40</v>
      </c>
      <c r="B22" s="68">
        <v>63000</v>
      </c>
      <c r="C22" s="68">
        <v>0</v>
      </c>
      <c r="D22" s="68">
        <v>0</v>
      </c>
      <c r="E22" s="68">
        <v>0</v>
      </c>
      <c r="F22" s="68">
        <v>0</v>
      </c>
      <c r="G22" s="68">
        <v>0</v>
      </c>
      <c r="H22" s="68">
        <v>0</v>
      </c>
      <c r="I22" s="68">
        <v>0</v>
      </c>
      <c r="J22" s="68">
        <v>0</v>
      </c>
      <c r="K22" s="68">
        <v>0</v>
      </c>
      <c r="L22" s="68">
        <v>0</v>
      </c>
      <c r="M22" s="68">
        <v>0</v>
      </c>
      <c r="N22" s="68">
        <v>0</v>
      </c>
      <c r="O22" s="68">
        <v>0</v>
      </c>
      <c r="P22" s="68">
        <v>0</v>
      </c>
      <c r="Q22" s="68">
        <v>0</v>
      </c>
      <c r="R22" s="68">
        <v>0</v>
      </c>
      <c r="S22" s="68"/>
      <c r="T22" s="68"/>
      <c r="U22" s="68"/>
      <c r="V22" s="68"/>
      <c r="W22" s="68"/>
      <c r="X22" s="68"/>
      <c r="Y22" s="68"/>
      <c r="Z22" s="68">
        <v>63000</v>
      </c>
      <c r="AA22" s="68">
        <v>0</v>
      </c>
      <c r="AB22" s="68">
        <v>0</v>
      </c>
      <c r="AC22" s="68">
        <v>0</v>
      </c>
      <c r="AD22" s="68">
        <v>0</v>
      </c>
      <c r="AE22" s="68">
        <v>0</v>
      </c>
      <c r="AF22" s="68">
        <v>0</v>
      </c>
      <c r="AG22" s="68">
        <v>0</v>
      </c>
      <c r="AH22" s="68">
        <v>0</v>
      </c>
      <c r="AI22" s="101"/>
      <c r="AJ22" s="101"/>
      <c r="AK22" s="101"/>
      <c r="AL22" s="101"/>
      <c r="AM22" s="101"/>
      <c r="AN22" s="101"/>
      <c r="AO22" s="101"/>
      <c r="AP22" s="101"/>
      <c r="AQ22" s="101"/>
      <c r="AR22" s="101"/>
      <c r="AS22" s="101"/>
      <c r="AT22" s="101"/>
      <c r="AU22" s="101"/>
      <c r="AV22" s="101"/>
      <c r="AW22" s="101"/>
      <c r="AX22" s="101"/>
      <c r="AY22" s="101"/>
      <c r="AZ22" s="101"/>
      <c r="BA22" s="101"/>
      <c r="BB22" s="101"/>
      <c r="BC22" s="101"/>
      <c r="BD22" s="101"/>
      <c r="BE22" s="101"/>
      <c r="BF22" s="101"/>
      <c r="BG22" s="101"/>
      <c r="BH22" s="101"/>
      <c r="BI22" s="101"/>
      <c r="BJ22" s="101"/>
      <c r="BK22" s="101"/>
      <c r="BL22" s="101"/>
      <c r="BM22" s="101"/>
      <c r="BN22" s="101"/>
      <c r="BO22" s="101"/>
      <c r="BP22" s="101"/>
      <c r="BQ22" s="101"/>
      <c r="BR22" s="101"/>
      <c r="BS22" s="101"/>
      <c r="BT22" s="101"/>
      <c r="BU22" s="101"/>
      <c r="BV22" s="101"/>
      <c r="BW22" s="101"/>
      <c r="BX22" s="101"/>
      <c r="BY22" s="101"/>
      <c r="BZ22" s="101"/>
      <c r="CA22" s="101"/>
      <c r="CB22" s="101"/>
      <c r="CC22" s="101"/>
      <c r="CD22" s="101"/>
      <c r="CE22" s="101"/>
      <c r="CF22" s="101"/>
      <c r="CG22" s="101"/>
      <c r="CH22" s="101"/>
      <c r="CI22" s="101"/>
      <c r="CJ22" s="101"/>
      <c r="CK22" s="101"/>
      <c r="CL22" s="101"/>
      <c r="CM22" s="101"/>
      <c r="CN22" s="101"/>
      <c r="CO22" s="101"/>
      <c r="CP22" s="101"/>
      <c r="CQ22" s="101"/>
      <c r="CR22" s="101"/>
      <c r="CS22" s="101"/>
      <c r="CT22" s="101"/>
      <c r="CU22" s="101"/>
      <c r="CV22" s="101"/>
      <c r="CW22" s="101"/>
      <c r="CX22" s="101"/>
      <c r="CY22" s="101"/>
      <c r="CZ22" s="101"/>
      <c r="DA22" s="101"/>
      <c r="DB22" s="101"/>
      <c r="DC22" s="101"/>
      <c r="DD22" s="101"/>
      <c r="DE22" s="101"/>
      <c r="DF22" s="101"/>
      <c r="DG22" s="101"/>
      <c r="DH22" s="101"/>
      <c r="DI22" s="101"/>
      <c r="DJ22" s="101"/>
      <c r="DK22" s="101"/>
      <c r="DL22" s="101"/>
      <c r="DM22" s="101"/>
      <c r="DN22" s="101"/>
      <c r="DO22" s="101"/>
      <c r="DP22" s="101"/>
      <c r="DQ22" s="101"/>
      <c r="DR22" s="101"/>
      <c r="DS22" s="66">
        <v>5</v>
      </c>
      <c r="DT22" s="66">
        <v>10</v>
      </c>
      <c r="DU22" s="66">
        <v>2</v>
      </c>
      <c r="DV22" s="115" t="s">
        <v>580</v>
      </c>
      <c r="DW22" s="115" t="s">
        <v>991</v>
      </c>
      <c r="DX22" s="115" t="s">
        <v>581</v>
      </c>
      <c r="DY22" s="63" t="str">
        <f t="shared" si="0"/>
        <v>○</v>
      </c>
      <c r="DZ22" s="101">
        <v>0</v>
      </c>
      <c r="EA22" s="101">
        <v>0</v>
      </c>
      <c r="EB22" s="101">
        <v>0</v>
      </c>
      <c r="EC22" s="101">
        <v>0</v>
      </c>
      <c r="ED22" s="101">
        <v>0</v>
      </c>
      <c r="EE22" s="101">
        <v>0</v>
      </c>
      <c r="EF22" s="101">
        <v>0</v>
      </c>
      <c r="EG22" s="101">
        <v>0</v>
      </c>
      <c r="EH22" s="101">
        <v>0</v>
      </c>
      <c r="EI22" s="101">
        <v>0</v>
      </c>
      <c r="EJ22" s="101">
        <v>0</v>
      </c>
      <c r="EK22" s="101">
        <v>0</v>
      </c>
      <c r="EL22" s="101">
        <v>0</v>
      </c>
      <c r="EM22" s="101">
        <v>0</v>
      </c>
      <c r="EN22" s="101">
        <v>0</v>
      </c>
      <c r="EO22" s="68">
        <v>0</v>
      </c>
      <c r="EP22" s="68">
        <v>0</v>
      </c>
      <c r="EQ22" s="68">
        <v>0</v>
      </c>
      <c r="ER22" s="68">
        <v>0</v>
      </c>
      <c r="ES22" s="68">
        <v>0</v>
      </c>
      <c r="ET22" s="68">
        <v>0</v>
      </c>
      <c r="EU22" s="68">
        <v>0</v>
      </c>
      <c r="EV22" s="68">
        <v>0</v>
      </c>
      <c r="EW22" s="68">
        <v>0</v>
      </c>
    </row>
    <row r="23" spans="1:153">
      <c r="A23" s="113">
        <v>41</v>
      </c>
      <c r="B23" s="68">
        <v>1034000</v>
      </c>
      <c r="C23" s="68">
        <v>0</v>
      </c>
      <c r="D23" s="68">
        <v>0</v>
      </c>
      <c r="E23" s="68">
        <v>0</v>
      </c>
      <c r="F23" s="68">
        <v>0</v>
      </c>
      <c r="G23" s="68">
        <v>0</v>
      </c>
      <c r="H23" s="68">
        <v>0</v>
      </c>
      <c r="I23" s="68">
        <v>0</v>
      </c>
      <c r="J23" s="68">
        <v>0</v>
      </c>
      <c r="K23" s="68">
        <v>0</v>
      </c>
      <c r="L23" s="68">
        <v>0</v>
      </c>
      <c r="M23" s="68">
        <v>0</v>
      </c>
      <c r="N23" s="68">
        <v>0</v>
      </c>
      <c r="O23" s="68">
        <v>0</v>
      </c>
      <c r="P23" s="68">
        <v>0</v>
      </c>
      <c r="Q23" s="68">
        <v>0</v>
      </c>
      <c r="R23" s="68">
        <v>0</v>
      </c>
      <c r="S23" s="68"/>
      <c r="T23" s="68"/>
      <c r="U23" s="68"/>
      <c r="V23" s="68"/>
      <c r="W23" s="68"/>
      <c r="X23" s="68"/>
      <c r="Y23" s="68"/>
      <c r="Z23" s="68">
        <v>1034000</v>
      </c>
      <c r="AA23" s="68">
        <v>0</v>
      </c>
      <c r="AB23" s="68">
        <v>0</v>
      </c>
      <c r="AC23" s="68">
        <v>0</v>
      </c>
      <c r="AD23" s="68">
        <v>0</v>
      </c>
      <c r="AE23" s="68">
        <v>0</v>
      </c>
      <c r="AF23" s="68">
        <v>0</v>
      </c>
      <c r="AG23" s="68">
        <v>0</v>
      </c>
      <c r="AH23" s="68">
        <v>0</v>
      </c>
      <c r="AI23" s="101"/>
      <c r="AJ23" s="101"/>
      <c r="AK23" s="101"/>
      <c r="AL23" s="101"/>
      <c r="AM23" s="101"/>
      <c r="AN23" s="101"/>
      <c r="AO23" s="101"/>
      <c r="AP23" s="101"/>
      <c r="AQ23" s="101"/>
      <c r="AR23" s="101"/>
      <c r="AS23" s="101"/>
      <c r="AT23" s="101"/>
      <c r="AU23" s="101"/>
      <c r="AV23" s="101"/>
      <c r="AW23" s="101"/>
      <c r="AX23" s="101"/>
      <c r="AY23" s="101"/>
      <c r="AZ23" s="101"/>
      <c r="BA23" s="101"/>
      <c r="BB23" s="101"/>
      <c r="BC23" s="101"/>
      <c r="BD23" s="101"/>
      <c r="BE23" s="101"/>
      <c r="BF23" s="101"/>
      <c r="BG23" s="101"/>
      <c r="BH23" s="101"/>
      <c r="BI23" s="101"/>
      <c r="BJ23" s="101"/>
      <c r="BK23" s="101"/>
      <c r="BL23" s="101"/>
      <c r="BM23" s="101"/>
      <c r="BN23" s="101"/>
      <c r="BO23" s="101"/>
      <c r="BP23" s="101"/>
      <c r="BQ23" s="101"/>
      <c r="BR23" s="101"/>
      <c r="BS23" s="101"/>
      <c r="BT23" s="101"/>
      <c r="BU23" s="101"/>
      <c r="BV23" s="101"/>
      <c r="BW23" s="101"/>
      <c r="BX23" s="101"/>
      <c r="BY23" s="101"/>
      <c r="BZ23" s="101"/>
      <c r="CA23" s="101"/>
      <c r="CB23" s="101"/>
      <c r="CC23" s="101"/>
      <c r="CD23" s="101"/>
      <c r="CE23" s="101"/>
      <c r="CF23" s="101"/>
      <c r="CG23" s="101"/>
      <c r="CH23" s="101"/>
      <c r="CI23" s="101"/>
      <c r="CJ23" s="101"/>
      <c r="CK23" s="101"/>
      <c r="CL23" s="101"/>
      <c r="CM23" s="101"/>
      <c r="CN23" s="101"/>
      <c r="CO23" s="101"/>
      <c r="CP23" s="101"/>
      <c r="CQ23" s="101"/>
      <c r="CR23" s="101"/>
      <c r="CS23" s="101"/>
      <c r="CT23" s="101"/>
      <c r="CU23" s="101"/>
      <c r="CV23" s="101"/>
      <c r="CW23" s="101"/>
      <c r="CX23" s="101"/>
      <c r="CY23" s="101"/>
      <c r="CZ23" s="101"/>
      <c r="DA23" s="101"/>
      <c r="DB23" s="101"/>
      <c r="DC23" s="101"/>
      <c r="DD23" s="101"/>
      <c r="DE23" s="101"/>
      <c r="DF23" s="101"/>
      <c r="DG23" s="101"/>
      <c r="DH23" s="101"/>
      <c r="DI23" s="101"/>
      <c r="DJ23" s="101"/>
      <c r="DK23" s="101"/>
      <c r="DL23" s="101"/>
      <c r="DM23" s="101"/>
      <c r="DN23" s="101"/>
      <c r="DO23" s="101"/>
      <c r="DP23" s="101"/>
      <c r="DQ23" s="101"/>
      <c r="DR23" s="101"/>
      <c r="DS23" s="66">
        <v>5</v>
      </c>
      <c r="DT23" s="66">
        <v>10</v>
      </c>
      <c r="DU23" s="66">
        <v>2</v>
      </c>
      <c r="DV23" s="115" t="s">
        <v>600</v>
      </c>
      <c r="DW23" s="115" t="s">
        <v>583</v>
      </c>
      <c r="DX23" s="115" t="s">
        <v>581</v>
      </c>
      <c r="DY23" s="63" t="str">
        <f t="shared" si="0"/>
        <v>○</v>
      </c>
      <c r="DZ23" s="101">
        <v>0</v>
      </c>
      <c r="EA23" s="101">
        <v>0</v>
      </c>
      <c r="EB23" s="101">
        <v>0</v>
      </c>
      <c r="EC23" s="101">
        <v>0</v>
      </c>
      <c r="ED23" s="101">
        <v>0</v>
      </c>
      <c r="EE23" s="101">
        <v>0</v>
      </c>
      <c r="EF23" s="101">
        <v>0</v>
      </c>
      <c r="EG23" s="101">
        <v>0</v>
      </c>
      <c r="EH23" s="101">
        <v>0</v>
      </c>
      <c r="EI23" s="101">
        <v>0</v>
      </c>
      <c r="EJ23" s="101">
        <v>0</v>
      </c>
      <c r="EK23" s="101">
        <v>0</v>
      </c>
      <c r="EL23" s="101">
        <v>0</v>
      </c>
      <c r="EM23" s="101">
        <v>0</v>
      </c>
      <c r="EN23" s="101">
        <v>0</v>
      </c>
      <c r="EO23" s="68">
        <v>0</v>
      </c>
      <c r="EP23" s="68">
        <v>0</v>
      </c>
      <c r="EQ23" s="68">
        <v>0</v>
      </c>
      <c r="ER23" s="68">
        <v>0</v>
      </c>
      <c r="ES23" s="68">
        <v>0</v>
      </c>
      <c r="ET23" s="68">
        <v>0</v>
      </c>
      <c r="EU23" s="68">
        <v>0</v>
      </c>
      <c r="EV23" s="68">
        <v>0</v>
      </c>
      <c r="EW23" s="68">
        <v>0</v>
      </c>
    </row>
    <row r="24" spans="1:153">
      <c r="A24" s="113">
        <v>42</v>
      </c>
      <c r="B24" s="68">
        <v>849000</v>
      </c>
      <c r="C24" s="68">
        <v>0</v>
      </c>
      <c r="D24" s="68">
        <v>0</v>
      </c>
      <c r="E24" s="68">
        <v>0</v>
      </c>
      <c r="F24" s="68">
        <v>0</v>
      </c>
      <c r="G24" s="68">
        <v>0</v>
      </c>
      <c r="H24" s="68">
        <v>0</v>
      </c>
      <c r="I24" s="68">
        <v>0</v>
      </c>
      <c r="J24" s="68">
        <v>0</v>
      </c>
      <c r="K24" s="68">
        <v>0</v>
      </c>
      <c r="L24" s="68">
        <v>0</v>
      </c>
      <c r="M24" s="68">
        <v>0</v>
      </c>
      <c r="N24" s="68">
        <v>0</v>
      </c>
      <c r="O24" s="68">
        <v>0</v>
      </c>
      <c r="P24" s="68">
        <v>0</v>
      </c>
      <c r="Q24" s="68">
        <v>0</v>
      </c>
      <c r="R24" s="68">
        <v>0</v>
      </c>
      <c r="S24" s="68"/>
      <c r="T24" s="68"/>
      <c r="U24" s="68"/>
      <c r="V24" s="68"/>
      <c r="W24" s="68"/>
      <c r="X24" s="68"/>
      <c r="Y24" s="68"/>
      <c r="Z24" s="68">
        <v>849000</v>
      </c>
      <c r="AA24" s="68">
        <v>0</v>
      </c>
      <c r="AB24" s="68">
        <v>0</v>
      </c>
      <c r="AC24" s="68">
        <v>0</v>
      </c>
      <c r="AD24" s="68">
        <v>0</v>
      </c>
      <c r="AE24" s="68">
        <v>0</v>
      </c>
      <c r="AF24" s="68">
        <v>0</v>
      </c>
      <c r="AG24" s="68">
        <v>0</v>
      </c>
      <c r="AH24" s="68">
        <v>0</v>
      </c>
      <c r="AI24" s="101"/>
      <c r="AJ24" s="101"/>
      <c r="AK24" s="101"/>
      <c r="AL24" s="101"/>
      <c r="AM24" s="101"/>
      <c r="AN24" s="101"/>
      <c r="AO24" s="101"/>
      <c r="AP24" s="101"/>
      <c r="AQ24" s="101"/>
      <c r="AR24" s="101"/>
      <c r="AS24" s="101"/>
      <c r="AT24" s="101"/>
      <c r="AU24" s="101"/>
      <c r="AV24" s="101"/>
      <c r="AW24" s="101"/>
      <c r="AX24" s="101"/>
      <c r="AY24" s="101"/>
      <c r="AZ24" s="101"/>
      <c r="BA24" s="101"/>
      <c r="BB24" s="101"/>
      <c r="BC24" s="101"/>
      <c r="BD24" s="101"/>
      <c r="BE24" s="101"/>
      <c r="BF24" s="101"/>
      <c r="BG24" s="101"/>
      <c r="BH24" s="101"/>
      <c r="BI24" s="101"/>
      <c r="BJ24" s="101"/>
      <c r="BK24" s="101"/>
      <c r="BL24" s="101"/>
      <c r="BM24" s="101"/>
      <c r="BN24" s="101"/>
      <c r="BO24" s="101"/>
      <c r="BP24" s="101"/>
      <c r="BQ24" s="101"/>
      <c r="BR24" s="101"/>
      <c r="BS24" s="101"/>
      <c r="BT24" s="101"/>
      <c r="BU24" s="101"/>
      <c r="BV24" s="101"/>
      <c r="BW24" s="101"/>
      <c r="BX24" s="101"/>
      <c r="BY24" s="101"/>
      <c r="BZ24" s="101"/>
      <c r="CA24" s="101"/>
      <c r="CB24" s="101"/>
      <c r="CC24" s="101"/>
      <c r="CD24" s="101"/>
      <c r="CE24" s="101"/>
      <c r="CF24" s="101"/>
      <c r="CG24" s="101"/>
      <c r="CH24" s="101"/>
      <c r="CI24" s="101"/>
      <c r="CJ24" s="101"/>
      <c r="CK24" s="101"/>
      <c r="CL24" s="101"/>
      <c r="CM24" s="101"/>
      <c r="CN24" s="101"/>
      <c r="CO24" s="101"/>
      <c r="CP24" s="101"/>
      <c r="CQ24" s="101"/>
      <c r="CR24" s="101"/>
      <c r="CS24" s="101"/>
      <c r="CT24" s="101"/>
      <c r="CU24" s="101"/>
      <c r="CV24" s="101"/>
      <c r="CW24" s="101"/>
      <c r="CX24" s="101"/>
      <c r="CY24" s="101"/>
      <c r="CZ24" s="101"/>
      <c r="DA24" s="101"/>
      <c r="DB24" s="101"/>
      <c r="DC24" s="101"/>
      <c r="DD24" s="101"/>
      <c r="DE24" s="101"/>
      <c r="DF24" s="101"/>
      <c r="DG24" s="101"/>
      <c r="DH24" s="101"/>
      <c r="DI24" s="101"/>
      <c r="DJ24" s="101"/>
      <c r="DK24" s="101"/>
      <c r="DL24" s="101"/>
      <c r="DM24" s="101"/>
      <c r="DN24" s="101"/>
      <c r="DO24" s="101"/>
      <c r="DP24" s="101"/>
      <c r="DQ24" s="101"/>
      <c r="DR24" s="101"/>
      <c r="DS24" s="66">
        <v>5</v>
      </c>
      <c r="DT24" s="66">
        <v>10</v>
      </c>
      <c r="DU24" s="66">
        <v>2</v>
      </c>
      <c r="DV24" s="115" t="s">
        <v>993</v>
      </c>
      <c r="DW24" s="115" t="s">
        <v>1472</v>
      </c>
      <c r="DX24" s="115" t="s">
        <v>581</v>
      </c>
      <c r="DY24" s="63" t="str">
        <f t="shared" si="0"/>
        <v>○</v>
      </c>
      <c r="DZ24" s="101">
        <v>0</v>
      </c>
      <c r="EA24" s="101">
        <v>0</v>
      </c>
      <c r="EB24" s="101">
        <v>0</v>
      </c>
      <c r="EC24" s="101">
        <v>0</v>
      </c>
      <c r="ED24" s="101">
        <v>0</v>
      </c>
      <c r="EE24" s="101">
        <v>0</v>
      </c>
      <c r="EF24" s="101">
        <v>0</v>
      </c>
      <c r="EG24" s="101">
        <v>0</v>
      </c>
      <c r="EH24" s="101">
        <v>0</v>
      </c>
      <c r="EI24" s="101">
        <v>0</v>
      </c>
      <c r="EJ24" s="101">
        <v>0</v>
      </c>
      <c r="EK24" s="101">
        <v>0</v>
      </c>
      <c r="EL24" s="101">
        <v>0</v>
      </c>
      <c r="EM24" s="101">
        <v>0</v>
      </c>
      <c r="EN24" s="101">
        <v>0</v>
      </c>
      <c r="EO24" s="68">
        <v>0</v>
      </c>
      <c r="EP24" s="68">
        <v>0</v>
      </c>
      <c r="EQ24" s="68">
        <v>0</v>
      </c>
      <c r="ER24" s="68">
        <v>0</v>
      </c>
      <c r="ES24" s="68">
        <v>0</v>
      </c>
      <c r="ET24" s="68">
        <v>0</v>
      </c>
      <c r="EU24" s="68">
        <v>0</v>
      </c>
      <c r="EV24" s="68">
        <v>0</v>
      </c>
      <c r="EW24" s="68">
        <v>0</v>
      </c>
    </row>
    <row r="25" spans="1:153">
      <c r="A25" s="113">
        <v>43</v>
      </c>
      <c r="B25" s="68">
        <v>998000</v>
      </c>
      <c r="C25" s="68">
        <v>0</v>
      </c>
      <c r="D25" s="68">
        <v>0</v>
      </c>
      <c r="E25" s="68">
        <v>0</v>
      </c>
      <c r="F25" s="68">
        <v>0</v>
      </c>
      <c r="G25" s="68">
        <v>0</v>
      </c>
      <c r="H25" s="68">
        <v>0</v>
      </c>
      <c r="I25" s="68">
        <v>0</v>
      </c>
      <c r="J25" s="68">
        <v>0</v>
      </c>
      <c r="K25" s="68">
        <v>0</v>
      </c>
      <c r="L25" s="68">
        <v>0</v>
      </c>
      <c r="M25" s="68">
        <v>0</v>
      </c>
      <c r="N25" s="68">
        <v>0</v>
      </c>
      <c r="O25" s="68">
        <v>0</v>
      </c>
      <c r="P25" s="68">
        <v>0</v>
      </c>
      <c r="Q25" s="68">
        <v>0</v>
      </c>
      <c r="R25" s="68">
        <v>0</v>
      </c>
      <c r="S25" s="68"/>
      <c r="T25" s="68"/>
      <c r="U25" s="68"/>
      <c r="V25" s="68"/>
      <c r="W25" s="68"/>
      <c r="X25" s="68"/>
      <c r="Y25" s="68"/>
      <c r="Z25" s="68">
        <v>998000</v>
      </c>
      <c r="AA25" s="68">
        <v>0</v>
      </c>
      <c r="AB25" s="68">
        <v>0</v>
      </c>
      <c r="AC25" s="68">
        <v>0</v>
      </c>
      <c r="AD25" s="68">
        <v>0</v>
      </c>
      <c r="AE25" s="68">
        <v>0</v>
      </c>
      <c r="AF25" s="68">
        <v>0</v>
      </c>
      <c r="AG25" s="68">
        <v>0</v>
      </c>
      <c r="AH25" s="68">
        <v>0</v>
      </c>
      <c r="AI25" s="101"/>
      <c r="AJ25" s="101"/>
      <c r="AK25" s="101"/>
      <c r="AL25" s="101"/>
      <c r="AM25" s="101"/>
      <c r="AN25" s="101"/>
      <c r="AO25" s="101"/>
      <c r="AP25" s="101"/>
      <c r="AQ25" s="101"/>
      <c r="AR25" s="101"/>
      <c r="AS25" s="101"/>
      <c r="AT25" s="101"/>
      <c r="AU25" s="101"/>
      <c r="AV25" s="101"/>
      <c r="AW25" s="101"/>
      <c r="AX25" s="101"/>
      <c r="AY25" s="101"/>
      <c r="AZ25" s="101"/>
      <c r="BA25" s="101"/>
      <c r="BB25" s="101"/>
      <c r="BC25" s="101"/>
      <c r="BD25" s="101"/>
      <c r="BE25" s="101"/>
      <c r="BF25" s="101"/>
      <c r="BG25" s="101"/>
      <c r="BH25" s="101"/>
      <c r="BI25" s="101"/>
      <c r="BJ25" s="101"/>
      <c r="BK25" s="101"/>
      <c r="BL25" s="101"/>
      <c r="BM25" s="101"/>
      <c r="BN25" s="101"/>
      <c r="BO25" s="101"/>
      <c r="BP25" s="101"/>
      <c r="BQ25" s="101"/>
      <c r="BR25" s="101"/>
      <c r="BS25" s="101"/>
      <c r="BT25" s="101"/>
      <c r="BU25" s="101"/>
      <c r="BV25" s="101"/>
      <c r="BW25" s="101"/>
      <c r="BX25" s="101"/>
      <c r="BY25" s="101"/>
      <c r="BZ25" s="101"/>
      <c r="CA25" s="101"/>
      <c r="CB25" s="101"/>
      <c r="CC25" s="101"/>
      <c r="CD25" s="101"/>
      <c r="CE25" s="101"/>
      <c r="CF25" s="101"/>
      <c r="CG25" s="101"/>
      <c r="CH25" s="101"/>
      <c r="CI25" s="101"/>
      <c r="CJ25" s="101"/>
      <c r="CK25" s="101"/>
      <c r="CL25" s="101"/>
      <c r="CM25" s="101"/>
      <c r="CN25" s="101"/>
      <c r="CO25" s="101"/>
      <c r="CP25" s="101"/>
      <c r="CQ25" s="101"/>
      <c r="CR25" s="101"/>
      <c r="CS25" s="101"/>
      <c r="CT25" s="101"/>
      <c r="CU25" s="101"/>
      <c r="CV25" s="101"/>
      <c r="CW25" s="101"/>
      <c r="CX25" s="101"/>
      <c r="CY25" s="101"/>
      <c r="CZ25" s="101"/>
      <c r="DA25" s="101"/>
      <c r="DB25" s="101"/>
      <c r="DC25" s="101"/>
      <c r="DD25" s="101"/>
      <c r="DE25" s="101"/>
      <c r="DF25" s="101"/>
      <c r="DG25" s="101"/>
      <c r="DH25" s="101"/>
      <c r="DI25" s="101"/>
      <c r="DJ25" s="101"/>
      <c r="DK25" s="101"/>
      <c r="DL25" s="101"/>
      <c r="DM25" s="101"/>
      <c r="DN25" s="101"/>
      <c r="DO25" s="101"/>
      <c r="DP25" s="101"/>
      <c r="DQ25" s="101"/>
      <c r="DR25" s="101"/>
      <c r="DS25" s="66">
        <v>5</v>
      </c>
      <c r="DT25" s="66">
        <v>10</v>
      </c>
      <c r="DU25" s="66">
        <v>2</v>
      </c>
      <c r="DV25" s="115" t="s">
        <v>586</v>
      </c>
      <c r="DW25" s="115" t="s">
        <v>583</v>
      </c>
      <c r="DX25" s="115" t="s">
        <v>581</v>
      </c>
      <c r="DY25" s="63" t="str">
        <f t="shared" si="0"/>
        <v>○</v>
      </c>
      <c r="DZ25" s="101">
        <v>0</v>
      </c>
      <c r="EA25" s="101">
        <v>0</v>
      </c>
      <c r="EB25" s="101">
        <v>0</v>
      </c>
      <c r="EC25" s="101">
        <v>0</v>
      </c>
      <c r="ED25" s="101">
        <v>0</v>
      </c>
      <c r="EE25" s="101">
        <v>0</v>
      </c>
      <c r="EF25" s="101">
        <v>0</v>
      </c>
      <c r="EG25" s="101">
        <v>0</v>
      </c>
      <c r="EH25" s="101">
        <v>0</v>
      </c>
      <c r="EI25" s="101">
        <v>0</v>
      </c>
      <c r="EJ25" s="101">
        <v>0</v>
      </c>
      <c r="EK25" s="101">
        <v>0</v>
      </c>
      <c r="EL25" s="101">
        <v>0</v>
      </c>
      <c r="EM25" s="101">
        <v>0</v>
      </c>
      <c r="EN25" s="101">
        <v>0</v>
      </c>
      <c r="EO25" s="68">
        <v>0</v>
      </c>
      <c r="EP25" s="68">
        <v>0</v>
      </c>
      <c r="EQ25" s="68">
        <v>0</v>
      </c>
      <c r="ER25" s="68">
        <v>0</v>
      </c>
      <c r="ES25" s="68">
        <v>0</v>
      </c>
      <c r="ET25" s="68">
        <v>0</v>
      </c>
      <c r="EU25" s="68">
        <v>0</v>
      </c>
      <c r="EV25" s="68">
        <v>0</v>
      </c>
      <c r="EW25" s="68">
        <v>0</v>
      </c>
    </row>
    <row r="26" spans="1:153">
      <c r="A26" s="113">
        <v>44</v>
      </c>
      <c r="B26" s="68">
        <v>8327000</v>
      </c>
      <c r="C26" s="68">
        <v>0</v>
      </c>
      <c r="D26" s="68">
        <v>0</v>
      </c>
      <c r="E26" s="68">
        <v>0</v>
      </c>
      <c r="F26" s="68">
        <v>0</v>
      </c>
      <c r="G26" s="68">
        <v>0</v>
      </c>
      <c r="H26" s="68">
        <v>0</v>
      </c>
      <c r="I26" s="68">
        <v>0</v>
      </c>
      <c r="J26" s="68">
        <v>0</v>
      </c>
      <c r="K26" s="68">
        <v>0</v>
      </c>
      <c r="L26" s="68">
        <v>0</v>
      </c>
      <c r="M26" s="68">
        <v>0</v>
      </c>
      <c r="N26" s="68">
        <v>0</v>
      </c>
      <c r="O26" s="68">
        <v>0</v>
      </c>
      <c r="P26" s="68">
        <v>0</v>
      </c>
      <c r="Q26" s="68">
        <v>0</v>
      </c>
      <c r="R26" s="68">
        <v>0</v>
      </c>
      <c r="S26" s="68"/>
      <c r="T26" s="68"/>
      <c r="U26" s="68"/>
      <c r="V26" s="68"/>
      <c r="W26" s="68"/>
      <c r="X26" s="68"/>
      <c r="Y26" s="68"/>
      <c r="Z26" s="68">
        <v>8327000</v>
      </c>
      <c r="AA26" s="68">
        <v>0</v>
      </c>
      <c r="AB26" s="68">
        <v>0</v>
      </c>
      <c r="AC26" s="68">
        <v>0</v>
      </c>
      <c r="AD26" s="68">
        <v>0</v>
      </c>
      <c r="AE26" s="68">
        <v>0</v>
      </c>
      <c r="AF26" s="68">
        <v>0</v>
      </c>
      <c r="AG26" s="68">
        <v>0</v>
      </c>
      <c r="AH26" s="68">
        <v>0</v>
      </c>
      <c r="AI26" s="101"/>
      <c r="AJ26" s="101"/>
      <c r="AK26" s="101"/>
      <c r="AL26" s="101"/>
      <c r="AM26" s="101"/>
      <c r="AN26" s="101"/>
      <c r="AO26" s="101"/>
      <c r="AP26" s="101"/>
      <c r="AQ26" s="101"/>
      <c r="AR26" s="101"/>
      <c r="AS26" s="101"/>
      <c r="AT26" s="101"/>
      <c r="AU26" s="101"/>
      <c r="AV26" s="101"/>
      <c r="AW26" s="101"/>
      <c r="AX26" s="101"/>
      <c r="AY26" s="101"/>
      <c r="AZ26" s="101"/>
      <c r="BA26" s="101"/>
      <c r="BB26" s="101"/>
      <c r="BC26" s="101"/>
      <c r="BD26" s="101"/>
      <c r="BE26" s="101"/>
      <c r="BF26" s="101"/>
      <c r="BG26" s="101"/>
      <c r="BH26" s="101"/>
      <c r="BI26" s="101"/>
      <c r="BJ26" s="101"/>
      <c r="BK26" s="101"/>
      <c r="BL26" s="101"/>
      <c r="BM26" s="101"/>
      <c r="BN26" s="101"/>
      <c r="BO26" s="101"/>
      <c r="BP26" s="101"/>
      <c r="BQ26" s="101"/>
      <c r="BR26" s="101"/>
      <c r="BS26" s="101"/>
      <c r="BT26" s="101"/>
      <c r="BU26" s="101"/>
      <c r="BV26" s="101"/>
      <c r="BW26" s="101"/>
      <c r="BX26" s="101"/>
      <c r="BY26" s="101"/>
      <c r="BZ26" s="101"/>
      <c r="CA26" s="101"/>
      <c r="CB26" s="101"/>
      <c r="CC26" s="101"/>
      <c r="CD26" s="101"/>
      <c r="CE26" s="101"/>
      <c r="CF26" s="101"/>
      <c r="CG26" s="101"/>
      <c r="CH26" s="101"/>
      <c r="CI26" s="101"/>
      <c r="CJ26" s="101"/>
      <c r="CK26" s="101"/>
      <c r="CL26" s="101"/>
      <c r="CM26" s="101"/>
      <c r="CN26" s="101"/>
      <c r="CO26" s="101"/>
      <c r="CP26" s="101"/>
      <c r="CQ26" s="101"/>
      <c r="CR26" s="101"/>
      <c r="CS26" s="101"/>
      <c r="CT26" s="101"/>
      <c r="CU26" s="101"/>
      <c r="CV26" s="101"/>
      <c r="CW26" s="101"/>
      <c r="CX26" s="101"/>
      <c r="CY26" s="101"/>
      <c r="CZ26" s="101"/>
      <c r="DA26" s="101"/>
      <c r="DB26" s="101"/>
      <c r="DC26" s="101"/>
      <c r="DD26" s="101"/>
      <c r="DE26" s="101"/>
      <c r="DF26" s="101"/>
      <c r="DG26" s="101"/>
      <c r="DH26" s="101"/>
      <c r="DI26" s="101"/>
      <c r="DJ26" s="101"/>
      <c r="DK26" s="101"/>
      <c r="DL26" s="101"/>
      <c r="DM26" s="101"/>
      <c r="DN26" s="101"/>
      <c r="DO26" s="101"/>
      <c r="DP26" s="101"/>
      <c r="DQ26" s="101"/>
      <c r="DR26" s="101"/>
      <c r="DS26" s="66">
        <v>5</v>
      </c>
      <c r="DT26" s="66">
        <v>10</v>
      </c>
      <c r="DU26" s="66">
        <v>2</v>
      </c>
      <c r="DV26" s="115" t="s">
        <v>993</v>
      </c>
      <c r="DW26" s="115" t="s">
        <v>1472</v>
      </c>
      <c r="DX26" s="115" t="s">
        <v>581</v>
      </c>
      <c r="DY26" s="63" t="str">
        <f t="shared" si="0"/>
        <v>○</v>
      </c>
      <c r="DZ26" s="101">
        <v>0</v>
      </c>
      <c r="EA26" s="101">
        <v>0</v>
      </c>
      <c r="EB26" s="101">
        <v>0</v>
      </c>
      <c r="EC26" s="101">
        <v>0</v>
      </c>
      <c r="ED26" s="101">
        <v>0</v>
      </c>
      <c r="EE26" s="101">
        <v>0</v>
      </c>
      <c r="EF26" s="101">
        <v>0</v>
      </c>
      <c r="EG26" s="101">
        <v>0</v>
      </c>
      <c r="EH26" s="101">
        <v>0</v>
      </c>
      <c r="EI26" s="101">
        <v>0</v>
      </c>
      <c r="EJ26" s="101">
        <v>0</v>
      </c>
      <c r="EK26" s="101">
        <v>0</v>
      </c>
      <c r="EL26" s="101">
        <v>0</v>
      </c>
      <c r="EM26" s="101">
        <v>0</v>
      </c>
      <c r="EN26" s="101">
        <v>0</v>
      </c>
      <c r="EO26" s="68">
        <v>0</v>
      </c>
      <c r="EP26" s="68">
        <v>0</v>
      </c>
      <c r="EQ26" s="68">
        <v>0</v>
      </c>
      <c r="ER26" s="68">
        <v>0</v>
      </c>
      <c r="ES26" s="68">
        <v>0</v>
      </c>
      <c r="ET26" s="68">
        <v>0</v>
      </c>
      <c r="EU26" s="68">
        <v>0</v>
      </c>
      <c r="EV26" s="68">
        <v>0</v>
      </c>
      <c r="EW26" s="68">
        <v>0</v>
      </c>
    </row>
    <row r="27" spans="1:153">
      <c r="A27" s="113">
        <v>45</v>
      </c>
      <c r="B27" s="68">
        <v>182000</v>
      </c>
      <c r="C27" s="68">
        <v>0</v>
      </c>
      <c r="D27" s="68">
        <v>0</v>
      </c>
      <c r="E27" s="68">
        <v>0</v>
      </c>
      <c r="F27" s="68">
        <v>0</v>
      </c>
      <c r="G27" s="68">
        <v>0</v>
      </c>
      <c r="H27" s="68">
        <v>0</v>
      </c>
      <c r="I27" s="68">
        <v>0</v>
      </c>
      <c r="J27" s="68">
        <v>0</v>
      </c>
      <c r="K27" s="68">
        <v>0</v>
      </c>
      <c r="L27" s="68">
        <v>0</v>
      </c>
      <c r="M27" s="68">
        <v>0</v>
      </c>
      <c r="N27" s="68">
        <v>0</v>
      </c>
      <c r="O27" s="68">
        <v>0</v>
      </c>
      <c r="P27" s="68">
        <v>0</v>
      </c>
      <c r="Q27" s="68">
        <v>0</v>
      </c>
      <c r="R27" s="68">
        <v>0</v>
      </c>
      <c r="S27" s="68"/>
      <c r="T27" s="68"/>
      <c r="U27" s="68"/>
      <c r="V27" s="68"/>
      <c r="W27" s="68"/>
      <c r="X27" s="68"/>
      <c r="Y27" s="68"/>
      <c r="Z27" s="68">
        <v>182000</v>
      </c>
      <c r="AA27" s="68">
        <v>0</v>
      </c>
      <c r="AB27" s="68">
        <v>0</v>
      </c>
      <c r="AC27" s="68">
        <v>0</v>
      </c>
      <c r="AD27" s="68">
        <v>0</v>
      </c>
      <c r="AE27" s="68">
        <v>0</v>
      </c>
      <c r="AF27" s="68">
        <v>0</v>
      </c>
      <c r="AG27" s="68">
        <v>0</v>
      </c>
      <c r="AH27" s="68">
        <v>0</v>
      </c>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c r="BH27" s="101"/>
      <c r="BI27" s="101"/>
      <c r="BJ27" s="101"/>
      <c r="BK27" s="101"/>
      <c r="BL27" s="101"/>
      <c r="BM27" s="101"/>
      <c r="BN27" s="101"/>
      <c r="BO27" s="101"/>
      <c r="BP27" s="101"/>
      <c r="BQ27" s="101"/>
      <c r="BR27" s="101"/>
      <c r="BS27" s="101"/>
      <c r="BT27" s="101"/>
      <c r="BU27" s="101"/>
      <c r="BV27" s="101"/>
      <c r="BW27" s="101"/>
      <c r="BX27" s="101"/>
      <c r="BY27" s="101"/>
      <c r="BZ27" s="101"/>
      <c r="CA27" s="101"/>
      <c r="CB27" s="101"/>
      <c r="CC27" s="101"/>
      <c r="CD27" s="101"/>
      <c r="CE27" s="101"/>
      <c r="CF27" s="101"/>
      <c r="CG27" s="101"/>
      <c r="CH27" s="101"/>
      <c r="CI27" s="101"/>
      <c r="CJ27" s="101"/>
      <c r="CK27" s="101"/>
      <c r="CL27" s="101"/>
      <c r="CM27" s="101"/>
      <c r="CN27" s="101"/>
      <c r="CO27" s="101"/>
      <c r="CP27" s="101"/>
      <c r="CQ27" s="101"/>
      <c r="CR27" s="101"/>
      <c r="CS27" s="101"/>
      <c r="CT27" s="101"/>
      <c r="CU27" s="101"/>
      <c r="CV27" s="101"/>
      <c r="CW27" s="101"/>
      <c r="CX27" s="101"/>
      <c r="CY27" s="101"/>
      <c r="CZ27" s="101"/>
      <c r="DA27" s="101"/>
      <c r="DB27" s="101"/>
      <c r="DC27" s="101"/>
      <c r="DD27" s="101"/>
      <c r="DE27" s="101"/>
      <c r="DF27" s="101"/>
      <c r="DG27" s="101"/>
      <c r="DH27" s="101"/>
      <c r="DI27" s="101"/>
      <c r="DJ27" s="101"/>
      <c r="DK27" s="101"/>
      <c r="DL27" s="101"/>
      <c r="DM27" s="101"/>
      <c r="DN27" s="101"/>
      <c r="DO27" s="101"/>
      <c r="DP27" s="101"/>
      <c r="DQ27" s="101"/>
      <c r="DR27" s="101"/>
      <c r="DS27" s="66">
        <v>5</v>
      </c>
      <c r="DT27" s="66">
        <v>10</v>
      </c>
      <c r="DU27" s="66">
        <v>2</v>
      </c>
      <c r="DV27" s="115" t="s">
        <v>582</v>
      </c>
      <c r="DW27" s="115" t="s">
        <v>583</v>
      </c>
      <c r="DX27" s="115" t="s">
        <v>581</v>
      </c>
      <c r="DY27" s="63" t="str">
        <f t="shared" si="0"/>
        <v>○</v>
      </c>
      <c r="DZ27" s="101">
        <v>0</v>
      </c>
      <c r="EA27" s="101">
        <v>0</v>
      </c>
      <c r="EB27" s="101">
        <v>0</v>
      </c>
      <c r="EC27" s="101">
        <v>0</v>
      </c>
      <c r="ED27" s="101">
        <v>0</v>
      </c>
      <c r="EE27" s="101">
        <v>0</v>
      </c>
      <c r="EF27" s="101">
        <v>0</v>
      </c>
      <c r="EG27" s="101">
        <v>0</v>
      </c>
      <c r="EH27" s="101">
        <v>0</v>
      </c>
      <c r="EI27" s="101">
        <v>0</v>
      </c>
      <c r="EJ27" s="101">
        <v>0</v>
      </c>
      <c r="EK27" s="101">
        <v>0</v>
      </c>
      <c r="EL27" s="101">
        <v>0</v>
      </c>
      <c r="EM27" s="101">
        <v>0</v>
      </c>
      <c r="EN27" s="101">
        <v>0</v>
      </c>
      <c r="EO27" s="68">
        <v>0</v>
      </c>
      <c r="EP27" s="68">
        <v>0</v>
      </c>
      <c r="EQ27" s="68">
        <v>0</v>
      </c>
      <c r="ER27" s="68">
        <v>0</v>
      </c>
      <c r="ES27" s="68">
        <v>0</v>
      </c>
      <c r="ET27" s="68">
        <v>0</v>
      </c>
      <c r="EU27" s="68">
        <v>0</v>
      </c>
      <c r="EV27" s="68">
        <v>0</v>
      </c>
      <c r="EW27" s="68">
        <v>0</v>
      </c>
    </row>
    <row r="28" spans="1:153">
      <c r="A28" s="113">
        <v>46</v>
      </c>
      <c r="B28" s="68">
        <v>221000</v>
      </c>
      <c r="C28" s="68">
        <v>0</v>
      </c>
      <c r="D28" s="68">
        <v>0</v>
      </c>
      <c r="E28" s="68">
        <v>0</v>
      </c>
      <c r="F28" s="68">
        <v>0</v>
      </c>
      <c r="G28" s="68">
        <v>0</v>
      </c>
      <c r="H28" s="68">
        <v>0</v>
      </c>
      <c r="I28" s="68">
        <v>0</v>
      </c>
      <c r="J28" s="68">
        <v>0</v>
      </c>
      <c r="K28" s="68">
        <v>0</v>
      </c>
      <c r="L28" s="68">
        <v>0</v>
      </c>
      <c r="M28" s="68">
        <v>0</v>
      </c>
      <c r="N28" s="68">
        <v>0</v>
      </c>
      <c r="O28" s="68">
        <v>0</v>
      </c>
      <c r="P28" s="68">
        <v>0</v>
      </c>
      <c r="Q28" s="68">
        <v>0</v>
      </c>
      <c r="R28" s="68">
        <v>0</v>
      </c>
      <c r="S28" s="68"/>
      <c r="T28" s="68"/>
      <c r="U28" s="68"/>
      <c r="V28" s="68"/>
      <c r="W28" s="68"/>
      <c r="X28" s="68"/>
      <c r="Y28" s="68"/>
      <c r="Z28" s="68">
        <v>221000</v>
      </c>
      <c r="AA28" s="68">
        <v>0</v>
      </c>
      <c r="AB28" s="68">
        <v>0</v>
      </c>
      <c r="AC28" s="68">
        <v>0</v>
      </c>
      <c r="AD28" s="68">
        <v>0</v>
      </c>
      <c r="AE28" s="68">
        <v>0</v>
      </c>
      <c r="AF28" s="68">
        <v>0</v>
      </c>
      <c r="AG28" s="68">
        <v>0</v>
      </c>
      <c r="AH28" s="68">
        <v>0</v>
      </c>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c r="BH28" s="101"/>
      <c r="BI28" s="101"/>
      <c r="BJ28" s="101"/>
      <c r="BK28" s="101"/>
      <c r="BL28" s="101"/>
      <c r="BM28" s="101"/>
      <c r="BN28" s="101"/>
      <c r="BO28" s="101"/>
      <c r="BP28" s="101"/>
      <c r="BQ28" s="101"/>
      <c r="BR28" s="101"/>
      <c r="BS28" s="101"/>
      <c r="BT28" s="101"/>
      <c r="BU28" s="101"/>
      <c r="BV28" s="101"/>
      <c r="BW28" s="101"/>
      <c r="BX28" s="101"/>
      <c r="BY28" s="101"/>
      <c r="BZ28" s="101"/>
      <c r="CA28" s="101"/>
      <c r="CB28" s="101"/>
      <c r="CC28" s="101"/>
      <c r="CD28" s="101"/>
      <c r="CE28" s="101"/>
      <c r="CF28" s="101"/>
      <c r="CG28" s="101"/>
      <c r="CH28" s="101"/>
      <c r="CI28" s="101"/>
      <c r="CJ28" s="101"/>
      <c r="CK28" s="101"/>
      <c r="CL28" s="101"/>
      <c r="CM28" s="101"/>
      <c r="CN28" s="101"/>
      <c r="CO28" s="101"/>
      <c r="CP28" s="101"/>
      <c r="CQ28" s="101"/>
      <c r="CR28" s="101"/>
      <c r="CS28" s="101"/>
      <c r="CT28" s="101"/>
      <c r="CU28" s="101"/>
      <c r="CV28" s="101"/>
      <c r="CW28" s="101"/>
      <c r="CX28" s="101"/>
      <c r="CY28" s="101"/>
      <c r="CZ28" s="101"/>
      <c r="DA28" s="101"/>
      <c r="DB28" s="101"/>
      <c r="DC28" s="101"/>
      <c r="DD28" s="101"/>
      <c r="DE28" s="101"/>
      <c r="DF28" s="101"/>
      <c r="DG28" s="101"/>
      <c r="DH28" s="101"/>
      <c r="DI28" s="101"/>
      <c r="DJ28" s="101"/>
      <c r="DK28" s="101"/>
      <c r="DL28" s="101"/>
      <c r="DM28" s="101"/>
      <c r="DN28" s="101"/>
      <c r="DO28" s="101"/>
      <c r="DP28" s="101"/>
      <c r="DQ28" s="101"/>
      <c r="DR28" s="101"/>
      <c r="DS28" s="66">
        <v>5</v>
      </c>
      <c r="DT28" s="66">
        <v>10</v>
      </c>
      <c r="DU28" s="66">
        <v>2</v>
      </c>
      <c r="DV28" s="115" t="s">
        <v>601</v>
      </c>
      <c r="DW28" s="115" t="s">
        <v>1473</v>
      </c>
      <c r="DX28" s="115" t="s">
        <v>581</v>
      </c>
      <c r="DY28" s="63" t="str">
        <f t="shared" si="0"/>
        <v>○</v>
      </c>
      <c r="DZ28" s="101">
        <v>0</v>
      </c>
      <c r="EA28" s="101">
        <v>0</v>
      </c>
      <c r="EB28" s="101">
        <v>0</v>
      </c>
      <c r="EC28" s="101">
        <v>0</v>
      </c>
      <c r="ED28" s="101">
        <v>0</v>
      </c>
      <c r="EE28" s="101">
        <v>0</v>
      </c>
      <c r="EF28" s="101">
        <v>0</v>
      </c>
      <c r="EG28" s="101">
        <v>0</v>
      </c>
      <c r="EH28" s="101">
        <v>0</v>
      </c>
      <c r="EI28" s="101">
        <v>0</v>
      </c>
      <c r="EJ28" s="101">
        <v>0</v>
      </c>
      <c r="EK28" s="101">
        <v>0</v>
      </c>
      <c r="EL28" s="101">
        <v>0</v>
      </c>
      <c r="EM28" s="101">
        <v>0</v>
      </c>
      <c r="EN28" s="101">
        <v>0</v>
      </c>
      <c r="EO28" s="68">
        <v>0</v>
      </c>
      <c r="EP28" s="68">
        <v>0</v>
      </c>
      <c r="EQ28" s="68">
        <v>0</v>
      </c>
      <c r="ER28" s="68">
        <v>0</v>
      </c>
      <c r="ES28" s="68">
        <v>0</v>
      </c>
      <c r="ET28" s="68">
        <v>0</v>
      </c>
      <c r="EU28" s="68">
        <v>0</v>
      </c>
      <c r="EV28" s="68">
        <v>0</v>
      </c>
      <c r="EW28" s="68">
        <v>0</v>
      </c>
    </row>
    <row r="29" spans="1:153">
      <c r="A29" s="113">
        <v>47</v>
      </c>
      <c r="B29" s="68">
        <v>539000</v>
      </c>
      <c r="C29" s="68">
        <v>0</v>
      </c>
      <c r="D29" s="68">
        <v>0</v>
      </c>
      <c r="E29" s="68">
        <v>0</v>
      </c>
      <c r="F29" s="68">
        <v>0</v>
      </c>
      <c r="G29" s="68">
        <v>0</v>
      </c>
      <c r="H29" s="68">
        <v>0</v>
      </c>
      <c r="I29" s="68">
        <v>0</v>
      </c>
      <c r="J29" s="68">
        <v>0</v>
      </c>
      <c r="K29" s="68">
        <v>0</v>
      </c>
      <c r="L29" s="68">
        <v>0</v>
      </c>
      <c r="M29" s="68">
        <v>0</v>
      </c>
      <c r="N29" s="68">
        <v>0</v>
      </c>
      <c r="O29" s="68">
        <v>0</v>
      </c>
      <c r="P29" s="68">
        <v>0</v>
      </c>
      <c r="Q29" s="68">
        <v>0</v>
      </c>
      <c r="R29" s="68">
        <v>0</v>
      </c>
      <c r="S29" s="68"/>
      <c r="T29" s="68"/>
      <c r="U29" s="68"/>
      <c r="V29" s="68"/>
      <c r="W29" s="68"/>
      <c r="X29" s="68"/>
      <c r="Y29" s="68"/>
      <c r="Z29" s="68">
        <v>539000</v>
      </c>
      <c r="AA29" s="68">
        <v>0</v>
      </c>
      <c r="AB29" s="68">
        <v>0</v>
      </c>
      <c r="AC29" s="68">
        <v>0</v>
      </c>
      <c r="AD29" s="68">
        <v>0</v>
      </c>
      <c r="AE29" s="68">
        <v>0</v>
      </c>
      <c r="AF29" s="68">
        <v>0</v>
      </c>
      <c r="AG29" s="68">
        <v>0</v>
      </c>
      <c r="AH29" s="68">
        <v>0</v>
      </c>
      <c r="AI29" s="101"/>
      <c r="AJ29" s="101"/>
      <c r="AK29" s="101"/>
      <c r="AL29" s="101"/>
      <c r="AM29" s="101"/>
      <c r="AN29" s="101"/>
      <c r="AO29" s="101"/>
      <c r="AP29" s="101"/>
      <c r="AQ29" s="101"/>
      <c r="AR29" s="101"/>
      <c r="AS29" s="101"/>
      <c r="AT29" s="101"/>
      <c r="AU29" s="101"/>
      <c r="AV29" s="101"/>
      <c r="AW29" s="101"/>
      <c r="AX29" s="101"/>
      <c r="AY29" s="101"/>
      <c r="AZ29" s="101"/>
      <c r="BA29" s="101"/>
      <c r="BB29" s="101"/>
      <c r="BC29" s="101"/>
      <c r="BD29" s="101"/>
      <c r="BE29" s="101"/>
      <c r="BF29" s="101"/>
      <c r="BG29" s="101"/>
      <c r="BH29" s="101"/>
      <c r="BI29" s="101"/>
      <c r="BJ29" s="101"/>
      <c r="BK29" s="101"/>
      <c r="BL29" s="101"/>
      <c r="BM29" s="101"/>
      <c r="BN29" s="101"/>
      <c r="BO29" s="101"/>
      <c r="BP29" s="101"/>
      <c r="BQ29" s="101"/>
      <c r="BR29" s="101"/>
      <c r="BS29" s="101"/>
      <c r="BT29" s="101"/>
      <c r="BU29" s="101"/>
      <c r="BV29" s="101"/>
      <c r="BW29" s="101"/>
      <c r="BX29" s="101"/>
      <c r="BY29" s="101"/>
      <c r="BZ29" s="101"/>
      <c r="CA29" s="101"/>
      <c r="CB29" s="101"/>
      <c r="CC29" s="101"/>
      <c r="CD29" s="101"/>
      <c r="CE29" s="101"/>
      <c r="CF29" s="101"/>
      <c r="CG29" s="101"/>
      <c r="CH29" s="101"/>
      <c r="CI29" s="101"/>
      <c r="CJ29" s="101"/>
      <c r="CK29" s="101"/>
      <c r="CL29" s="101"/>
      <c r="CM29" s="101"/>
      <c r="CN29" s="101"/>
      <c r="CO29" s="101"/>
      <c r="CP29" s="101"/>
      <c r="CQ29" s="101"/>
      <c r="CR29" s="101"/>
      <c r="CS29" s="101"/>
      <c r="CT29" s="101"/>
      <c r="CU29" s="101"/>
      <c r="CV29" s="101"/>
      <c r="CW29" s="101"/>
      <c r="CX29" s="101"/>
      <c r="CY29" s="101"/>
      <c r="CZ29" s="101"/>
      <c r="DA29" s="101"/>
      <c r="DB29" s="101"/>
      <c r="DC29" s="101"/>
      <c r="DD29" s="101"/>
      <c r="DE29" s="101"/>
      <c r="DF29" s="101"/>
      <c r="DG29" s="101"/>
      <c r="DH29" s="101"/>
      <c r="DI29" s="101"/>
      <c r="DJ29" s="101"/>
      <c r="DK29" s="101"/>
      <c r="DL29" s="101"/>
      <c r="DM29" s="101"/>
      <c r="DN29" s="101"/>
      <c r="DO29" s="101"/>
      <c r="DP29" s="101"/>
      <c r="DQ29" s="101"/>
      <c r="DR29" s="101"/>
      <c r="DS29" s="66">
        <v>5</v>
      </c>
      <c r="DT29" s="66">
        <v>10</v>
      </c>
      <c r="DU29" s="66">
        <v>2</v>
      </c>
      <c r="DV29" s="115" t="s">
        <v>990</v>
      </c>
      <c r="DW29" s="115" t="s">
        <v>587</v>
      </c>
      <c r="DX29" s="115" t="s">
        <v>581</v>
      </c>
      <c r="DY29" s="63" t="str">
        <f t="shared" si="0"/>
        <v>○</v>
      </c>
      <c r="DZ29" s="101">
        <v>0</v>
      </c>
      <c r="EA29" s="101">
        <v>0</v>
      </c>
      <c r="EB29" s="101">
        <v>0</v>
      </c>
      <c r="EC29" s="101">
        <v>0</v>
      </c>
      <c r="ED29" s="101">
        <v>0</v>
      </c>
      <c r="EE29" s="101">
        <v>0</v>
      </c>
      <c r="EF29" s="101">
        <v>0</v>
      </c>
      <c r="EG29" s="101">
        <v>0</v>
      </c>
      <c r="EH29" s="101">
        <v>0</v>
      </c>
      <c r="EI29" s="101">
        <v>0</v>
      </c>
      <c r="EJ29" s="101">
        <v>0</v>
      </c>
      <c r="EK29" s="101">
        <v>0</v>
      </c>
      <c r="EL29" s="101">
        <v>0</v>
      </c>
      <c r="EM29" s="101">
        <v>0</v>
      </c>
      <c r="EN29" s="101">
        <v>0</v>
      </c>
      <c r="EO29" s="68">
        <v>0</v>
      </c>
      <c r="EP29" s="68">
        <v>0</v>
      </c>
      <c r="EQ29" s="68">
        <v>0</v>
      </c>
      <c r="ER29" s="68">
        <v>0</v>
      </c>
      <c r="ES29" s="68">
        <v>0</v>
      </c>
      <c r="ET29" s="68">
        <v>0</v>
      </c>
      <c r="EU29" s="68">
        <v>0</v>
      </c>
      <c r="EV29" s="68">
        <v>0</v>
      </c>
      <c r="EW29" s="68">
        <v>0</v>
      </c>
    </row>
    <row r="30" spans="1:153">
      <c r="A30" s="113">
        <v>48</v>
      </c>
      <c r="B30" s="68">
        <v>322000</v>
      </c>
      <c r="C30" s="68">
        <v>0</v>
      </c>
      <c r="D30" s="68">
        <v>0</v>
      </c>
      <c r="E30" s="68">
        <v>0</v>
      </c>
      <c r="F30" s="68">
        <v>0</v>
      </c>
      <c r="G30" s="68">
        <v>0</v>
      </c>
      <c r="H30" s="68">
        <v>0</v>
      </c>
      <c r="I30" s="68">
        <v>0</v>
      </c>
      <c r="J30" s="68">
        <v>0</v>
      </c>
      <c r="K30" s="68">
        <v>0</v>
      </c>
      <c r="L30" s="68">
        <v>0</v>
      </c>
      <c r="M30" s="68">
        <v>0</v>
      </c>
      <c r="N30" s="68">
        <v>0</v>
      </c>
      <c r="O30" s="68">
        <v>0</v>
      </c>
      <c r="P30" s="68">
        <v>0</v>
      </c>
      <c r="Q30" s="68">
        <v>0</v>
      </c>
      <c r="R30" s="68">
        <v>0</v>
      </c>
      <c r="S30" s="68"/>
      <c r="T30" s="68"/>
      <c r="U30" s="68"/>
      <c r="V30" s="68"/>
      <c r="W30" s="68"/>
      <c r="X30" s="68"/>
      <c r="Y30" s="68"/>
      <c r="Z30" s="68">
        <v>322000</v>
      </c>
      <c r="AA30" s="68">
        <v>0</v>
      </c>
      <c r="AB30" s="68">
        <v>0</v>
      </c>
      <c r="AC30" s="68">
        <v>0</v>
      </c>
      <c r="AD30" s="68">
        <v>0</v>
      </c>
      <c r="AE30" s="68">
        <v>0</v>
      </c>
      <c r="AF30" s="68">
        <v>0</v>
      </c>
      <c r="AG30" s="68">
        <v>0</v>
      </c>
      <c r="AH30" s="68">
        <v>0</v>
      </c>
      <c r="AI30" s="101"/>
      <c r="AJ30" s="101"/>
      <c r="AK30" s="101"/>
      <c r="AL30" s="101"/>
      <c r="AM30" s="101"/>
      <c r="AN30" s="101"/>
      <c r="AO30" s="101"/>
      <c r="AP30" s="101"/>
      <c r="AQ30" s="101"/>
      <c r="AR30" s="101"/>
      <c r="AS30" s="101"/>
      <c r="AT30" s="101"/>
      <c r="AU30" s="101"/>
      <c r="AV30" s="101"/>
      <c r="AW30" s="101"/>
      <c r="AX30" s="101"/>
      <c r="AY30" s="101"/>
      <c r="AZ30" s="101"/>
      <c r="BA30" s="101"/>
      <c r="BB30" s="101"/>
      <c r="BC30" s="101"/>
      <c r="BD30" s="101"/>
      <c r="BE30" s="101"/>
      <c r="BF30" s="101"/>
      <c r="BG30" s="101"/>
      <c r="BH30" s="101"/>
      <c r="BI30" s="101"/>
      <c r="BJ30" s="101"/>
      <c r="BK30" s="101"/>
      <c r="BL30" s="101"/>
      <c r="BM30" s="101"/>
      <c r="BN30" s="101"/>
      <c r="BO30" s="101"/>
      <c r="BP30" s="101"/>
      <c r="BQ30" s="101"/>
      <c r="BR30" s="101"/>
      <c r="BS30" s="101"/>
      <c r="BT30" s="101"/>
      <c r="BU30" s="101"/>
      <c r="BV30" s="101"/>
      <c r="BW30" s="101"/>
      <c r="BX30" s="101"/>
      <c r="BY30" s="101"/>
      <c r="BZ30" s="101"/>
      <c r="CA30" s="101"/>
      <c r="CB30" s="101"/>
      <c r="CC30" s="101"/>
      <c r="CD30" s="101"/>
      <c r="CE30" s="101"/>
      <c r="CF30" s="101"/>
      <c r="CG30" s="101"/>
      <c r="CH30" s="101"/>
      <c r="CI30" s="101"/>
      <c r="CJ30" s="101"/>
      <c r="CK30" s="101"/>
      <c r="CL30" s="101"/>
      <c r="CM30" s="101"/>
      <c r="CN30" s="101"/>
      <c r="CO30" s="101"/>
      <c r="CP30" s="101"/>
      <c r="CQ30" s="101"/>
      <c r="CR30" s="101"/>
      <c r="CS30" s="101"/>
      <c r="CT30" s="101"/>
      <c r="CU30" s="101"/>
      <c r="CV30" s="101"/>
      <c r="CW30" s="101"/>
      <c r="CX30" s="101"/>
      <c r="CY30" s="101"/>
      <c r="CZ30" s="101"/>
      <c r="DA30" s="101"/>
      <c r="DB30" s="101"/>
      <c r="DC30" s="101"/>
      <c r="DD30" s="101"/>
      <c r="DE30" s="101"/>
      <c r="DF30" s="101"/>
      <c r="DG30" s="101"/>
      <c r="DH30" s="101"/>
      <c r="DI30" s="101"/>
      <c r="DJ30" s="101"/>
      <c r="DK30" s="101"/>
      <c r="DL30" s="101"/>
      <c r="DM30" s="101"/>
      <c r="DN30" s="101"/>
      <c r="DO30" s="101"/>
      <c r="DP30" s="101"/>
      <c r="DQ30" s="101"/>
      <c r="DR30" s="101"/>
      <c r="DS30" s="66">
        <v>5</v>
      </c>
      <c r="DT30" s="66">
        <v>10</v>
      </c>
      <c r="DU30" s="66">
        <v>2</v>
      </c>
      <c r="DV30" s="115" t="s">
        <v>990</v>
      </c>
      <c r="DW30" s="115" t="s">
        <v>584</v>
      </c>
      <c r="DX30" s="115" t="s">
        <v>581</v>
      </c>
      <c r="DY30" s="63" t="str">
        <f t="shared" si="0"/>
        <v>○</v>
      </c>
      <c r="DZ30" s="101">
        <v>0</v>
      </c>
      <c r="EA30" s="101">
        <v>0</v>
      </c>
      <c r="EB30" s="101">
        <v>0</v>
      </c>
      <c r="EC30" s="101">
        <v>0</v>
      </c>
      <c r="ED30" s="101">
        <v>0</v>
      </c>
      <c r="EE30" s="101">
        <v>0</v>
      </c>
      <c r="EF30" s="101">
        <v>0</v>
      </c>
      <c r="EG30" s="101">
        <v>0</v>
      </c>
      <c r="EH30" s="101">
        <v>0</v>
      </c>
      <c r="EI30" s="101">
        <v>0</v>
      </c>
      <c r="EJ30" s="101">
        <v>0</v>
      </c>
      <c r="EK30" s="101">
        <v>0</v>
      </c>
      <c r="EL30" s="101">
        <v>0</v>
      </c>
      <c r="EM30" s="101">
        <v>0</v>
      </c>
      <c r="EN30" s="101">
        <v>0</v>
      </c>
      <c r="EO30" s="68">
        <v>0</v>
      </c>
      <c r="EP30" s="68">
        <v>0</v>
      </c>
      <c r="EQ30" s="68">
        <v>0</v>
      </c>
      <c r="ER30" s="68">
        <v>0</v>
      </c>
      <c r="ES30" s="68">
        <v>0</v>
      </c>
      <c r="ET30" s="68">
        <v>0</v>
      </c>
      <c r="EU30" s="68">
        <v>0</v>
      </c>
      <c r="EV30" s="68">
        <v>0</v>
      </c>
      <c r="EW30" s="68">
        <v>0</v>
      </c>
    </row>
    <row r="31" spans="1:153">
      <c r="A31" s="113">
        <v>49</v>
      </c>
      <c r="B31" s="68">
        <v>2211000</v>
      </c>
      <c r="C31" s="68">
        <v>0</v>
      </c>
      <c r="D31" s="68">
        <v>0</v>
      </c>
      <c r="E31" s="68">
        <v>0</v>
      </c>
      <c r="F31" s="68">
        <v>0</v>
      </c>
      <c r="G31" s="68">
        <v>0</v>
      </c>
      <c r="H31" s="68">
        <v>0</v>
      </c>
      <c r="I31" s="68">
        <v>0</v>
      </c>
      <c r="J31" s="68">
        <v>0</v>
      </c>
      <c r="K31" s="68">
        <v>0</v>
      </c>
      <c r="L31" s="68">
        <v>0</v>
      </c>
      <c r="M31" s="68">
        <v>0</v>
      </c>
      <c r="N31" s="68">
        <v>0</v>
      </c>
      <c r="O31" s="68">
        <v>0</v>
      </c>
      <c r="P31" s="68">
        <v>0</v>
      </c>
      <c r="Q31" s="68">
        <v>0</v>
      </c>
      <c r="R31" s="68">
        <v>0</v>
      </c>
      <c r="S31" s="68"/>
      <c r="T31" s="68"/>
      <c r="U31" s="68"/>
      <c r="V31" s="68"/>
      <c r="W31" s="68"/>
      <c r="X31" s="68"/>
      <c r="Y31" s="68"/>
      <c r="Z31" s="68">
        <v>2000</v>
      </c>
      <c r="AA31" s="68">
        <v>0</v>
      </c>
      <c r="AB31" s="68">
        <v>0</v>
      </c>
      <c r="AC31" s="68">
        <v>0</v>
      </c>
      <c r="AD31" s="68">
        <v>0</v>
      </c>
      <c r="AE31" s="68">
        <v>0</v>
      </c>
      <c r="AF31" s="68">
        <v>0</v>
      </c>
      <c r="AG31" s="68">
        <v>0</v>
      </c>
      <c r="AH31" s="68">
        <v>2200000</v>
      </c>
      <c r="AI31" s="101"/>
      <c r="AJ31" s="101"/>
      <c r="AK31" s="101"/>
      <c r="AL31" s="101"/>
      <c r="AM31" s="101"/>
      <c r="AN31" s="101"/>
      <c r="AO31" s="101"/>
      <c r="AP31" s="101"/>
      <c r="AQ31" s="101"/>
      <c r="AR31" s="101"/>
      <c r="AS31" s="101"/>
      <c r="AT31" s="101"/>
      <c r="AU31" s="101"/>
      <c r="AV31" s="101"/>
      <c r="AW31" s="101"/>
      <c r="AX31" s="101"/>
      <c r="AY31" s="101"/>
      <c r="AZ31" s="101"/>
      <c r="BA31" s="101"/>
      <c r="BB31" s="101"/>
      <c r="BC31" s="101"/>
      <c r="BD31" s="101"/>
      <c r="BE31" s="101"/>
      <c r="BF31" s="101"/>
      <c r="BG31" s="101"/>
      <c r="BH31" s="101"/>
      <c r="BI31" s="101"/>
      <c r="BJ31" s="101"/>
      <c r="BK31" s="101"/>
      <c r="BL31" s="101"/>
      <c r="BM31" s="101"/>
      <c r="BN31" s="101"/>
      <c r="BO31" s="101"/>
      <c r="BP31" s="101"/>
      <c r="BQ31" s="101"/>
      <c r="BR31" s="101"/>
      <c r="BS31" s="101"/>
      <c r="BT31" s="101"/>
      <c r="BU31" s="101"/>
      <c r="BV31" s="101"/>
      <c r="BW31" s="101"/>
      <c r="BX31" s="101"/>
      <c r="BY31" s="101"/>
      <c r="BZ31" s="101"/>
      <c r="CA31" s="101"/>
      <c r="CB31" s="101"/>
      <c r="CC31" s="101"/>
      <c r="CD31" s="101"/>
      <c r="CE31" s="101"/>
      <c r="CF31" s="101"/>
      <c r="CG31" s="101"/>
      <c r="CH31" s="101"/>
      <c r="CI31" s="101"/>
      <c r="CJ31" s="101"/>
      <c r="CK31" s="101"/>
      <c r="CL31" s="101"/>
      <c r="CM31" s="101"/>
      <c r="CN31" s="101"/>
      <c r="CO31" s="101"/>
      <c r="CP31" s="101"/>
      <c r="CQ31" s="101"/>
      <c r="CR31" s="101"/>
      <c r="CS31" s="101"/>
      <c r="CT31" s="101"/>
      <c r="CU31" s="101"/>
      <c r="CV31" s="101"/>
      <c r="CW31" s="101"/>
      <c r="CX31" s="101"/>
      <c r="CY31" s="101"/>
      <c r="CZ31" s="101"/>
      <c r="DA31" s="101"/>
      <c r="DB31" s="101"/>
      <c r="DC31" s="101"/>
      <c r="DD31" s="101"/>
      <c r="DE31" s="101"/>
      <c r="DF31" s="101"/>
      <c r="DG31" s="101"/>
      <c r="DH31" s="101"/>
      <c r="DI31" s="101"/>
      <c r="DJ31" s="101"/>
      <c r="DK31" s="101"/>
      <c r="DL31" s="101"/>
      <c r="DM31" s="101"/>
      <c r="DN31" s="101"/>
      <c r="DO31" s="101"/>
      <c r="DP31" s="101"/>
      <c r="DQ31" s="101"/>
      <c r="DR31" s="101"/>
      <c r="DS31" s="66">
        <v>5</v>
      </c>
      <c r="DT31" s="66">
        <v>10</v>
      </c>
      <c r="DU31" s="66">
        <v>2</v>
      </c>
      <c r="DV31" s="115" t="s">
        <v>993</v>
      </c>
      <c r="DW31" s="115" t="s">
        <v>1474</v>
      </c>
      <c r="DX31" s="115" t="s">
        <v>581</v>
      </c>
      <c r="DY31" s="63" t="str">
        <f t="shared" si="0"/>
        <v>×</v>
      </c>
      <c r="DZ31" s="101">
        <v>0</v>
      </c>
      <c r="EA31" s="101">
        <v>0</v>
      </c>
      <c r="EB31" s="101">
        <v>0</v>
      </c>
      <c r="EC31" s="101">
        <v>0</v>
      </c>
      <c r="ED31" s="101">
        <v>0</v>
      </c>
      <c r="EE31" s="101">
        <v>0</v>
      </c>
      <c r="EF31" s="101">
        <v>0</v>
      </c>
      <c r="EG31" s="101">
        <v>0</v>
      </c>
      <c r="EH31" s="101">
        <v>0</v>
      </c>
      <c r="EI31" s="101">
        <v>0</v>
      </c>
      <c r="EJ31" s="101">
        <v>0</v>
      </c>
      <c r="EK31" s="101">
        <v>0</v>
      </c>
      <c r="EL31" s="101">
        <v>0</v>
      </c>
      <c r="EM31" s="101">
        <v>0</v>
      </c>
      <c r="EN31" s="101">
        <v>0</v>
      </c>
      <c r="EO31" s="68">
        <v>0</v>
      </c>
      <c r="EP31" s="68">
        <v>0</v>
      </c>
      <c r="EQ31" s="68">
        <v>0</v>
      </c>
      <c r="ER31" s="68">
        <v>0</v>
      </c>
      <c r="ES31" s="68">
        <v>0</v>
      </c>
      <c r="ET31" s="68">
        <v>0</v>
      </c>
      <c r="EU31" s="68">
        <v>0</v>
      </c>
      <c r="EV31" s="68">
        <v>0</v>
      </c>
      <c r="EW31" s="68">
        <v>9000</v>
      </c>
    </row>
    <row r="32" spans="1:153">
      <c r="A32" s="113">
        <v>50</v>
      </c>
      <c r="B32" s="68">
        <v>164000</v>
      </c>
      <c r="C32" s="68">
        <v>0</v>
      </c>
      <c r="D32" s="68">
        <v>0</v>
      </c>
      <c r="E32" s="68">
        <v>0</v>
      </c>
      <c r="F32" s="68">
        <v>0</v>
      </c>
      <c r="G32" s="68">
        <v>0</v>
      </c>
      <c r="H32" s="68">
        <v>0</v>
      </c>
      <c r="I32" s="68">
        <v>0</v>
      </c>
      <c r="J32" s="68">
        <v>0</v>
      </c>
      <c r="K32" s="68">
        <v>0</v>
      </c>
      <c r="L32" s="68">
        <v>0</v>
      </c>
      <c r="M32" s="68">
        <v>0</v>
      </c>
      <c r="N32" s="68">
        <v>0</v>
      </c>
      <c r="O32" s="68">
        <v>0</v>
      </c>
      <c r="P32" s="68">
        <v>0</v>
      </c>
      <c r="Q32" s="68">
        <v>0</v>
      </c>
      <c r="R32" s="68">
        <v>0</v>
      </c>
      <c r="S32" s="68"/>
      <c r="T32" s="68"/>
      <c r="U32" s="68"/>
      <c r="V32" s="68"/>
      <c r="W32" s="68"/>
      <c r="X32" s="68"/>
      <c r="Y32" s="68"/>
      <c r="Z32" s="68">
        <v>49000</v>
      </c>
      <c r="AA32" s="68">
        <v>0</v>
      </c>
      <c r="AB32" s="68">
        <v>0</v>
      </c>
      <c r="AC32" s="68">
        <v>0</v>
      </c>
      <c r="AD32" s="68">
        <v>0</v>
      </c>
      <c r="AE32" s="68">
        <v>0</v>
      </c>
      <c r="AF32" s="68">
        <v>0</v>
      </c>
      <c r="AG32" s="68">
        <v>0</v>
      </c>
      <c r="AH32" s="68">
        <v>0</v>
      </c>
      <c r="AI32" s="101"/>
      <c r="AJ32" s="101"/>
      <c r="AK32" s="101"/>
      <c r="AL32" s="101"/>
      <c r="AM32" s="101"/>
      <c r="AN32" s="101"/>
      <c r="AO32" s="101"/>
      <c r="AP32" s="101"/>
      <c r="AQ32" s="101"/>
      <c r="AR32" s="101"/>
      <c r="AS32" s="101"/>
      <c r="AT32" s="101"/>
      <c r="AU32" s="101"/>
      <c r="AV32" s="101"/>
      <c r="AW32" s="101"/>
      <c r="AX32" s="101"/>
      <c r="AY32" s="101"/>
      <c r="AZ32" s="101"/>
      <c r="BA32" s="101"/>
      <c r="BB32" s="101"/>
      <c r="BC32" s="101"/>
      <c r="BD32" s="101"/>
      <c r="BE32" s="101"/>
      <c r="BF32" s="101"/>
      <c r="BG32" s="101"/>
      <c r="BH32" s="101"/>
      <c r="BI32" s="101"/>
      <c r="BJ32" s="101"/>
      <c r="BK32" s="101"/>
      <c r="BL32" s="101"/>
      <c r="BM32" s="101"/>
      <c r="BN32" s="101"/>
      <c r="BO32" s="101"/>
      <c r="BP32" s="101"/>
      <c r="BQ32" s="101"/>
      <c r="BR32" s="101"/>
      <c r="BS32" s="101"/>
      <c r="BT32" s="101"/>
      <c r="BU32" s="101"/>
      <c r="BV32" s="101"/>
      <c r="BW32" s="101"/>
      <c r="BX32" s="101"/>
      <c r="BY32" s="101"/>
      <c r="BZ32" s="101"/>
      <c r="CA32" s="101"/>
      <c r="CB32" s="101"/>
      <c r="CC32" s="101"/>
      <c r="CD32" s="101"/>
      <c r="CE32" s="101"/>
      <c r="CF32" s="101"/>
      <c r="CG32" s="101"/>
      <c r="CH32" s="101"/>
      <c r="CI32" s="101"/>
      <c r="CJ32" s="101"/>
      <c r="CK32" s="101"/>
      <c r="CL32" s="101"/>
      <c r="CM32" s="101"/>
      <c r="CN32" s="101"/>
      <c r="CO32" s="101"/>
      <c r="CP32" s="101"/>
      <c r="CQ32" s="101"/>
      <c r="CR32" s="101"/>
      <c r="CS32" s="101"/>
      <c r="CT32" s="101"/>
      <c r="CU32" s="101"/>
      <c r="CV32" s="101"/>
      <c r="CW32" s="101"/>
      <c r="CX32" s="101"/>
      <c r="CY32" s="101"/>
      <c r="CZ32" s="101"/>
      <c r="DA32" s="101"/>
      <c r="DB32" s="101"/>
      <c r="DC32" s="101"/>
      <c r="DD32" s="101"/>
      <c r="DE32" s="101"/>
      <c r="DF32" s="101"/>
      <c r="DG32" s="101"/>
      <c r="DH32" s="101"/>
      <c r="DI32" s="101"/>
      <c r="DJ32" s="101"/>
      <c r="DK32" s="101"/>
      <c r="DL32" s="101"/>
      <c r="DM32" s="101"/>
      <c r="DN32" s="101"/>
      <c r="DO32" s="101"/>
      <c r="DP32" s="101"/>
      <c r="DQ32" s="101"/>
      <c r="DR32" s="101"/>
      <c r="DS32" s="66">
        <v>5</v>
      </c>
      <c r="DT32" s="66">
        <v>10</v>
      </c>
      <c r="DU32" s="66">
        <v>2</v>
      </c>
      <c r="DV32" s="115" t="s">
        <v>999</v>
      </c>
      <c r="DW32" s="115" t="s">
        <v>1475</v>
      </c>
      <c r="DX32" s="115" t="s">
        <v>581</v>
      </c>
      <c r="DY32" s="63" t="str">
        <f t="shared" si="0"/>
        <v>×</v>
      </c>
      <c r="DZ32" s="101">
        <v>0</v>
      </c>
      <c r="EA32" s="101">
        <v>0</v>
      </c>
      <c r="EB32" s="101">
        <v>0</v>
      </c>
      <c r="EC32" s="101">
        <v>0</v>
      </c>
      <c r="ED32" s="101">
        <v>0</v>
      </c>
      <c r="EE32" s="101">
        <v>0</v>
      </c>
      <c r="EF32" s="101">
        <v>0</v>
      </c>
      <c r="EG32" s="101">
        <v>0</v>
      </c>
      <c r="EH32" s="101">
        <v>0</v>
      </c>
      <c r="EI32" s="101">
        <v>0</v>
      </c>
      <c r="EJ32" s="101">
        <v>0</v>
      </c>
      <c r="EK32" s="101">
        <v>0</v>
      </c>
      <c r="EL32" s="101">
        <v>0</v>
      </c>
      <c r="EM32" s="101">
        <v>0</v>
      </c>
      <c r="EN32" s="101">
        <v>0</v>
      </c>
      <c r="EO32" s="68">
        <v>0</v>
      </c>
      <c r="EP32" s="68">
        <v>0</v>
      </c>
      <c r="EQ32" s="68">
        <v>0</v>
      </c>
      <c r="ER32" s="68">
        <v>0</v>
      </c>
      <c r="ES32" s="68">
        <v>0</v>
      </c>
      <c r="ET32" s="68">
        <v>0</v>
      </c>
      <c r="EU32" s="68">
        <v>0</v>
      </c>
      <c r="EV32" s="68">
        <v>0</v>
      </c>
      <c r="EW32" s="68">
        <v>115000</v>
      </c>
    </row>
    <row r="33" spans="1:153">
      <c r="A33" s="113">
        <v>51</v>
      </c>
      <c r="B33" s="68">
        <v>356000</v>
      </c>
      <c r="C33" s="68">
        <v>0</v>
      </c>
      <c r="D33" s="68">
        <v>0</v>
      </c>
      <c r="E33" s="68">
        <v>0</v>
      </c>
      <c r="F33" s="68">
        <v>0</v>
      </c>
      <c r="G33" s="68">
        <v>0</v>
      </c>
      <c r="H33" s="68">
        <v>0</v>
      </c>
      <c r="I33" s="68">
        <v>0</v>
      </c>
      <c r="J33" s="68">
        <v>0</v>
      </c>
      <c r="K33" s="68">
        <v>0</v>
      </c>
      <c r="L33" s="68">
        <v>0</v>
      </c>
      <c r="M33" s="68">
        <v>0</v>
      </c>
      <c r="N33" s="68">
        <v>0</v>
      </c>
      <c r="O33" s="68">
        <v>0</v>
      </c>
      <c r="P33" s="68">
        <v>0</v>
      </c>
      <c r="Q33" s="68">
        <v>0</v>
      </c>
      <c r="R33" s="68">
        <v>0</v>
      </c>
      <c r="S33" s="68"/>
      <c r="T33" s="68"/>
      <c r="U33" s="68"/>
      <c r="V33" s="68"/>
      <c r="W33" s="68"/>
      <c r="X33" s="68"/>
      <c r="Y33" s="68"/>
      <c r="Z33" s="68">
        <v>0</v>
      </c>
      <c r="AA33" s="68">
        <v>0</v>
      </c>
      <c r="AB33" s="68">
        <v>0</v>
      </c>
      <c r="AC33" s="68">
        <v>0</v>
      </c>
      <c r="AD33" s="68">
        <v>0</v>
      </c>
      <c r="AE33" s="68">
        <v>0</v>
      </c>
      <c r="AF33" s="68">
        <v>0</v>
      </c>
      <c r="AG33" s="68">
        <v>0</v>
      </c>
      <c r="AH33" s="68">
        <v>0</v>
      </c>
      <c r="AI33" s="101"/>
      <c r="AJ33" s="101"/>
      <c r="AK33" s="101"/>
      <c r="AL33" s="101"/>
      <c r="AM33" s="101"/>
      <c r="AN33" s="101"/>
      <c r="AO33" s="101"/>
      <c r="AP33" s="101"/>
      <c r="AQ33" s="101"/>
      <c r="AR33" s="101"/>
      <c r="AS33" s="101"/>
      <c r="AT33" s="101"/>
      <c r="AU33" s="101"/>
      <c r="AV33" s="101"/>
      <c r="AW33" s="101"/>
      <c r="AX33" s="101"/>
      <c r="AY33" s="101"/>
      <c r="AZ33" s="101"/>
      <c r="BA33" s="101"/>
      <c r="BB33" s="101"/>
      <c r="BC33" s="101"/>
      <c r="BD33" s="101"/>
      <c r="BE33" s="101"/>
      <c r="BF33" s="101"/>
      <c r="BG33" s="101"/>
      <c r="BH33" s="101"/>
      <c r="BI33" s="101"/>
      <c r="BJ33" s="101"/>
      <c r="BK33" s="101"/>
      <c r="BL33" s="101"/>
      <c r="BM33" s="101"/>
      <c r="BN33" s="101"/>
      <c r="BO33" s="101"/>
      <c r="BP33" s="101"/>
      <c r="BQ33" s="101"/>
      <c r="BR33" s="101"/>
      <c r="BS33" s="101"/>
      <c r="BT33" s="101"/>
      <c r="BU33" s="101"/>
      <c r="BV33" s="101"/>
      <c r="BW33" s="101"/>
      <c r="BX33" s="101"/>
      <c r="BY33" s="101"/>
      <c r="BZ33" s="101"/>
      <c r="CA33" s="101"/>
      <c r="CB33" s="101"/>
      <c r="CC33" s="101"/>
      <c r="CD33" s="101"/>
      <c r="CE33" s="101"/>
      <c r="CF33" s="101"/>
      <c r="CG33" s="101"/>
      <c r="CH33" s="101"/>
      <c r="CI33" s="101"/>
      <c r="CJ33" s="101"/>
      <c r="CK33" s="101"/>
      <c r="CL33" s="101"/>
      <c r="CM33" s="101"/>
      <c r="CN33" s="101"/>
      <c r="CO33" s="101"/>
      <c r="CP33" s="101"/>
      <c r="CQ33" s="101"/>
      <c r="CR33" s="101"/>
      <c r="CS33" s="101"/>
      <c r="CT33" s="101"/>
      <c r="CU33" s="101"/>
      <c r="CV33" s="101"/>
      <c r="CW33" s="101"/>
      <c r="CX33" s="101"/>
      <c r="CY33" s="101"/>
      <c r="CZ33" s="101"/>
      <c r="DA33" s="101"/>
      <c r="DB33" s="101"/>
      <c r="DC33" s="101"/>
      <c r="DD33" s="101"/>
      <c r="DE33" s="101"/>
      <c r="DF33" s="101"/>
      <c r="DG33" s="101"/>
      <c r="DH33" s="101"/>
      <c r="DI33" s="101"/>
      <c r="DJ33" s="101"/>
      <c r="DK33" s="101"/>
      <c r="DL33" s="101"/>
      <c r="DM33" s="101"/>
      <c r="DN33" s="101"/>
      <c r="DO33" s="101"/>
      <c r="DP33" s="101"/>
      <c r="DQ33" s="101"/>
      <c r="DR33" s="101"/>
      <c r="DS33" s="66">
        <v>5</v>
      </c>
      <c r="DT33" s="66">
        <v>10</v>
      </c>
      <c r="DU33" s="66">
        <v>2</v>
      </c>
      <c r="DV33" s="115" t="s">
        <v>990</v>
      </c>
      <c r="DW33" s="115" t="s">
        <v>598</v>
      </c>
      <c r="DX33" s="115" t="s">
        <v>581</v>
      </c>
      <c r="DY33" s="63" t="str">
        <f t="shared" si="0"/>
        <v>×</v>
      </c>
      <c r="DZ33" s="101">
        <v>0</v>
      </c>
      <c r="EA33" s="101">
        <v>0</v>
      </c>
      <c r="EB33" s="101">
        <v>0</v>
      </c>
      <c r="EC33" s="101">
        <v>0</v>
      </c>
      <c r="ED33" s="101">
        <v>0</v>
      </c>
      <c r="EE33" s="101">
        <v>0</v>
      </c>
      <c r="EF33" s="101">
        <v>0</v>
      </c>
      <c r="EG33" s="101">
        <v>0</v>
      </c>
      <c r="EH33" s="101">
        <v>0</v>
      </c>
      <c r="EI33" s="101">
        <v>0</v>
      </c>
      <c r="EJ33" s="101">
        <v>0</v>
      </c>
      <c r="EK33" s="101">
        <v>0</v>
      </c>
      <c r="EL33" s="101">
        <v>0</v>
      </c>
      <c r="EM33" s="101">
        <v>0</v>
      </c>
      <c r="EN33" s="101">
        <v>0</v>
      </c>
      <c r="EO33" s="68">
        <v>356000</v>
      </c>
      <c r="EP33" s="68">
        <v>0</v>
      </c>
      <c r="EQ33" s="68">
        <v>0</v>
      </c>
      <c r="ER33" s="68">
        <v>0</v>
      </c>
      <c r="ES33" s="68">
        <v>0</v>
      </c>
      <c r="ET33" s="68">
        <v>0</v>
      </c>
      <c r="EU33" s="68">
        <v>0</v>
      </c>
      <c r="EV33" s="68">
        <v>0</v>
      </c>
      <c r="EW33" s="68">
        <v>0</v>
      </c>
    </row>
    <row r="34" spans="1:153">
      <c r="A34" s="113">
        <v>52</v>
      </c>
      <c r="B34" s="68">
        <v>215000</v>
      </c>
      <c r="C34" s="68">
        <v>0</v>
      </c>
      <c r="D34" s="68">
        <v>0</v>
      </c>
      <c r="E34" s="68">
        <v>0</v>
      </c>
      <c r="F34" s="68">
        <v>0</v>
      </c>
      <c r="G34" s="68">
        <v>0</v>
      </c>
      <c r="H34" s="68">
        <v>0</v>
      </c>
      <c r="I34" s="68">
        <v>0</v>
      </c>
      <c r="J34" s="68">
        <v>0</v>
      </c>
      <c r="K34" s="68">
        <v>0</v>
      </c>
      <c r="L34" s="68">
        <v>0</v>
      </c>
      <c r="M34" s="68">
        <v>0</v>
      </c>
      <c r="N34" s="68">
        <v>0</v>
      </c>
      <c r="O34" s="68">
        <v>0</v>
      </c>
      <c r="P34" s="68">
        <v>0</v>
      </c>
      <c r="Q34" s="68">
        <v>0</v>
      </c>
      <c r="R34" s="68">
        <v>0</v>
      </c>
      <c r="S34" s="68"/>
      <c r="T34" s="68"/>
      <c r="U34" s="68"/>
      <c r="V34" s="68"/>
      <c r="W34" s="68"/>
      <c r="X34" s="68"/>
      <c r="Y34" s="68"/>
      <c r="Z34" s="68">
        <v>215000</v>
      </c>
      <c r="AA34" s="68">
        <v>0</v>
      </c>
      <c r="AB34" s="68">
        <v>0</v>
      </c>
      <c r="AC34" s="68">
        <v>0</v>
      </c>
      <c r="AD34" s="68">
        <v>0</v>
      </c>
      <c r="AE34" s="68">
        <v>0</v>
      </c>
      <c r="AF34" s="68">
        <v>0</v>
      </c>
      <c r="AG34" s="68">
        <v>0</v>
      </c>
      <c r="AH34" s="68">
        <v>0</v>
      </c>
      <c r="AI34" s="101"/>
      <c r="AJ34" s="101"/>
      <c r="AK34" s="101"/>
      <c r="AL34" s="101"/>
      <c r="AM34" s="101"/>
      <c r="AN34" s="101"/>
      <c r="AO34" s="101"/>
      <c r="AP34" s="101"/>
      <c r="AQ34" s="101"/>
      <c r="AR34" s="101"/>
      <c r="AS34" s="101"/>
      <c r="AT34" s="101"/>
      <c r="AU34" s="101"/>
      <c r="AV34" s="101"/>
      <c r="AW34" s="101"/>
      <c r="AX34" s="101"/>
      <c r="AY34" s="101"/>
      <c r="AZ34" s="101"/>
      <c r="BA34" s="101"/>
      <c r="BB34" s="101"/>
      <c r="BC34" s="101"/>
      <c r="BD34" s="101"/>
      <c r="BE34" s="101"/>
      <c r="BF34" s="101"/>
      <c r="BG34" s="101"/>
      <c r="BH34" s="101"/>
      <c r="BI34" s="101"/>
      <c r="BJ34" s="101"/>
      <c r="BK34" s="101"/>
      <c r="BL34" s="101"/>
      <c r="BM34" s="101"/>
      <c r="BN34" s="101"/>
      <c r="BO34" s="101"/>
      <c r="BP34" s="101"/>
      <c r="BQ34" s="101"/>
      <c r="BR34" s="101"/>
      <c r="BS34" s="101"/>
      <c r="BT34" s="101"/>
      <c r="BU34" s="101"/>
      <c r="BV34" s="101"/>
      <c r="BW34" s="101"/>
      <c r="BX34" s="101"/>
      <c r="BY34" s="101"/>
      <c r="BZ34" s="101"/>
      <c r="CA34" s="101"/>
      <c r="CB34" s="101"/>
      <c r="CC34" s="101"/>
      <c r="CD34" s="101"/>
      <c r="CE34" s="101"/>
      <c r="CF34" s="101"/>
      <c r="CG34" s="101"/>
      <c r="CH34" s="101"/>
      <c r="CI34" s="101"/>
      <c r="CJ34" s="101"/>
      <c r="CK34" s="101"/>
      <c r="CL34" s="101"/>
      <c r="CM34" s="101"/>
      <c r="CN34" s="101"/>
      <c r="CO34" s="101"/>
      <c r="CP34" s="101"/>
      <c r="CQ34" s="101"/>
      <c r="CR34" s="101"/>
      <c r="CS34" s="101"/>
      <c r="CT34" s="101"/>
      <c r="CU34" s="101"/>
      <c r="CV34" s="101"/>
      <c r="CW34" s="101"/>
      <c r="CX34" s="101"/>
      <c r="CY34" s="101"/>
      <c r="CZ34" s="101"/>
      <c r="DA34" s="101"/>
      <c r="DB34" s="101"/>
      <c r="DC34" s="101"/>
      <c r="DD34" s="101"/>
      <c r="DE34" s="101"/>
      <c r="DF34" s="101"/>
      <c r="DG34" s="101"/>
      <c r="DH34" s="101"/>
      <c r="DI34" s="101"/>
      <c r="DJ34" s="101"/>
      <c r="DK34" s="101"/>
      <c r="DL34" s="101"/>
      <c r="DM34" s="101"/>
      <c r="DN34" s="101"/>
      <c r="DO34" s="101"/>
      <c r="DP34" s="101"/>
      <c r="DQ34" s="101"/>
      <c r="DR34" s="101"/>
      <c r="DS34" s="66">
        <v>5</v>
      </c>
      <c r="DT34" s="66">
        <v>10</v>
      </c>
      <c r="DU34" s="66">
        <v>2</v>
      </c>
      <c r="DV34" s="115" t="s">
        <v>990</v>
      </c>
      <c r="DW34" s="115" t="s">
        <v>598</v>
      </c>
      <c r="DX34" s="115" t="s">
        <v>581</v>
      </c>
      <c r="DY34" s="63" t="str">
        <f t="shared" si="0"/>
        <v>○</v>
      </c>
      <c r="DZ34" s="101">
        <v>0</v>
      </c>
      <c r="EA34" s="101">
        <v>0</v>
      </c>
      <c r="EB34" s="101">
        <v>0</v>
      </c>
      <c r="EC34" s="101">
        <v>0</v>
      </c>
      <c r="ED34" s="101">
        <v>0</v>
      </c>
      <c r="EE34" s="101">
        <v>0</v>
      </c>
      <c r="EF34" s="101">
        <v>0</v>
      </c>
      <c r="EG34" s="101">
        <v>0</v>
      </c>
      <c r="EH34" s="101">
        <v>0</v>
      </c>
      <c r="EI34" s="101">
        <v>0</v>
      </c>
      <c r="EJ34" s="101">
        <v>0</v>
      </c>
      <c r="EK34" s="101">
        <v>0</v>
      </c>
      <c r="EL34" s="101">
        <v>0</v>
      </c>
      <c r="EM34" s="101">
        <v>0</v>
      </c>
      <c r="EN34" s="101">
        <v>0</v>
      </c>
      <c r="EO34" s="68">
        <v>0</v>
      </c>
      <c r="EP34" s="68">
        <v>0</v>
      </c>
      <c r="EQ34" s="68">
        <v>0</v>
      </c>
      <c r="ER34" s="68">
        <v>0</v>
      </c>
      <c r="ES34" s="68">
        <v>0</v>
      </c>
      <c r="ET34" s="68">
        <v>0</v>
      </c>
      <c r="EU34" s="68">
        <v>0</v>
      </c>
      <c r="EV34" s="68">
        <v>0</v>
      </c>
      <c r="EW34" s="68">
        <v>0</v>
      </c>
    </row>
    <row r="35" spans="1:153">
      <c r="A35" s="113">
        <v>53</v>
      </c>
      <c r="B35" s="68">
        <v>69000</v>
      </c>
      <c r="C35" s="68">
        <v>0</v>
      </c>
      <c r="D35" s="68">
        <v>0</v>
      </c>
      <c r="E35" s="68">
        <v>0</v>
      </c>
      <c r="F35" s="68">
        <v>0</v>
      </c>
      <c r="G35" s="68">
        <v>0</v>
      </c>
      <c r="H35" s="68">
        <v>0</v>
      </c>
      <c r="I35" s="68">
        <v>0</v>
      </c>
      <c r="J35" s="68">
        <v>0</v>
      </c>
      <c r="K35" s="68">
        <v>0</v>
      </c>
      <c r="L35" s="68">
        <v>0</v>
      </c>
      <c r="M35" s="68">
        <v>0</v>
      </c>
      <c r="N35" s="68">
        <v>0</v>
      </c>
      <c r="O35" s="68">
        <v>0</v>
      </c>
      <c r="P35" s="68">
        <v>0</v>
      </c>
      <c r="Q35" s="68">
        <v>0</v>
      </c>
      <c r="R35" s="68">
        <v>0</v>
      </c>
      <c r="S35" s="68"/>
      <c r="T35" s="68"/>
      <c r="U35" s="68"/>
      <c r="V35" s="68"/>
      <c r="W35" s="68"/>
      <c r="X35" s="68"/>
      <c r="Y35" s="68"/>
      <c r="Z35" s="68">
        <v>69000</v>
      </c>
      <c r="AA35" s="68">
        <v>0</v>
      </c>
      <c r="AB35" s="68">
        <v>0</v>
      </c>
      <c r="AC35" s="68">
        <v>0</v>
      </c>
      <c r="AD35" s="68">
        <v>0</v>
      </c>
      <c r="AE35" s="68">
        <v>0</v>
      </c>
      <c r="AF35" s="68">
        <v>0</v>
      </c>
      <c r="AG35" s="68">
        <v>0</v>
      </c>
      <c r="AH35" s="68">
        <v>0</v>
      </c>
      <c r="AI35" s="101"/>
      <c r="AJ35" s="101"/>
      <c r="AK35" s="101"/>
      <c r="AL35" s="101"/>
      <c r="AM35" s="101"/>
      <c r="AN35" s="101"/>
      <c r="AO35" s="101"/>
      <c r="AP35" s="101"/>
      <c r="AQ35" s="101"/>
      <c r="AR35" s="101"/>
      <c r="AS35" s="101"/>
      <c r="AT35" s="101"/>
      <c r="AU35" s="101"/>
      <c r="AV35" s="101"/>
      <c r="AW35" s="101"/>
      <c r="AX35" s="101"/>
      <c r="AY35" s="101"/>
      <c r="AZ35" s="101"/>
      <c r="BA35" s="101"/>
      <c r="BB35" s="101"/>
      <c r="BC35" s="101"/>
      <c r="BD35" s="101"/>
      <c r="BE35" s="101"/>
      <c r="BF35" s="101"/>
      <c r="BG35" s="101"/>
      <c r="BH35" s="101"/>
      <c r="BI35" s="101"/>
      <c r="BJ35" s="101"/>
      <c r="BK35" s="101"/>
      <c r="BL35" s="101"/>
      <c r="BM35" s="101"/>
      <c r="BN35" s="101"/>
      <c r="BO35" s="101"/>
      <c r="BP35" s="101"/>
      <c r="BQ35" s="101"/>
      <c r="BR35" s="101"/>
      <c r="BS35" s="101"/>
      <c r="BT35" s="101"/>
      <c r="BU35" s="101"/>
      <c r="BV35" s="101"/>
      <c r="BW35" s="101"/>
      <c r="BX35" s="101"/>
      <c r="BY35" s="101"/>
      <c r="BZ35" s="101"/>
      <c r="CA35" s="101"/>
      <c r="CB35" s="101"/>
      <c r="CC35" s="101"/>
      <c r="CD35" s="101"/>
      <c r="CE35" s="101"/>
      <c r="CF35" s="101"/>
      <c r="CG35" s="101"/>
      <c r="CH35" s="101"/>
      <c r="CI35" s="101"/>
      <c r="CJ35" s="101"/>
      <c r="CK35" s="101"/>
      <c r="CL35" s="101"/>
      <c r="CM35" s="101"/>
      <c r="CN35" s="101"/>
      <c r="CO35" s="101"/>
      <c r="CP35" s="101"/>
      <c r="CQ35" s="101"/>
      <c r="CR35" s="101"/>
      <c r="CS35" s="101"/>
      <c r="CT35" s="101"/>
      <c r="CU35" s="101"/>
      <c r="CV35" s="101"/>
      <c r="CW35" s="101"/>
      <c r="CX35" s="101"/>
      <c r="CY35" s="101"/>
      <c r="CZ35" s="101"/>
      <c r="DA35" s="101"/>
      <c r="DB35" s="101"/>
      <c r="DC35" s="101"/>
      <c r="DD35" s="101"/>
      <c r="DE35" s="101"/>
      <c r="DF35" s="101"/>
      <c r="DG35" s="101"/>
      <c r="DH35" s="101"/>
      <c r="DI35" s="101"/>
      <c r="DJ35" s="101"/>
      <c r="DK35" s="101"/>
      <c r="DL35" s="101"/>
      <c r="DM35" s="101"/>
      <c r="DN35" s="101"/>
      <c r="DO35" s="101"/>
      <c r="DP35" s="101"/>
      <c r="DQ35" s="101"/>
      <c r="DR35" s="101"/>
      <c r="DS35" s="66">
        <v>5</v>
      </c>
      <c r="DT35" s="66">
        <v>10</v>
      </c>
      <c r="DU35" s="66">
        <v>2</v>
      </c>
      <c r="DV35" s="115" t="s">
        <v>1476</v>
      </c>
      <c r="DW35" s="115" t="s">
        <v>1477</v>
      </c>
      <c r="DX35" s="115" t="s">
        <v>581</v>
      </c>
      <c r="DY35" s="63" t="str">
        <f t="shared" si="0"/>
        <v>○</v>
      </c>
      <c r="DZ35" s="101">
        <v>0</v>
      </c>
      <c r="EA35" s="101">
        <v>0</v>
      </c>
      <c r="EB35" s="101">
        <v>0</v>
      </c>
      <c r="EC35" s="101">
        <v>0</v>
      </c>
      <c r="ED35" s="101">
        <v>0</v>
      </c>
      <c r="EE35" s="101">
        <v>0</v>
      </c>
      <c r="EF35" s="101">
        <v>0</v>
      </c>
      <c r="EG35" s="101">
        <v>0</v>
      </c>
      <c r="EH35" s="101">
        <v>0</v>
      </c>
      <c r="EI35" s="101">
        <v>0</v>
      </c>
      <c r="EJ35" s="101">
        <v>0</v>
      </c>
      <c r="EK35" s="101">
        <v>0</v>
      </c>
      <c r="EL35" s="101">
        <v>0</v>
      </c>
      <c r="EM35" s="101">
        <v>0</v>
      </c>
      <c r="EN35" s="101">
        <v>0</v>
      </c>
      <c r="EO35" s="68">
        <v>0</v>
      </c>
      <c r="EP35" s="68">
        <v>0</v>
      </c>
      <c r="EQ35" s="68">
        <v>0</v>
      </c>
      <c r="ER35" s="68">
        <v>0</v>
      </c>
      <c r="ES35" s="68">
        <v>0</v>
      </c>
      <c r="ET35" s="68">
        <v>0</v>
      </c>
      <c r="EU35" s="68">
        <v>0</v>
      </c>
      <c r="EV35" s="68">
        <v>0</v>
      </c>
      <c r="EW35" s="68">
        <v>0</v>
      </c>
    </row>
    <row r="36" spans="1:153">
      <c r="A36" s="113"/>
      <c r="B36" s="68" t="s">
        <v>1463</v>
      </c>
      <c r="C36" s="68">
        <v>0</v>
      </c>
      <c r="D36" s="68">
        <v>0</v>
      </c>
      <c r="E36" s="68">
        <v>0</v>
      </c>
      <c r="F36" s="68">
        <v>0</v>
      </c>
      <c r="G36" s="68">
        <v>0</v>
      </c>
      <c r="H36" s="68">
        <v>0</v>
      </c>
      <c r="I36" s="68">
        <v>0</v>
      </c>
      <c r="J36" s="68">
        <v>0</v>
      </c>
      <c r="K36" s="68">
        <v>0</v>
      </c>
      <c r="L36" s="68">
        <v>0</v>
      </c>
      <c r="M36" s="68">
        <v>0</v>
      </c>
      <c r="N36" s="68">
        <v>0</v>
      </c>
      <c r="O36" s="68">
        <v>0</v>
      </c>
      <c r="P36" s="68">
        <v>0</v>
      </c>
      <c r="Q36" s="68">
        <v>0</v>
      </c>
      <c r="R36" s="68">
        <v>0</v>
      </c>
      <c r="S36" s="68"/>
      <c r="T36" s="68"/>
      <c r="U36" s="68"/>
      <c r="V36" s="68"/>
      <c r="W36" s="68"/>
      <c r="X36" s="68"/>
      <c r="Y36" s="68"/>
      <c r="Z36" s="68" t="s">
        <v>1464</v>
      </c>
      <c r="AA36" s="68">
        <v>0</v>
      </c>
      <c r="AB36" s="68">
        <v>0</v>
      </c>
      <c r="AC36" s="68">
        <v>0</v>
      </c>
      <c r="AD36" s="68">
        <v>0</v>
      </c>
      <c r="AE36" s="68">
        <v>0</v>
      </c>
      <c r="AF36" s="68">
        <v>0</v>
      </c>
      <c r="AG36" s="68">
        <v>0</v>
      </c>
      <c r="AH36" s="68" t="s">
        <v>1465</v>
      </c>
      <c r="AI36" s="101"/>
      <c r="AJ36" s="101"/>
      <c r="AK36" s="101"/>
      <c r="AL36" s="101"/>
      <c r="AM36" s="101"/>
      <c r="AN36" s="101"/>
      <c r="AO36" s="101"/>
      <c r="AP36" s="101"/>
      <c r="AQ36" s="101"/>
      <c r="AR36" s="101"/>
      <c r="AS36" s="101"/>
      <c r="AT36" s="101"/>
      <c r="AU36" s="101"/>
      <c r="AV36" s="101"/>
      <c r="AW36" s="101"/>
      <c r="AX36" s="101"/>
      <c r="AY36" s="101"/>
      <c r="AZ36" s="101"/>
      <c r="BA36" s="101"/>
      <c r="BB36" s="101"/>
      <c r="BC36" s="101"/>
      <c r="BD36" s="101"/>
      <c r="BE36" s="101"/>
      <c r="BF36" s="101"/>
      <c r="BG36" s="101"/>
      <c r="BH36" s="101"/>
      <c r="BI36" s="101"/>
      <c r="BJ36" s="101"/>
      <c r="BK36" s="101"/>
      <c r="BL36" s="101"/>
      <c r="BM36" s="101"/>
      <c r="BN36" s="101"/>
      <c r="BO36" s="101"/>
      <c r="BP36" s="101"/>
      <c r="BQ36" s="101"/>
      <c r="BR36" s="101"/>
      <c r="BS36" s="101"/>
      <c r="BT36" s="101"/>
      <c r="BU36" s="101"/>
      <c r="BV36" s="101"/>
      <c r="BW36" s="101"/>
      <c r="BX36" s="101"/>
      <c r="BY36" s="101"/>
      <c r="BZ36" s="101"/>
      <c r="CA36" s="101"/>
      <c r="CB36" s="101"/>
      <c r="CC36" s="101"/>
      <c r="CD36" s="101"/>
      <c r="CE36" s="101"/>
      <c r="CF36" s="101"/>
      <c r="CG36" s="101"/>
      <c r="CH36" s="101"/>
      <c r="CI36" s="101"/>
      <c r="CJ36" s="101"/>
      <c r="CK36" s="101"/>
      <c r="CL36" s="101"/>
      <c r="CM36" s="101"/>
      <c r="CN36" s="101"/>
      <c r="CO36" s="101"/>
      <c r="CP36" s="101"/>
      <c r="CQ36" s="101"/>
      <c r="CR36" s="101"/>
      <c r="CS36" s="101"/>
      <c r="CT36" s="101"/>
      <c r="CU36" s="101"/>
      <c r="CV36" s="101"/>
      <c r="CW36" s="101"/>
      <c r="CX36" s="101"/>
      <c r="CY36" s="101"/>
      <c r="CZ36" s="101"/>
      <c r="DA36" s="101"/>
      <c r="DB36" s="101"/>
      <c r="DC36" s="101"/>
      <c r="DD36" s="101"/>
      <c r="DE36" s="101"/>
      <c r="DF36" s="101"/>
      <c r="DG36" s="101"/>
      <c r="DH36" s="101"/>
      <c r="DI36" s="101"/>
      <c r="DJ36" s="101"/>
      <c r="DK36" s="101"/>
      <c r="DL36" s="101"/>
      <c r="DM36" s="101"/>
      <c r="DN36" s="101"/>
      <c r="DO36" s="101"/>
      <c r="DP36" s="101"/>
      <c r="DQ36" s="101"/>
      <c r="DR36" s="101"/>
      <c r="DS36" s="65"/>
      <c r="DT36" s="65"/>
      <c r="DU36" s="65"/>
      <c r="DV36" s="115" t="s">
        <v>1466</v>
      </c>
      <c r="DW36" s="115" t="s">
        <v>1467</v>
      </c>
      <c r="DX36" s="115" t="s">
        <v>1468</v>
      </c>
      <c r="DY36" s="63"/>
      <c r="DZ36" s="101"/>
      <c r="EA36" s="101"/>
      <c r="EB36" s="101"/>
      <c r="EC36" s="101"/>
      <c r="ED36" s="101"/>
      <c r="EE36" s="101"/>
      <c r="EF36" s="101"/>
      <c r="EG36" s="101"/>
      <c r="EH36" s="101"/>
      <c r="EI36" s="101"/>
      <c r="EJ36" s="101"/>
      <c r="EK36" s="101"/>
      <c r="EL36" s="101"/>
      <c r="EM36" s="101"/>
      <c r="EN36" s="101"/>
      <c r="EO36" s="101"/>
      <c r="EP36" s="101"/>
      <c r="EQ36" s="101"/>
      <c r="ER36" s="101"/>
      <c r="ES36" s="101"/>
      <c r="ET36" s="101"/>
      <c r="EU36" s="101"/>
      <c r="EV36" s="101"/>
      <c r="EW36" s="101"/>
    </row>
    <row r="37" spans="1:153">
      <c r="A37" s="113"/>
      <c r="B37" s="101"/>
      <c r="C37" s="101"/>
      <c r="D37" s="101"/>
      <c r="E37" s="101"/>
      <c r="F37" s="101"/>
      <c r="G37" s="101"/>
      <c r="H37" s="101"/>
      <c r="I37" s="101"/>
      <c r="J37" s="101"/>
      <c r="K37" s="101"/>
      <c r="L37" s="101"/>
      <c r="M37" s="101"/>
      <c r="N37" s="101"/>
      <c r="O37" s="101"/>
      <c r="P37" s="101"/>
      <c r="Q37" s="101"/>
      <c r="R37" s="101"/>
      <c r="S37" s="101"/>
      <c r="T37" s="101"/>
      <c r="U37" s="101"/>
      <c r="V37" s="101"/>
      <c r="W37" s="101"/>
      <c r="X37" s="101"/>
      <c r="Y37" s="101"/>
      <c r="Z37" s="101"/>
      <c r="AA37" s="101"/>
      <c r="AB37" s="101"/>
      <c r="AC37" s="101"/>
      <c r="AD37" s="101"/>
      <c r="AE37" s="101"/>
      <c r="AF37" s="101"/>
      <c r="AG37" s="101"/>
      <c r="AH37" s="101"/>
      <c r="AI37" s="101"/>
      <c r="AJ37" s="101"/>
      <c r="AK37" s="101"/>
      <c r="AL37" s="101"/>
      <c r="AM37" s="101"/>
      <c r="AN37" s="101"/>
      <c r="AO37" s="101"/>
      <c r="AP37" s="101"/>
      <c r="AQ37" s="101"/>
      <c r="AR37" s="101"/>
      <c r="AS37" s="101"/>
      <c r="AT37" s="101"/>
      <c r="AU37" s="101"/>
      <c r="AV37" s="101"/>
      <c r="AW37" s="101"/>
      <c r="AX37" s="101"/>
      <c r="AY37" s="101"/>
      <c r="AZ37" s="101"/>
      <c r="BA37" s="101"/>
      <c r="BB37" s="101"/>
      <c r="BC37" s="101"/>
      <c r="BD37" s="101"/>
      <c r="BE37" s="101"/>
      <c r="BF37" s="101"/>
      <c r="BG37" s="101"/>
      <c r="BH37" s="101"/>
      <c r="BI37" s="101"/>
      <c r="BJ37" s="101"/>
      <c r="BK37" s="101"/>
      <c r="BL37" s="101"/>
      <c r="BM37" s="101"/>
      <c r="BN37" s="101"/>
      <c r="BO37" s="101"/>
      <c r="BP37" s="101"/>
      <c r="BQ37" s="101"/>
      <c r="BR37" s="101"/>
      <c r="BS37" s="101"/>
      <c r="BT37" s="101"/>
      <c r="BU37" s="101"/>
      <c r="BV37" s="101"/>
      <c r="BW37" s="101"/>
      <c r="BX37" s="101"/>
      <c r="BY37" s="101"/>
      <c r="BZ37" s="101"/>
      <c r="CA37" s="101"/>
      <c r="CB37" s="101"/>
      <c r="CC37" s="101"/>
      <c r="CD37" s="101"/>
      <c r="CE37" s="101"/>
      <c r="CF37" s="101"/>
      <c r="CG37" s="101"/>
      <c r="CH37" s="101"/>
      <c r="CI37" s="101"/>
      <c r="CJ37" s="101"/>
      <c r="CK37" s="101"/>
      <c r="CL37" s="101"/>
      <c r="CM37" s="101"/>
      <c r="CN37" s="101"/>
      <c r="CO37" s="101"/>
      <c r="CP37" s="101"/>
      <c r="CQ37" s="101"/>
      <c r="CR37" s="101"/>
      <c r="CS37" s="101"/>
      <c r="CT37" s="101"/>
      <c r="CU37" s="101"/>
      <c r="CV37" s="101"/>
      <c r="CW37" s="101"/>
      <c r="CX37" s="101"/>
      <c r="CY37" s="101"/>
      <c r="CZ37" s="101"/>
      <c r="DA37" s="101"/>
      <c r="DB37" s="101"/>
      <c r="DC37" s="101"/>
      <c r="DD37" s="101"/>
      <c r="DE37" s="101"/>
      <c r="DF37" s="101"/>
      <c r="DG37" s="101"/>
      <c r="DH37" s="101"/>
      <c r="DI37" s="101"/>
      <c r="DJ37" s="101"/>
      <c r="DK37" s="101"/>
      <c r="DL37" s="101"/>
      <c r="DM37" s="101"/>
      <c r="DN37" s="101"/>
      <c r="DO37" s="101"/>
      <c r="DP37" s="101"/>
      <c r="DQ37" s="101"/>
      <c r="DR37" s="101"/>
      <c r="DS37" s="65"/>
      <c r="DT37" s="65"/>
      <c r="DU37" s="65"/>
      <c r="DV37" s="65"/>
      <c r="DW37" s="65"/>
      <c r="DX37" s="65"/>
      <c r="DY37" s="63"/>
      <c r="DZ37" s="101"/>
      <c r="EA37" s="101"/>
      <c r="EB37" s="101"/>
      <c r="EC37" s="101"/>
      <c r="ED37" s="101"/>
      <c r="EE37" s="101"/>
      <c r="EF37" s="101"/>
      <c r="EG37" s="101"/>
      <c r="EH37" s="101"/>
      <c r="EI37" s="101"/>
      <c r="EJ37" s="101"/>
      <c r="EK37" s="101"/>
      <c r="EL37" s="101"/>
      <c r="EM37" s="101"/>
      <c r="EN37" s="101"/>
      <c r="EO37" s="101"/>
      <c r="EP37" s="101"/>
      <c r="EQ37" s="101"/>
      <c r="ER37" s="101"/>
      <c r="ES37" s="101"/>
      <c r="ET37" s="101"/>
      <c r="EU37" s="101"/>
      <c r="EV37" s="101"/>
      <c r="EW37" s="101"/>
    </row>
    <row r="38" spans="1:153">
      <c r="A38" s="113"/>
      <c r="B38" s="101"/>
      <c r="C38" s="101"/>
      <c r="D38" s="101"/>
      <c r="E38" s="101"/>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1"/>
      <c r="AY38" s="101"/>
      <c r="AZ38" s="101"/>
      <c r="BA38" s="101"/>
      <c r="BB38" s="101"/>
      <c r="BC38" s="101"/>
      <c r="BD38" s="101"/>
      <c r="BE38" s="101"/>
      <c r="BF38" s="101"/>
      <c r="BG38" s="101"/>
      <c r="BH38" s="101"/>
      <c r="BI38" s="101"/>
      <c r="BJ38" s="101"/>
      <c r="BK38" s="101"/>
      <c r="BL38" s="101"/>
      <c r="BM38" s="101"/>
      <c r="BN38" s="101"/>
      <c r="BO38" s="101"/>
      <c r="BP38" s="101"/>
      <c r="BQ38" s="101"/>
      <c r="BR38" s="101"/>
      <c r="BS38" s="101"/>
      <c r="BT38" s="101"/>
      <c r="BU38" s="101"/>
      <c r="BV38" s="101"/>
      <c r="BW38" s="101"/>
      <c r="BX38" s="101"/>
      <c r="BY38" s="101"/>
      <c r="BZ38" s="101"/>
      <c r="CA38" s="101"/>
      <c r="CB38" s="101"/>
      <c r="CC38" s="101"/>
      <c r="CD38" s="101"/>
      <c r="CE38" s="101"/>
      <c r="CF38" s="101"/>
      <c r="CG38" s="101"/>
      <c r="CH38" s="101"/>
      <c r="CI38" s="101"/>
      <c r="CJ38" s="101"/>
      <c r="CK38" s="101"/>
      <c r="CL38" s="101"/>
      <c r="CM38" s="101"/>
      <c r="CN38" s="101"/>
      <c r="CO38" s="101"/>
      <c r="CP38" s="101"/>
      <c r="CQ38" s="101"/>
      <c r="CR38" s="101"/>
      <c r="CS38" s="101"/>
      <c r="CT38" s="101"/>
      <c r="CU38" s="101"/>
      <c r="CV38" s="101"/>
      <c r="CW38" s="101"/>
      <c r="CX38" s="101"/>
      <c r="CY38" s="101"/>
      <c r="CZ38" s="101"/>
      <c r="DA38" s="101"/>
      <c r="DB38" s="101"/>
      <c r="DC38" s="101"/>
      <c r="DD38" s="101"/>
      <c r="DE38" s="101"/>
      <c r="DF38" s="101"/>
      <c r="DG38" s="101"/>
      <c r="DH38" s="101"/>
      <c r="DI38" s="101"/>
      <c r="DJ38" s="101"/>
      <c r="DK38" s="101"/>
      <c r="DL38" s="101"/>
      <c r="DM38" s="101"/>
      <c r="DN38" s="101"/>
      <c r="DO38" s="101"/>
      <c r="DP38" s="101"/>
      <c r="DQ38" s="101"/>
      <c r="DR38" s="101"/>
      <c r="DS38" s="65"/>
      <c r="DT38" s="65"/>
      <c r="DU38" s="65"/>
      <c r="DV38" s="65"/>
      <c r="DW38" s="65"/>
      <c r="DX38" s="65"/>
      <c r="DY38" s="63"/>
      <c r="DZ38" s="101"/>
      <c r="EA38" s="101"/>
      <c r="EB38" s="101"/>
      <c r="EC38" s="101"/>
      <c r="ED38" s="101"/>
      <c r="EE38" s="101"/>
      <c r="EF38" s="101"/>
      <c r="EG38" s="101"/>
      <c r="EH38" s="101"/>
      <c r="EI38" s="101"/>
      <c r="EJ38" s="101"/>
      <c r="EK38" s="101"/>
      <c r="EL38" s="101"/>
      <c r="EM38" s="101"/>
      <c r="EN38" s="101"/>
      <c r="EO38" s="101"/>
      <c r="EP38" s="101"/>
      <c r="EQ38" s="101"/>
      <c r="ER38" s="101"/>
      <c r="ES38" s="101"/>
      <c r="ET38" s="101"/>
      <c r="EU38" s="101"/>
      <c r="EV38" s="101"/>
      <c r="EW38" s="101"/>
    </row>
    <row r="39" spans="1:153">
      <c r="A39" s="113"/>
      <c r="B39" s="101"/>
      <c r="C39" s="101"/>
      <c r="D39" s="101"/>
      <c r="E39" s="101"/>
      <c r="F39" s="101"/>
      <c r="G39" s="101"/>
      <c r="H39" s="101"/>
      <c r="I39" s="101"/>
      <c r="J39" s="101"/>
      <c r="K39" s="101"/>
      <c r="L39" s="101"/>
      <c r="M39" s="101"/>
      <c r="N39" s="101"/>
      <c r="O39" s="101"/>
      <c r="P39" s="101"/>
      <c r="Q39" s="101"/>
      <c r="R39" s="101"/>
      <c r="S39" s="101"/>
      <c r="T39" s="101"/>
      <c r="U39" s="101"/>
      <c r="V39" s="101"/>
      <c r="W39" s="101"/>
      <c r="X39" s="101"/>
      <c r="Y39" s="101"/>
      <c r="Z39" s="101"/>
      <c r="AA39" s="101"/>
      <c r="AB39" s="101"/>
      <c r="AC39" s="101"/>
      <c r="AD39" s="101"/>
      <c r="AE39" s="101"/>
      <c r="AF39" s="101"/>
      <c r="AG39" s="101"/>
      <c r="AH39" s="101"/>
      <c r="AI39" s="101"/>
      <c r="AJ39" s="101"/>
      <c r="AK39" s="101"/>
      <c r="AL39" s="101"/>
      <c r="AM39" s="101"/>
      <c r="AN39" s="101"/>
      <c r="AO39" s="101"/>
      <c r="AP39" s="101"/>
      <c r="AQ39" s="101"/>
      <c r="AR39" s="101"/>
      <c r="AS39" s="101"/>
      <c r="AT39" s="101"/>
      <c r="AU39" s="101"/>
      <c r="AV39" s="101"/>
      <c r="AW39" s="101"/>
      <c r="AX39" s="101"/>
      <c r="AY39" s="101"/>
      <c r="AZ39" s="101"/>
      <c r="BA39" s="101"/>
      <c r="BB39" s="101"/>
      <c r="BC39" s="101"/>
      <c r="BD39" s="101"/>
      <c r="BE39" s="101"/>
      <c r="BF39" s="101"/>
      <c r="BG39" s="101"/>
      <c r="BH39" s="101"/>
      <c r="BI39" s="101"/>
      <c r="BJ39" s="101"/>
      <c r="BK39" s="101"/>
      <c r="BL39" s="101"/>
      <c r="BM39" s="101"/>
      <c r="BN39" s="101"/>
      <c r="BO39" s="101"/>
      <c r="BP39" s="101"/>
      <c r="BQ39" s="101"/>
      <c r="BR39" s="101"/>
      <c r="BS39" s="101"/>
      <c r="BT39" s="101"/>
      <c r="BU39" s="101"/>
      <c r="BV39" s="101"/>
      <c r="BW39" s="101"/>
      <c r="BX39" s="101"/>
      <c r="BY39" s="101"/>
      <c r="BZ39" s="101"/>
      <c r="CA39" s="101"/>
      <c r="CB39" s="101"/>
      <c r="CC39" s="101"/>
      <c r="CD39" s="101"/>
      <c r="CE39" s="101"/>
      <c r="CF39" s="101"/>
      <c r="CG39" s="101"/>
      <c r="CH39" s="101"/>
      <c r="CI39" s="101"/>
      <c r="CJ39" s="101"/>
      <c r="CK39" s="101"/>
      <c r="CL39" s="101"/>
      <c r="CM39" s="101"/>
      <c r="CN39" s="101"/>
      <c r="CO39" s="101"/>
      <c r="CP39" s="101"/>
      <c r="CQ39" s="101"/>
      <c r="CR39" s="101"/>
      <c r="CS39" s="101"/>
      <c r="CT39" s="101"/>
      <c r="CU39" s="101"/>
      <c r="CV39" s="101"/>
      <c r="CW39" s="101"/>
      <c r="CX39" s="101"/>
      <c r="CY39" s="101"/>
      <c r="CZ39" s="101"/>
      <c r="DA39" s="101"/>
      <c r="DB39" s="101"/>
      <c r="DC39" s="101"/>
      <c r="DD39" s="101"/>
      <c r="DE39" s="101"/>
      <c r="DF39" s="101"/>
      <c r="DG39" s="101"/>
      <c r="DH39" s="101"/>
      <c r="DI39" s="101"/>
      <c r="DJ39" s="101"/>
      <c r="DK39" s="101"/>
      <c r="DL39" s="101"/>
      <c r="DM39" s="101"/>
      <c r="DN39" s="101"/>
      <c r="DO39" s="101"/>
      <c r="DP39" s="101"/>
      <c r="DQ39" s="101"/>
      <c r="DR39" s="101"/>
      <c r="DS39" s="65"/>
      <c r="DT39" s="65"/>
      <c r="DU39" s="65"/>
      <c r="DV39" s="65"/>
      <c r="DW39" s="65"/>
      <c r="DX39" s="65"/>
      <c r="DY39" s="63"/>
      <c r="DZ39" s="101"/>
      <c r="EA39" s="101"/>
      <c r="EB39" s="101"/>
      <c r="EC39" s="101"/>
      <c r="ED39" s="101"/>
      <c r="EE39" s="101"/>
      <c r="EF39" s="101"/>
      <c r="EG39" s="101"/>
      <c r="EH39" s="101"/>
      <c r="EI39" s="101"/>
      <c r="EJ39" s="101"/>
      <c r="EK39" s="101"/>
      <c r="EL39" s="101"/>
      <c r="EM39" s="101"/>
      <c r="EN39" s="101"/>
      <c r="EO39" s="101"/>
      <c r="EP39" s="101"/>
      <c r="EQ39" s="101"/>
      <c r="ER39" s="101"/>
      <c r="ES39" s="101"/>
      <c r="ET39" s="101"/>
      <c r="EU39" s="101"/>
      <c r="EV39" s="101"/>
      <c r="EW39" s="101"/>
    </row>
    <row r="40" spans="1:153">
      <c r="A40" s="113"/>
      <c r="B40" s="101"/>
      <c r="C40" s="101"/>
      <c r="D40" s="101"/>
      <c r="E40" s="101"/>
      <c r="F40" s="101"/>
      <c r="G40" s="101"/>
      <c r="H40" s="101"/>
      <c r="I40" s="101"/>
      <c r="J40" s="101"/>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1"/>
      <c r="AY40" s="101"/>
      <c r="AZ40" s="101"/>
      <c r="BA40" s="101"/>
      <c r="BB40" s="101"/>
      <c r="BC40" s="101"/>
      <c r="BD40" s="101"/>
      <c r="BE40" s="101"/>
      <c r="BF40" s="101"/>
      <c r="BG40" s="101"/>
      <c r="BH40" s="101"/>
      <c r="BI40" s="101"/>
      <c r="BJ40" s="101"/>
      <c r="BK40" s="101"/>
      <c r="BL40" s="101"/>
      <c r="BM40" s="101"/>
      <c r="BN40" s="101"/>
      <c r="BO40" s="101"/>
      <c r="BP40" s="101"/>
      <c r="BQ40" s="101"/>
      <c r="BR40" s="101"/>
      <c r="BS40" s="101"/>
      <c r="BT40" s="101"/>
      <c r="BU40" s="101"/>
      <c r="BV40" s="101"/>
      <c r="BW40" s="101"/>
      <c r="BX40" s="101"/>
      <c r="BY40" s="101"/>
      <c r="BZ40" s="101"/>
      <c r="CA40" s="101"/>
      <c r="CB40" s="101"/>
      <c r="CC40" s="101"/>
      <c r="CD40" s="101"/>
      <c r="CE40" s="101"/>
      <c r="CF40" s="101"/>
      <c r="CG40" s="101"/>
      <c r="CH40" s="101"/>
      <c r="CI40" s="101"/>
      <c r="CJ40" s="101"/>
      <c r="CK40" s="101"/>
      <c r="CL40" s="101"/>
      <c r="CM40" s="101"/>
      <c r="CN40" s="101"/>
      <c r="CO40" s="101"/>
      <c r="CP40" s="101"/>
      <c r="CQ40" s="101"/>
      <c r="CR40" s="101"/>
      <c r="CS40" s="101"/>
      <c r="CT40" s="101"/>
      <c r="CU40" s="101"/>
      <c r="CV40" s="101"/>
      <c r="CW40" s="101"/>
      <c r="CX40" s="101"/>
      <c r="CY40" s="101"/>
      <c r="CZ40" s="101"/>
      <c r="DA40" s="101"/>
      <c r="DB40" s="101"/>
      <c r="DC40" s="101"/>
      <c r="DD40" s="101"/>
      <c r="DE40" s="101"/>
      <c r="DF40" s="101"/>
      <c r="DG40" s="101"/>
      <c r="DH40" s="101"/>
      <c r="DI40" s="101"/>
      <c r="DJ40" s="101"/>
      <c r="DK40" s="101"/>
      <c r="DL40" s="101"/>
      <c r="DM40" s="101"/>
      <c r="DN40" s="101"/>
      <c r="DO40" s="101"/>
      <c r="DP40" s="101"/>
      <c r="DQ40" s="101"/>
      <c r="DR40" s="101"/>
      <c r="DS40" s="65"/>
      <c r="DT40" s="65"/>
      <c r="DU40" s="65"/>
      <c r="DV40" s="65"/>
      <c r="DW40" s="65"/>
      <c r="DX40" s="65"/>
      <c r="DY40" s="63"/>
      <c r="DZ40" s="101"/>
      <c r="EA40" s="101"/>
      <c r="EB40" s="101"/>
      <c r="EC40" s="101"/>
      <c r="ED40" s="101"/>
      <c r="EE40" s="101"/>
      <c r="EF40" s="101"/>
      <c r="EG40" s="101"/>
      <c r="EH40" s="101"/>
      <c r="EI40" s="101"/>
      <c r="EJ40" s="101"/>
      <c r="EK40" s="101"/>
      <c r="EL40" s="101"/>
      <c r="EM40" s="101"/>
      <c r="EN40" s="101"/>
      <c r="EO40" s="101"/>
      <c r="EP40" s="101"/>
      <c r="EQ40" s="101"/>
      <c r="ER40" s="101"/>
      <c r="ES40" s="101"/>
      <c r="ET40" s="101"/>
      <c r="EU40" s="101"/>
      <c r="EV40" s="101"/>
      <c r="EW40" s="101"/>
    </row>
    <row r="41" spans="1:153">
      <c r="A41" s="113"/>
      <c r="B41" s="101"/>
      <c r="C41" s="101"/>
      <c r="D41" s="101"/>
      <c r="E41" s="101"/>
      <c r="F41" s="101"/>
      <c r="G41" s="101"/>
      <c r="H41" s="101"/>
      <c r="I41" s="101"/>
      <c r="J41" s="101"/>
      <c r="K41" s="101"/>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c r="BH41" s="101"/>
      <c r="BI41" s="101"/>
      <c r="BJ41" s="101"/>
      <c r="BK41" s="101"/>
      <c r="BL41" s="101"/>
      <c r="BM41" s="101"/>
      <c r="BN41" s="101"/>
      <c r="BO41" s="101"/>
      <c r="BP41" s="101"/>
      <c r="BQ41" s="101"/>
      <c r="BR41" s="101"/>
      <c r="BS41" s="101"/>
      <c r="BT41" s="101"/>
      <c r="BU41" s="101"/>
      <c r="BV41" s="101"/>
      <c r="BW41" s="101"/>
      <c r="BX41" s="101"/>
      <c r="BY41" s="101"/>
      <c r="BZ41" s="101"/>
      <c r="CA41" s="101"/>
      <c r="CB41" s="101"/>
      <c r="CC41" s="101"/>
      <c r="CD41" s="101"/>
      <c r="CE41" s="101"/>
      <c r="CF41" s="101"/>
      <c r="CG41" s="101"/>
      <c r="CH41" s="101"/>
      <c r="CI41" s="101"/>
      <c r="CJ41" s="101"/>
      <c r="CK41" s="101"/>
      <c r="CL41" s="101"/>
      <c r="CM41" s="101"/>
      <c r="CN41" s="101"/>
      <c r="CO41" s="101"/>
      <c r="CP41" s="101"/>
      <c r="CQ41" s="101"/>
      <c r="CR41" s="101"/>
      <c r="CS41" s="101"/>
      <c r="CT41" s="101"/>
      <c r="CU41" s="101"/>
      <c r="CV41" s="101"/>
      <c r="CW41" s="101"/>
      <c r="CX41" s="101"/>
      <c r="CY41" s="101"/>
      <c r="CZ41" s="101"/>
      <c r="DA41" s="101"/>
      <c r="DB41" s="101"/>
      <c r="DC41" s="101"/>
      <c r="DD41" s="101"/>
      <c r="DE41" s="101"/>
      <c r="DF41" s="101"/>
      <c r="DG41" s="101"/>
      <c r="DH41" s="101"/>
      <c r="DI41" s="101"/>
      <c r="DJ41" s="101"/>
      <c r="DK41" s="101"/>
      <c r="DL41" s="101"/>
      <c r="DM41" s="101"/>
      <c r="DN41" s="101"/>
      <c r="DO41" s="101"/>
      <c r="DP41" s="101"/>
      <c r="DQ41" s="101"/>
      <c r="DR41" s="101"/>
      <c r="DS41" s="65"/>
      <c r="DT41" s="65"/>
      <c r="DU41" s="65"/>
      <c r="DV41" s="65"/>
      <c r="DW41" s="65"/>
      <c r="DX41" s="65"/>
      <c r="DY41" s="63"/>
      <c r="DZ41" s="101"/>
      <c r="EA41" s="101"/>
      <c r="EB41" s="101"/>
      <c r="EC41" s="101"/>
      <c r="ED41" s="101"/>
      <c r="EE41" s="101"/>
      <c r="EF41" s="101"/>
      <c r="EG41" s="101"/>
      <c r="EH41" s="101"/>
      <c r="EI41" s="101"/>
      <c r="EJ41" s="101"/>
      <c r="EK41" s="101"/>
      <c r="EL41" s="101"/>
      <c r="EM41" s="101"/>
      <c r="EN41" s="101"/>
      <c r="EO41" s="101"/>
      <c r="EP41" s="101"/>
      <c r="EQ41" s="101"/>
      <c r="ER41" s="101"/>
      <c r="ES41" s="101"/>
      <c r="ET41" s="101"/>
      <c r="EU41" s="101"/>
      <c r="EV41" s="101"/>
      <c r="EW41" s="101"/>
    </row>
    <row r="42" spans="1:153">
      <c r="A42" s="113"/>
      <c r="B42" s="101"/>
      <c r="C42" s="101"/>
      <c r="D42" s="101"/>
      <c r="E42" s="101"/>
      <c r="F42" s="101"/>
      <c r="G42" s="101"/>
      <c r="H42" s="101"/>
      <c r="I42" s="101"/>
      <c r="J42" s="101"/>
      <c r="K42" s="101"/>
      <c r="L42" s="101"/>
      <c r="M42" s="101"/>
      <c r="N42" s="101"/>
      <c r="O42" s="101"/>
      <c r="P42" s="101"/>
      <c r="Q42" s="101"/>
      <c r="R42" s="101"/>
      <c r="S42" s="101"/>
      <c r="T42" s="101"/>
      <c r="U42" s="101"/>
      <c r="V42" s="101"/>
      <c r="W42" s="101"/>
      <c r="X42" s="101"/>
      <c r="Y42" s="101"/>
      <c r="Z42" s="101"/>
      <c r="AA42" s="101"/>
      <c r="AB42" s="101"/>
      <c r="AC42" s="101"/>
      <c r="AD42" s="101"/>
      <c r="AE42" s="101"/>
      <c r="AF42" s="101"/>
      <c r="AG42" s="101"/>
      <c r="AH42" s="101"/>
      <c r="AI42" s="101"/>
      <c r="AJ42" s="101"/>
      <c r="AK42" s="101"/>
      <c r="AL42" s="101"/>
      <c r="AM42" s="101"/>
      <c r="AN42" s="101"/>
      <c r="AO42" s="101"/>
      <c r="AP42" s="101"/>
      <c r="AQ42" s="101"/>
      <c r="AR42" s="101"/>
      <c r="AS42" s="101"/>
      <c r="AT42" s="101"/>
      <c r="AU42" s="101"/>
      <c r="AV42" s="101"/>
      <c r="AW42" s="101"/>
      <c r="AX42" s="101"/>
      <c r="AY42" s="101"/>
      <c r="AZ42" s="101"/>
      <c r="BA42" s="101"/>
      <c r="BB42" s="101"/>
      <c r="BC42" s="101"/>
      <c r="BD42" s="101"/>
      <c r="BE42" s="101"/>
      <c r="BF42" s="101"/>
      <c r="BG42" s="101"/>
      <c r="BH42" s="101"/>
      <c r="BI42" s="101"/>
      <c r="BJ42" s="101"/>
      <c r="BK42" s="101"/>
      <c r="BL42" s="101"/>
      <c r="BM42" s="101"/>
      <c r="BN42" s="101"/>
      <c r="BO42" s="101"/>
      <c r="BP42" s="101"/>
      <c r="BQ42" s="101"/>
      <c r="BR42" s="101"/>
      <c r="BS42" s="101"/>
      <c r="BT42" s="101"/>
      <c r="BU42" s="101"/>
      <c r="BV42" s="101"/>
      <c r="BW42" s="101"/>
      <c r="BX42" s="101"/>
      <c r="BY42" s="101"/>
      <c r="BZ42" s="101"/>
      <c r="CA42" s="101"/>
      <c r="CB42" s="101"/>
      <c r="CC42" s="101"/>
      <c r="CD42" s="101"/>
      <c r="CE42" s="101"/>
      <c r="CF42" s="101"/>
      <c r="CG42" s="101"/>
      <c r="CH42" s="101"/>
      <c r="CI42" s="101"/>
      <c r="CJ42" s="101"/>
      <c r="CK42" s="101"/>
      <c r="CL42" s="101"/>
      <c r="CM42" s="101"/>
      <c r="CN42" s="101"/>
      <c r="CO42" s="101"/>
      <c r="CP42" s="101"/>
      <c r="CQ42" s="101"/>
      <c r="CR42" s="101"/>
      <c r="CS42" s="101"/>
      <c r="CT42" s="101"/>
      <c r="CU42" s="101"/>
      <c r="CV42" s="101"/>
      <c r="CW42" s="101"/>
      <c r="CX42" s="101"/>
      <c r="CY42" s="101"/>
      <c r="CZ42" s="101"/>
      <c r="DA42" s="101"/>
      <c r="DB42" s="101"/>
      <c r="DC42" s="101"/>
      <c r="DD42" s="101"/>
      <c r="DE42" s="101"/>
      <c r="DF42" s="101"/>
      <c r="DG42" s="101"/>
      <c r="DH42" s="101"/>
      <c r="DI42" s="101"/>
      <c r="DJ42" s="101"/>
      <c r="DK42" s="101"/>
      <c r="DL42" s="101"/>
      <c r="DM42" s="101"/>
      <c r="DN42" s="101"/>
      <c r="DO42" s="101"/>
      <c r="DP42" s="101"/>
      <c r="DQ42" s="101"/>
      <c r="DR42" s="101"/>
      <c r="DS42" s="65"/>
      <c r="DT42" s="65"/>
      <c r="DU42" s="65"/>
      <c r="DV42" s="65"/>
      <c r="DW42" s="65"/>
      <c r="DX42" s="65"/>
      <c r="DY42" s="63"/>
      <c r="DZ42" s="101"/>
      <c r="EA42" s="101"/>
      <c r="EB42" s="101"/>
      <c r="EC42" s="101"/>
      <c r="ED42" s="101"/>
      <c r="EE42" s="101"/>
      <c r="EF42" s="101"/>
      <c r="EG42" s="101"/>
      <c r="EH42" s="101"/>
      <c r="EI42" s="101"/>
      <c r="EJ42" s="101"/>
      <c r="EK42" s="101"/>
      <c r="EL42" s="101"/>
      <c r="EM42" s="101"/>
      <c r="EN42" s="101"/>
      <c r="EO42" s="101"/>
      <c r="EP42" s="101"/>
      <c r="EQ42" s="101"/>
      <c r="ER42" s="101"/>
      <c r="ES42" s="101"/>
      <c r="ET42" s="101"/>
      <c r="EU42" s="101"/>
      <c r="EV42" s="101"/>
      <c r="EW42" s="101"/>
    </row>
    <row r="43" spans="1:153">
      <c r="A43" s="113"/>
      <c r="B43" s="101"/>
      <c r="C43" s="101"/>
      <c r="D43" s="101"/>
      <c r="E43" s="101"/>
      <c r="F43" s="101"/>
      <c r="G43" s="101"/>
      <c r="H43" s="101"/>
      <c r="I43" s="101"/>
      <c r="J43" s="101"/>
      <c r="K43" s="101"/>
      <c r="L43" s="101"/>
      <c r="M43" s="101"/>
      <c r="N43" s="101"/>
      <c r="O43" s="101"/>
      <c r="P43" s="101"/>
      <c r="Q43" s="101"/>
      <c r="R43" s="101"/>
      <c r="S43" s="101"/>
      <c r="T43" s="101"/>
      <c r="U43" s="101"/>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1"/>
      <c r="AW43" s="101"/>
      <c r="AX43" s="101"/>
      <c r="AY43" s="101"/>
      <c r="AZ43" s="101"/>
      <c r="BA43" s="101"/>
      <c r="BB43" s="101"/>
      <c r="BC43" s="101"/>
      <c r="BD43" s="101"/>
      <c r="BE43" s="101"/>
      <c r="BF43" s="101"/>
      <c r="BG43" s="101"/>
      <c r="BH43" s="101"/>
      <c r="BI43" s="101"/>
      <c r="BJ43" s="101"/>
      <c r="BK43" s="101"/>
      <c r="BL43" s="101"/>
      <c r="BM43" s="101"/>
      <c r="BN43" s="101"/>
      <c r="BO43" s="101"/>
      <c r="BP43" s="101"/>
      <c r="BQ43" s="101"/>
      <c r="BR43" s="101"/>
      <c r="BS43" s="101"/>
      <c r="BT43" s="101"/>
      <c r="BU43" s="101"/>
      <c r="BV43" s="101"/>
      <c r="BW43" s="101"/>
      <c r="BX43" s="101"/>
      <c r="BY43" s="101"/>
      <c r="BZ43" s="101"/>
      <c r="CA43" s="101"/>
      <c r="CB43" s="101"/>
      <c r="CC43" s="101"/>
      <c r="CD43" s="101"/>
      <c r="CE43" s="101"/>
      <c r="CF43" s="101"/>
      <c r="CG43" s="101"/>
      <c r="CH43" s="101"/>
      <c r="CI43" s="101"/>
      <c r="CJ43" s="101"/>
      <c r="CK43" s="101"/>
      <c r="CL43" s="101"/>
      <c r="CM43" s="101"/>
      <c r="CN43" s="101"/>
      <c r="CO43" s="101"/>
      <c r="CP43" s="101"/>
      <c r="CQ43" s="101"/>
      <c r="CR43" s="101"/>
      <c r="CS43" s="101"/>
      <c r="CT43" s="101"/>
      <c r="CU43" s="101"/>
      <c r="CV43" s="101"/>
      <c r="CW43" s="101"/>
      <c r="CX43" s="101"/>
      <c r="CY43" s="101"/>
      <c r="CZ43" s="101"/>
      <c r="DA43" s="101"/>
      <c r="DB43" s="101"/>
      <c r="DC43" s="101"/>
      <c r="DD43" s="101"/>
      <c r="DE43" s="101"/>
      <c r="DF43" s="101"/>
      <c r="DG43" s="101"/>
      <c r="DH43" s="101"/>
      <c r="DI43" s="101"/>
      <c r="DJ43" s="101"/>
      <c r="DK43" s="101"/>
      <c r="DL43" s="101"/>
      <c r="DM43" s="101"/>
      <c r="DN43" s="101"/>
      <c r="DO43" s="101"/>
      <c r="DP43" s="101"/>
      <c r="DQ43" s="101"/>
      <c r="DR43" s="101"/>
      <c r="DS43" s="65"/>
      <c r="DT43" s="65"/>
      <c r="DU43" s="65"/>
      <c r="DV43" s="65"/>
      <c r="DW43" s="65"/>
      <c r="DX43" s="65"/>
      <c r="DY43" s="63"/>
      <c r="DZ43" s="101"/>
      <c r="EA43" s="101"/>
      <c r="EB43" s="101"/>
      <c r="EC43" s="101"/>
      <c r="ED43" s="101"/>
      <c r="EE43" s="101"/>
      <c r="EF43" s="101"/>
      <c r="EG43" s="101"/>
      <c r="EH43" s="101"/>
      <c r="EI43" s="101"/>
      <c r="EJ43" s="101"/>
      <c r="EK43" s="101"/>
      <c r="EL43" s="101"/>
      <c r="EM43" s="101"/>
      <c r="EN43" s="101"/>
      <c r="EO43" s="101"/>
      <c r="EP43" s="101"/>
      <c r="EQ43" s="101"/>
      <c r="ER43" s="101"/>
      <c r="ES43" s="101"/>
      <c r="ET43" s="101"/>
      <c r="EU43" s="101"/>
      <c r="EV43" s="101"/>
      <c r="EW43" s="101"/>
    </row>
    <row r="44" spans="1:153">
      <c r="A44" s="113"/>
      <c r="B44" s="101"/>
      <c r="C44" s="101"/>
      <c r="D44" s="101"/>
      <c r="E44" s="101"/>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01"/>
      <c r="BE44" s="101"/>
      <c r="BF44" s="101"/>
      <c r="BG44" s="101"/>
      <c r="BH44" s="101"/>
      <c r="BI44" s="101"/>
      <c r="BJ44" s="101"/>
      <c r="BK44" s="101"/>
      <c r="BL44" s="101"/>
      <c r="BM44" s="101"/>
      <c r="BN44" s="101"/>
      <c r="BO44" s="101"/>
      <c r="BP44" s="101"/>
      <c r="BQ44" s="101"/>
      <c r="BR44" s="101"/>
      <c r="BS44" s="101"/>
      <c r="BT44" s="101"/>
      <c r="BU44" s="101"/>
      <c r="BV44" s="101"/>
      <c r="BW44" s="101"/>
      <c r="BX44" s="101"/>
      <c r="BY44" s="101"/>
      <c r="BZ44" s="101"/>
      <c r="CA44" s="101"/>
      <c r="CB44" s="101"/>
      <c r="CC44" s="101"/>
      <c r="CD44" s="101"/>
      <c r="CE44" s="101"/>
      <c r="CF44" s="101"/>
      <c r="CG44" s="101"/>
      <c r="CH44" s="101"/>
      <c r="CI44" s="101"/>
      <c r="CJ44" s="101"/>
      <c r="CK44" s="101"/>
      <c r="CL44" s="101"/>
      <c r="CM44" s="101"/>
      <c r="CN44" s="101"/>
      <c r="CO44" s="101"/>
      <c r="CP44" s="101"/>
      <c r="CQ44" s="101"/>
      <c r="CR44" s="101"/>
      <c r="CS44" s="101"/>
      <c r="CT44" s="101"/>
      <c r="CU44" s="101"/>
      <c r="CV44" s="101"/>
      <c r="CW44" s="101"/>
      <c r="CX44" s="101"/>
      <c r="CY44" s="101"/>
      <c r="CZ44" s="101"/>
      <c r="DA44" s="101"/>
      <c r="DB44" s="101"/>
      <c r="DC44" s="101"/>
      <c r="DD44" s="101"/>
      <c r="DE44" s="101"/>
      <c r="DF44" s="101"/>
      <c r="DG44" s="101"/>
      <c r="DH44" s="101"/>
      <c r="DI44" s="101"/>
      <c r="DJ44" s="101"/>
      <c r="DK44" s="101"/>
      <c r="DL44" s="101"/>
      <c r="DM44" s="101"/>
      <c r="DN44" s="101"/>
      <c r="DO44" s="101"/>
      <c r="DP44" s="101"/>
      <c r="DQ44" s="101"/>
      <c r="DR44" s="101"/>
      <c r="DS44" s="65"/>
      <c r="DT44" s="65"/>
      <c r="DU44" s="65"/>
      <c r="DV44" s="65"/>
      <c r="DW44" s="65"/>
      <c r="DX44" s="65"/>
      <c r="DY44" s="63"/>
      <c r="DZ44" s="101"/>
      <c r="EA44" s="101"/>
      <c r="EB44" s="101"/>
      <c r="EC44" s="101"/>
      <c r="ED44" s="101"/>
      <c r="EE44" s="101"/>
      <c r="EF44" s="101"/>
      <c r="EG44" s="101"/>
      <c r="EH44" s="101"/>
      <c r="EI44" s="101"/>
      <c r="EJ44" s="101"/>
      <c r="EK44" s="101"/>
      <c r="EL44" s="101"/>
      <c r="EM44" s="101"/>
      <c r="EN44" s="101"/>
      <c r="EO44" s="101"/>
      <c r="EP44" s="101"/>
      <c r="EQ44" s="101"/>
      <c r="ER44" s="101"/>
      <c r="ES44" s="101"/>
      <c r="ET44" s="101"/>
      <c r="EU44" s="101"/>
      <c r="EV44" s="101"/>
      <c r="EW44" s="101"/>
    </row>
    <row r="45" spans="1:153">
      <c r="A45" s="113"/>
      <c r="B45" s="101"/>
      <c r="C45" s="101"/>
      <c r="D45" s="101"/>
      <c r="E45" s="101"/>
      <c r="F45" s="101"/>
      <c r="G45" s="101"/>
      <c r="H45" s="101"/>
      <c r="I45" s="101"/>
      <c r="J45" s="101"/>
      <c r="K45" s="101"/>
      <c r="L45" s="101"/>
      <c r="M45" s="101"/>
      <c r="N45" s="101"/>
      <c r="O45" s="101"/>
      <c r="P45" s="101"/>
      <c r="Q45" s="101"/>
      <c r="R45" s="101"/>
      <c r="S45" s="101"/>
      <c r="T45" s="101"/>
      <c r="U45" s="101"/>
      <c r="V45" s="101"/>
      <c r="W45" s="101"/>
      <c r="X45" s="101"/>
      <c r="Y45" s="101"/>
      <c r="Z45" s="101"/>
      <c r="AA45" s="101"/>
      <c r="AB45" s="101"/>
      <c r="AC45" s="101"/>
      <c r="AD45" s="101"/>
      <c r="AE45" s="101"/>
      <c r="AF45" s="101"/>
      <c r="AG45" s="101"/>
      <c r="AH45" s="101"/>
      <c r="AI45" s="101"/>
      <c r="AJ45" s="101"/>
      <c r="AK45" s="101"/>
      <c r="AL45" s="101"/>
      <c r="AM45" s="101"/>
      <c r="AN45" s="101"/>
      <c r="AO45" s="101"/>
      <c r="AP45" s="101"/>
      <c r="AQ45" s="101"/>
      <c r="AR45" s="101"/>
      <c r="AS45" s="101"/>
      <c r="AT45" s="101"/>
      <c r="AU45" s="101"/>
      <c r="AV45" s="101"/>
      <c r="AW45" s="101"/>
      <c r="AX45" s="101"/>
      <c r="AY45" s="101"/>
      <c r="AZ45" s="101"/>
      <c r="BA45" s="101"/>
      <c r="BB45" s="101"/>
      <c r="BC45" s="101"/>
      <c r="BD45" s="101"/>
      <c r="BE45" s="101"/>
      <c r="BF45" s="101"/>
      <c r="BG45" s="101"/>
      <c r="BH45" s="101"/>
      <c r="BI45" s="101"/>
      <c r="BJ45" s="101"/>
      <c r="BK45" s="101"/>
      <c r="BL45" s="101"/>
      <c r="BM45" s="101"/>
      <c r="BN45" s="101"/>
      <c r="BO45" s="101"/>
      <c r="BP45" s="101"/>
      <c r="BQ45" s="101"/>
      <c r="BR45" s="101"/>
      <c r="BS45" s="101"/>
      <c r="BT45" s="101"/>
      <c r="BU45" s="101"/>
      <c r="BV45" s="101"/>
      <c r="BW45" s="101"/>
      <c r="BX45" s="101"/>
      <c r="BY45" s="101"/>
      <c r="BZ45" s="101"/>
      <c r="CA45" s="101"/>
      <c r="CB45" s="101"/>
      <c r="CC45" s="101"/>
      <c r="CD45" s="101"/>
      <c r="CE45" s="101"/>
      <c r="CF45" s="101"/>
      <c r="CG45" s="101"/>
      <c r="CH45" s="101"/>
      <c r="CI45" s="101"/>
      <c r="CJ45" s="101"/>
      <c r="CK45" s="101"/>
      <c r="CL45" s="101"/>
      <c r="CM45" s="101"/>
      <c r="CN45" s="101"/>
      <c r="CO45" s="101"/>
      <c r="CP45" s="101"/>
      <c r="CQ45" s="101"/>
      <c r="CR45" s="101"/>
      <c r="CS45" s="101"/>
      <c r="CT45" s="101"/>
      <c r="CU45" s="101"/>
      <c r="CV45" s="101"/>
      <c r="CW45" s="101"/>
      <c r="CX45" s="101"/>
      <c r="CY45" s="101"/>
      <c r="CZ45" s="101"/>
      <c r="DA45" s="101"/>
      <c r="DB45" s="101"/>
      <c r="DC45" s="101"/>
      <c r="DD45" s="101"/>
      <c r="DE45" s="101"/>
      <c r="DF45" s="101"/>
      <c r="DG45" s="101"/>
      <c r="DH45" s="101"/>
      <c r="DI45" s="101"/>
      <c r="DJ45" s="101"/>
      <c r="DK45" s="101"/>
      <c r="DL45" s="101"/>
      <c r="DM45" s="101"/>
      <c r="DN45" s="101"/>
      <c r="DO45" s="101"/>
      <c r="DP45" s="101"/>
      <c r="DQ45" s="101"/>
      <c r="DR45" s="101"/>
      <c r="DS45" s="65"/>
      <c r="DT45" s="65"/>
      <c r="DU45" s="65"/>
      <c r="DV45" s="65"/>
      <c r="DW45" s="65"/>
      <c r="DX45" s="65"/>
      <c r="DY45" s="63"/>
      <c r="DZ45" s="101"/>
      <c r="EA45" s="101"/>
      <c r="EB45" s="101"/>
      <c r="EC45" s="101"/>
      <c r="ED45" s="101"/>
      <c r="EE45" s="101"/>
      <c r="EF45" s="101"/>
      <c r="EG45" s="101"/>
      <c r="EH45" s="101"/>
      <c r="EI45" s="101"/>
      <c r="EJ45" s="101"/>
      <c r="EK45" s="101"/>
      <c r="EL45" s="101"/>
      <c r="EM45" s="101"/>
      <c r="EN45" s="101"/>
      <c r="EO45" s="101"/>
      <c r="EP45" s="101"/>
      <c r="EQ45" s="101"/>
      <c r="ER45" s="101"/>
      <c r="ES45" s="101"/>
      <c r="ET45" s="101"/>
      <c r="EU45" s="101"/>
      <c r="EV45" s="101"/>
      <c r="EW45" s="101"/>
    </row>
    <row r="46" spans="1:153">
      <c r="A46" s="65"/>
      <c r="B46" s="101"/>
      <c r="C46" s="101"/>
      <c r="D46" s="101"/>
      <c r="E46" s="101"/>
      <c r="F46" s="101"/>
      <c r="G46" s="101"/>
      <c r="H46" s="101"/>
      <c r="I46" s="101"/>
      <c r="J46" s="101"/>
      <c r="K46" s="101"/>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1"/>
      <c r="AY46" s="101"/>
      <c r="AZ46" s="101"/>
      <c r="BA46" s="101"/>
      <c r="BB46" s="101"/>
      <c r="BC46" s="101"/>
      <c r="BD46" s="101"/>
      <c r="BE46" s="101"/>
      <c r="BF46" s="101"/>
      <c r="BG46" s="101"/>
      <c r="BH46" s="101"/>
      <c r="BI46" s="101"/>
      <c r="BJ46" s="101"/>
      <c r="BK46" s="101"/>
      <c r="BL46" s="101"/>
      <c r="BM46" s="101"/>
      <c r="BN46" s="101"/>
      <c r="BO46" s="101"/>
      <c r="BP46" s="101"/>
      <c r="BQ46" s="101"/>
      <c r="BR46" s="101"/>
      <c r="BS46" s="101"/>
      <c r="BT46" s="101"/>
      <c r="BU46" s="101"/>
      <c r="BV46" s="101"/>
      <c r="BW46" s="101"/>
      <c r="BX46" s="101"/>
      <c r="BY46" s="101"/>
      <c r="BZ46" s="101"/>
      <c r="CA46" s="101"/>
      <c r="CB46" s="101"/>
      <c r="CC46" s="101"/>
      <c r="CD46" s="101"/>
      <c r="CE46" s="101"/>
      <c r="CF46" s="101"/>
      <c r="CG46" s="101"/>
      <c r="CH46" s="101"/>
      <c r="CI46" s="101"/>
      <c r="CJ46" s="101"/>
      <c r="CK46" s="101"/>
      <c r="CL46" s="101"/>
      <c r="CM46" s="101"/>
      <c r="CN46" s="101"/>
      <c r="CO46" s="101"/>
      <c r="CP46" s="101"/>
      <c r="CQ46" s="101"/>
      <c r="CR46" s="101"/>
      <c r="CS46" s="101"/>
      <c r="CT46" s="101"/>
      <c r="CU46" s="101"/>
      <c r="CV46" s="101"/>
      <c r="CW46" s="101"/>
      <c r="CX46" s="101"/>
      <c r="CY46" s="101"/>
      <c r="CZ46" s="101"/>
      <c r="DA46" s="101"/>
      <c r="DB46" s="101"/>
      <c r="DC46" s="101"/>
      <c r="DD46" s="101"/>
      <c r="DE46" s="101"/>
      <c r="DF46" s="101"/>
      <c r="DG46" s="101"/>
      <c r="DH46" s="101"/>
      <c r="DI46" s="101"/>
      <c r="DJ46" s="101"/>
      <c r="DK46" s="101"/>
      <c r="DL46" s="101"/>
      <c r="DM46" s="101"/>
      <c r="DN46" s="101"/>
      <c r="DO46" s="101"/>
      <c r="DP46" s="101"/>
      <c r="DQ46" s="101"/>
      <c r="DR46" s="101"/>
      <c r="DS46" s="65"/>
      <c r="DT46" s="65"/>
      <c r="DU46" s="65"/>
      <c r="DV46" s="65"/>
      <c r="DW46" s="65"/>
      <c r="DX46" s="65"/>
      <c r="DY46" s="63"/>
      <c r="DZ46" s="101"/>
      <c r="EA46" s="101"/>
      <c r="EB46" s="101"/>
      <c r="EC46" s="101"/>
      <c r="ED46" s="101"/>
      <c r="EE46" s="101"/>
      <c r="EF46" s="101"/>
      <c r="EG46" s="101"/>
      <c r="EH46" s="101"/>
      <c r="EI46" s="101"/>
      <c r="EJ46" s="101"/>
      <c r="EK46" s="101"/>
      <c r="EL46" s="101"/>
      <c r="EM46" s="101"/>
      <c r="EN46" s="101"/>
      <c r="EO46" s="101"/>
      <c r="EP46" s="101"/>
      <c r="EQ46" s="101"/>
      <c r="ER46" s="101"/>
      <c r="ES46" s="101"/>
      <c r="ET46" s="101"/>
      <c r="EU46" s="101"/>
      <c r="EV46" s="101"/>
      <c r="EW46" s="101"/>
    </row>
    <row r="47" spans="1:153">
      <c r="A47" s="114"/>
      <c r="B47" s="101"/>
      <c r="C47" s="101"/>
      <c r="D47" s="101"/>
      <c r="E47" s="101"/>
      <c r="F47" s="101"/>
      <c r="G47" s="101"/>
      <c r="H47" s="101"/>
      <c r="I47" s="101"/>
      <c r="J47" s="101"/>
      <c r="K47" s="101"/>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c r="BH47" s="101"/>
      <c r="BI47" s="101"/>
      <c r="BJ47" s="101"/>
      <c r="BK47" s="101"/>
      <c r="BL47" s="101"/>
      <c r="BM47" s="101"/>
      <c r="BN47" s="101"/>
      <c r="BO47" s="101"/>
      <c r="BP47" s="101"/>
      <c r="BQ47" s="101"/>
      <c r="BR47" s="101"/>
      <c r="BS47" s="101"/>
      <c r="BT47" s="101"/>
      <c r="BU47" s="101"/>
      <c r="BV47" s="101"/>
      <c r="BW47" s="101"/>
      <c r="BX47" s="101"/>
      <c r="BY47" s="101"/>
      <c r="BZ47" s="101"/>
      <c r="CA47" s="101"/>
      <c r="CB47" s="101"/>
      <c r="CC47" s="101"/>
      <c r="CD47" s="101"/>
      <c r="CE47" s="101"/>
      <c r="CF47" s="101"/>
      <c r="CG47" s="101"/>
      <c r="CH47" s="101"/>
      <c r="CI47" s="101"/>
      <c r="CJ47" s="101"/>
      <c r="CK47" s="101"/>
      <c r="CL47" s="101"/>
      <c r="CM47" s="101"/>
      <c r="CN47" s="101"/>
      <c r="CO47" s="101"/>
      <c r="CP47" s="101"/>
      <c r="CQ47" s="101"/>
      <c r="CR47" s="101"/>
      <c r="CS47" s="101"/>
      <c r="CT47" s="101"/>
      <c r="CU47" s="101"/>
      <c r="CV47" s="101"/>
      <c r="CW47" s="101"/>
      <c r="CX47" s="101"/>
      <c r="CY47" s="101"/>
      <c r="CZ47" s="101"/>
      <c r="DA47" s="101"/>
      <c r="DB47" s="101"/>
      <c r="DC47" s="101"/>
      <c r="DD47" s="101"/>
      <c r="DE47" s="101"/>
      <c r="DF47" s="101"/>
      <c r="DG47" s="101"/>
      <c r="DH47" s="101"/>
      <c r="DI47" s="101"/>
      <c r="DJ47" s="101"/>
      <c r="DK47" s="101"/>
      <c r="DL47" s="101"/>
      <c r="DM47" s="101"/>
      <c r="DN47" s="101"/>
      <c r="DO47" s="101"/>
      <c r="DP47" s="101"/>
      <c r="DQ47" s="101"/>
      <c r="DR47" s="101"/>
      <c r="DS47" s="65"/>
      <c r="DT47" s="65"/>
      <c r="DU47" s="65"/>
      <c r="DV47" s="65"/>
      <c r="DW47" s="65"/>
      <c r="DX47" s="65"/>
      <c r="DY47" s="63"/>
      <c r="DZ47" s="101"/>
      <c r="EA47" s="101"/>
      <c r="EB47" s="101"/>
      <c r="EC47" s="101"/>
      <c r="ED47" s="101"/>
      <c r="EE47" s="101"/>
      <c r="EF47" s="101"/>
      <c r="EG47" s="101"/>
      <c r="EH47" s="101"/>
      <c r="EI47" s="101"/>
      <c r="EJ47" s="101"/>
      <c r="EK47" s="101"/>
      <c r="EL47" s="101"/>
      <c r="EM47" s="101"/>
      <c r="EN47" s="101"/>
      <c r="EO47" s="101"/>
      <c r="EP47" s="101"/>
      <c r="EQ47" s="101"/>
      <c r="ER47" s="101"/>
      <c r="ES47" s="101"/>
      <c r="ET47" s="101"/>
      <c r="EU47" s="101"/>
      <c r="EV47" s="101"/>
      <c r="EW47" s="101"/>
    </row>
    <row r="48" spans="1:153">
      <c r="A48" s="114"/>
      <c r="B48" s="101"/>
      <c r="C48" s="101"/>
      <c r="D48" s="101"/>
      <c r="E48" s="101"/>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c r="BH48" s="101"/>
      <c r="BI48" s="101"/>
      <c r="BJ48" s="101"/>
      <c r="BK48" s="101"/>
      <c r="BL48" s="101"/>
      <c r="BM48" s="101"/>
      <c r="BN48" s="101"/>
      <c r="BO48" s="101"/>
      <c r="BP48" s="101"/>
      <c r="BQ48" s="101"/>
      <c r="BR48" s="101"/>
      <c r="BS48" s="101"/>
      <c r="BT48" s="101"/>
      <c r="BU48" s="101"/>
      <c r="BV48" s="101"/>
      <c r="BW48" s="101"/>
      <c r="BX48" s="101"/>
      <c r="BY48" s="101"/>
      <c r="BZ48" s="101"/>
      <c r="CA48" s="101"/>
      <c r="CB48" s="101"/>
      <c r="CC48" s="101"/>
      <c r="CD48" s="101"/>
      <c r="CE48" s="101"/>
      <c r="CF48" s="101"/>
      <c r="CG48" s="101"/>
      <c r="CH48" s="101"/>
      <c r="CI48" s="101"/>
      <c r="CJ48" s="101"/>
      <c r="CK48" s="101"/>
      <c r="CL48" s="101"/>
      <c r="CM48" s="101"/>
      <c r="CN48" s="101"/>
      <c r="CO48" s="101"/>
      <c r="CP48" s="101"/>
      <c r="CQ48" s="101"/>
      <c r="CR48" s="101"/>
      <c r="CS48" s="101"/>
      <c r="CT48" s="101"/>
      <c r="CU48" s="101"/>
      <c r="CV48" s="101"/>
      <c r="CW48" s="101"/>
      <c r="CX48" s="101"/>
      <c r="CY48" s="101"/>
      <c r="CZ48" s="101"/>
      <c r="DA48" s="101"/>
      <c r="DB48" s="101"/>
      <c r="DC48" s="101"/>
      <c r="DD48" s="101"/>
      <c r="DE48" s="101"/>
      <c r="DF48" s="101"/>
      <c r="DG48" s="101"/>
      <c r="DH48" s="101"/>
      <c r="DI48" s="101"/>
      <c r="DJ48" s="101"/>
      <c r="DK48" s="101"/>
      <c r="DL48" s="101"/>
      <c r="DM48" s="101"/>
      <c r="DN48" s="101"/>
      <c r="DO48" s="101"/>
      <c r="DP48" s="101"/>
      <c r="DQ48" s="101"/>
      <c r="DR48" s="101"/>
      <c r="DS48" s="65"/>
      <c r="DT48" s="65"/>
      <c r="DU48" s="65"/>
      <c r="DV48" s="65"/>
      <c r="DW48" s="65"/>
      <c r="DX48" s="65"/>
      <c r="DY48" s="63"/>
      <c r="DZ48" s="101"/>
      <c r="EA48" s="101"/>
      <c r="EB48" s="101"/>
      <c r="EC48" s="101"/>
      <c r="ED48" s="101"/>
      <c r="EE48" s="101"/>
      <c r="EF48" s="101"/>
      <c r="EG48" s="101"/>
      <c r="EH48" s="101"/>
      <c r="EI48" s="101"/>
      <c r="EJ48" s="101"/>
      <c r="EK48" s="101"/>
      <c r="EL48" s="101"/>
      <c r="EM48" s="101"/>
      <c r="EN48" s="101"/>
      <c r="EO48" s="101"/>
      <c r="EP48" s="101"/>
      <c r="EQ48" s="101"/>
      <c r="ER48" s="101"/>
      <c r="ES48" s="101"/>
      <c r="ET48" s="101"/>
      <c r="EU48" s="101"/>
      <c r="EV48" s="101"/>
      <c r="EW48" s="101"/>
    </row>
    <row r="49" spans="1:153">
      <c r="A49" s="114"/>
      <c r="B49" s="101"/>
      <c r="C49" s="101"/>
      <c r="D49" s="101"/>
      <c r="E49" s="101"/>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c r="BH49" s="101"/>
      <c r="BI49" s="101"/>
      <c r="BJ49" s="101"/>
      <c r="BK49" s="101"/>
      <c r="BL49" s="101"/>
      <c r="BM49" s="101"/>
      <c r="BN49" s="101"/>
      <c r="BO49" s="101"/>
      <c r="BP49" s="101"/>
      <c r="BQ49" s="101"/>
      <c r="BR49" s="101"/>
      <c r="BS49" s="101"/>
      <c r="BT49" s="101"/>
      <c r="BU49" s="101"/>
      <c r="BV49" s="101"/>
      <c r="BW49" s="101"/>
      <c r="BX49" s="101"/>
      <c r="BY49" s="101"/>
      <c r="BZ49" s="101"/>
      <c r="CA49" s="101"/>
      <c r="CB49" s="101"/>
      <c r="CC49" s="101"/>
      <c r="CD49" s="101"/>
      <c r="CE49" s="101"/>
      <c r="CF49" s="101"/>
      <c r="CG49" s="101"/>
      <c r="CH49" s="101"/>
      <c r="CI49" s="101"/>
      <c r="CJ49" s="101"/>
      <c r="CK49" s="101"/>
      <c r="CL49" s="101"/>
      <c r="CM49" s="101"/>
      <c r="CN49" s="101"/>
      <c r="CO49" s="101"/>
      <c r="CP49" s="101"/>
      <c r="CQ49" s="101"/>
      <c r="CR49" s="101"/>
      <c r="CS49" s="101"/>
      <c r="CT49" s="101"/>
      <c r="CU49" s="101"/>
      <c r="CV49" s="101"/>
      <c r="CW49" s="101"/>
      <c r="CX49" s="101"/>
      <c r="CY49" s="101"/>
      <c r="CZ49" s="101"/>
      <c r="DA49" s="101"/>
      <c r="DB49" s="101"/>
      <c r="DC49" s="101"/>
      <c r="DD49" s="101"/>
      <c r="DE49" s="101"/>
      <c r="DF49" s="101"/>
      <c r="DG49" s="101"/>
      <c r="DH49" s="101"/>
      <c r="DI49" s="101"/>
      <c r="DJ49" s="101"/>
      <c r="DK49" s="101"/>
      <c r="DL49" s="101"/>
      <c r="DM49" s="101"/>
      <c r="DN49" s="101"/>
      <c r="DO49" s="101"/>
      <c r="DP49" s="101"/>
      <c r="DQ49" s="101"/>
      <c r="DR49" s="101"/>
      <c r="DS49" s="65"/>
      <c r="DT49" s="65"/>
      <c r="DU49" s="65"/>
      <c r="DV49" s="65"/>
      <c r="DW49" s="65"/>
      <c r="DX49" s="65"/>
      <c r="DY49" s="63"/>
      <c r="DZ49" s="101"/>
      <c r="EA49" s="101"/>
      <c r="EB49" s="101"/>
      <c r="EC49" s="101"/>
      <c r="ED49" s="101"/>
      <c r="EE49" s="101"/>
      <c r="EF49" s="101"/>
      <c r="EG49" s="101"/>
      <c r="EH49" s="101"/>
      <c r="EI49" s="101"/>
      <c r="EJ49" s="101"/>
      <c r="EK49" s="101"/>
      <c r="EL49" s="101"/>
      <c r="EM49" s="101"/>
      <c r="EN49" s="101"/>
      <c r="EO49" s="101"/>
      <c r="EP49" s="101"/>
      <c r="EQ49" s="101"/>
      <c r="ER49" s="101"/>
      <c r="ES49" s="101"/>
      <c r="ET49" s="101"/>
      <c r="EU49" s="101"/>
      <c r="EV49" s="101"/>
      <c r="EW49" s="101"/>
    </row>
    <row r="50" spans="1:153">
      <c r="A50" s="114"/>
      <c r="B50" s="101"/>
      <c r="C50" s="101"/>
      <c r="D50" s="101"/>
      <c r="E50" s="101"/>
      <c r="F50" s="101"/>
      <c r="G50" s="101"/>
      <c r="H50" s="101"/>
      <c r="I50" s="101"/>
      <c r="J50" s="101"/>
      <c r="K50" s="101"/>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c r="BH50" s="101"/>
      <c r="BI50" s="101"/>
      <c r="BJ50" s="101"/>
      <c r="BK50" s="101"/>
      <c r="BL50" s="101"/>
      <c r="BM50" s="101"/>
      <c r="BN50" s="101"/>
      <c r="BO50" s="101"/>
      <c r="BP50" s="101"/>
      <c r="BQ50" s="101"/>
      <c r="BR50" s="101"/>
      <c r="BS50" s="101"/>
      <c r="BT50" s="101"/>
      <c r="BU50" s="101"/>
      <c r="BV50" s="101"/>
      <c r="BW50" s="101"/>
      <c r="BX50" s="101"/>
      <c r="BY50" s="101"/>
      <c r="BZ50" s="101"/>
      <c r="CA50" s="101"/>
      <c r="CB50" s="101"/>
      <c r="CC50" s="101"/>
      <c r="CD50" s="101"/>
      <c r="CE50" s="101"/>
      <c r="CF50" s="101"/>
      <c r="CG50" s="101"/>
      <c r="CH50" s="101"/>
      <c r="CI50" s="101"/>
      <c r="CJ50" s="101"/>
      <c r="CK50" s="101"/>
      <c r="CL50" s="101"/>
      <c r="CM50" s="101"/>
      <c r="CN50" s="101"/>
      <c r="CO50" s="101"/>
      <c r="CP50" s="101"/>
      <c r="CQ50" s="101"/>
      <c r="CR50" s="101"/>
      <c r="CS50" s="101"/>
      <c r="CT50" s="101"/>
      <c r="CU50" s="101"/>
      <c r="CV50" s="101"/>
      <c r="CW50" s="101"/>
      <c r="CX50" s="101"/>
      <c r="CY50" s="101"/>
      <c r="CZ50" s="101"/>
      <c r="DA50" s="101"/>
      <c r="DB50" s="101"/>
      <c r="DC50" s="101"/>
      <c r="DD50" s="101"/>
      <c r="DE50" s="101"/>
      <c r="DF50" s="101"/>
      <c r="DG50" s="101"/>
      <c r="DH50" s="101"/>
      <c r="DI50" s="101"/>
      <c r="DJ50" s="101"/>
      <c r="DK50" s="101"/>
      <c r="DL50" s="101"/>
      <c r="DM50" s="101"/>
      <c r="DN50" s="101"/>
      <c r="DO50" s="101"/>
      <c r="DP50" s="101"/>
      <c r="DQ50" s="101"/>
      <c r="DR50" s="101"/>
      <c r="DS50" s="65"/>
      <c r="DT50" s="65"/>
      <c r="DU50" s="65"/>
      <c r="DV50" s="65"/>
      <c r="DW50" s="65"/>
      <c r="DX50" s="65"/>
      <c r="DY50" s="63"/>
      <c r="DZ50" s="101"/>
      <c r="EA50" s="101"/>
      <c r="EB50" s="101"/>
      <c r="EC50" s="101"/>
      <c r="ED50" s="101"/>
      <c r="EE50" s="101"/>
      <c r="EF50" s="101"/>
      <c r="EG50" s="101"/>
      <c r="EH50" s="101"/>
      <c r="EI50" s="101"/>
      <c r="EJ50" s="101"/>
      <c r="EK50" s="101"/>
      <c r="EL50" s="101"/>
      <c r="EM50" s="101"/>
      <c r="EN50" s="101"/>
      <c r="EO50" s="101"/>
      <c r="EP50" s="101"/>
      <c r="EQ50" s="101"/>
      <c r="ER50" s="101"/>
      <c r="ES50" s="101"/>
      <c r="ET50" s="101"/>
      <c r="EU50" s="101"/>
      <c r="EV50" s="101"/>
      <c r="EW50" s="101"/>
    </row>
    <row r="51" spans="1:153">
      <c r="A51" s="114"/>
      <c r="B51" s="101"/>
      <c r="C51" s="101"/>
      <c r="D51" s="101"/>
      <c r="E51" s="101"/>
      <c r="F51" s="101"/>
      <c r="G51" s="101"/>
      <c r="H51" s="101"/>
      <c r="I51" s="101"/>
      <c r="J51" s="101"/>
      <c r="K51" s="10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c r="BH51" s="101"/>
      <c r="BI51" s="101"/>
      <c r="BJ51" s="101"/>
      <c r="BK51" s="101"/>
      <c r="BL51" s="101"/>
      <c r="BM51" s="101"/>
      <c r="BN51" s="101"/>
      <c r="BO51" s="101"/>
      <c r="BP51" s="101"/>
      <c r="BQ51" s="101"/>
      <c r="BR51" s="101"/>
      <c r="BS51" s="101"/>
      <c r="BT51" s="101"/>
      <c r="BU51" s="101"/>
      <c r="BV51" s="101"/>
      <c r="BW51" s="101"/>
      <c r="BX51" s="101"/>
      <c r="BY51" s="101"/>
      <c r="BZ51" s="101"/>
      <c r="CA51" s="101"/>
      <c r="CB51" s="101"/>
      <c r="CC51" s="101"/>
      <c r="CD51" s="101"/>
      <c r="CE51" s="101"/>
      <c r="CF51" s="101"/>
      <c r="CG51" s="101"/>
      <c r="CH51" s="101"/>
      <c r="CI51" s="101"/>
      <c r="CJ51" s="101"/>
      <c r="CK51" s="101"/>
      <c r="CL51" s="101"/>
      <c r="CM51" s="101"/>
      <c r="CN51" s="101"/>
      <c r="CO51" s="101"/>
      <c r="CP51" s="101"/>
      <c r="CQ51" s="101"/>
      <c r="CR51" s="101"/>
      <c r="CS51" s="101"/>
      <c r="CT51" s="101"/>
      <c r="CU51" s="101"/>
      <c r="CV51" s="101"/>
      <c r="CW51" s="101"/>
      <c r="CX51" s="101"/>
      <c r="CY51" s="101"/>
      <c r="CZ51" s="101"/>
      <c r="DA51" s="101"/>
      <c r="DB51" s="101"/>
      <c r="DC51" s="101"/>
      <c r="DD51" s="101"/>
      <c r="DE51" s="101"/>
      <c r="DF51" s="101"/>
      <c r="DG51" s="101"/>
      <c r="DH51" s="101"/>
      <c r="DI51" s="101"/>
      <c r="DJ51" s="101"/>
      <c r="DK51" s="101"/>
      <c r="DL51" s="101"/>
      <c r="DM51" s="101"/>
      <c r="DN51" s="101"/>
      <c r="DO51" s="101"/>
      <c r="DP51" s="101"/>
      <c r="DQ51" s="101"/>
      <c r="DR51" s="101"/>
      <c r="DS51" s="65"/>
      <c r="DT51" s="65"/>
      <c r="DU51" s="65"/>
      <c r="DV51" s="65"/>
      <c r="DW51" s="65"/>
      <c r="DX51" s="65"/>
      <c r="DY51" s="63"/>
      <c r="DZ51" s="101"/>
      <c r="EA51" s="101"/>
      <c r="EB51" s="101"/>
      <c r="EC51" s="101"/>
      <c r="ED51" s="101"/>
      <c r="EE51" s="101"/>
      <c r="EF51" s="101"/>
      <c r="EG51" s="101"/>
      <c r="EH51" s="101"/>
      <c r="EI51" s="101"/>
      <c r="EJ51" s="101"/>
      <c r="EK51" s="101"/>
      <c r="EL51" s="101"/>
      <c r="EM51" s="101"/>
      <c r="EN51" s="101"/>
      <c r="EO51" s="101"/>
      <c r="EP51" s="101"/>
      <c r="EQ51" s="101"/>
      <c r="ER51" s="101"/>
      <c r="ES51" s="101"/>
      <c r="ET51" s="101"/>
      <c r="EU51" s="101"/>
      <c r="EV51" s="101"/>
      <c r="EW51" s="101"/>
    </row>
    <row r="52" spans="1:153">
      <c r="A52" s="114"/>
      <c r="B52" s="101"/>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c r="BH52" s="101"/>
      <c r="BI52" s="101"/>
      <c r="BJ52" s="101"/>
      <c r="BK52" s="101"/>
      <c r="BL52" s="101"/>
      <c r="BM52" s="101"/>
      <c r="BN52" s="101"/>
      <c r="BO52" s="101"/>
      <c r="BP52" s="101"/>
      <c r="BQ52" s="101"/>
      <c r="BR52" s="101"/>
      <c r="BS52" s="101"/>
      <c r="BT52" s="101"/>
      <c r="BU52" s="101"/>
      <c r="BV52" s="101"/>
      <c r="BW52" s="101"/>
      <c r="BX52" s="101"/>
      <c r="BY52" s="101"/>
      <c r="BZ52" s="101"/>
      <c r="CA52" s="101"/>
      <c r="CB52" s="101"/>
      <c r="CC52" s="101"/>
      <c r="CD52" s="101"/>
      <c r="CE52" s="101"/>
      <c r="CF52" s="101"/>
      <c r="CG52" s="101"/>
      <c r="CH52" s="101"/>
      <c r="CI52" s="101"/>
      <c r="CJ52" s="101"/>
      <c r="CK52" s="101"/>
      <c r="CL52" s="101"/>
      <c r="CM52" s="101"/>
      <c r="CN52" s="101"/>
      <c r="CO52" s="101"/>
      <c r="CP52" s="101"/>
      <c r="CQ52" s="101"/>
      <c r="CR52" s="101"/>
      <c r="CS52" s="101"/>
      <c r="CT52" s="101"/>
      <c r="CU52" s="101"/>
      <c r="CV52" s="101"/>
      <c r="CW52" s="101"/>
      <c r="CX52" s="101"/>
      <c r="CY52" s="101"/>
      <c r="CZ52" s="101"/>
      <c r="DA52" s="101"/>
      <c r="DB52" s="101"/>
      <c r="DC52" s="101"/>
      <c r="DD52" s="101"/>
      <c r="DE52" s="101"/>
      <c r="DF52" s="101"/>
      <c r="DG52" s="101"/>
      <c r="DH52" s="101"/>
      <c r="DI52" s="101"/>
      <c r="DJ52" s="101"/>
      <c r="DK52" s="101"/>
      <c r="DL52" s="101"/>
      <c r="DM52" s="101"/>
      <c r="DN52" s="101"/>
      <c r="DO52" s="101"/>
      <c r="DP52" s="101"/>
      <c r="DQ52" s="101"/>
      <c r="DR52" s="101"/>
      <c r="DS52" s="65"/>
      <c r="DT52" s="65"/>
      <c r="DU52" s="65"/>
      <c r="DV52" s="65"/>
      <c r="DW52" s="65"/>
      <c r="DX52" s="65"/>
      <c r="DY52" s="63"/>
      <c r="DZ52" s="101"/>
      <c r="EA52" s="101"/>
      <c r="EB52" s="101"/>
      <c r="EC52" s="101"/>
      <c r="ED52" s="101"/>
      <c r="EE52" s="101"/>
      <c r="EF52" s="101"/>
      <c r="EG52" s="101"/>
      <c r="EH52" s="101"/>
      <c r="EI52" s="101"/>
      <c r="EJ52" s="101"/>
      <c r="EK52" s="101"/>
      <c r="EL52" s="101"/>
      <c r="EM52" s="101"/>
      <c r="EN52" s="101"/>
      <c r="EO52" s="101"/>
      <c r="EP52" s="101"/>
      <c r="EQ52" s="101"/>
      <c r="ER52" s="101"/>
      <c r="ES52" s="101"/>
      <c r="ET52" s="101"/>
      <c r="EU52" s="101"/>
      <c r="EV52" s="101"/>
      <c r="EW52" s="101"/>
    </row>
    <row r="53" spans="1:153">
      <c r="A53" s="114"/>
      <c r="B53" s="101"/>
      <c r="C53" s="101"/>
      <c r="D53" s="101"/>
      <c r="E53" s="101"/>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c r="BH53" s="101"/>
      <c r="BI53" s="101"/>
      <c r="BJ53" s="101"/>
      <c r="BK53" s="101"/>
      <c r="BL53" s="101"/>
      <c r="BM53" s="101"/>
      <c r="BN53" s="101"/>
      <c r="BO53" s="101"/>
      <c r="BP53" s="101"/>
      <c r="BQ53" s="101"/>
      <c r="BR53" s="101"/>
      <c r="BS53" s="101"/>
      <c r="BT53" s="101"/>
      <c r="BU53" s="101"/>
      <c r="BV53" s="101"/>
      <c r="BW53" s="101"/>
      <c r="BX53" s="101"/>
      <c r="BY53" s="101"/>
      <c r="BZ53" s="101"/>
      <c r="CA53" s="101"/>
      <c r="CB53" s="101"/>
      <c r="CC53" s="101"/>
      <c r="CD53" s="101"/>
      <c r="CE53" s="101"/>
      <c r="CF53" s="101"/>
      <c r="CG53" s="101"/>
      <c r="CH53" s="101"/>
      <c r="CI53" s="101"/>
      <c r="CJ53" s="101"/>
      <c r="CK53" s="101"/>
      <c r="CL53" s="101"/>
      <c r="CM53" s="101"/>
      <c r="CN53" s="101"/>
      <c r="CO53" s="101"/>
      <c r="CP53" s="101"/>
      <c r="CQ53" s="101"/>
      <c r="CR53" s="101"/>
      <c r="CS53" s="101"/>
      <c r="CT53" s="101"/>
      <c r="CU53" s="101"/>
      <c r="CV53" s="101"/>
      <c r="CW53" s="101"/>
      <c r="CX53" s="101"/>
      <c r="CY53" s="101"/>
      <c r="CZ53" s="101"/>
      <c r="DA53" s="101"/>
      <c r="DB53" s="101"/>
      <c r="DC53" s="101"/>
      <c r="DD53" s="101"/>
      <c r="DE53" s="101"/>
      <c r="DF53" s="101"/>
      <c r="DG53" s="101"/>
      <c r="DH53" s="101"/>
      <c r="DI53" s="101"/>
      <c r="DJ53" s="101"/>
      <c r="DK53" s="101"/>
      <c r="DL53" s="101"/>
      <c r="DM53" s="101"/>
      <c r="DN53" s="101"/>
      <c r="DO53" s="101"/>
      <c r="DP53" s="101"/>
      <c r="DQ53" s="101"/>
      <c r="DR53" s="101"/>
      <c r="DS53" s="65"/>
      <c r="DT53" s="65"/>
      <c r="DU53" s="65"/>
      <c r="DV53" s="65"/>
      <c r="DW53" s="65"/>
      <c r="DX53" s="65"/>
      <c r="DY53" s="63"/>
      <c r="DZ53" s="101"/>
      <c r="EA53" s="101"/>
      <c r="EB53" s="101"/>
      <c r="EC53" s="101"/>
      <c r="ED53" s="101"/>
      <c r="EE53" s="101"/>
      <c r="EF53" s="101"/>
      <c r="EG53" s="101"/>
      <c r="EH53" s="101"/>
      <c r="EI53" s="101"/>
      <c r="EJ53" s="101"/>
      <c r="EK53" s="101"/>
      <c r="EL53" s="101"/>
      <c r="EM53" s="101"/>
      <c r="EN53" s="101"/>
      <c r="EO53" s="101"/>
      <c r="EP53" s="101"/>
      <c r="EQ53" s="101"/>
      <c r="ER53" s="101"/>
      <c r="ES53" s="101"/>
      <c r="ET53" s="101"/>
      <c r="EU53" s="101"/>
      <c r="EV53" s="101"/>
      <c r="EW53" s="101"/>
    </row>
    <row r="54" spans="1:153">
      <c r="A54" s="114"/>
      <c r="B54" s="101"/>
      <c r="C54" s="101"/>
      <c r="D54" s="101"/>
      <c r="E54" s="101"/>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c r="AW54" s="101"/>
      <c r="AX54" s="101"/>
      <c r="AY54" s="101"/>
      <c r="AZ54" s="101"/>
      <c r="BA54" s="101"/>
      <c r="BB54" s="101"/>
      <c r="BC54" s="101"/>
      <c r="BD54" s="101"/>
      <c r="BE54" s="101"/>
      <c r="BF54" s="101"/>
      <c r="BG54" s="101"/>
      <c r="BH54" s="101"/>
      <c r="BI54" s="101"/>
      <c r="BJ54" s="101"/>
      <c r="BK54" s="101"/>
      <c r="BL54" s="101"/>
      <c r="BM54" s="101"/>
      <c r="BN54" s="101"/>
      <c r="BO54" s="101"/>
      <c r="BP54" s="101"/>
      <c r="BQ54" s="101"/>
      <c r="BR54" s="101"/>
      <c r="BS54" s="101"/>
      <c r="BT54" s="101"/>
      <c r="BU54" s="101"/>
      <c r="BV54" s="101"/>
      <c r="BW54" s="101"/>
      <c r="BX54" s="101"/>
      <c r="BY54" s="101"/>
      <c r="BZ54" s="101"/>
      <c r="CA54" s="101"/>
      <c r="CB54" s="101"/>
      <c r="CC54" s="101"/>
      <c r="CD54" s="101"/>
      <c r="CE54" s="101"/>
      <c r="CF54" s="101"/>
      <c r="CG54" s="101"/>
      <c r="CH54" s="101"/>
      <c r="CI54" s="101"/>
      <c r="CJ54" s="101"/>
      <c r="CK54" s="101"/>
      <c r="CL54" s="101"/>
      <c r="CM54" s="101"/>
      <c r="CN54" s="101"/>
      <c r="CO54" s="101"/>
      <c r="CP54" s="101"/>
      <c r="CQ54" s="101"/>
      <c r="CR54" s="101"/>
      <c r="CS54" s="101"/>
      <c r="CT54" s="101"/>
      <c r="CU54" s="101"/>
      <c r="CV54" s="101"/>
      <c r="CW54" s="101"/>
      <c r="CX54" s="101"/>
      <c r="CY54" s="101"/>
      <c r="CZ54" s="101"/>
      <c r="DA54" s="101"/>
      <c r="DB54" s="101"/>
      <c r="DC54" s="101"/>
      <c r="DD54" s="101"/>
      <c r="DE54" s="101"/>
      <c r="DF54" s="101"/>
      <c r="DG54" s="101"/>
      <c r="DH54" s="101"/>
      <c r="DI54" s="101"/>
      <c r="DJ54" s="101"/>
      <c r="DK54" s="101"/>
      <c r="DL54" s="101"/>
      <c r="DM54" s="101"/>
      <c r="DN54" s="101"/>
      <c r="DO54" s="101"/>
      <c r="DP54" s="101"/>
      <c r="DQ54" s="101"/>
      <c r="DR54" s="101"/>
      <c r="DS54" s="65"/>
      <c r="DT54" s="65"/>
      <c r="DU54" s="65"/>
      <c r="DV54" s="65"/>
      <c r="DW54" s="65"/>
      <c r="DX54" s="65"/>
      <c r="DZ54" s="101"/>
      <c r="EA54" s="101"/>
      <c r="EB54" s="101"/>
      <c r="EC54" s="101"/>
      <c r="ED54" s="101"/>
      <c r="EE54" s="101"/>
      <c r="EF54" s="101"/>
      <c r="EG54" s="101"/>
      <c r="EH54" s="101"/>
      <c r="EI54" s="101"/>
      <c r="EJ54" s="101"/>
      <c r="EK54" s="101"/>
      <c r="EL54" s="101"/>
      <c r="EM54" s="101"/>
      <c r="EN54" s="101"/>
      <c r="EO54" s="101"/>
      <c r="EP54" s="101"/>
      <c r="EQ54" s="101"/>
      <c r="ER54" s="101"/>
      <c r="ES54" s="101"/>
      <c r="ET54" s="101"/>
      <c r="EU54" s="101"/>
      <c r="EV54" s="101"/>
      <c r="EW54" s="101"/>
    </row>
    <row r="55" spans="1:153">
      <c r="A55" s="114"/>
      <c r="B55" s="101"/>
      <c r="C55" s="101"/>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c r="AW55" s="101"/>
      <c r="AX55" s="101"/>
      <c r="AY55" s="101"/>
      <c r="AZ55" s="101"/>
      <c r="BA55" s="101"/>
      <c r="BB55" s="101"/>
      <c r="BC55" s="101"/>
      <c r="BD55" s="101"/>
      <c r="BE55" s="101"/>
      <c r="BF55" s="101"/>
      <c r="BG55" s="101"/>
      <c r="BH55" s="101"/>
      <c r="BI55" s="101"/>
      <c r="BJ55" s="101"/>
      <c r="BK55" s="101"/>
      <c r="BL55" s="101"/>
      <c r="BM55" s="101"/>
      <c r="BN55" s="101"/>
      <c r="BO55" s="101"/>
      <c r="BP55" s="101"/>
      <c r="BQ55" s="101"/>
      <c r="BR55" s="101"/>
      <c r="BS55" s="101"/>
      <c r="BT55" s="101"/>
      <c r="BU55" s="101"/>
      <c r="BV55" s="101"/>
      <c r="BW55" s="101"/>
      <c r="BX55" s="101"/>
      <c r="BY55" s="101"/>
      <c r="BZ55" s="101"/>
      <c r="CA55" s="101"/>
      <c r="CB55" s="101"/>
      <c r="CC55" s="101"/>
      <c r="CD55" s="101"/>
      <c r="CE55" s="101"/>
      <c r="CF55" s="101"/>
      <c r="CG55" s="101"/>
      <c r="CH55" s="101"/>
      <c r="CI55" s="101"/>
      <c r="CJ55" s="101"/>
      <c r="CK55" s="101"/>
      <c r="CL55" s="101"/>
      <c r="CM55" s="101"/>
      <c r="CN55" s="101"/>
      <c r="CO55" s="101"/>
      <c r="CP55" s="101"/>
      <c r="CQ55" s="101"/>
      <c r="CR55" s="101"/>
      <c r="CS55" s="101"/>
      <c r="CT55" s="101"/>
      <c r="CU55" s="101"/>
      <c r="CV55" s="101"/>
      <c r="CW55" s="101"/>
      <c r="CX55" s="101"/>
      <c r="CY55" s="101"/>
      <c r="CZ55" s="101"/>
      <c r="DA55" s="101"/>
      <c r="DB55" s="101"/>
      <c r="DC55" s="101"/>
      <c r="DD55" s="101"/>
      <c r="DE55" s="101"/>
      <c r="DF55" s="101"/>
      <c r="DG55" s="101"/>
      <c r="DH55" s="101"/>
      <c r="DI55" s="101"/>
      <c r="DJ55" s="101"/>
      <c r="DK55" s="101"/>
      <c r="DL55" s="101"/>
      <c r="DM55" s="101"/>
      <c r="DN55" s="101"/>
      <c r="DO55" s="101"/>
      <c r="DP55" s="101"/>
      <c r="DQ55" s="101"/>
      <c r="DR55" s="101"/>
      <c r="DS55" s="65"/>
      <c r="DT55" s="65"/>
      <c r="DU55" s="65"/>
      <c r="DV55" s="65"/>
      <c r="DW55" s="65"/>
      <c r="DX55" s="65"/>
      <c r="DZ55" s="101"/>
      <c r="EA55" s="101"/>
      <c r="EB55" s="101"/>
      <c r="EC55" s="101"/>
      <c r="ED55" s="101"/>
      <c r="EE55" s="101"/>
      <c r="EF55" s="101"/>
      <c r="EG55" s="101"/>
      <c r="EH55" s="101"/>
      <c r="EI55" s="101"/>
      <c r="EJ55" s="101"/>
      <c r="EK55" s="101"/>
      <c r="EL55" s="101"/>
      <c r="EM55" s="101"/>
      <c r="EN55" s="101"/>
      <c r="EO55" s="101"/>
      <c r="EP55" s="101"/>
      <c r="EQ55" s="101"/>
      <c r="ER55" s="101"/>
      <c r="ES55" s="101"/>
      <c r="ET55" s="101"/>
      <c r="EU55" s="101"/>
      <c r="EV55" s="101"/>
      <c r="EW55" s="101"/>
    </row>
    <row r="56" spans="1:153">
      <c r="A56" s="114"/>
      <c r="B56" s="101"/>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c r="BC56" s="101"/>
      <c r="BD56" s="101"/>
      <c r="BE56" s="101"/>
      <c r="BF56" s="101"/>
      <c r="BG56" s="101"/>
      <c r="BH56" s="101"/>
      <c r="BI56" s="101"/>
      <c r="BJ56" s="101"/>
      <c r="BK56" s="101"/>
      <c r="BL56" s="101"/>
      <c r="BM56" s="101"/>
      <c r="BN56" s="101"/>
      <c r="BO56" s="101"/>
      <c r="BP56" s="101"/>
      <c r="BQ56" s="101"/>
      <c r="BR56" s="101"/>
      <c r="BS56" s="101"/>
      <c r="BT56" s="101"/>
      <c r="BU56" s="101"/>
      <c r="BV56" s="101"/>
      <c r="BW56" s="101"/>
      <c r="BX56" s="101"/>
      <c r="BY56" s="101"/>
      <c r="BZ56" s="101"/>
      <c r="CA56" s="101"/>
      <c r="CB56" s="101"/>
      <c r="CC56" s="101"/>
      <c r="CD56" s="101"/>
      <c r="CE56" s="101"/>
      <c r="CF56" s="101"/>
      <c r="CG56" s="101"/>
      <c r="CH56" s="101"/>
      <c r="CI56" s="101"/>
      <c r="CJ56" s="101"/>
      <c r="CK56" s="101"/>
      <c r="CL56" s="101"/>
      <c r="CM56" s="101"/>
      <c r="CN56" s="101"/>
      <c r="CO56" s="101"/>
      <c r="CP56" s="101"/>
      <c r="CQ56" s="101"/>
      <c r="CR56" s="101"/>
      <c r="CS56" s="101"/>
      <c r="CT56" s="101"/>
      <c r="CU56" s="101"/>
      <c r="CV56" s="101"/>
      <c r="CW56" s="101"/>
      <c r="CX56" s="101"/>
      <c r="CY56" s="101"/>
      <c r="CZ56" s="101"/>
      <c r="DA56" s="101"/>
      <c r="DB56" s="101"/>
      <c r="DC56" s="101"/>
      <c r="DD56" s="101"/>
      <c r="DE56" s="101"/>
      <c r="DF56" s="101"/>
      <c r="DG56" s="101"/>
      <c r="DH56" s="101"/>
      <c r="DI56" s="101"/>
      <c r="DJ56" s="101"/>
      <c r="DK56" s="101"/>
      <c r="DL56" s="101"/>
      <c r="DM56" s="101"/>
      <c r="DN56" s="101"/>
      <c r="DO56" s="101"/>
      <c r="DP56" s="101"/>
      <c r="DQ56" s="101"/>
      <c r="DR56" s="101"/>
      <c r="DS56" s="65"/>
      <c r="DT56" s="65"/>
      <c r="DU56" s="65"/>
      <c r="DV56" s="65"/>
      <c r="DW56" s="65"/>
      <c r="DX56" s="65"/>
      <c r="DZ56" s="101"/>
      <c r="EA56" s="101"/>
      <c r="EB56" s="101"/>
      <c r="EC56" s="101"/>
      <c r="ED56" s="101"/>
      <c r="EE56" s="101"/>
      <c r="EF56" s="101"/>
      <c r="EG56" s="101"/>
      <c r="EH56" s="101"/>
      <c r="EI56" s="101"/>
      <c r="EJ56" s="101"/>
      <c r="EK56" s="101"/>
      <c r="EL56" s="101"/>
      <c r="EM56" s="101"/>
      <c r="EN56" s="101"/>
      <c r="EO56" s="101"/>
      <c r="EP56" s="101"/>
      <c r="EQ56" s="101"/>
      <c r="ER56" s="101"/>
      <c r="ES56" s="101"/>
      <c r="ET56" s="101"/>
      <c r="EU56" s="101"/>
      <c r="EV56" s="101"/>
      <c r="EW56" s="101"/>
    </row>
    <row r="57" spans="1:153">
      <c r="A57" s="114"/>
      <c r="B57" s="101"/>
      <c r="C57" s="101"/>
      <c r="D57" s="101"/>
      <c r="E57" s="101"/>
      <c r="F57" s="101"/>
      <c r="G57" s="101"/>
      <c r="H57" s="101"/>
      <c r="I57" s="101"/>
      <c r="J57" s="101"/>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1"/>
      <c r="AW57" s="101"/>
      <c r="AX57" s="101"/>
      <c r="AY57" s="101"/>
      <c r="AZ57" s="101"/>
      <c r="BA57" s="101"/>
      <c r="BB57" s="101"/>
      <c r="BC57" s="101"/>
      <c r="BD57" s="101"/>
      <c r="BE57" s="101"/>
      <c r="BF57" s="101"/>
      <c r="BG57" s="101"/>
      <c r="BH57" s="101"/>
      <c r="BI57" s="101"/>
      <c r="BJ57" s="101"/>
      <c r="BK57" s="101"/>
      <c r="BL57" s="101"/>
      <c r="BM57" s="101"/>
      <c r="BN57" s="101"/>
      <c r="BO57" s="101"/>
      <c r="BP57" s="101"/>
      <c r="BQ57" s="101"/>
      <c r="BR57" s="101"/>
      <c r="BS57" s="101"/>
      <c r="BT57" s="101"/>
      <c r="BU57" s="101"/>
      <c r="BV57" s="101"/>
      <c r="BW57" s="101"/>
      <c r="BX57" s="101"/>
      <c r="BY57" s="101"/>
      <c r="BZ57" s="101"/>
      <c r="CA57" s="101"/>
      <c r="CB57" s="101"/>
      <c r="CC57" s="101"/>
      <c r="CD57" s="101"/>
      <c r="CE57" s="101"/>
      <c r="CF57" s="101"/>
      <c r="CG57" s="101"/>
      <c r="CH57" s="101"/>
      <c r="CI57" s="101"/>
      <c r="CJ57" s="101"/>
      <c r="CK57" s="101"/>
      <c r="CL57" s="101"/>
      <c r="CM57" s="101"/>
      <c r="CN57" s="101"/>
      <c r="CO57" s="101"/>
      <c r="CP57" s="101"/>
      <c r="CQ57" s="101"/>
      <c r="CR57" s="101"/>
      <c r="CS57" s="101"/>
      <c r="CT57" s="101"/>
      <c r="CU57" s="101"/>
      <c r="CV57" s="101"/>
      <c r="CW57" s="101"/>
      <c r="CX57" s="101"/>
      <c r="CY57" s="101"/>
      <c r="CZ57" s="101"/>
      <c r="DA57" s="101"/>
      <c r="DB57" s="101"/>
      <c r="DC57" s="101"/>
      <c r="DD57" s="101"/>
      <c r="DE57" s="101"/>
      <c r="DF57" s="101"/>
      <c r="DG57" s="101"/>
      <c r="DH57" s="101"/>
      <c r="DI57" s="101"/>
      <c r="DJ57" s="101"/>
      <c r="DK57" s="101"/>
      <c r="DL57" s="101"/>
      <c r="DM57" s="101"/>
      <c r="DN57" s="101"/>
      <c r="DO57" s="101"/>
      <c r="DP57" s="101"/>
      <c r="DQ57" s="101"/>
      <c r="DR57" s="101"/>
      <c r="DS57" s="65"/>
      <c r="DT57" s="65"/>
      <c r="DU57" s="65"/>
      <c r="DV57" s="65"/>
      <c r="DW57" s="65"/>
      <c r="DX57" s="65"/>
      <c r="DZ57" s="101"/>
      <c r="EA57" s="101"/>
      <c r="EB57" s="101"/>
      <c r="EC57" s="101"/>
      <c r="ED57" s="101"/>
      <c r="EE57" s="101"/>
      <c r="EF57" s="101"/>
      <c r="EG57" s="101"/>
      <c r="EH57" s="101"/>
      <c r="EI57" s="101"/>
      <c r="EJ57" s="101"/>
      <c r="EK57" s="101"/>
      <c r="EL57" s="101"/>
      <c r="EM57" s="101"/>
      <c r="EN57" s="101"/>
      <c r="EO57" s="101"/>
      <c r="EP57" s="101"/>
      <c r="EQ57" s="101"/>
      <c r="ER57" s="101"/>
      <c r="ES57" s="101"/>
      <c r="ET57" s="101"/>
      <c r="EU57" s="101"/>
      <c r="EV57" s="101"/>
      <c r="EW57" s="101"/>
    </row>
    <row r="58" spans="1:153">
      <c r="A58" s="114"/>
      <c r="B58" s="101"/>
      <c r="C58" s="101"/>
      <c r="D58" s="101"/>
      <c r="E58" s="101"/>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c r="BC58" s="101"/>
      <c r="BD58" s="101"/>
      <c r="BE58" s="101"/>
      <c r="BF58" s="101"/>
      <c r="BG58" s="101"/>
      <c r="BH58" s="101"/>
      <c r="BI58" s="101"/>
      <c r="BJ58" s="101"/>
      <c r="BK58" s="101"/>
      <c r="BL58" s="101"/>
      <c r="BM58" s="101"/>
      <c r="BN58" s="101"/>
      <c r="BO58" s="101"/>
      <c r="BP58" s="101"/>
      <c r="BQ58" s="101"/>
      <c r="BR58" s="101"/>
      <c r="BS58" s="101"/>
      <c r="BT58" s="101"/>
      <c r="BU58" s="101"/>
      <c r="BV58" s="101"/>
      <c r="BW58" s="101"/>
      <c r="BX58" s="101"/>
      <c r="BY58" s="101"/>
      <c r="BZ58" s="101"/>
      <c r="CA58" s="101"/>
      <c r="CB58" s="101"/>
      <c r="CC58" s="101"/>
      <c r="CD58" s="101"/>
      <c r="CE58" s="101"/>
      <c r="CF58" s="101"/>
      <c r="CG58" s="101"/>
      <c r="CH58" s="101"/>
      <c r="CI58" s="101"/>
      <c r="CJ58" s="101"/>
      <c r="CK58" s="101"/>
      <c r="CL58" s="101"/>
      <c r="CM58" s="101"/>
      <c r="CN58" s="101"/>
      <c r="CO58" s="101"/>
      <c r="CP58" s="101"/>
      <c r="CQ58" s="101"/>
      <c r="CR58" s="101"/>
      <c r="CS58" s="101"/>
      <c r="CT58" s="101"/>
      <c r="CU58" s="101"/>
      <c r="CV58" s="101"/>
      <c r="CW58" s="101"/>
      <c r="CX58" s="101"/>
      <c r="CY58" s="101"/>
      <c r="CZ58" s="101"/>
      <c r="DA58" s="101"/>
      <c r="DB58" s="101"/>
      <c r="DC58" s="101"/>
      <c r="DD58" s="101"/>
      <c r="DE58" s="101"/>
      <c r="DF58" s="101"/>
      <c r="DG58" s="101"/>
      <c r="DH58" s="101"/>
      <c r="DI58" s="101"/>
      <c r="DJ58" s="101"/>
      <c r="DK58" s="101"/>
      <c r="DL58" s="101"/>
      <c r="DM58" s="101"/>
      <c r="DN58" s="101"/>
      <c r="DO58" s="101"/>
      <c r="DP58" s="101"/>
      <c r="DQ58" s="101"/>
      <c r="DR58" s="101"/>
      <c r="DS58" s="65"/>
      <c r="DT58" s="65"/>
      <c r="DU58" s="65"/>
      <c r="DV58" s="65"/>
      <c r="DW58" s="65"/>
      <c r="DX58" s="65"/>
      <c r="DZ58" s="101"/>
      <c r="EA58" s="101"/>
      <c r="EB58" s="101"/>
      <c r="EC58" s="101"/>
      <c r="ED58" s="101"/>
      <c r="EE58" s="101"/>
      <c r="EF58" s="101"/>
      <c r="EG58" s="101"/>
      <c r="EH58" s="101"/>
      <c r="EI58" s="101"/>
      <c r="EJ58" s="101"/>
      <c r="EK58" s="101"/>
      <c r="EL58" s="101"/>
      <c r="EM58" s="101"/>
      <c r="EN58" s="101"/>
      <c r="EO58" s="101"/>
      <c r="EP58" s="101"/>
      <c r="EQ58" s="101"/>
      <c r="ER58" s="101"/>
      <c r="ES58" s="101"/>
      <c r="ET58" s="101"/>
      <c r="EU58" s="101"/>
      <c r="EV58" s="101"/>
      <c r="EW58" s="101"/>
    </row>
    <row r="59" spans="1:153">
      <c r="A59" s="114"/>
      <c r="B59" s="101"/>
      <c r="C59" s="101"/>
      <c r="D59" s="101"/>
      <c r="E59" s="101"/>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c r="BH59" s="101"/>
      <c r="BI59" s="101"/>
      <c r="BJ59" s="101"/>
      <c r="BK59" s="101"/>
      <c r="BL59" s="101"/>
      <c r="BM59" s="101"/>
      <c r="BN59" s="101"/>
      <c r="BO59" s="101"/>
      <c r="BP59" s="101"/>
      <c r="BQ59" s="101"/>
      <c r="BR59" s="101"/>
      <c r="BS59" s="101"/>
      <c r="BT59" s="101"/>
      <c r="BU59" s="101"/>
      <c r="BV59" s="101"/>
      <c r="BW59" s="101"/>
      <c r="BX59" s="101"/>
      <c r="BY59" s="101"/>
      <c r="BZ59" s="101"/>
      <c r="CA59" s="101"/>
      <c r="CB59" s="101"/>
      <c r="CC59" s="101"/>
      <c r="CD59" s="101"/>
      <c r="CE59" s="101"/>
      <c r="CF59" s="101"/>
      <c r="CG59" s="101"/>
      <c r="CH59" s="101"/>
      <c r="CI59" s="101"/>
      <c r="CJ59" s="101"/>
      <c r="CK59" s="101"/>
      <c r="CL59" s="101"/>
      <c r="CM59" s="101"/>
      <c r="CN59" s="101"/>
      <c r="CO59" s="101"/>
      <c r="CP59" s="101"/>
      <c r="CQ59" s="101"/>
      <c r="CR59" s="101"/>
      <c r="CS59" s="101"/>
      <c r="CT59" s="101"/>
      <c r="CU59" s="101"/>
      <c r="CV59" s="101"/>
      <c r="CW59" s="101"/>
      <c r="CX59" s="101"/>
      <c r="CY59" s="101"/>
      <c r="CZ59" s="101"/>
      <c r="DA59" s="101"/>
      <c r="DB59" s="101"/>
      <c r="DC59" s="101"/>
      <c r="DD59" s="101"/>
      <c r="DE59" s="101"/>
      <c r="DF59" s="101"/>
      <c r="DG59" s="101"/>
      <c r="DH59" s="101"/>
      <c r="DI59" s="101"/>
      <c r="DJ59" s="101"/>
      <c r="DK59" s="101"/>
      <c r="DL59" s="101"/>
      <c r="DM59" s="101"/>
      <c r="DN59" s="101"/>
      <c r="DO59" s="101"/>
      <c r="DP59" s="101"/>
      <c r="DQ59" s="101"/>
      <c r="DR59" s="101"/>
      <c r="DS59" s="65"/>
      <c r="DT59" s="65"/>
      <c r="DU59" s="65"/>
      <c r="DV59" s="65"/>
      <c r="DW59" s="65"/>
      <c r="DX59" s="65"/>
      <c r="DZ59" s="101"/>
      <c r="EA59" s="101"/>
      <c r="EB59" s="101"/>
      <c r="EC59" s="101"/>
      <c r="ED59" s="101"/>
      <c r="EE59" s="101"/>
      <c r="EF59" s="101"/>
      <c r="EG59" s="101"/>
      <c r="EH59" s="101"/>
      <c r="EI59" s="101"/>
      <c r="EJ59" s="101"/>
      <c r="EK59" s="101"/>
      <c r="EL59" s="101"/>
      <c r="EM59" s="101"/>
      <c r="EN59" s="101"/>
      <c r="EO59" s="101"/>
      <c r="EP59" s="101"/>
      <c r="EQ59" s="101"/>
      <c r="ER59" s="101"/>
      <c r="ES59" s="101"/>
      <c r="ET59" s="101"/>
      <c r="EU59" s="101"/>
      <c r="EV59" s="101"/>
      <c r="EW59" s="101"/>
    </row>
    <row r="60" spans="1:153">
      <c r="A60" s="114"/>
      <c r="B60" s="101"/>
      <c r="C60" s="101"/>
      <c r="D60" s="101"/>
      <c r="E60" s="101"/>
      <c r="F60" s="101"/>
      <c r="G60" s="101"/>
      <c r="H60" s="101"/>
      <c r="I60" s="101"/>
      <c r="J60" s="101"/>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c r="AW60" s="101"/>
      <c r="AX60" s="101"/>
      <c r="AY60" s="101"/>
      <c r="AZ60" s="101"/>
      <c r="BA60" s="101"/>
      <c r="BB60" s="101"/>
      <c r="BC60" s="101"/>
      <c r="BD60" s="101"/>
      <c r="BE60" s="101"/>
      <c r="BF60" s="101"/>
      <c r="BG60" s="101"/>
      <c r="BH60" s="101"/>
      <c r="BI60" s="101"/>
      <c r="BJ60" s="101"/>
      <c r="BK60" s="101"/>
      <c r="BL60" s="101"/>
      <c r="BM60" s="101"/>
      <c r="BN60" s="101"/>
      <c r="BO60" s="101"/>
      <c r="BP60" s="101"/>
      <c r="BQ60" s="101"/>
      <c r="BR60" s="101"/>
      <c r="BS60" s="101"/>
      <c r="BT60" s="101"/>
      <c r="BU60" s="101"/>
      <c r="BV60" s="101"/>
      <c r="BW60" s="101"/>
      <c r="BX60" s="101"/>
      <c r="BY60" s="101"/>
      <c r="BZ60" s="101"/>
      <c r="CA60" s="101"/>
      <c r="CB60" s="101"/>
      <c r="CC60" s="101"/>
      <c r="CD60" s="101"/>
      <c r="CE60" s="101"/>
      <c r="CF60" s="101"/>
      <c r="CG60" s="101"/>
      <c r="CH60" s="101"/>
      <c r="CI60" s="101"/>
      <c r="CJ60" s="101"/>
      <c r="CK60" s="101"/>
      <c r="CL60" s="101"/>
      <c r="CM60" s="101"/>
      <c r="CN60" s="101"/>
      <c r="CO60" s="101"/>
      <c r="CP60" s="101"/>
      <c r="CQ60" s="101"/>
      <c r="CR60" s="101"/>
      <c r="CS60" s="101"/>
      <c r="CT60" s="101"/>
      <c r="CU60" s="101"/>
      <c r="CV60" s="101"/>
      <c r="CW60" s="101"/>
      <c r="CX60" s="101"/>
      <c r="CY60" s="101"/>
      <c r="CZ60" s="101"/>
      <c r="DA60" s="101"/>
      <c r="DB60" s="101"/>
      <c r="DC60" s="101"/>
      <c r="DD60" s="101"/>
      <c r="DE60" s="101"/>
      <c r="DF60" s="101"/>
      <c r="DG60" s="101"/>
      <c r="DH60" s="101"/>
      <c r="DI60" s="101"/>
      <c r="DJ60" s="101"/>
      <c r="DK60" s="101"/>
      <c r="DL60" s="101"/>
      <c r="DM60" s="101"/>
      <c r="DN60" s="101"/>
      <c r="DO60" s="101"/>
      <c r="DP60" s="101"/>
      <c r="DQ60" s="101"/>
      <c r="DR60" s="101"/>
      <c r="DS60" s="65"/>
      <c r="DT60" s="65"/>
      <c r="DU60" s="65"/>
      <c r="DV60" s="65"/>
      <c r="DW60" s="65"/>
      <c r="DX60" s="65"/>
      <c r="DZ60" s="101"/>
      <c r="EA60" s="101"/>
      <c r="EB60" s="101"/>
      <c r="EC60" s="101"/>
      <c r="ED60" s="101"/>
      <c r="EE60" s="101"/>
      <c r="EF60" s="101"/>
      <c r="EG60" s="101"/>
      <c r="EH60" s="101"/>
      <c r="EI60" s="101"/>
      <c r="EJ60" s="101"/>
      <c r="EK60" s="101"/>
      <c r="EL60" s="101"/>
      <c r="EM60" s="101"/>
      <c r="EN60" s="101"/>
      <c r="EO60" s="101"/>
      <c r="EP60" s="101"/>
      <c r="EQ60" s="101"/>
      <c r="ER60" s="101"/>
      <c r="ES60" s="101"/>
      <c r="ET60" s="101"/>
      <c r="EU60" s="101"/>
      <c r="EV60" s="101"/>
      <c r="EW60" s="101"/>
    </row>
    <row r="61" spans="1:153">
      <c r="A61" s="114"/>
      <c r="B61" s="101"/>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c r="BH61" s="101"/>
      <c r="BI61" s="101"/>
      <c r="BJ61" s="101"/>
      <c r="BK61" s="101"/>
      <c r="BL61" s="101"/>
      <c r="BM61" s="101"/>
      <c r="BN61" s="101"/>
      <c r="BO61" s="101"/>
      <c r="BP61" s="101"/>
      <c r="BQ61" s="101"/>
      <c r="BR61" s="101"/>
      <c r="BS61" s="101"/>
      <c r="BT61" s="101"/>
      <c r="BU61" s="101"/>
      <c r="BV61" s="101"/>
      <c r="BW61" s="101"/>
      <c r="BX61" s="101"/>
      <c r="BY61" s="101"/>
      <c r="BZ61" s="101"/>
      <c r="CA61" s="101"/>
      <c r="CB61" s="101"/>
      <c r="CC61" s="101"/>
      <c r="CD61" s="101"/>
      <c r="CE61" s="101"/>
      <c r="CF61" s="101"/>
      <c r="CG61" s="101"/>
      <c r="CH61" s="101"/>
      <c r="CI61" s="101"/>
      <c r="CJ61" s="101"/>
      <c r="CK61" s="101"/>
      <c r="CL61" s="101"/>
      <c r="CM61" s="101"/>
      <c r="CN61" s="101"/>
      <c r="CO61" s="101"/>
      <c r="CP61" s="101"/>
      <c r="CQ61" s="101"/>
      <c r="CR61" s="101"/>
      <c r="CS61" s="101"/>
      <c r="CT61" s="101"/>
      <c r="CU61" s="101"/>
      <c r="CV61" s="101"/>
      <c r="CW61" s="101"/>
      <c r="CX61" s="101"/>
      <c r="CY61" s="101"/>
      <c r="CZ61" s="101"/>
      <c r="DA61" s="101"/>
      <c r="DB61" s="101"/>
      <c r="DC61" s="101"/>
      <c r="DD61" s="101"/>
      <c r="DE61" s="101"/>
      <c r="DF61" s="101"/>
      <c r="DG61" s="101"/>
      <c r="DH61" s="101"/>
      <c r="DI61" s="101"/>
      <c r="DJ61" s="101"/>
      <c r="DK61" s="101"/>
      <c r="DL61" s="101"/>
      <c r="DM61" s="101"/>
      <c r="DN61" s="101"/>
      <c r="DO61" s="101"/>
      <c r="DP61" s="101"/>
      <c r="DQ61" s="101"/>
      <c r="DR61" s="101"/>
      <c r="DS61" s="65"/>
      <c r="DT61" s="65"/>
      <c r="DU61" s="65"/>
      <c r="DV61" s="65"/>
      <c r="DW61" s="65"/>
      <c r="DX61" s="65"/>
      <c r="DZ61" s="101"/>
      <c r="EA61" s="101"/>
      <c r="EB61" s="101"/>
      <c r="EC61" s="101"/>
      <c r="ED61" s="101"/>
      <c r="EE61" s="101"/>
      <c r="EF61" s="101"/>
      <c r="EG61" s="101"/>
      <c r="EH61" s="101"/>
      <c r="EI61" s="101"/>
      <c r="EJ61" s="101"/>
      <c r="EK61" s="101"/>
      <c r="EL61" s="101"/>
      <c r="EM61" s="101"/>
      <c r="EN61" s="101"/>
      <c r="EO61" s="101"/>
      <c r="EP61" s="101"/>
      <c r="EQ61" s="101"/>
      <c r="ER61" s="101"/>
      <c r="ES61" s="101"/>
      <c r="ET61" s="101"/>
      <c r="EU61" s="101"/>
      <c r="EV61" s="101"/>
      <c r="EW61" s="101"/>
    </row>
    <row r="62" spans="1:153">
      <c r="A62" s="114"/>
      <c r="B62" s="101"/>
      <c r="C62" s="101"/>
      <c r="D62" s="101"/>
      <c r="E62" s="101"/>
      <c r="F62" s="101"/>
      <c r="G62" s="101"/>
      <c r="H62" s="101"/>
      <c r="I62" s="101"/>
      <c r="J62" s="101"/>
      <c r="K62" s="101"/>
      <c r="L62" s="101"/>
      <c r="M62" s="101"/>
      <c r="N62" s="101"/>
      <c r="O62" s="101"/>
      <c r="P62" s="101"/>
      <c r="Q62" s="101"/>
      <c r="R62" s="101"/>
      <c r="S62" s="101"/>
      <c r="T62" s="101"/>
      <c r="U62" s="101"/>
      <c r="V62" s="101"/>
      <c r="W62" s="101"/>
      <c r="X62" s="101"/>
      <c r="Y62" s="101"/>
      <c r="Z62" s="101"/>
      <c r="AA62" s="101"/>
      <c r="AB62" s="101"/>
      <c r="AC62" s="101"/>
      <c r="AD62" s="101"/>
      <c r="AE62" s="101"/>
      <c r="AF62" s="101"/>
      <c r="AG62" s="101"/>
      <c r="AH62" s="101"/>
      <c r="AI62" s="101"/>
      <c r="AJ62" s="101"/>
      <c r="AK62" s="101"/>
      <c r="AL62" s="101"/>
      <c r="AM62" s="101"/>
      <c r="AN62" s="101"/>
      <c r="AO62" s="101"/>
      <c r="AP62" s="101"/>
      <c r="AQ62" s="101"/>
      <c r="AR62" s="101"/>
      <c r="AS62" s="101"/>
      <c r="AT62" s="101"/>
      <c r="AU62" s="101"/>
      <c r="AV62" s="101"/>
      <c r="AW62" s="101"/>
      <c r="AX62" s="101"/>
      <c r="AY62" s="101"/>
      <c r="AZ62" s="101"/>
      <c r="BA62" s="101"/>
      <c r="BB62" s="101"/>
      <c r="BC62" s="101"/>
      <c r="BD62" s="101"/>
      <c r="BE62" s="101"/>
      <c r="BF62" s="101"/>
      <c r="BG62" s="101"/>
      <c r="BH62" s="101"/>
      <c r="BI62" s="101"/>
      <c r="BJ62" s="101"/>
      <c r="BK62" s="101"/>
      <c r="BL62" s="101"/>
      <c r="BM62" s="101"/>
      <c r="BN62" s="101"/>
      <c r="BO62" s="101"/>
      <c r="BP62" s="101"/>
      <c r="BQ62" s="101"/>
      <c r="BR62" s="101"/>
      <c r="BS62" s="101"/>
      <c r="BT62" s="101"/>
      <c r="BU62" s="101"/>
      <c r="BV62" s="101"/>
      <c r="BW62" s="101"/>
      <c r="BX62" s="101"/>
      <c r="BY62" s="101"/>
      <c r="BZ62" s="101"/>
      <c r="CA62" s="101"/>
      <c r="CB62" s="101"/>
      <c r="CC62" s="101"/>
      <c r="CD62" s="101"/>
      <c r="CE62" s="101"/>
      <c r="CF62" s="101"/>
      <c r="CG62" s="101"/>
      <c r="CH62" s="101"/>
      <c r="CI62" s="101"/>
      <c r="CJ62" s="101"/>
      <c r="CK62" s="101"/>
      <c r="CL62" s="101"/>
      <c r="CM62" s="101"/>
      <c r="CN62" s="101"/>
      <c r="CO62" s="101"/>
      <c r="CP62" s="101"/>
      <c r="CQ62" s="101"/>
      <c r="CR62" s="101"/>
      <c r="CS62" s="101"/>
      <c r="CT62" s="101"/>
      <c r="CU62" s="101"/>
      <c r="CV62" s="101"/>
      <c r="CW62" s="101"/>
      <c r="CX62" s="101"/>
      <c r="CY62" s="101"/>
      <c r="CZ62" s="101"/>
      <c r="DA62" s="101"/>
      <c r="DB62" s="101"/>
      <c r="DC62" s="101"/>
      <c r="DD62" s="101"/>
      <c r="DE62" s="101"/>
      <c r="DF62" s="101"/>
      <c r="DG62" s="101"/>
      <c r="DH62" s="101"/>
      <c r="DI62" s="101"/>
      <c r="DJ62" s="101"/>
      <c r="DK62" s="101"/>
      <c r="DL62" s="101"/>
      <c r="DM62" s="101"/>
      <c r="DN62" s="101"/>
      <c r="DO62" s="101"/>
      <c r="DP62" s="101"/>
      <c r="DQ62" s="101"/>
      <c r="DR62" s="101"/>
      <c r="DS62" s="65"/>
      <c r="DT62" s="65"/>
      <c r="DU62" s="65"/>
      <c r="DV62" s="65"/>
      <c r="DW62" s="65"/>
      <c r="DX62" s="65"/>
      <c r="DZ62" s="101"/>
      <c r="EA62" s="101"/>
      <c r="EB62" s="101"/>
      <c r="EC62" s="101"/>
      <c r="ED62" s="101"/>
      <c r="EE62" s="101"/>
      <c r="EF62" s="101"/>
      <c r="EG62" s="101"/>
      <c r="EH62" s="101"/>
      <c r="EI62" s="101"/>
      <c r="EJ62" s="101"/>
      <c r="EK62" s="101"/>
      <c r="EL62" s="101"/>
      <c r="EM62" s="101"/>
      <c r="EN62" s="101"/>
      <c r="EO62" s="101"/>
      <c r="EP62" s="101"/>
      <c r="EQ62" s="101"/>
      <c r="ER62" s="101"/>
      <c r="ES62" s="101"/>
      <c r="ET62" s="101"/>
      <c r="EU62" s="101"/>
      <c r="EV62" s="101"/>
      <c r="EW62" s="101"/>
    </row>
    <row r="63" spans="1:153">
      <c r="A63" s="114"/>
      <c r="B63" s="101"/>
      <c r="C63" s="101"/>
      <c r="D63" s="101"/>
      <c r="E63" s="101"/>
      <c r="F63" s="101"/>
      <c r="G63" s="101"/>
      <c r="H63" s="101"/>
      <c r="I63" s="101"/>
      <c r="J63" s="101"/>
      <c r="K63" s="101"/>
      <c r="L63" s="101"/>
      <c r="M63" s="101"/>
      <c r="N63" s="101"/>
      <c r="O63" s="101"/>
      <c r="P63" s="101"/>
      <c r="Q63" s="101"/>
      <c r="R63" s="101"/>
      <c r="S63" s="101"/>
      <c r="T63" s="101"/>
      <c r="U63" s="101"/>
      <c r="V63" s="101"/>
      <c r="W63" s="101"/>
      <c r="X63" s="101"/>
      <c r="Y63" s="101"/>
      <c r="Z63" s="101"/>
      <c r="AA63" s="101"/>
      <c r="AB63" s="101"/>
      <c r="AC63" s="101"/>
      <c r="AD63" s="101"/>
      <c r="AE63" s="101"/>
      <c r="AF63" s="101"/>
      <c r="AG63" s="101"/>
      <c r="AH63" s="101"/>
      <c r="AI63" s="101"/>
      <c r="AJ63" s="101"/>
      <c r="AK63" s="101"/>
      <c r="AL63" s="101"/>
      <c r="AM63" s="101"/>
      <c r="AN63" s="101"/>
      <c r="AO63" s="101"/>
      <c r="AP63" s="101"/>
      <c r="AQ63" s="101"/>
      <c r="AR63" s="101"/>
      <c r="AS63" s="101"/>
      <c r="AT63" s="101"/>
      <c r="AU63" s="101"/>
      <c r="AV63" s="101"/>
      <c r="AW63" s="101"/>
      <c r="AX63" s="101"/>
      <c r="AY63" s="101"/>
      <c r="AZ63" s="101"/>
      <c r="BA63" s="101"/>
      <c r="BB63" s="101"/>
      <c r="BC63" s="101"/>
      <c r="BD63" s="101"/>
      <c r="BE63" s="101"/>
      <c r="BF63" s="101"/>
      <c r="BG63" s="101"/>
      <c r="BH63" s="101"/>
      <c r="BI63" s="101"/>
      <c r="BJ63" s="101"/>
      <c r="BK63" s="101"/>
      <c r="BL63" s="101"/>
      <c r="BM63" s="101"/>
      <c r="BN63" s="101"/>
      <c r="BO63" s="101"/>
      <c r="BP63" s="101"/>
      <c r="BQ63" s="101"/>
      <c r="BR63" s="101"/>
      <c r="BS63" s="101"/>
      <c r="BT63" s="101"/>
      <c r="BU63" s="101"/>
      <c r="BV63" s="101"/>
      <c r="BW63" s="101"/>
      <c r="BX63" s="101"/>
      <c r="BY63" s="101"/>
      <c r="BZ63" s="101"/>
      <c r="CA63" s="101"/>
      <c r="CB63" s="101"/>
      <c r="CC63" s="101"/>
      <c r="CD63" s="101"/>
      <c r="CE63" s="101"/>
      <c r="CF63" s="101"/>
      <c r="CG63" s="101"/>
      <c r="CH63" s="101"/>
      <c r="CI63" s="101"/>
      <c r="CJ63" s="101"/>
      <c r="CK63" s="101"/>
      <c r="CL63" s="101"/>
      <c r="CM63" s="101"/>
      <c r="CN63" s="101"/>
      <c r="CO63" s="101"/>
      <c r="CP63" s="101"/>
      <c r="CQ63" s="101"/>
      <c r="CR63" s="101"/>
      <c r="CS63" s="101"/>
      <c r="CT63" s="101"/>
      <c r="CU63" s="101"/>
      <c r="CV63" s="101"/>
      <c r="CW63" s="101"/>
      <c r="CX63" s="101"/>
      <c r="CY63" s="101"/>
      <c r="CZ63" s="101"/>
      <c r="DA63" s="101"/>
      <c r="DB63" s="101"/>
      <c r="DC63" s="101"/>
      <c r="DD63" s="101"/>
      <c r="DE63" s="101"/>
      <c r="DF63" s="101"/>
      <c r="DG63" s="101"/>
      <c r="DH63" s="101"/>
      <c r="DI63" s="101"/>
      <c r="DJ63" s="101"/>
      <c r="DK63" s="101"/>
      <c r="DL63" s="101"/>
      <c r="DM63" s="101"/>
      <c r="DN63" s="101"/>
      <c r="DO63" s="101"/>
      <c r="DP63" s="101"/>
      <c r="DQ63" s="101"/>
      <c r="DR63" s="101"/>
      <c r="DS63" s="65"/>
      <c r="DT63" s="65"/>
      <c r="DU63" s="65"/>
      <c r="DV63" s="65"/>
      <c r="DW63" s="65"/>
      <c r="DX63" s="65"/>
      <c r="DZ63" s="101"/>
      <c r="EA63" s="101"/>
      <c r="EB63" s="101"/>
      <c r="EC63" s="101"/>
      <c r="ED63" s="101"/>
      <c r="EE63" s="101"/>
      <c r="EF63" s="101"/>
      <c r="EG63" s="101"/>
      <c r="EH63" s="101"/>
      <c r="EI63" s="101"/>
      <c r="EJ63" s="101"/>
      <c r="EK63" s="101"/>
      <c r="EL63" s="101"/>
      <c r="EM63" s="101"/>
      <c r="EN63" s="101"/>
      <c r="EO63" s="101"/>
      <c r="EP63" s="101"/>
      <c r="EQ63" s="101"/>
      <c r="ER63" s="101"/>
      <c r="ES63" s="101"/>
      <c r="ET63" s="101"/>
      <c r="EU63" s="101"/>
      <c r="EV63" s="101"/>
      <c r="EW63" s="101"/>
    </row>
    <row r="64" spans="1:153">
      <c r="A64" s="114"/>
      <c r="B64" s="101"/>
      <c r="C64" s="101"/>
      <c r="D64" s="101"/>
      <c r="E64" s="101"/>
      <c r="F64" s="101"/>
      <c r="G64" s="101"/>
      <c r="H64" s="101"/>
      <c r="I64" s="101"/>
      <c r="J64" s="101"/>
      <c r="K64" s="101"/>
      <c r="L64" s="101"/>
      <c r="M64" s="101"/>
      <c r="N64" s="101"/>
      <c r="O64" s="101"/>
      <c r="P64" s="101"/>
      <c r="Q64" s="101"/>
      <c r="R64" s="101"/>
      <c r="S64" s="101"/>
      <c r="T64" s="101"/>
      <c r="U64" s="101"/>
      <c r="V64" s="101"/>
      <c r="W64" s="101"/>
      <c r="X64" s="101"/>
      <c r="Y64" s="101"/>
      <c r="Z64" s="101"/>
      <c r="AA64" s="101"/>
      <c r="AB64" s="101"/>
      <c r="AC64" s="101"/>
      <c r="AD64" s="101"/>
      <c r="AE64" s="101"/>
      <c r="AF64" s="101"/>
      <c r="AG64" s="101"/>
      <c r="AH64" s="101"/>
      <c r="AI64" s="101"/>
      <c r="AJ64" s="101"/>
      <c r="AK64" s="101"/>
      <c r="AL64" s="101"/>
      <c r="AM64" s="101"/>
      <c r="AN64" s="101"/>
      <c r="AO64" s="101"/>
      <c r="AP64" s="101"/>
      <c r="AQ64" s="101"/>
      <c r="AR64" s="101"/>
      <c r="AS64" s="101"/>
      <c r="AT64" s="101"/>
      <c r="AU64" s="101"/>
      <c r="AV64" s="101"/>
      <c r="AW64" s="101"/>
      <c r="AX64" s="101"/>
      <c r="AY64" s="101"/>
      <c r="AZ64" s="101"/>
      <c r="BA64" s="101"/>
      <c r="BB64" s="101"/>
      <c r="BC64" s="101"/>
      <c r="BD64" s="101"/>
      <c r="BE64" s="101"/>
      <c r="BF64" s="101"/>
      <c r="BG64" s="101"/>
      <c r="BH64" s="101"/>
      <c r="BI64" s="101"/>
      <c r="BJ64" s="101"/>
      <c r="BK64" s="101"/>
      <c r="BL64" s="101"/>
      <c r="BM64" s="101"/>
      <c r="BN64" s="101"/>
      <c r="BO64" s="101"/>
      <c r="BP64" s="101"/>
      <c r="BQ64" s="101"/>
      <c r="BR64" s="101"/>
      <c r="BS64" s="101"/>
      <c r="BT64" s="101"/>
      <c r="BU64" s="101"/>
      <c r="BV64" s="101"/>
      <c r="BW64" s="101"/>
      <c r="BX64" s="101"/>
      <c r="BY64" s="101"/>
      <c r="BZ64" s="101"/>
      <c r="CA64" s="101"/>
      <c r="CB64" s="101"/>
      <c r="CC64" s="101"/>
      <c r="CD64" s="101"/>
      <c r="CE64" s="101"/>
      <c r="CF64" s="101"/>
      <c r="CG64" s="101"/>
      <c r="CH64" s="101"/>
      <c r="CI64" s="101"/>
      <c r="CJ64" s="101"/>
      <c r="CK64" s="101"/>
      <c r="CL64" s="101"/>
      <c r="CM64" s="101"/>
      <c r="CN64" s="101"/>
      <c r="CO64" s="101"/>
      <c r="CP64" s="101"/>
      <c r="CQ64" s="101"/>
      <c r="CR64" s="101"/>
      <c r="CS64" s="101"/>
      <c r="CT64" s="101"/>
      <c r="CU64" s="101"/>
      <c r="CV64" s="101"/>
      <c r="CW64" s="101"/>
      <c r="CX64" s="101"/>
      <c r="CY64" s="101"/>
      <c r="CZ64" s="101"/>
      <c r="DA64" s="101"/>
      <c r="DB64" s="101"/>
      <c r="DC64" s="101"/>
      <c r="DD64" s="101"/>
      <c r="DE64" s="101"/>
      <c r="DF64" s="101"/>
      <c r="DG64" s="101"/>
      <c r="DH64" s="101"/>
      <c r="DI64" s="101"/>
      <c r="DJ64" s="101"/>
      <c r="DK64" s="101"/>
      <c r="DL64" s="101"/>
      <c r="DM64" s="101"/>
      <c r="DN64" s="101"/>
      <c r="DO64" s="101"/>
      <c r="DP64" s="101"/>
      <c r="DQ64" s="101"/>
      <c r="DR64" s="101"/>
      <c r="DS64" s="65"/>
      <c r="DT64" s="65"/>
      <c r="DU64" s="65"/>
      <c r="DV64" s="65"/>
      <c r="DW64" s="65"/>
      <c r="DX64" s="65"/>
      <c r="DZ64" s="101"/>
      <c r="EA64" s="101"/>
      <c r="EB64" s="101"/>
      <c r="EC64" s="101"/>
      <c r="ED64" s="101"/>
      <c r="EE64" s="101"/>
      <c r="EF64" s="101"/>
      <c r="EG64" s="101"/>
      <c r="EH64" s="101"/>
      <c r="EI64" s="101"/>
      <c r="EJ64" s="101"/>
      <c r="EK64" s="101"/>
      <c r="EL64" s="101"/>
      <c r="EM64" s="101"/>
      <c r="EN64" s="101"/>
      <c r="EO64" s="101"/>
      <c r="EP64" s="101"/>
      <c r="EQ64" s="101"/>
      <c r="ER64" s="101"/>
      <c r="ES64" s="101"/>
      <c r="ET64" s="101"/>
      <c r="EU64" s="101"/>
      <c r="EV64" s="101"/>
      <c r="EW64" s="101"/>
    </row>
    <row r="65" spans="1:153">
      <c r="A65" s="114"/>
      <c r="B65" s="101"/>
      <c r="C65" s="101"/>
      <c r="D65" s="101"/>
      <c r="E65" s="101"/>
      <c r="F65" s="101"/>
      <c r="G65" s="101"/>
      <c r="H65" s="101"/>
      <c r="I65" s="101"/>
      <c r="J65" s="101"/>
      <c r="K65" s="101"/>
      <c r="L65" s="101"/>
      <c r="M65" s="101"/>
      <c r="N65" s="101"/>
      <c r="O65" s="101"/>
      <c r="P65" s="101"/>
      <c r="Q65" s="101"/>
      <c r="R65" s="101"/>
      <c r="S65" s="101"/>
      <c r="T65" s="101"/>
      <c r="U65" s="101"/>
      <c r="V65" s="101"/>
      <c r="W65" s="101"/>
      <c r="X65" s="101"/>
      <c r="Y65" s="101"/>
      <c r="Z65" s="101"/>
      <c r="AA65" s="101"/>
      <c r="AB65" s="101"/>
      <c r="AC65" s="101"/>
      <c r="AD65" s="101"/>
      <c r="AE65" s="101"/>
      <c r="AF65" s="101"/>
      <c r="AG65" s="101"/>
      <c r="AH65" s="101"/>
      <c r="AI65" s="101"/>
      <c r="AJ65" s="101"/>
      <c r="AK65" s="101"/>
      <c r="AL65" s="101"/>
      <c r="AM65" s="101"/>
      <c r="AN65" s="101"/>
      <c r="AO65" s="101"/>
      <c r="AP65" s="101"/>
      <c r="AQ65" s="101"/>
      <c r="AR65" s="101"/>
      <c r="AS65" s="101"/>
      <c r="AT65" s="101"/>
      <c r="AU65" s="101"/>
      <c r="AV65" s="101"/>
      <c r="AW65" s="101"/>
      <c r="AX65" s="101"/>
      <c r="AY65" s="101"/>
      <c r="AZ65" s="101"/>
      <c r="BA65" s="101"/>
      <c r="BB65" s="101"/>
      <c r="BC65" s="101"/>
      <c r="BD65" s="101"/>
      <c r="BE65" s="101"/>
      <c r="BF65" s="101"/>
      <c r="BG65" s="101"/>
      <c r="BH65" s="101"/>
      <c r="BI65" s="101"/>
      <c r="BJ65" s="101"/>
      <c r="BK65" s="101"/>
      <c r="BL65" s="101"/>
      <c r="BM65" s="101"/>
      <c r="BN65" s="101"/>
      <c r="BO65" s="101"/>
      <c r="BP65" s="101"/>
      <c r="BQ65" s="101"/>
      <c r="BR65" s="101"/>
      <c r="BS65" s="101"/>
      <c r="BT65" s="101"/>
      <c r="BU65" s="101"/>
      <c r="BV65" s="101"/>
      <c r="BW65" s="101"/>
      <c r="BX65" s="101"/>
      <c r="BY65" s="101"/>
      <c r="BZ65" s="101"/>
      <c r="CA65" s="101"/>
      <c r="CB65" s="101"/>
      <c r="CC65" s="101"/>
      <c r="CD65" s="101"/>
      <c r="CE65" s="101"/>
      <c r="CF65" s="101"/>
      <c r="CG65" s="101"/>
      <c r="CH65" s="101"/>
      <c r="CI65" s="101"/>
      <c r="CJ65" s="101"/>
      <c r="CK65" s="101"/>
      <c r="CL65" s="101"/>
      <c r="CM65" s="101"/>
      <c r="CN65" s="101"/>
      <c r="CO65" s="101"/>
      <c r="CP65" s="101"/>
      <c r="CQ65" s="101"/>
      <c r="CR65" s="101"/>
      <c r="CS65" s="101"/>
      <c r="CT65" s="101"/>
      <c r="CU65" s="101"/>
      <c r="CV65" s="101"/>
      <c r="CW65" s="101"/>
      <c r="CX65" s="101"/>
      <c r="CY65" s="101"/>
      <c r="CZ65" s="101"/>
      <c r="DA65" s="101"/>
      <c r="DB65" s="101"/>
      <c r="DC65" s="101"/>
      <c r="DD65" s="101"/>
      <c r="DE65" s="101"/>
      <c r="DF65" s="101"/>
      <c r="DG65" s="101"/>
      <c r="DH65" s="101"/>
      <c r="DI65" s="101"/>
      <c r="DJ65" s="101"/>
      <c r="DK65" s="101"/>
      <c r="DL65" s="101"/>
      <c r="DM65" s="101"/>
      <c r="DN65" s="101"/>
      <c r="DO65" s="101"/>
      <c r="DP65" s="101"/>
      <c r="DQ65" s="101"/>
      <c r="DR65" s="101"/>
      <c r="DS65" s="65"/>
      <c r="DT65" s="65"/>
      <c r="DU65" s="65"/>
      <c r="DV65" s="65"/>
      <c r="DW65" s="65"/>
      <c r="DX65" s="65"/>
      <c r="DZ65" s="101"/>
      <c r="EA65" s="101"/>
      <c r="EB65" s="101"/>
      <c r="EC65" s="101"/>
      <c r="ED65" s="101"/>
      <c r="EE65" s="101"/>
      <c r="EF65" s="101"/>
      <c r="EG65" s="101"/>
      <c r="EH65" s="101"/>
      <c r="EI65" s="101"/>
      <c r="EJ65" s="101"/>
      <c r="EK65" s="101"/>
      <c r="EL65" s="101"/>
      <c r="EM65" s="101"/>
      <c r="EN65" s="101"/>
      <c r="EO65" s="101"/>
      <c r="EP65" s="101"/>
      <c r="EQ65" s="101"/>
      <c r="ER65" s="101"/>
      <c r="ES65" s="101"/>
      <c r="ET65" s="101"/>
      <c r="EU65" s="101"/>
      <c r="EV65" s="101"/>
      <c r="EW65" s="101"/>
    </row>
    <row r="66" spans="1:153">
      <c r="A66" s="114"/>
      <c r="B66" s="101"/>
      <c r="C66" s="101"/>
      <c r="D66" s="101"/>
      <c r="E66" s="101"/>
      <c r="F66" s="101"/>
      <c r="G66" s="101"/>
      <c r="H66" s="101"/>
      <c r="I66" s="101"/>
      <c r="J66" s="101"/>
      <c r="K66" s="101"/>
      <c r="L66" s="101"/>
      <c r="M66" s="101"/>
      <c r="N66" s="101"/>
      <c r="O66" s="101"/>
      <c r="P66" s="101"/>
      <c r="Q66" s="101"/>
      <c r="R66" s="101"/>
      <c r="S66" s="101"/>
      <c r="T66" s="101"/>
      <c r="U66" s="101"/>
      <c r="V66" s="101"/>
      <c r="W66" s="101"/>
      <c r="X66" s="101"/>
      <c r="Y66" s="101"/>
      <c r="Z66" s="101"/>
      <c r="AA66" s="101"/>
      <c r="AB66" s="101"/>
      <c r="AC66" s="101"/>
      <c r="AD66" s="101"/>
      <c r="AE66" s="101"/>
      <c r="AF66" s="101"/>
      <c r="AG66" s="101"/>
      <c r="AH66" s="101"/>
      <c r="AI66" s="101"/>
      <c r="AJ66" s="101"/>
      <c r="AK66" s="101"/>
      <c r="AL66" s="101"/>
      <c r="AM66" s="101"/>
      <c r="AN66" s="101"/>
      <c r="AO66" s="101"/>
      <c r="AP66" s="101"/>
      <c r="AQ66" s="101"/>
      <c r="AR66" s="101"/>
      <c r="AS66" s="101"/>
      <c r="AT66" s="101"/>
      <c r="AU66" s="101"/>
      <c r="AV66" s="101"/>
      <c r="AW66" s="101"/>
      <c r="AX66" s="101"/>
      <c r="AY66" s="101"/>
      <c r="AZ66" s="101"/>
      <c r="BA66" s="101"/>
      <c r="BB66" s="101"/>
      <c r="BC66" s="101"/>
      <c r="BD66" s="101"/>
      <c r="BE66" s="101"/>
      <c r="BF66" s="101"/>
      <c r="BG66" s="101"/>
      <c r="BH66" s="101"/>
      <c r="BI66" s="101"/>
      <c r="BJ66" s="101"/>
      <c r="BK66" s="101"/>
      <c r="BL66" s="101"/>
      <c r="BM66" s="101"/>
      <c r="BN66" s="101"/>
      <c r="BO66" s="101"/>
      <c r="BP66" s="101"/>
      <c r="BQ66" s="101"/>
      <c r="BR66" s="101"/>
      <c r="BS66" s="101"/>
      <c r="BT66" s="101"/>
      <c r="BU66" s="101"/>
      <c r="BV66" s="101"/>
      <c r="BW66" s="101"/>
      <c r="BX66" s="101"/>
      <c r="BY66" s="101"/>
      <c r="BZ66" s="101"/>
      <c r="CA66" s="101"/>
      <c r="CB66" s="101"/>
      <c r="CC66" s="101"/>
      <c r="CD66" s="101"/>
      <c r="CE66" s="101"/>
      <c r="CF66" s="101"/>
      <c r="CG66" s="101"/>
      <c r="CH66" s="101"/>
      <c r="CI66" s="101"/>
      <c r="CJ66" s="101"/>
      <c r="CK66" s="101"/>
      <c r="CL66" s="101"/>
      <c r="CM66" s="101"/>
      <c r="CN66" s="101"/>
      <c r="CO66" s="101"/>
      <c r="CP66" s="101"/>
      <c r="CQ66" s="101"/>
      <c r="CR66" s="101"/>
      <c r="CS66" s="101"/>
      <c r="CT66" s="101"/>
      <c r="CU66" s="101"/>
      <c r="CV66" s="101"/>
      <c r="CW66" s="101"/>
      <c r="CX66" s="101"/>
      <c r="CY66" s="101"/>
      <c r="CZ66" s="101"/>
      <c r="DA66" s="101"/>
      <c r="DB66" s="101"/>
      <c r="DC66" s="101"/>
      <c r="DD66" s="101"/>
      <c r="DE66" s="101"/>
      <c r="DF66" s="101"/>
      <c r="DG66" s="101"/>
      <c r="DH66" s="101"/>
      <c r="DI66" s="101"/>
      <c r="DJ66" s="101"/>
      <c r="DK66" s="101"/>
      <c r="DL66" s="101"/>
      <c r="DM66" s="101"/>
      <c r="DN66" s="101"/>
      <c r="DO66" s="101"/>
      <c r="DP66" s="101"/>
      <c r="DQ66" s="101"/>
      <c r="DR66" s="101"/>
      <c r="DS66" s="65"/>
      <c r="DT66" s="65"/>
      <c r="DU66" s="65"/>
      <c r="DV66" s="65"/>
      <c r="DW66" s="65"/>
      <c r="DX66" s="65"/>
      <c r="DZ66" s="101"/>
      <c r="EA66" s="101"/>
      <c r="EB66" s="101"/>
      <c r="EC66" s="101"/>
      <c r="ED66" s="101"/>
      <c r="EE66" s="101"/>
      <c r="EF66" s="101"/>
      <c r="EG66" s="101"/>
      <c r="EH66" s="101"/>
      <c r="EI66" s="101"/>
      <c r="EJ66" s="101"/>
      <c r="EK66" s="101"/>
      <c r="EL66" s="101"/>
      <c r="EM66" s="101"/>
      <c r="EN66" s="101"/>
      <c r="EO66" s="101"/>
      <c r="EP66" s="101"/>
      <c r="EQ66" s="101"/>
      <c r="ER66" s="101"/>
      <c r="ES66" s="101"/>
      <c r="ET66" s="101"/>
      <c r="EU66" s="101"/>
      <c r="EV66" s="101"/>
      <c r="EW66" s="101"/>
    </row>
    <row r="67" spans="1:153">
      <c r="A67" s="114"/>
      <c r="B67" s="101"/>
      <c r="C67" s="101"/>
      <c r="D67" s="101"/>
      <c r="E67" s="101"/>
      <c r="F67" s="101"/>
      <c r="G67" s="101"/>
      <c r="H67" s="101"/>
      <c r="I67" s="101"/>
      <c r="J67" s="101"/>
      <c r="K67" s="101"/>
      <c r="L67" s="101"/>
      <c r="M67" s="101"/>
      <c r="N67" s="101"/>
      <c r="O67" s="101"/>
      <c r="P67" s="101"/>
      <c r="Q67" s="101"/>
      <c r="R67" s="101"/>
      <c r="S67" s="101"/>
      <c r="T67" s="101"/>
      <c r="U67" s="101"/>
      <c r="V67" s="101"/>
      <c r="W67" s="101"/>
      <c r="X67" s="101"/>
      <c r="Y67" s="101"/>
      <c r="Z67" s="101"/>
      <c r="AA67" s="101"/>
      <c r="AB67" s="101"/>
      <c r="AC67" s="101"/>
      <c r="AD67" s="101"/>
      <c r="AE67" s="101"/>
      <c r="AF67" s="101"/>
      <c r="AG67" s="101"/>
      <c r="AH67" s="101"/>
      <c r="AI67" s="101"/>
      <c r="AJ67" s="101"/>
      <c r="AK67" s="101"/>
      <c r="AL67" s="101"/>
      <c r="AM67" s="101"/>
      <c r="AN67" s="101"/>
      <c r="AO67" s="101"/>
      <c r="AP67" s="101"/>
      <c r="AQ67" s="101"/>
      <c r="AR67" s="101"/>
      <c r="AS67" s="101"/>
      <c r="AT67" s="101"/>
      <c r="AU67" s="101"/>
      <c r="AV67" s="101"/>
      <c r="AW67" s="101"/>
      <c r="AX67" s="101"/>
      <c r="AY67" s="101"/>
      <c r="AZ67" s="101"/>
      <c r="BA67" s="101"/>
      <c r="BB67" s="101"/>
      <c r="BC67" s="101"/>
      <c r="BD67" s="101"/>
      <c r="BE67" s="101"/>
      <c r="BF67" s="101"/>
      <c r="BG67" s="101"/>
      <c r="BH67" s="101"/>
      <c r="BI67" s="101"/>
      <c r="BJ67" s="101"/>
      <c r="BK67" s="101"/>
      <c r="BL67" s="101"/>
      <c r="BM67" s="101"/>
      <c r="BN67" s="101"/>
      <c r="BO67" s="101"/>
      <c r="BP67" s="101"/>
      <c r="BQ67" s="101"/>
      <c r="BR67" s="101"/>
      <c r="BS67" s="101"/>
      <c r="BT67" s="101"/>
      <c r="BU67" s="101"/>
      <c r="BV67" s="101"/>
      <c r="BW67" s="101"/>
      <c r="BX67" s="101"/>
      <c r="BY67" s="101"/>
      <c r="BZ67" s="101"/>
      <c r="CA67" s="101"/>
      <c r="CB67" s="101"/>
      <c r="CC67" s="101"/>
      <c r="CD67" s="101"/>
      <c r="CE67" s="101"/>
      <c r="CF67" s="101"/>
      <c r="CG67" s="101"/>
      <c r="CH67" s="101"/>
      <c r="CI67" s="101"/>
      <c r="CJ67" s="101"/>
      <c r="CK67" s="101"/>
      <c r="CL67" s="101"/>
      <c r="CM67" s="101"/>
      <c r="CN67" s="101"/>
      <c r="CO67" s="101"/>
      <c r="CP67" s="101"/>
      <c r="CQ67" s="101"/>
      <c r="CR67" s="101"/>
      <c r="CS67" s="101"/>
      <c r="CT67" s="101"/>
      <c r="CU67" s="101"/>
      <c r="CV67" s="101"/>
      <c r="CW67" s="101"/>
      <c r="CX67" s="101"/>
      <c r="CY67" s="101"/>
      <c r="CZ67" s="101"/>
      <c r="DA67" s="101"/>
      <c r="DB67" s="101"/>
      <c r="DC67" s="101"/>
      <c r="DD67" s="101"/>
      <c r="DE67" s="101"/>
      <c r="DF67" s="101"/>
      <c r="DG67" s="101"/>
      <c r="DH67" s="101"/>
      <c r="DI67" s="101"/>
      <c r="DJ67" s="101"/>
      <c r="DK67" s="101"/>
      <c r="DL67" s="101"/>
      <c r="DM67" s="101"/>
      <c r="DN67" s="101"/>
      <c r="DO67" s="101"/>
      <c r="DP67" s="101"/>
      <c r="DQ67" s="101"/>
      <c r="DR67" s="101"/>
      <c r="DS67" s="65"/>
      <c r="DT67" s="65"/>
      <c r="DU67" s="65"/>
      <c r="DV67" s="65"/>
      <c r="DW67" s="65"/>
      <c r="DX67" s="65"/>
      <c r="DZ67" s="101"/>
      <c r="EA67" s="101"/>
      <c r="EB67" s="101"/>
      <c r="EC67" s="101"/>
      <c r="ED67" s="101"/>
      <c r="EE67" s="101"/>
      <c r="EF67" s="101"/>
      <c r="EG67" s="101"/>
      <c r="EH67" s="101"/>
      <c r="EI67" s="101"/>
      <c r="EJ67" s="101"/>
      <c r="EK67" s="101"/>
      <c r="EL67" s="101"/>
      <c r="EM67" s="101"/>
      <c r="EN67" s="101"/>
      <c r="EO67" s="101"/>
      <c r="EP67" s="101"/>
      <c r="EQ67" s="101"/>
      <c r="ER67" s="101"/>
      <c r="ES67" s="101"/>
      <c r="ET67" s="101"/>
      <c r="EU67" s="101"/>
      <c r="EV67" s="101"/>
      <c r="EW67" s="101"/>
    </row>
    <row r="68" spans="1:153">
      <c r="A68" s="114"/>
      <c r="B68" s="101"/>
      <c r="C68" s="101"/>
      <c r="D68" s="101"/>
      <c r="E68" s="101"/>
      <c r="F68" s="101"/>
      <c r="G68" s="101"/>
      <c r="H68" s="101"/>
      <c r="I68" s="101"/>
      <c r="J68" s="101"/>
      <c r="K68" s="101"/>
      <c r="L68" s="101"/>
      <c r="M68" s="101"/>
      <c r="N68" s="101"/>
      <c r="O68" s="101"/>
      <c r="P68" s="101"/>
      <c r="Q68" s="101"/>
      <c r="R68" s="101"/>
      <c r="S68" s="101"/>
      <c r="T68" s="101"/>
      <c r="U68" s="101"/>
      <c r="V68" s="101"/>
      <c r="W68" s="101"/>
      <c r="X68" s="101"/>
      <c r="Y68" s="101"/>
      <c r="Z68" s="101"/>
      <c r="AA68" s="101"/>
      <c r="AB68" s="101"/>
      <c r="AC68" s="101"/>
      <c r="AD68" s="101"/>
      <c r="AE68" s="101"/>
      <c r="AF68" s="101"/>
      <c r="AG68" s="101"/>
      <c r="AH68" s="101"/>
      <c r="AI68" s="101"/>
      <c r="AJ68" s="101"/>
      <c r="AK68" s="101"/>
      <c r="AL68" s="101"/>
      <c r="AM68" s="101"/>
      <c r="AN68" s="101"/>
      <c r="AO68" s="101"/>
      <c r="AP68" s="101"/>
      <c r="AQ68" s="101"/>
      <c r="AR68" s="101"/>
      <c r="AS68" s="101"/>
      <c r="AT68" s="101"/>
      <c r="AU68" s="101"/>
      <c r="AV68" s="101"/>
      <c r="AW68" s="101"/>
      <c r="AX68" s="101"/>
      <c r="AY68" s="101"/>
      <c r="AZ68" s="101"/>
      <c r="BA68" s="101"/>
      <c r="BB68" s="101"/>
      <c r="BC68" s="101"/>
      <c r="BD68" s="101"/>
      <c r="BE68" s="101"/>
      <c r="BF68" s="101"/>
      <c r="BG68" s="101"/>
      <c r="BH68" s="101"/>
      <c r="BI68" s="101"/>
      <c r="BJ68" s="101"/>
      <c r="BK68" s="101"/>
      <c r="BL68" s="101"/>
      <c r="BM68" s="101"/>
      <c r="BN68" s="101"/>
      <c r="BO68" s="101"/>
      <c r="BP68" s="101"/>
      <c r="BQ68" s="101"/>
      <c r="BR68" s="101"/>
      <c r="BS68" s="101"/>
      <c r="BT68" s="101"/>
      <c r="BU68" s="101"/>
      <c r="BV68" s="101"/>
      <c r="BW68" s="101"/>
      <c r="BX68" s="101"/>
      <c r="BY68" s="101"/>
      <c r="BZ68" s="101"/>
      <c r="CA68" s="101"/>
      <c r="CB68" s="101"/>
      <c r="CC68" s="101"/>
      <c r="CD68" s="101"/>
      <c r="CE68" s="101"/>
      <c r="CF68" s="101"/>
      <c r="CG68" s="101"/>
      <c r="CH68" s="101"/>
      <c r="CI68" s="101"/>
      <c r="CJ68" s="101"/>
      <c r="CK68" s="101"/>
      <c r="CL68" s="101"/>
      <c r="CM68" s="101"/>
      <c r="CN68" s="101"/>
      <c r="CO68" s="101"/>
      <c r="CP68" s="101"/>
      <c r="CQ68" s="101"/>
      <c r="CR68" s="101"/>
      <c r="CS68" s="101"/>
      <c r="CT68" s="101"/>
      <c r="CU68" s="101"/>
      <c r="CV68" s="101"/>
      <c r="CW68" s="101"/>
      <c r="CX68" s="101"/>
      <c r="CY68" s="101"/>
      <c r="CZ68" s="101"/>
      <c r="DA68" s="101"/>
      <c r="DB68" s="101"/>
      <c r="DC68" s="101"/>
      <c r="DD68" s="101"/>
      <c r="DE68" s="101"/>
      <c r="DF68" s="101"/>
      <c r="DG68" s="101"/>
      <c r="DH68" s="101"/>
      <c r="DI68" s="101"/>
      <c r="DJ68" s="101"/>
      <c r="DK68" s="101"/>
      <c r="DL68" s="101"/>
      <c r="DM68" s="101"/>
      <c r="DN68" s="101"/>
      <c r="DO68" s="101"/>
      <c r="DP68" s="101"/>
      <c r="DQ68" s="101"/>
      <c r="DR68" s="101"/>
      <c r="DS68" s="65"/>
      <c r="DT68" s="65"/>
      <c r="DU68" s="65"/>
      <c r="DV68" s="65"/>
      <c r="DW68" s="65"/>
      <c r="DX68" s="65"/>
      <c r="DZ68" s="101"/>
      <c r="EA68" s="101"/>
      <c r="EB68" s="101"/>
      <c r="EC68" s="101"/>
      <c r="ED68" s="101"/>
      <c r="EE68" s="101"/>
      <c r="EF68" s="101"/>
      <c r="EG68" s="101"/>
      <c r="EH68" s="101"/>
      <c r="EI68" s="101"/>
      <c r="EJ68" s="101"/>
      <c r="EK68" s="101"/>
      <c r="EL68" s="101"/>
      <c r="EM68" s="101"/>
      <c r="EN68" s="101"/>
      <c r="EO68" s="101"/>
      <c r="EP68" s="101"/>
      <c r="EQ68" s="101"/>
      <c r="ER68" s="101"/>
      <c r="ES68" s="101"/>
      <c r="ET68" s="101"/>
      <c r="EU68" s="101"/>
      <c r="EV68" s="101"/>
      <c r="EW68" s="101"/>
    </row>
    <row r="69" spans="1:153">
      <c r="A69" s="114"/>
      <c r="B69" s="101"/>
      <c r="C69" s="101"/>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101"/>
      <c r="AO69" s="101"/>
      <c r="AP69" s="101"/>
      <c r="AQ69" s="101"/>
      <c r="AR69" s="101"/>
      <c r="AS69" s="101"/>
      <c r="AT69" s="101"/>
      <c r="AU69" s="101"/>
      <c r="AV69" s="101"/>
      <c r="AW69" s="101"/>
      <c r="AX69" s="101"/>
      <c r="AY69" s="101"/>
      <c r="AZ69" s="101"/>
      <c r="BA69" s="101"/>
      <c r="BB69" s="101"/>
      <c r="BC69" s="101"/>
      <c r="BD69" s="101"/>
      <c r="BE69" s="101"/>
      <c r="BF69" s="101"/>
      <c r="BG69" s="101"/>
      <c r="BH69" s="101"/>
      <c r="BI69" s="101"/>
      <c r="BJ69" s="101"/>
      <c r="BK69" s="101"/>
      <c r="BL69" s="101"/>
      <c r="BM69" s="101"/>
      <c r="BN69" s="101"/>
      <c r="BO69" s="101"/>
      <c r="BP69" s="101"/>
      <c r="BQ69" s="101"/>
      <c r="BR69" s="101"/>
      <c r="BS69" s="101"/>
      <c r="BT69" s="101"/>
      <c r="BU69" s="101"/>
      <c r="BV69" s="101"/>
      <c r="BW69" s="101"/>
      <c r="BX69" s="101"/>
      <c r="BY69" s="101"/>
      <c r="BZ69" s="101"/>
      <c r="CA69" s="101"/>
      <c r="CB69" s="101"/>
      <c r="CC69" s="101"/>
      <c r="CD69" s="101"/>
      <c r="CE69" s="101"/>
      <c r="CF69" s="101"/>
      <c r="CG69" s="101"/>
      <c r="CH69" s="101"/>
      <c r="CI69" s="101"/>
      <c r="CJ69" s="101"/>
      <c r="CK69" s="101"/>
      <c r="CL69" s="101"/>
      <c r="CM69" s="101"/>
      <c r="CN69" s="101"/>
      <c r="CO69" s="101"/>
      <c r="CP69" s="101"/>
      <c r="CQ69" s="101"/>
      <c r="CR69" s="101"/>
      <c r="CS69" s="101"/>
      <c r="CT69" s="101"/>
      <c r="CU69" s="101"/>
      <c r="CV69" s="101"/>
      <c r="CW69" s="101"/>
      <c r="CX69" s="101"/>
      <c r="CY69" s="101"/>
      <c r="CZ69" s="101"/>
      <c r="DA69" s="101"/>
      <c r="DB69" s="101"/>
      <c r="DC69" s="101"/>
      <c r="DD69" s="101"/>
      <c r="DE69" s="101"/>
      <c r="DF69" s="101"/>
      <c r="DG69" s="101"/>
      <c r="DH69" s="101"/>
      <c r="DI69" s="101"/>
      <c r="DJ69" s="101"/>
      <c r="DK69" s="101"/>
      <c r="DL69" s="101"/>
      <c r="DM69" s="101"/>
      <c r="DN69" s="101"/>
      <c r="DO69" s="101"/>
      <c r="DP69" s="101"/>
      <c r="DQ69" s="101"/>
      <c r="DR69" s="101"/>
      <c r="DS69" s="65"/>
      <c r="DT69" s="65"/>
      <c r="DU69" s="65"/>
      <c r="DV69" s="65"/>
      <c r="DW69" s="65"/>
      <c r="DX69" s="65"/>
      <c r="DZ69" s="101"/>
      <c r="EA69" s="101"/>
      <c r="EB69" s="101"/>
      <c r="EC69" s="101"/>
      <c r="ED69" s="101"/>
      <c r="EE69" s="101"/>
      <c r="EF69" s="101"/>
      <c r="EG69" s="101"/>
      <c r="EH69" s="101"/>
      <c r="EI69" s="101"/>
      <c r="EJ69" s="101"/>
      <c r="EK69" s="101"/>
      <c r="EL69" s="101"/>
      <c r="EM69" s="101"/>
      <c r="EN69" s="101"/>
      <c r="EO69" s="101"/>
      <c r="EP69" s="101"/>
      <c r="EQ69" s="101"/>
      <c r="ER69" s="101"/>
      <c r="ES69" s="101"/>
      <c r="ET69" s="101"/>
      <c r="EU69" s="101"/>
      <c r="EV69" s="101"/>
      <c r="EW69" s="101"/>
    </row>
    <row r="70" spans="1:153">
      <c r="A70" s="114"/>
      <c r="B70" s="101"/>
      <c r="C70" s="101"/>
      <c r="D70" s="101"/>
      <c r="E70" s="101"/>
      <c r="F70" s="101"/>
      <c r="G70" s="101"/>
      <c r="H70" s="101"/>
      <c r="I70" s="101"/>
      <c r="J70" s="101"/>
      <c r="K70" s="101"/>
      <c r="L70" s="101"/>
      <c r="M70" s="101"/>
      <c r="N70" s="101"/>
      <c r="O70" s="101"/>
      <c r="P70" s="101"/>
      <c r="Q70" s="101"/>
      <c r="R70" s="101"/>
      <c r="S70" s="101"/>
      <c r="T70" s="101"/>
      <c r="U70" s="101"/>
      <c r="V70" s="101"/>
      <c r="W70" s="101"/>
      <c r="X70" s="101"/>
      <c r="Y70" s="101"/>
      <c r="Z70" s="101"/>
      <c r="AA70" s="101"/>
      <c r="AB70" s="101"/>
      <c r="AC70" s="101"/>
      <c r="AD70" s="101"/>
      <c r="AE70" s="101"/>
      <c r="AF70" s="101"/>
      <c r="AG70" s="101"/>
      <c r="AH70" s="101"/>
      <c r="AI70" s="101"/>
      <c r="AJ70" s="101"/>
      <c r="AK70" s="101"/>
      <c r="AL70" s="101"/>
      <c r="AM70" s="101"/>
      <c r="AN70" s="101"/>
      <c r="AO70" s="101"/>
      <c r="AP70" s="101"/>
      <c r="AQ70" s="101"/>
      <c r="AR70" s="101"/>
      <c r="AS70" s="101"/>
      <c r="AT70" s="101"/>
      <c r="AU70" s="101"/>
      <c r="AV70" s="101"/>
      <c r="AW70" s="101"/>
      <c r="AX70" s="101"/>
      <c r="AY70" s="101"/>
      <c r="AZ70" s="101"/>
      <c r="BA70" s="101"/>
      <c r="BB70" s="101"/>
      <c r="BC70" s="101"/>
      <c r="BD70" s="101"/>
      <c r="BE70" s="101"/>
      <c r="BF70" s="101"/>
      <c r="BG70" s="101"/>
      <c r="BH70" s="101"/>
      <c r="BI70" s="101"/>
      <c r="BJ70" s="101"/>
      <c r="BK70" s="101"/>
      <c r="BL70" s="101"/>
      <c r="BM70" s="101"/>
      <c r="BN70" s="101"/>
      <c r="BO70" s="101"/>
      <c r="BP70" s="101"/>
      <c r="BQ70" s="101"/>
      <c r="BR70" s="101"/>
      <c r="BS70" s="101"/>
      <c r="BT70" s="101"/>
      <c r="BU70" s="101"/>
      <c r="BV70" s="101"/>
      <c r="BW70" s="101"/>
      <c r="BX70" s="101"/>
      <c r="BY70" s="101"/>
      <c r="BZ70" s="101"/>
      <c r="CA70" s="101"/>
      <c r="CB70" s="101"/>
      <c r="CC70" s="101"/>
      <c r="CD70" s="101"/>
      <c r="CE70" s="101"/>
      <c r="CF70" s="101"/>
      <c r="CG70" s="101"/>
      <c r="CH70" s="101"/>
      <c r="CI70" s="101"/>
      <c r="CJ70" s="101"/>
      <c r="CK70" s="101"/>
      <c r="CL70" s="101"/>
      <c r="CM70" s="101"/>
      <c r="CN70" s="101"/>
      <c r="CO70" s="101"/>
      <c r="CP70" s="101"/>
      <c r="CQ70" s="101"/>
      <c r="CR70" s="101"/>
      <c r="CS70" s="101"/>
      <c r="CT70" s="101"/>
      <c r="CU70" s="101"/>
      <c r="CV70" s="101"/>
      <c r="CW70" s="101"/>
      <c r="CX70" s="101"/>
      <c r="CY70" s="101"/>
      <c r="CZ70" s="101"/>
      <c r="DA70" s="101"/>
      <c r="DB70" s="101"/>
      <c r="DC70" s="101"/>
      <c r="DD70" s="101"/>
      <c r="DE70" s="101"/>
      <c r="DF70" s="101"/>
      <c r="DG70" s="101"/>
      <c r="DH70" s="101"/>
      <c r="DI70" s="101"/>
      <c r="DJ70" s="101"/>
      <c r="DK70" s="101"/>
      <c r="DL70" s="101"/>
      <c r="DM70" s="101"/>
      <c r="DN70" s="101"/>
      <c r="DO70" s="101"/>
      <c r="DP70" s="101"/>
      <c r="DQ70" s="101"/>
      <c r="DR70" s="101"/>
      <c r="DS70" s="65"/>
      <c r="DT70" s="65"/>
      <c r="DU70" s="65"/>
      <c r="DV70" s="65"/>
      <c r="DW70" s="65"/>
      <c r="DX70" s="65"/>
      <c r="DZ70" s="101"/>
      <c r="EA70" s="101"/>
      <c r="EB70" s="101"/>
      <c r="EC70" s="101"/>
      <c r="ED70" s="101"/>
      <c r="EE70" s="101"/>
      <c r="EF70" s="101"/>
      <c r="EG70" s="101"/>
      <c r="EH70" s="101"/>
      <c r="EI70" s="101"/>
      <c r="EJ70" s="101"/>
      <c r="EK70" s="101"/>
      <c r="EL70" s="101"/>
      <c r="EM70" s="101"/>
      <c r="EN70" s="101"/>
      <c r="EO70" s="101"/>
      <c r="EP70" s="101"/>
      <c r="EQ70" s="101"/>
      <c r="ER70" s="101"/>
      <c r="ES70" s="101"/>
      <c r="ET70" s="101"/>
      <c r="EU70" s="101"/>
      <c r="EV70" s="101"/>
      <c r="EW70" s="101"/>
    </row>
  </sheetData>
  <autoFilter ref="A2:DX2" xr:uid="{00000000-0001-0000-0100-000000000000}">
    <sortState xmlns:xlrd2="http://schemas.microsoft.com/office/spreadsheetml/2017/richdata2" ref="A3:DX46">
      <sortCondition ref="A2"/>
    </sortState>
  </autoFilter>
  <phoneticPr fontId="9"/>
  <conditionalFormatting sqref="A1:A1048576">
    <cfRule type="duplicateValues" dxfId="380" priority="1"/>
  </conditionalFormatting>
  <pageMargins left="0.7" right="0.7" top="0.75" bottom="0.75" header="0.3" footer="0.3"/>
  <pageSetup paperSize="9" scale="10" fitToHeight="0"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FFC000"/>
    <pageSetUpPr fitToPage="1"/>
  </sheetPr>
  <dimension ref="A1:AI74"/>
  <sheetViews>
    <sheetView showGridLines="0" view="pageBreakPreview" zoomScale="50" zoomScaleNormal="100" zoomScaleSheetLayoutView="50" workbookViewId="0">
      <selection activeCell="Q9" sqref="Q9"/>
    </sheetView>
  </sheetViews>
  <sheetFormatPr defaultColWidth="8.625" defaultRowHeight="18"/>
  <cols>
    <col min="1" max="1" width="3.625" style="12" customWidth="1"/>
    <col min="2" max="4" width="8.625" style="19"/>
    <col min="5" max="5" width="30.625" style="19" customWidth="1"/>
    <col min="6" max="6" width="8.625" style="19"/>
    <col min="7" max="10" width="12.625" style="19" customWidth="1"/>
    <col min="11" max="13" width="3.625" style="19" customWidth="1"/>
    <col min="14" max="14" width="12.625" style="19" customWidth="1"/>
    <col min="15" max="15" width="8.625" style="19"/>
    <col min="16" max="16" width="3.625" style="19" customWidth="1"/>
    <col min="17" max="17" width="12.625" style="19" customWidth="1"/>
    <col min="18" max="20" width="3.625" style="19" customWidth="1"/>
    <col min="21" max="26" width="8.625" style="19"/>
    <col min="27" max="27" width="8.625" style="19" customWidth="1"/>
    <col min="28" max="28" width="3.625" style="12" customWidth="1"/>
    <col min="29" max="29" width="8.625" style="19"/>
    <col min="30" max="30" width="40.625" style="19" customWidth="1"/>
    <col min="31" max="31" width="3.625" style="19" customWidth="1"/>
    <col min="32" max="35" width="8.625" style="19"/>
    <col min="36" max="36" width="30.625" style="19" customWidth="1"/>
    <col min="37" max="16384" width="8.625" style="19"/>
  </cols>
  <sheetData>
    <row r="1" spans="1:35" ht="20.100000000000001" customHeight="1">
      <c r="N1" s="1859" t="str">
        <f xml:space="preserve">
IF(表紙!$X$2="事前協議","（10月１日～３月31日分）",
IF(表紙!$X$2="交付申請（２次）","（10月１日～３月31日分）",
IF(表紙!$X$2="変更申請","（10月１日～３月31日分）",
IF(表紙!$X$2="実績報告（１次）","（５月８日～10月31日分）",
IF(表紙!$X$2="実績報告（２次）","（10月１日～３月31日分）",
IF(表紙!$X$2="交付申請兼実績報告","（10月１日～３月31日分）"))))))</f>
        <v>（10月１日～３月31日分）</v>
      </c>
      <c r="O1" s="1385"/>
      <c r="P1" s="1385"/>
    </row>
    <row r="2" spans="1:35" ht="20.100000000000001" customHeight="1">
      <c r="B2" s="1847" t="s">
        <v>423</v>
      </c>
      <c r="C2" s="1848"/>
      <c r="D2" s="1849"/>
      <c r="H2" s="5" t="s">
        <v>536</v>
      </c>
      <c r="I2" s="648" t="s">
        <v>537</v>
      </c>
      <c r="J2" s="5" t="s">
        <v>44</v>
      </c>
      <c r="K2" s="586"/>
      <c r="L2" s="586"/>
      <c r="M2" s="586"/>
      <c r="AC2" s="648" t="s">
        <v>417</v>
      </c>
      <c r="AD2" s="648" t="s">
        <v>415</v>
      </c>
      <c r="AF2" s="648" t="str">
        <f>AC9</f>
        <v>×</v>
      </c>
      <c r="AG2" s="648" t="str">
        <f>AC15</f>
        <v>○</v>
      </c>
      <c r="AH2" s="648" t="str">
        <f>AC22</f>
        <v>○</v>
      </c>
      <c r="AI2" s="648" t="str">
        <f>AC26</f>
        <v>○</v>
      </c>
    </row>
    <row r="3" spans="1:35" ht="20.100000000000001" customHeight="1">
      <c r="B3" s="1850"/>
      <c r="C3" s="1851"/>
      <c r="D3" s="1852"/>
      <c r="H3" s="351">
        <f>SUM(I30:I74)</f>
        <v>0</v>
      </c>
      <c r="I3" s="8"/>
      <c r="J3" s="351">
        <f>IFERROR(ROUNDUP(SUM(N30:N74)*((H3-I3)/H3),0),0)</f>
        <v>0</v>
      </c>
      <c r="K3" s="587"/>
      <c r="L3" s="587"/>
      <c r="M3" s="587"/>
      <c r="AC3" s="884" t="str">
        <f xml:space="preserve">
IF(COUNTIF(AG2:AI2,"○")=3,"○",
IF(COUNTIF(AG2:AI2,"◎")=3,"◎","×"
))</f>
        <v>○</v>
      </c>
      <c r="AD3" s="1842" t="str">
        <f xml:space="preserve">
IF(AC3="○","整備しない場合は入力不要です。",
IF(AC3="×","【要修正】入力が不十分な箇所があります。",
IF(AC3="◎","適切に入力がされました。")))</f>
        <v>整備しない場合は入力不要です。</v>
      </c>
    </row>
    <row r="4" spans="1:35" ht="9.9499999999999993" customHeight="1">
      <c r="AC4" s="884"/>
      <c r="AD4" s="1842"/>
    </row>
    <row r="5" spans="1:35" ht="20.100000000000001" customHeight="1">
      <c r="B5" s="652" t="s">
        <v>55</v>
      </c>
      <c r="C5" s="652"/>
      <c r="D5" s="652"/>
      <c r="E5" s="652"/>
      <c r="F5" s="652"/>
      <c r="G5" s="652"/>
      <c r="H5" s="652"/>
      <c r="I5" s="652"/>
      <c r="J5" s="652"/>
      <c r="K5" s="652"/>
      <c r="L5" s="652"/>
      <c r="M5" s="652"/>
      <c r="N5" s="652"/>
      <c r="O5" s="652"/>
      <c r="AC5" s="857"/>
      <c r="AD5" s="858"/>
    </row>
    <row r="6" spans="1:35" ht="9.9499999999999993" customHeight="1"/>
    <row r="7" spans="1:35" ht="20.100000000000001" customHeight="1">
      <c r="B7" s="1863" t="str">
        <f>初度設備!B7</f>
        <v>（１）整備を行う対象病床数</v>
      </c>
      <c r="C7" s="953"/>
      <c r="D7" s="953"/>
      <c r="E7" s="953"/>
      <c r="F7" s="953"/>
      <c r="G7" s="953"/>
      <c r="H7" s="953"/>
      <c r="I7" s="953"/>
      <c r="J7" s="953"/>
      <c r="K7" s="953"/>
      <c r="L7" s="953"/>
      <c r="M7" s="953"/>
      <c r="N7" s="953"/>
      <c r="O7" s="953"/>
      <c r="AC7" s="1838" t="s">
        <v>413</v>
      </c>
      <c r="AD7" s="1838" t="s">
        <v>415</v>
      </c>
    </row>
    <row r="8" spans="1:35" ht="9.9499999999999993" customHeight="1">
      <c r="AC8" s="1839"/>
      <c r="AD8" s="1839"/>
    </row>
    <row r="9" spans="1:35" ht="35.1" customHeight="1">
      <c r="B9" s="1864" t="s">
        <v>56</v>
      </c>
      <c r="C9" s="1865"/>
      <c r="D9" s="204" t="str">
        <f>IF(はじめに入力してください!K50="","",はじめに入力してください!K50)</f>
        <v/>
      </c>
      <c r="E9" s="352"/>
      <c r="F9" s="353"/>
      <c r="G9" s="353"/>
      <c r="H9" s="353"/>
      <c r="I9" s="353"/>
      <c r="J9" s="354"/>
      <c r="K9" s="354"/>
      <c r="L9" s="354"/>
      <c r="M9" s="354"/>
      <c r="N9" s="354"/>
      <c r="O9" s="354"/>
      <c r="AC9" s="648" t="str">
        <f xml:space="preserve">
IF(D9="","×",
IF(D9=0,"○",
IF(D9&gt;=1,"◎",
)))</f>
        <v>×</v>
      </c>
      <c r="AD9" s="649" t="str">
        <f xml:space="preserve">
IF(D9="","【要修正】「はじめに入力してください」シートに整備を行う病床の数を入力してください。",
IF(D9=0,"申請しない場合は以下入力不要です。",
IF(D9&gt;=1,"適切に入力されました。",
)))</f>
        <v>【要修正】「はじめに入力してください」シートに整備を行う病床の数を入力してください。</v>
      </c>
    </row>
    <row r="10" spans="1:35" ht="20.100000000000001" customHeight="1">
      <c r="B10" s="1860"/>
      <c r="C10" s="1861"/>
      <c r="D10" s="1862"/>
      <c r="E10" s="1862"/>
      <c r="F10" s="1862"/>
      <c r="G10" s="1862"/>
      <c r="H10" s="1862"/>
      <c r="I10" s="1862"/>
      <c r="J10" s="1862"/>
      <c r="K10" s="1862"/>
      <c r="L10" s="1862"/>
      <c r="M10" s="1862"/>
      <c r="N10" s="1862"/>
      <c r="O10" s="1862"/>
    </row>
    <row r="11" spans="1:35" ht="20.100000000000001" hidden="1" customHeight="1"/>
    <row r="12" spans="1:35" ht="20.100000000000001" customHeight="1">
      <c r="B12" s="1863" t="str">
        <f>初度設備!B12</f>
        <v>（２）この度、新たに整備を行う必要が生じた理由（フロア毎の対応から病室毎の対応への移行の計画内容）を詳しく記入してください。</v>
      </c>
      <c r="C12" s="953"/>
      <c r="D12" s="953"/>
      <c r="E12" s="953"/>
      <c r="F12" s="953"/>
      <c r="G12" s="953"/>
      <c r="H12" s="953"/>
      <c r="I12" s="953"/>
      <c r="J12" s="953"/>
      <c r="K12" s="953"/>
      <c r="L12" s="953"/>
      <c r="M12" s="953"/>
      <c r="N12" s="953"/>
      <c r="O12" s="953"/>
    </row>
    <row r="13" spans="1:35" ht="39.950000000000003" customHeight="1">
      <c r="B13" s="1843" t="s">
        <v>538</v>
      </c>
      <c r="C13" s="952"/>
      <c r="D13" s="952"/>
      <c r="E13" s="952"/>
      <c r="F13" s="952"/>
      <c r="G13" s="952"/>
      <c r="H13" s="952"/>
      <c r="I13" s="952"/>
      <c r="J13" s="952"/>
      <c r="K13" s="952"/>
      <c r="L13" s="952"/>
      <c r="M13" s="952"/>
      <c r="N13" s="952"/>
      <c r="O13" s="952"/>
    </row>
    <row r="14" spans="1:35" s="650" customFormat="1" ht="140.1" customHeight="1">
      <c r="A14" s="13"/>
      <c r="B14" s="1843" t="str">
        <f>VLOOKUP(B2,テーブル!M37:N51,2,FALSE)</f>
        <v>（例）当院は高齢者人口を多く抱える地域に立地し、付近に高齢者施設が複数あることからこれまで、主として高齢患者を多く受け入れる傾向があった。
　　　受入患者には認知症等の老年性の精神症状を呈する者を少なからずおり、その行動特性からゾーニングは難しく、フロア全体をレッドゾーンとして取り
　　　扱わざるを得ず、職員は常にPPEを着用した状態で支援に従事せざるを得ない状況であった。
　　　一方で行動症状を伴わない患者も一定数いること及び、当院の確保病床は２つのフロアに分かれており、一方については全室個室でありかつトイレ・
　　　洗面も備わっていることから当該室を陰圧化し、行動症状が特段見られない患者の受け入れに供することによってフロア内をゾーニングし職員負担の
　　　軽減に繋がるのではと考えた。
　　　ついては、当該フロアの○室の内、受入を行うために供用予定の○室について陰圧機器を設置することで院内感染防止及び職員の安全確保を図ることと
　　　したい。</v>
      </c>
      <c r="C14" s="1675"/>
      <c r="D14" s="1675"/>
      <c r="E14" s="1675"/>
      <c r="F14" s="1675"/>
      <c r="G14" s="1675"/>
      <c r="H14" s="1675"/>
      <c r="I14" s="1675"/>
      <c r="J14" s="1675"/>
      <c r="K14" s="1675"/>
      <c r="L14" s="1675"/>
      <c r="M14" s="1675"/>
      <c r="N14" s="1675"/>
      <c r="O14" s="1675"/>
      <c r="AB14" s="13"/>
      <c r="AC14" s="548" t="s">
        <v>413</v>
      </c>
      <c r="AD14" s="548" t="s">
        <v>414</v>
      </c>
    </row>
    <row r="15" spans="1:35" ht="120" customHeight="1">
      <c r="B15" s="1844"/>
      <c r="C15" s="1845"/>
      <c r="D15" s="1845"/>
      <c r="E15" s="1845"/>
      <c r="F15" s="1845"/>
      <c r="G15" s="1845"/>
      <c r="H15" s="1845"/>
      <c r="I15" s="1845"/>
      <c r="J15" s="1845"/>
      <c r="K15" s="1845"/>
      <c r="L15" s="1845"/>
      <c r="M15" s="1845"/>
      <c r="N15" s="1845"/>
      <c r="O15" s="1846"/>
      <c r="AC15" s="648" t="str">
        <f xml:space="preserve">
IF(COUNTA(B15)=0,"○",
IF(COUNTA(B15)=1,"◎"))</f>
        <v>○</v>
      </c>
      <c r="AD15" s="649" t="str">
        <f xml:space="preserve">
IF(COUNTA(B15)=0,"整備しない場合は入力不要です。",
IF(COUNTA(B15)=1,"入力された状態になりました。"))</f>
        <v>整備しない場合は入力不要です。</v>
      </c>
    </row>
    <row r="16" spans="1:35" ht="20.100000000000001" customHeight="1">
      <c r="AF16" s="766" t="s">
        <v>1480</v>
      </c>
    </row>
    <row r="17" spans="1:32" ht="20.100000000000001" customHeight="1">
      <c r="B17" s="652" t="s">
        <v>452</v>
      </c>
      <c r="C17" s="652"/>
      <c r="D17" s="652"/>
      <c r="E17" s="652"/>
      <c r="F17" s="652"/>
      <c r="G17" s="652"/>
      <c r="H17" s="652"/>
      <c r="I17" s="652"/>
      <c r="J17" s="652"/>
      <c r="K17" s="652"/>
      <c r="L17" s="652"/>
      <c r="M17" s="652"/>
      <c r="N17" s="652"/>
      <c r="O17" s="652"/>
      <c r="AF17" s="19" t="s">
        <v>1481</v>
      </c>
    </row>
    <row r="18" spans="1:32" ht="20.100000000000001" customHeight="1">
      <c r="B18" s="1843" t="s">
        <v>480</v>
      </c>
      <c r="C18" s="952"/>
      <c r="D18" s="952"/>
      <c r="E18" s="952"/>
      <c r="F18" s="952"/>
      <c r="G18" s="952"/>
      <c r="H18" s="952"/>
      <c r="I18" s="952"/>
      <c r="J18" s="952"/>
      <c r="K18" s="952"/>
      <c r="L18" s="952"/>
      <c r="M18" s="952"/>
      <c r="N18" s="952"/>
      <c r="O18" s="952"/>
    </row>
    <row r="19" spans="1:32" ht="20.100000000000001" customHeight="1">
      <c r="B19" s="1843"/>
      <c r="C19" s="952"/>
      <c r="D19" s="952"/>
      <c r="E19" s="952"/>
      <c r="F19" s="952"/>
      <c r="G19" s="952"/>
      <c r="H19" s="952"/>
      <c r="I19" s="952"/>
      <c r="J19" s="952"/>
      <c r="K19" s="952"/>
      <c r="L19" s="952"/>
      <c r="M19" s="952"/>
      <c r="N19" s="952"/>
      <c r="O19" s="952"/>
    </row>
    <row r="20" spans="1:32" ht="20.100000000000001" customHeight="1">
      <c r="B20" s="1843"/>
      <c r="C20" s="952"/>
      <c r="D20" s="952"/>
      <c r="E20" s="952"/>
      <c r="F20" s="952"/>
      <c r="G20" s="952"/>
      <c r="H20" s="952"/>
      <c r="I20" s="952"/>
      <c r="J20" s="952"/>
      <c r="K20" s="952"/>
      <c r="L20" s="952"/>
      <c r="M20" s="952"/>
      <c r="N20" s="952"/>
      <c r="O20" s="952"/>
    </row>
    <row r="21" spans="1:32" ht="20.100000000000001" customHeight="1">
      <c r="B21" s="952"/>
      <c r="C21" s="952"/>
      <c r="D21" s="952"/>
      <c r="E21" s="952"/>
      <c r="F21" s="952"/>
      <c r="G21" s="952"/>
      <c r="H21" s="952"/>
      <c r="I21" s="952"/>
      <c r="J21" s="952"/>
      <c r="K21" s="952"/>
      <c r="L21" s="952"/>
      <c r="M21" s="952"/>
      <c r="N21" s="952"/>
      <c r="O21" s="952"/>
    </row>
    <row r="22" spans="1:32" ht="120" customHeight="1">
      <c r="B22" s="1844"/>
      <c r="C22" s="1845"/>
      <c r="D22" s="1845"/>
      <c r="E22" s="1845"/>
      <c r="F22" s="1845"/>
      <c r="G22" s="1845"/>
      <c r="H22" s="1845"/>
      <c r="I22" s="1845"/>
      <c r="J22" s="1845"/>
      <c r="K22" s="1845"/>
      <c r="L22" s="1845"/>
      <c r="M22" s="1845"/>
      <c r="N22" s="1845"/>
      <c r="O22" s="1846"/>
      <c r="AC22" s="648" t="str">
        <f xml:space="preserve">
IF(COUNTA(B22)=0,"○",
IF(COUNTA(B22)=1,"◎"))</f>
        <v>○</v>
      </c>
      <c r="AD22" s="649" t="str">
        <f xml:space="preserve">
IF(COUNTA(B22)=0,"整備しない場合は入力不要です。",
IF(COUNTA(B22)=1,"入力された状態になりました。"))</f>
        <v>整備しない場合は入力不要です。</v>
      </c>
    </row>
    <row r="23" spans="1:32" ht="20.100000000000001" customHeight="1"/>
    <row r="24" spans="1:32" ht="20.100000000000001" customHeight="1">
      <c r="B24" s="652" t="s">
        <v>451</v>
      </c>
      <c r="C24" s="652"/>
      <c r="D24" s="652"/>
      <c r="E24" s="652"/>
      <c r="F24" s="652"/>
      <c r="G24" s="652"/>
      <c r="H24" s="652"/>
      <c r="I24" s="652"/>
      <c r="J24" s="652"/>
      <c r="K24" s="652"/>
      <c r="L24" s="652"/>
      <c r="M24" s="652"/>
      <c r="N24" s="652"/>
      <c r="O24" s="652"/>
      <c r="AC24" s="14"/>
    </row>
    <row r="25" spans="1:32" ht="9.9499999999999993" customHeight="1"/>
    <row r="26" spans="1:32" ht="60" customHeight="1">
      <c r="B26" s="1843" t="s">
        <v>559</v>
      </c>
      <c r="C26" s="953"/>
      <c r="D26" s="953"/>
      <c r="E26" s="953"/>
      <c r="F26" s="953"/>
      <c r="G26" s="953"/>
      <c r="H26" s="953"/>
      <c r="I26" s="953"/>
      <c r="J26" s="953"/>
      <c r="K26" s="953"/>
      <c r="L26" s="953"/>
      <c r="M26" s="953"/>
      <c r="N26" s="953"/>
      <c r="O26" s="953"/>
      <c r="AC26" s="648" t="str">
        <f xml:space="preserve">
IF(COUNTIF(AC30:AC74,"○")=45,"○",
IF(COUNTIF(AC30:AC74,"×")&gt;=1,"×",
IF(AND(COUNTIF(AC30:AC74,"◎")&gt;=1,COUNTIF(AC30:AC74,"×")=0),"◎")))</f>
        <v>○</v>
      </c>
      <c r="AD26" s="649" t="str">
        <f xml:space="preserve">
IF(COUNTIF(AC30:AC74,"○")=45,"整備しない場合は入力不要です。",
IF(COUNTIF(AC30:AC74,"×")&gt;=1,"【要修正】入力が不十分な箇所があります。",
IF(AND(COUNTIF(AC30:AC74,"◎")&gt;=1,COUNTIF(AC30:AC74,"×")=0),"適切に入力がされました。")))</f>
        <v>整備しない場合は入力不要です。</v>
      </c>
    </row>
    <row r="27" spans="1:32" ht="9.9499999999999993" customHeight="1">
      <c r="AC27" s="1837" t="s">
        <v>416</v>
      </c>
      <c r="AD27" s="1840" t="s">
        <v>418</v>
      </c>
    </row>
    <row r="28" spans="1:32" ht="18.75">
      <c r="B28" s="1853" t="s">
        <v>41</v>
      </c>
      <c r="C28" s="1854"/>
      <c r="D28" s="1855"/>
      <c r="E28" s="1853" t="s">
        <v>42</v>
      </c>
      <c r="F28" s="1855"/>
      <c r="G28" s="1853" t="s">
        <v>43</v>
      </c>
      <c r="H28" s="1854"/>
      <c r="I28" s="1854"/>
      <c r="J28" s="1855"/>
      <c r="K28" s="1858" t="str">
        <f xml:space="preserve">
IF(表紙!$X$2="事前協議","納品予定日",
IF(表紙!$X$2="交付申請（２次）","納品予定日",
IF(表紙!$X$2="変更申請","納品予定日",
IF(表紙!$X$2="実績報告（１次）","納品日",
IF(表紙!$X$2="実績報告（２次）","納品日",
IF(表紙!$X$2="交付申請兼実績報告","納品日"))))))</f>
        <v>納品日</v>
      </c>
      <c r="L28" s="1390"/>
      <c r="M28" s="1390"/>
      <c r="N28" s="1856" t="s">
        <v>44</v>
      </c>
      <c r="O28" s="1856" t="s">
        <v>45</v>
      </c>
      <c r="Q28" s="1835" t="str">
        <f>K28</f>
        <v>納品日</v>
      </c>
      <c r="R28" s="589"/>
      <c r="S28" s="589"/>
      <c r="T28" s="588"/>
      <c r="AC28" s="1105"/>
      <c r="AD28" s="1841"/>
    </row>
    <row r="29" spans="1:32">
      <c r="B29" s="651" t="s">
        <v>46</v>
      </c>
      <c r="C29" s="651" t="s">
        <v>47</v>
      </c>
      <c r="D29" s="651" t="s">
        <v>48</v>
      </c>
      <c r="E29" s="651" t="s">
        <v>54</v>
      </c>
      <c r="F29" s="651" t="s">
        <v>49</v>
      </c>
      <c r="G29" s="651" t="s">
        <v>50</v>
      </c>
      <c r="H29" s="651" t="s">
        <v>51</v>
      </c>
      <c r="I29" s="651" t="s">
        <v>52</v>
      </c>
      <c r="J29" s="651" t="s">
        <v>53</v>
      </c>
      <c r="K29" s="651" t="s">
        <v>1352</v>
      </c>
      <c r="L29" s="651" t="s">
        <v>1353</v>
      </c>
      <c r="M29" s="651" t="s">
        <v>1354</v>
      </c>
      <c r="N29" s="1857"/>
      <c r="O29" s="1857"/>
      <c r="Q29" s="1836"/>
      <c r="R29" s="648" t="s">
        <v>1352</v>
      </c>
      <c r="S29" s="648" t="s">
        <v>1353</v>
      </c>
      <c r="T29" s="648" t="s">
        <v>1354</v>
      </c>
      <c r="AC29" s="648" t="s">
        <v>413</v>
      </c>
      <c r="AD29" s="648" t="s">
        <v>415</v>
      </c>
    </row>
    <row r="30" spans="1:32">
      <c r="A30" s="12">
        <v>1</v>
      </c>
      <c r="B30" s="6"/>
      <c r="C30" s="6"/>
      <c r="D30" s="6"/>
      <c r="E30" s="10"/>
      <c r="F30" s="7"/>
      <c r="G30" s="531"/>
      <c r="H30" s="15">
        <f>ROUNDDOWN(G30*1.1,0)</f>
        <v>0</v>
      </c>
      <c r="I30" s="4">
        <f>F30*H30</f>
        <v>0</v>
      </c>
      <c r="J30" s="9"/>
      <c r="K30" s="595"/>
      <c r="L30" s="595"/>
      <c r="M30" s="595"/>
      <c r="N30" s="4">
        <f>IF(J30="補助対象",I30,IF(J30="補助対象外",0,0))</f>
        <v>0</v>
      </c>
      <c r="O30" s="5" t="str">
        <f>IF(AC30="◎",COUNTIF($AC$30:AC30,"◎"),"")</f>
        <v/>
      </c>
      <c r="Q30" s="596" t="str">
        <f>IF(AND(AC30="◎",J30="補助対象"),DATE(IF(K30=5,2023,IF(K30=6,2024)),L30,M30),"")</f>
        <v/>
      </c>
      <c r="R30" s="648" t="str">
        <f>IF(Q30=MAX($Q$30:$Q$74),K30,"")</f>
        <v/>
      </c>
      <c r="S30" s="648" t="str">
        <f>IF(Q30=MAX($Q$30:$Q$74),L30,"")</f>
        <v/>
      </c>
      <c r="T30" s="648" t="str">
        <f>IF(Q30=MAX($Q$30:$Q$74),M30,"")</f>
        <v/>
      </c>
      <c r="Z30" s="649" t="str">
        <f>IF(B30="個別病床",はじめに入力してください!$K$50,IF(B30="共通使用",はじめに入力してください!$K$52,""))</f>
        <v/>
      </c>
      <c r="AB30" s="12">
        <v>1</v>
      </c>
      <c r="AC30" s="648" t="str">
        <f xml:space="preserve">
IF(SUM(COUNTA(B30:G30),COUNTA(J30:M30))=0,"○",
IF(AND(SUM(COUNTA(B30:G30),COUNTA(J30:M30))&gt;0,SUM(COUNTA(B30:G30),COUNTA(J30:M30))&lt;10),"×",
IF(SUM(COUNTA(B30:G30),COUNTA(J30:M30))=10,"◎")))</f>
        <v>○</v>
      </c>
      <c r="AD30" s="649" t="str">
        <f xml:space="preserve">
IF(SUM(COUNTA(B30:G30),COUNTA(J30))=0,"整備しない場合は入力不要です。",
IF(AND(SUM(COUNTA(B30:G30),COUNTA(J30))&gt;0,SUM(COUNTA(B30:G30),COUNTA(J30))&lt;7),"【要修正】未入力の箇所があります。",
IF(SUM(COUNTA(B30:G30),COUNTA(J30))=7,"適切に入力がされました。")))</f>
        <v>整備しない場合は入力不要です。</v>
      </c>
    </row>
    <row r="31" spans="1:32">
      <c r="A31" s="12">
        <v>2</v>
      </c>
      <c r="B31" s="6"/>
      <c r="C31" s="6"/>
      <c r="D31" s="6"/>
      <c r="E31" s="10"/>
      <c r="F31" s="7"/>
      <c r="G31" s="531"/>
      <c r="H31" s="15">
        <f t="shared" ref="H31:H74" si="0">ROUNDDOWN(G31*1.1,0)</f>
        <v>0</v>
      </c>
      <c r="I31" s="4">
        <f t="shared" ref="I31:I74" si="1">F31*H31</f>
        <v>0</v>
      </c>
      <c r="J31" s="9"/>
      <c r="K31" s="595"/>
      <c r="L31" s="595"/>
      <c r="M31" s="595"/>
      <c r="N31" s="4">
        <f t="shared" ref="N31:N74" si="2">IF(J31="補助対象",I31,IF(J31="補助対象外",0,0))</f>
        <v>0</v>
      </c>
      <c r="O31" s="5" t="str">
        <f>IF(AC31="◎",COUNTIF($AC$30:AC31,"◎"),"")</f>
        <v/>
      </c>
      <c r="Q31" s="596" t="str">
        <f t="shared" ref="Q31:Q74" si="3">IF(AND(AC31="◎",J31="補助対象"),DATE(IF(K31=5,2023,IF(K31=6,2024)),L31,M31),"")</f>
        <v/>
      </c>
      <c r="R31" s="648" t="str">
        <f t="shared" ref="R31:R74" si="4">IF(Q31=MAX($Q$30:$Q$74),K31,"")</f>
        <v/>
      </c>
      <c r="S31" s="648" t="str">
        <f t="shared" ref="S31:S74" si="5">IF(Q31=MAX($Q$30:$Q$74),L31,"")</f>
        <v/>
      </c>
      <c r="T31" s="648" t="str">
        <f t="shared" ref="T31:T74" si="6">IF(Q31=MAX($Q$30:$Q$74),M31,"")</f>
        <v/>
      </c>
      <c r="Z31" s="649" t="str">
        <f>IF(B31="個別病床",はじめに入力してください!$K$50,IF(B31="共通使用",はじめに入力してください!$K$52,""))</f>
        <v/>
      </c>
      <c r="AB31" s="12">
        <v>2</v>
      </c>
      <c r="AC31" s="648" t="str">
        <f t="shared" ref="AC31:AC74" si="7" xml:space="preserve">
IF(SUM(COUNTA(B31:G31),COUNTA(J31:M31))=0,"○",
IF(AND(SUM(COUNTA(B31:G31),COUNTA(J31:M31))&gt;0,SUM(COUNTA(B31:G31),COUNTA(J31:M31))&lt;10),"×",
IF(SUM(COUNTA(B31:G31),COUNTA(J31:M31))=10,"◎")))</f>
        <v>○</v>
      </c>
      <c r="AD31" s="649" t="str">
        <f t="shared" ref="AD31:AD74" si="8" xml:space="preserve">
IF(SUM(COUNTA(B31:G31),COUNTA(J31))=0,"整備しない場合は入力不要です。",
IF(AND(SUM(COUNTA(B31:G31),COUNTA(J31))&gt;0,SUM(COUNTA(B31:G31),COUNTA(J31))&lt;7),"【要修正】未入力の箇所があります。",
IF(SUM(COUNTA(B31:G31),COUNTA(J31))=7,"適切に入力がされました。")))</f>
        <v>整備しない場合は入力不要です。</v>
      </c>
    </row>
    <row r="32" spans="1:32">
      <c r="A32" s="12">
        <v>3</v>
      </c>
      <c r="B32" s="6"/>
      <c r="C32" s="6"/>
      <c r="D32" s="6"/>
      <c r="E32" s="10"/>
      <c r="F32" s="7"/>
      <c r="G32" s="531"/>
      <c r="H32" s="15">
        <f t="shared" si="0"/>
        <v>0</v>
      </c>
      <c r="I32" s="4">
        <f t="shared" si="1"/>
        <v>0</v>
      </c>
      <c r="J32" s="9"/>
      <c r="K32" s="595"/>
      <c r="L32" s="595"/>
      <c r="M32" s="595"/>
      <c r="N32" s="4">
        <f t="shared" si="2"/>
        <v>0</v>
      </c>
      <c r="O32" s="5" t="str">
        <f>IF(AC32="◎",COUNTIF($AC$30:AC32,"◎"),"")</f>
        <v/>
      </c>
      <c r="Q32" s="596" t="str">
        <f t="shared" si="3"/>
        <v/>
      </c>
      <c r="R32" s="648" t="str">
        <f t="shared" si="4"/>
        <v/>
      </c>
      <c r="S32" s="648" t="str">
        <f t="shared" si="5"/>
        <v/>
      </c>
      <c r="T32" s="648" t="str">
        <f t="shared" si="6"/>
        <v/>
      </c>
      <c r="Z32" s="649" t="str">
        <f>IF(B32="個別病床",はじめに入力してください!$K$50,IF(B32="共通使用",はじめに入力してください!$K$52,""))</f>
        <v/>
      </c>
      <c r="AB32" s="12">
        <v>3</v>
      </c>
      <c r="AC32" s="648" t="str">
        <f t="shared" si="7"/>
        <v>○</v>
      </c>
      <c r="AD32" s="649" t="str">
        <f t="shared" si="8"/>
        <v>整備しない場合は入力不要です。</v>
      </c>
    </row>
    <row r="33" spans="1:30">
      <c r="A33" s="12">
        <v>4</v>
      </c>
      <c r="B33" s="6"/>
      <c r="C33" s="6"/>
      <c r="D33" s="6"/>
      <c r="E33" s="10"/>
      <c r="F33" s="7"/>
      <c r="G33" s="531"/>
      <c r="H33" s="15">
        <f t="shared" si="0"/>
        <v>0</v>
      </c>
      <c r="I33" s="4">
        <f t="shared" si="1"/>
        <v>0</v>
      </c>
      <c r="J33" s="9"/>
      <c r="K33" s="595"/>
      <c r="L33" s="595"/>
      <c r="M33" s="595"/>
      <c r="N33" s="4">
        <f t="shared" si="2"/>
        <v>0</v>
      </c>
      <c r="O33" s="5" t="str">
        <f>IF(AC33="◎",COUNTIF($AC$30:AC33,"◎"),"")</f>
        <v/>
      </c>
      <c r="Q33" s="596" t="str">
        <f t="shared" si="3"/>
        <v/>
      </c>
      <c r="R33" s="648" t="str">
        <f t="shared" si="4"/>
        <v/>
      </c>
      <c r="S33" s="648" t="str">
        <f t="shared" si="5"/>
        <v/>
      </c>
      <c r="T33" s="648" t="str">
        <f t="shared" si="6"/>
        <v/>
      </c>
      <c r="Z33" s="649" t="str">
        <f>IF(B33="個別病床",はじめに入力してください!$K$50,IF(B33="共通使用",はじめに入力してください!$K$52,""))</f>
        <v/>
      </c>
      <c r="AB33" s="12">
        <v>4</v>
      </c>
      <c r="AC33" s="648" t="str">
        <f t="shared" si="7"/>
        <v>○</v>
      </c>
      <c r="AD33" s="649" t="str">
        <f t="shared" si="8"/>
        <v>整備しない場合は入力不要です。</v>
      </c>
    </row>
    <row r="34" spans="1:30">
      <c r="A34" s="12">
        <v>5</v>
      </c>
      <c r="B34" s="6"/>
      <c r="C34" s="6"/>
      <c r="D34" s="6"/>
      <c r="E34" s="10"/>
      <c r="F34" s="7"/>
      <c r="G34" s="531"/>
      <c r="H34" s="15">
        <f t="shared" si="0"/>
        <v>0</v>
      </c>
      <c r="I34" s="4">
        <f t="shared" si="1"/>
        <v>0</v>
      </c>
      <c r="J34" s="9"/>
      <c r="K34" s="595"/>
      <c r="L34" s="595"/>
      <c r="M34" s="595"/>
      <c r="N34" s="4">
        <f t="shared" si="2"/>
        <v>0</v>
      </c>
      <c r="O34" s="5" t="str">
        <f>IF(AC34="◎",COUNTIF($AC$30:AC34,"◎"),"")</f>
        <v/>
      </c>
      <c r="Q34" s="596" t="str">
        <f t="shared" si="3"/>
        <v/>
      </c>
      <c r="R34" s="648" t="str">
        <f t="shared" si="4"/>
        <v/>
      </c>
      <c r="S34" s="648" t="str">
        <f t="shared" si="5"/>
        <v/>
      </c>
      <c r="T34" s="648" t="str">
        <f t="shared" si="6"/>
        <v/>
      </c>
      <c r="Z34" s="649" t="str">
        <f>IF(B34="個別病床",はじめに入力してください!$K$50,IF(B34="共通使用",はじめに入力してください!$K$52,""))</f>
        <v/>
      </c>
      <c r="AB34" s="12">
        <v>5</v>
      </c>
      <c r="AC34" s="648" t="str">
        <f t="shared" si="7"/>
        <v>○</v>
      </c>
      <c r="AD34" s="649" t="str">
        <f t="shared" si="8"/>
        <v>整備しない場合は入力不要です。</v>
      </c>
    </row>
    <row r="35" spans="1:30">
      <c r="A35" s="12">
        <v>6</v>
      </c>
      <c r="B35" s="6"/>
      <c r="C35" s="6"/>
      <c r="D35" s="6"/>
      <c r="E35" s="10"/>
      <c r="F35" s="7"/>
      <c r="G35" s="531"/>
      <c r="H35" s="15">
        <f t="shared" si="0"/>
        <v>0</v>
      </c>
      <c r="I35" s="4">
        <f t="shared" si="1"/>
        <v>0</v>
      </c>
      <c r="J35" s="9"/>
      <c r="K35" s="595"/>
      <c r="L35" s="595"/>
      <c r="M35" s="595"/>
      <c r="N35" s="4">
        <f t="shared" si="2"/>
        <v>0</v>
      </c>
      <c r="O35" s="5" t="str">
        <f>IF(AC35="◎",COUNTIF($AC$30:AC35,"◎"),"")</f>
        <v/>
      </c>
      <c r="Q35" s="596" t="str">
        <f t="shared" si="3"/>
        <v/>
      </c>
      <c r="R35" s="648" t="str">
        <f t="shared" si="4"/>
        <v/>
      </c>
      <c r="S35" s="648" t="str">
        <f t="shared" si="5"/>
        <v/>
      </c>
      <c r="T35" s="648" t="str">
        <f t="shared" si="6"/>
        <v/>
      </c>
      <c r="Z35" s="649" t="str">
        <f>IF(B35="個別病床",はじめに入力してください!$K$50,IF(B35="共通使用",はじめに入力してください!$K$52,""))</f>
        <v/>
      </c>
      <c r="AB35" s="12">
        <v>6</v>
      </c>
      <c r="AC35" s="648" t="str">
        <f t="shared" si="7"/>
        <v>○</v>
      </c>
      <c r="AD35" s="649" t="str">
        <f t="shared" si="8"/>
        <v>整備しない場合は入力不要です。</v>
      </c>
    </row>
    <row r="36" spans="1:30">
      <c r="A36" s="12">
        <v>7</v>
      </c>
      <c r="B36" s="6"/>
      <c r="C36" s="6"/>
      <c r="D36" s="6"/>
      <c r="E36" s="10"/>
      <c r="F36" s="7"/>
      <c r="G36" s="531"/>
      <c r="H36" s="15">
        <f t="shared" si="0"/>
        <v>0</v>
      </c>
      <c r="I36" s="4">
        <f t="shared" si="1"/>
        <v>0</v>
      </c>
      <c r="J36" s="9"/>
      <c r="K36" s="595"/>
      <c r="L36" s="595"/>
      <c r="M36" s="595"/>
      <c r="N36" s="4">
        <f t="shared" si="2"/>
        <v>0</v>
      </c>
      <c r="O36" s="5" t="str">
        <f>IF(AC36="◎",COUNTIF($AC$30:AC36,"◎"),"")</f>
        <v/>
      </c>
      <c r="Q36" s="596" t="str">
        <f t="shared" si="3"/>
        <v/>
      </c>
      <c r="R36" s="648" t="str">
        <f t="shared" si="4"/>
        <v/>
      </c>
      <c r="S36" s="648" t="str">
        <f t="shared" si="5"/>
        <v/>
      </c>
      <c r="T36" s="648" t="str">
        <f t="shared" si="6"/>
        <v/>
      </c>
      <c r="Z36" s="649" t="str">
        <f>IF(B36="個別病床",はじめに入力してください!$K$50,IF(B36="共通使用",はじめに入力してください!$K$52,""))</f>
        <v/>
      </c>
      <c r="AB36" s="12">
        <v>7</v>
      </c>
      <c r="AC36" s="648" t="str">
        <f t="shared" si="7"/>
        <v>○</v>
      </c>
      <c r="AD36" s="649" t="str">
        <f t="shared" si="8"/>
        <v>整備しない場合は入力不要です。</v>
      </c>
    </row>
    <row r="37" spans="1:30">
      <c r="A37" s="12">
        <v>8</v>
      </c>
      <c r="B37" s="6"/>
      <c r="C37" s="6"/>
      <c r="D37" s="6"/>
      <c r="E37" s="10"/>
      <c r="F37" s="7"/>
      <c r="G37" s="531"/>
      <c r="H37" s="15">
        <f t="shared" si="0"/>
        <v>0</v>
      </c>
      <c r="I37" s="4">
        <f t="shared" si="1"/>
        <v>0</v>
      </c>
      <c r="J37" s="9"/>
      <c r="K37" s="595"/>
      <c r="L37" s="595"/>
      <c r="M37" s="595"/>
      <c r="N37" s="4">
        <f t="shared" si="2"/>
        <v>0</v>
      </c>
      <c r="O37" s="5" t="str">
        <f>IF(AC37="◎",COUNTIF($AC$30:AC37,"◎"),"")</f>
        <v/>
      </c>
      <c r="Q37" s="596" t="str">
        <f t="shared" si="3"/>
        <v/>
      </c>
      <c r="R37" s="648" t="str">
        <f t="shared" si="4"/>
        <v/>
      </c>
      <c r="S37" s="648" t="str">
        <f t="shared" si="5"/>
        <v/>
      </c>
      <c r="T37" s="648" t="str">
        <f t="shared" si="6"/>
        <v/>
      </c>
      <c r="Z37" s="649" t="str">
        <f>IF(B37="個別病床",はじめに入力してください!$K$50,IF(B37="共通使用",はじめに入力してください!$K$52,""))</f>
        <v/>
      </c>
      <c r="AB37" s="12">
        <v>8</v>
      </c>
      <c r="AC37" s="648" t="str">
        <f t="shared" si="7"/>
        <v>○</v>
      </c>
      <c r="AD37" s="649" t="str">
        <f t="shared" si="8"/>
        <v>整備しない場合は入力不要です。</v>
      </c>
    </row>
    <row r="38" spans="1:30">
      <c r="A38" s="12">
        <v>9</v>
      </c>
      <c r="B38" s="6"/>
      <c r="C38" s="6"/>
      <c r="D38" s="6"/>
      <c r="E38" s="10"/>
      <c r="F38" s="7"/>
      <c r="G38" s="531"/>
      <c r="H38" s="15">
        <f t="shared" si="0"/>
        <v>0</v>
      </c>
      <c r="I38" s="4">
        <f t="shared" si="1"/>
        <v>0</v>
      </c>
      <c r="J38" s="9"/>
      <c r="K38" s="595"/>
      <c r="L38" s="595"/>
      <c r="M38" s="595"/>
      <c r="N38" s="4">
        <f t="shared" si="2"/>
        <v>0</v>
      </c>
      <c r="O38" s="5" t="str">
        <f>IF(AC38="◎",COUNTIF($AC$30:AC38,"◎"),"")</f>
        <v/>
      </c>
      <c r="Q38" s="596" t="str">
        <f t="shared" si="3"/>
        <v/>
      </c>
      <c r="R38" s="648" t="str">
        <f t="shared" si="4"/>
        <v/>
      </c>
      <c r="S38" s="648" t="str">
        <f t="shared" si="5"/>
        <v/>
      </c>
      <c r="T38" s="648" t="str">
        <f t="shared" si="6"/>
        <v/>
      </c>
      <c r="Z38" s="649" t="str">
        <f>IF(B38="個別病床",はじめに入力してください!$K$50,IF(B38="共通使用",はじめに入力してください!$K$52,""))</f>
        <v/>
      </c>
      <c r="AB38" s="12">
        <v>9</v>
      </c>
      <c r="AC38" s="648" t="str">
        <f t="shared" si="7"/>
        <v>○</v>
      </c>
      <c r="AD38" s="649" t="str">
        <f t="shared" si="8"/>
        <v>整備しない場合は入力不要です。</v>
      </c>
    </row>
    <row r="39" spans="1:30">
      <c r="A39" s="12">
        <v>10</v>
      </c>
      <c r="B39" s="6"/>
      <c r="C39" s="6"/>
      <c r="D39" s="6"/>
      <c r="E39" s="10"/>
      <c r="F39" s="7"/>
      <c r="G39" s="531"/>
      <c r="H39" s="15">
        <f t="shared" si="0"/>
        <v>0</v>
      </c>
      <c r="I39" s="4">
        <f t="shared" si="1"/>
        <v>0</v>
      </c>
      <c r="J39" s="9"/>
      <c r="K39" s="595"/>
      <c r="L39" s="595"/>
      <c r="M39" s="595"/>
      <c r="N39" s="4">
        <f t="shared" si="2"/>
        <v>0</v>
      </c>
      <c r="O39" s="5" t="str">
        <f>IF(AC39="◎",COUNTIF($AC$30:AC39,"◎"),"")</f>
        <v/>
      </c>
      <c r="Q39" s="596" t="str">
        <f t="shared" si="3"/>
        <v/>
      </c>
      <c r="R39" s="648" t="str">
        <f t="shared" si="4"/>
        <v/>
      </c>
      <c r="S39" s="648" t="str">
        <f t="shared" si="5"/>
        <v/>
      </c>
      <c r="T39" s="648" t="str">
        <f t="shared" si="6"/>
        <v/>
      </c>
      <c r="Z39" s="649" t="str">
        <f>IF(B39="個別病床",はじめに入力してください!$K$50,IF(B39="共通使用",はじめに入力してください!$K$52,""))</f>
        <v/>
      </c>
      <c r="AB39" s="12">
        <v>10</v>
      </c>
      <c r="AC39" s="648" t="str">
        <f t="shared" si="7"/>
        <v>○</v>
      </c>
      <c r="AD39" s="649" t="str">
        <f t="shared" si="8"/>
        <v>整備しない場合は入力不要です。</v>
      </c>
    </row>
    <row r="40" spans="1:30">
      <c r="A40" s="12">
        <v>11</v>
      </c>
      <c r="B40" s="6"/>
      <c r="C40" s="6"/>
      <c r="D40" s="6"/>
      <c r="E40" s="10"/>
      <c r="F40" s="7"/>
      <c r="G40" s="531"/>
      <c r="H40" s="15">
        <f t="shared" si="0"/>
        <v>0</v>
      </c>
      <c r="I40" s="4">
        <f t="shared" si="1"/>
        <v>0</v>
      </c>
      <c r="J40" s="9"/>
      <c r="K40" s="595"/>
      <c r="L40" s="595"/>
      <c r="M40" s="595"/>
      <c r="N40" s="4">
        <f t="shared" si="2"/>
        <v>0</v>
      </c>
      <c r="O40" s="5" t="str">
        <f>IF(AC40="◎",COUNTIF($AC$30:AC40,"◎"),"")</f>
        <v/>
      </c>
      <c r="Q40" s="596" t="str">
        <f t="shared" si="3"/>
        <v/>
      </c>
      <c r="R40" s="648" t="str">
        <f t="shared" si="4"/>
        <v/>
      </c>
      <c r="S40" s="648" t="str">
        <f t="shared" si="5"/>
        <v/>
      </c>
      <c r="T40" s="648" t="str">
        <f t="shared" si="6"/>
        <v/>
      </c>
      <c r="Z40" s="649" t="str">
        <f>IF(B40="個別病床",はじめに入力してください!$K$50,IF(B40="共通使用",はじめに入力してください!$K$52,""))</f>
        <v/>
      </c>
      <c r="AB40" s="12">
        <v>11</v>
      </c>
      <c r="AC40" s="648" t="str">
        <f t="shared" si="7"/>
        <v>○</v>
      </c>
      <c r="AD40" s="649" t="str">
        <f t="shared" si="8"/>
        <v>整備しない場合は入力不要です。</v>
      </c>
    </row>
    <row r="41" spans="1:30">
      <c r="A41" s="12">
        <v>12</v>
      </c>
      <c r="B41" s="6"/>
      <c r="C41" s="6"/>
      <c r="D41" s="6"/>
      <c r="E41" s="10"/>
      <c r="F41" s="7"/>
      <c r="G41" s="531"/>
      <c r="H41" s="15">
        <f t="shared" si="0"/>
        <v>0</v>
      </c>
      <c r="I41" s="4">
        <f t="shared" si="1"/>
        <v>0</v>
      </c>
      <c r="J41" s="9"/>
      <c r="K41" s="595"/>
      <c r="L41" s="595"/>
      <c r="M41" s="595"/>
      <c r="N41" s="4">
        <f t="shared" si="2"/>
        <v>0</v>
      </c>
      <c r="O41" s="5" t="str">
        <f>IF(AC41="◎",COUNTIF($AC$30:AC41,"◎"),"")</f>
        <v/>
      </c>
      <c r="Q41" s="596" t="str">
        <f t="shared" si="3"/>
        <v/>
      </c>
      <c r="R41" s="648" t="str">
        <f t="shared" si="4"/>
        <v/>
      </c>
      <c r="S41" s="648" t="str">
        <f t="shared" si="5"/>
        <v/>
      </c>
      <c r="T41" s="648" t="str">
        <f t="shared" si="6"/>
        <v/>
      </c>
      <c r="Z41" s="649" t="str">
        <f>IF(B41="個別病床",はじめに入力してください!$K$50,IF(B41="共通使用",はじめに入力してください!$K$52,""))</f>
        <v/>
      </c>
      <c r="AB41" s="12">
        <v>12</v>
      </c>
      <c r="AC41" s="648" t="str">
        <f t="shared" si="7"/>
        <v>○</v>
      </c>
      <c r="AD41" s="649" t="str">
        <f t="shared" si="8"/>
        <v>整備しない場合は入力不要です。</v>
      </c>
    </row>
    <row r="42" spans="1:30">
      <c r="A42" s="12">
        <v>13</v>
      </c>
      <c r="B42" s="6"/>
      <c r="C42" s="6"/>
      <c r="D42" s="6"/>
      <c r="E42" s="10"/>
      <c r="F42" s="7"/>
      <c r="G42" s="531"/>
      <c r="H42" s="15">
        <f t="shared" si="0"/>
        <v>0</v>
      </c>
      <c r="I42" s="4">
        <f t="shared" si="1"/>
        <v>0</v>
      </c>
      <c r="J42" s="9"/>
      <c r="K42" s="595"/>
      <c r="L42" s="595"/>
      <c r="M42" s="595"/>
      <c r="N42" s="4">
        <f t="shared" si="2"/>
        <v>0</v>
      </c>
      <c r="O42" s="5" t="str">
        <f>IF(AC42="◎",COUNTIF($AC$30:AC42,"◎"),"")</f>
        <v/>
      </c>
      <c r="Q42" s="596" t="str">
        <f t="shared" si="3"/>
        <v/>
      </c>
      <c r="R42" s="648" t="str">
        <f t="shared" si="4"/>
        <v/>
      </c>
      <c r="S42" s="648" t="str">
        <f t="shared" si="5"/>
        <v/>
      </c>
      <c r="T42" s="648" t="str">
        <f t="shared" si="6"/>
        <v/>
      </c>
      <c r="Z42" s="649" t="str">
        <f>IF(B42="個別病床",はじめに入力してください!$K$50,IF(B42="共通使用",はじめに入力してください!$K$52,""))</f>
        <v/>
      </c>
      <c r="AB42" s="12">
        <v>13</v>
      </c>
      <c r="AC42" s="648" t="str">
        <f t="shared" si="7"/>
        <v>○</v>
      </c>
      <c r="AD42" s="649" t="str">
        <f t="shared" si="8"/>
        <v>整備しない場合は入力不要です。</v>
      </c>
    </row>
    <row r="43" spans="1:30">
      <c r="A43" s="12">
        <v>14</v>
      </c>
      <c r="B43" s="6"/>
      <c r="C43" s="6"/>
      <c r="D43" s="6"/>
      <c r="E43" s="10"/>
      <c r="F43" s="7"/>
      <c r="G43" s="531"/>
      <c r="H43" s="15">
        <f t="shared" si="0"/>
        <v>0</v>
      </c>
      <c r="I43" s="4">
        <f t="shared" si="1"/>
        <v>0</v>
      </c>
      <c r="J43" s="9"/>
      <c r="K43" s="595"/>
      <c r="L43" s="595"/>
      <c r="M43" s="595"/>
      <c r="N43" s="4">
        <f t="shared" si="2"/>
        <v>0</v>
      </c>
      <c r="O43" s="5" t="str">
        <f>IF(AC43="◎",COUNTIF($AC$30:AC43,"◎"),"")</f>
        <v/>
      </c>
      <c r="Q43" s="596" t="str">
        <f t="shared" si="3"/>
        <v/>
      </c>
      <c r="R43" s="648" t="str">
        <f t="shared" si="4"/>
        <v/>
      </c>
      <c r="S43" s="648" t="str">
        <f t="shared" si="5"/>
        <v/>
      </c>
      <c r="T43" s="648" t="str">
        <f t="shared" si="6"/>
        <v/>
      </c>
      <c r="Z43" s="649" t="str">
        <f>IF(B43="個別病床",はじめに入力してください!$K$50,IF(B43="共通使用",はじめに入力してください!$K$52,""))</f>
        <v/>
      </c>
      <c r="AB43" s="12">
        <v>14</v>
      </c>
      <c r="AC43" s="648" t="str">
        <f t="shared" si="7"/>
        <v>○</v>
      </c>
      <c r="AD43" s="649" t="str">
        <f t="shared" si="8"/>
        <v>整備しない場合は入力不要です。</v>
      </c>
    </row>
    <row r="44" spans="1:30">
      <c r="A44" s="12">
        <v>15</v>
      </c>
      <c r="B44" s="6"/>
      <c r="C44" s="6"/>
      <c r="D44" s="6"/>
      <c r="E44" s="10"/>
      <c r="F44" s="7"/>
      <c r="G44" s="531"/>
      <c r="H44" s="15">
        <f t="shared" si="0"/>
        <v>0</v>
      </c>
      <c r="I44" s="4">
        <f t="shared" si="1"/>
        <v>0</v>
      </c>
      <c r="J44" s="9"/>
      <c r="K44" s="595"/>
      <c r="L44" s="595"/>
      <c r="M44" s="595"/>
      <c r="N44" s="4">
        <f t="shared" si="2"/>
        <v>0</v>
      </c>
      <c r="O44" s="5" t="str">
        <f>IF(AC44="◎",COUNTIF($AC$30:AC44,"◎"),"")</f>
        <v/>
      </c>
      <c r="Q44" s="596" t="str">
        <f t="shared" si="3"/>
        <v/>
      </c>
      <c r="R44" s="648" t="str">
        <f t="shared" si="4"/>
        <v/>
      </c>
      <c r="S44" s="648" t="str">
        <f t="shared" si="5"/>
        <v/>
      </c>
      <c r="T44" s="648" t="str">
        <f t="shared" si="6"/>
        <v/>
      </c>
      <c r="Z44" s="649" t="str">
        <f>IF(B44="個別病床",はじめに入力してください!$K$50,IF(B44="共通使用",はじめに入力してください!$K$52,""))</f>
        <v/>
      </c>
      <c r="AB44" s="12">
        <v>15</v>
      </c>
      <c r="AC44" s="648" t="str">
        <f t="shared" si="7"/>
        <v>○</v>
      </c>
      <c r="AD44" s="649" t="str">
        <f t="shared" si="8"/>
        <v>整備しない場合は入力不要です。</v>
      </c>
    </row>
    <row r="45" spans="1:30">
      <c r="A45" s="12">
        <v>16</v>
      </c>
      <c r="B45" s="6"/>
      <c r="C45" s="6"/>
      <c r="D45" s="6"/>
      <c r="E45" s="10"/>
      <c r="F45" s="7"/>
      <c r="G45" s="531"/>
      <c r="H45" s="15">
        <f t="shared" si="0"/>
        <v>0</v>
      </c>
      <c r="I45" s="4">
        <f t="shared" si="1"/>
        <v>0</v>
      </c>
      <c r="J45" s="9"/>
      <c r="K45" s="595"/>
      <c r="L45" s="595"/>
      <c r="M45" s="595"/>
      <c r="N45" s="4">
        <f t="shared" si="2"/>
        <v>0</v>
      </c>
      <c r="O45" s="5" t="str">
        <f>IF(AC45="◎",COUNTIF($AC$30:AC45,"◎"),"")</f>
        <v/>
      </c>
      <c r="Q45" s="596" t="str">
        <f t="shared" si="3"/>
        <v/>
      </c>
      <c r="R45" s="648" t="str">
        <f t="shared" si="4"/>
        <v/>
      </c>
      <c r="S45" s="648" t="str">
        <f t="shared" si="5"/>
        <v/>
      </c>
      <c r="T45" s="648" t="str">
        <f t="shared" si="6"/>
        <v/>
      </c>
      <c r="Z45" s="649" t="str">
        <f>IF(B45="個別病床",はじめに入力してください!$K$50,IF(B45="共通使用",はじめに入力してください!$K$52,""))</f>
        <v/>
      </c>
      <c r="AB45" s="12">
        <v>16</v>
      </c>
      <c r="AC45" s="648" t="str">
        <f t="shared" si="7"/>
        <v>○</v>
      </c>
      <c r="AD45" s="649" t="str">
        <f t="shared" si="8"/>
        <v>整備しない場合は入力不要です。</v>
      </c>
    </row>
    <row r="46" spans="1:30">
      <c r="A46" s="12">
        <v>17</v>
      </c>
      <c r="B46" s="6"/>
      <c r="C46" s="6"/>
      <c r="D46" s="6"/>
      <c r="E46" s="10"/>
      <c r="F46" s="7"/>
      <c r="G46" s="531"/>
      <c r="H46" s="15">
        <f t="shared" si="0"/>
        <v>0</v>
      </c>
      <c r="I46" s="4">
        <f t="shared" si="1"/>
        <v>0</v>
      </c>
      <c r="J46" s="9"/>
      <c r="K46" s="595"/>
      <c r="L46" s="595"/>
      <c r="M46" s="595"/>
      <c r="N46" s="4">
        <f t="shared" si="2"/>
        <v>0</v>
      </c>
      <c r="O46" s="5" t="str">
        <f>IF(AC46="◎",COUNTIF($AC$30:AC46,"◎"),"")</f>
        <v/>
      </c>
      <c r="Q46" s="596" t="str">
        <f t="shared" si="3"/>
        <v/>
      </c>
      <c r="R46" s="648" t="str">
        <f t="shared" si="4"/>
        <v/>
      </c>
      <c r="S46" s="648" t="str">
        <f t="shared" si="5"/>
        <v/>
      </c>
      <c r="T46" s="648" t="str">
        <f t="shared" si="6"/>
        <v/>
      </c>
      <c r="Z46" s="649" t="str">
        <f>IF(B46="個別病床",はじめに入力してください!$K$50,IF(B46="共通使用",はじめに入力してください!$K$52,""))</f>
        <v/>
      </c>
      <c r="AB46" s="12">
        <v>17</v>
      </c>
      <c r="AC46" s="648" t="str">
        <f t="shared" si="7"/>
        <v>○</v>
      </c>
      <c r="AD46" s="649" t="str">
        <f t="shared" si="8"/>
        <v>整備しない場合は入力不要です。</v>
      </c>
    </row>
    <row r="47" spans="1:30">
      <c r="A47" s="12">
        <v>18</v>
      </c>
      <c r="B47" s="6"/>
      <c r="C47" s="6"/>
      <c r="D47" s="6"/>
      <c r="E47" s="10"/>
      <c r="F47" s="7"/>
      <c r="G47" s="531"/>
      <c r="H47" s="15">
        <f t="shared" si="0"/>
        <v>0</v>
      </c>
      <c r="I47" s="4">
        <f t="shared" si="1"/>
        <v>0</v>
      </c>
      <c r="J47" s="9"/>
      <c r="K47" s="595"/>
      <c r="L47" s="595"/>
      <c r="M47" s="595"/>
      <c r="N47" s="4">
        <f t="shared" si="2"/>
        <v>0</v>
      </c>
      <c r="O47" s="5" t="str">
        <f>IF(AC47="◎",COUNTIF($AC$30:AC47,"◎"),"")</f>
        <v/>
      </c>
      <c r="Q47" s="596" t="str">
        <f t="shared" si="3"/>
        <v/>
      </c>
      <c r="R47" s="648" t="str">
        <f t="shared" si="4"/>
        <v/>
      </c>
      <c r="S47" s="648" t="str">
        <f t="shared" si="5"/>
        <v/>
      </c>
      <c r="T47" s="648" t="str">
        <f t="shared" si="6"/>
        <v/>
      </c>
      <c r="Z47" s="649" t="str">
        <f>IF(B47="個別病床",はじめに入力してください!$K$50,IF(B47="共通使用",はじめに入力してください!$K$52,""))</f>
        <v/>
      </c>
      <c r="AB47" s="12">
        <v>18</v>
      </c>
      <c r="AC47" s="648" t="str">
        <f t="shared" si="7"/>
        <v>○</v>
      </c>
      <c r="AD47" s="649" t="str">
        <f t="shared" si="8"/>
        <v>整備しない場合は入力不要です。</v>
      </c>
    </row>
    <row r="48" spans="1:30">
      <c r="A48" s="12">
        <v>19</v>
      </c>
      <c r="B48" s="6"/>
      <c r="C48" s="6"/>
      <c r="D48" s="6"/>
      <c r="E48" s="10"/>
      <c r="F48" s="7"/>
      <c r="G48" s="531"/>
      <c r="H48" s="15">
        <f t="shared" si="0"/>
        <v>0</v>
      </c>
      <c r="I48" s="4">
        <f t="shared" si="1"/>
        <v>0</v>
      </c>
      <c r="J48" s="9"/>
      <c r="K48" s="595"/>
      <c r="L48" s="595"/>
      <c r="M48" s="595"/>
      <c r="N48" s="4">
        <f t="shared" si="2"/>
        <v>0</v>
      </c>
      <c r="O48" s="5" t="str">
        <f>IF(AC48="◎",COUNTIF($AC$30:AC48,"◎"),"")</f>
        <v/>
      </c>
      <c r="Q48" s="596" t="str">
        <f t="shared" si="3"/>
        <v/>
      </c>
      <c r="R48" s="648" t="str">
        <f t="shared" si="4"/>
        <v/>
      </c>
      <c r="S48" s="648" t="str">
        <f t="shared" si="5"/>
        <v/>
      </c>
      <c r="T48" s="648" t="str">
        <f t="shared" si="6"/>
        <v/>
      </c>
      <c r="Z48" s="649" t="str">
        <f>IF(B48="個別病床",はじめに入力してください!$K$50,IF(B48="共通使用",はじめに入力してください!$K$52,""))</f>
        <v/>
      </c>
      <c r="AB48" s="12">
        <v>19</v>
      </c>
      <c r="AC48" s="648" t="str">
        <f t="shared" si="7"/>
        <v>○</v>
      </c>
      <c r="AD48" s="649" t="str">
        <f t="shared" si="8"/>
        <v>整備しない場合は入力不要です。</v>
      </c>
    </row>
    <row r="49" spans="1:30">
      <c r="A49" s="12">
        <v>20</v>
      </c>
      <c r="B49" s="6"/>
      <c r="C49" s="6"/>
      <c r="D49" s="6"/>
      <c r="E49" s="10"/>
      <c r="F49" s="7"/>
      <c r="G49" s="531"/>
      <c r="H49" s="15">
        <f t="shared" si="0"/>
        <v>0</v>
      </c>
      <c r="I49" s="4">
        <f t="shared" si="1"/>
        <v>0</v>
      </c>
      <c r="J49" s="9"/>
      <c r="K49" s="595"/>
      <c r="L49" s="595"/>
      <c r="M49" s="595"/>
      <c r="N49" s="4">
        <f t="shared" si="2"/>
        <v>0</v>
      </c>
      <c r="O49" s="5" t="str">
        <f>IF(AC49="◎",COUNTIF($AC$30:AC49,"◎"),"")</f>
        <v/>
      </c>
      <c r="Q49" s="596" t="str">
        <f t="shared" si="3"/>
        <v/>
      </c>
      <c r="R49" s="648" t="str">
        <f t="shared" si="4"/>
        <v/>
      </c>
      <c r="S49" s="648" t="str">
        <f t="shared" si="5"/>
        <v/>
      </c>
      <c r="T49" s="648" t="str">
        <f t="shared" si="6"/>
        <v/>
      </c>
      <c r="Z49" s="649" t="str">
        <f>IF(B49="個別病床",はじめに入力してください!$K$50,IF(B49="共通使用",はじめに入力してください!$K$52,""))</f>
        <v/>
      </c>
      <c r="AB49" s="12">
        <v>20</v>
      </c>
      <c r="AC49" s="648" t="str">
        <f t="shared" si="7"/>
        <v>○</v>
      </c>
      <c r="AD49" s="649" t="str">
        <f t="shared" si="8"/>
        <v>整備しない場合は入力不要です。</v>
      </c>
    </row>
    <row r="50" spans="1:30">
      <c r="A50" s="12">
        <v>21</v>
      </c>
      <c r="B50" s="6"/>
      <c r="C50" s="6"/>
      <c r="D50" s="6"/>
      <c r="E50" s="10"/>
      <c r="F50" s="7"/>
      <c r="G50" s="531"/>
      <c r="H50" s="15">
        <f t="shared" si="0"/>
        <v>0</v>
      </c>
      <c r="I50" s="4">
        <f t="shared" si="1"/>
        <v>0</v>
      </c>
      <c r="J50" s="9"/>
      <c r="K50" s="595"/>
      <c r="L50" s="595"/>
      <c r="M50" s="595"/>
      <c r="N50" s="4">
        <f t="shared" si="2"/>
        <v>0</v>
      </c>
      <c r="O50" s="5" t="str">
        <f>IF(AC50="◎",COUNTIF($AC$30:AC50,"◎"),"")</f>
        <v/>
      </c>
      <c r="Q50" s="596" t="str">
        <f t="shared" si="3"/>
        <v/>
      </c>
      <c r="R50" s="648" t="str">
        <f t="shared" si="4"/>
        <v/>
      </c>
      <c r="S50" s="648" t="str">
        <f t="shared" si="5"/>
        <v/>
      </c>
      <c r="T50" s="648" t="str">
        <f t="shared" si="6"/>
        <v/>
      </c>
      <c r="Z50" s="649" t="str">
        <f>IF(B50="個別病床",はじめに入力してください!$K$50,IF(B50="共通使用",はじめに入力してください!$K$52,""))</f>
        <v/>
      </c>
      <c r="AB50" s="12">
        <v>21</v>
      </c>
      <c r="AC50" s="648" t="str">
        <f t="shared" si="7"/>
        <v>○</v>
      </c>
      <c r="AD50" s="649" t="str">
        <f t="shared" si="8"/>
        <v>整備しない場合は入力不要です。</v>
      </c>
    </row>
    <row r="51" spans="1:30">
      <c r="A51" s="12">
        <v>22</v>
      </c>
      <c r="B51" s="6"/>
      <c r="C51" s="6"/>
      <c r="D51" s="6"/>
      <c r="E51" s="10"/>
      <c r="F51" s="7"/>
      <c r="G51" s="531"/>
      <c r="H51" s="15">
        <f t="shared" si="0"/>
        <v>0</v>
      </c>
      <c r="I51" s="4">
        <f t="shared" si="1"/>
        <v>0</v>
      </c>
      <c r="J51" s="9"/>
      <c r="K51" s="595"/>
      <c r="L51" s="595"/>
      <c r="M51" s="595"/>
      <c r="N51" s="4">
        <f t="shared" si="2"/>
        <v>0</v>
      </c>
      <c r="O51" s="5" t="str">
        <f>IF(AC51="◎",COUNTIF($AC$30:AC51,"◎"),"")</f>
        <v/>
      </c>
      <c r="Q51" s="596" t="str">
        <f t="shared" si="3"/>
        <v/>
      </c>
      <c r="R51" s="648" t="str">
        <f t="shared" si="4"/>
        <v/>
      </c>
      <c r="S51" s="648" t="str">
        <f t="shared" si="5"/>
        <v/>
      </c>
      <c r="T51" s="648" t="str">
        <f t="shared" si="6"/>
        <v/>
      </c>
      <c r="Z51" s="649" t="str">
        <f>IF(B51="個別病床",はじめに入力してください!$K$50,IF(B51="共通使用",はじめに入力してください!$K$52,""))</f>
        <v/>
      </c>
      <c r="AB51" s="12">
        <v>22</v>
      </c>
      <c r="AC51" s="648" t="str">
        <f t="shared" si="7"/>
        <v>○</v>
      </c>
      <c r="AD51" s="649" t="str">
        <f t="shared" si="8"/>
        <v>整備しない場合は入力不要です。</v>
      </c>
    </row>
    <row r="52" spans="1:30">
      <c r="A52" s="12">
        <v>23</v>
      </c>
      <c r="B52" s="6"/>
      <c r="C52" s="6"/>
      <c r="D52" s="6"/>
      <c r="E52" s="10"/>
      <c r="F52" s="7"/>
      <c r="G52" s="531"/>
      <c r="H52" s="15">
        <f t="shared" si="0"/>
        <v>0</v>
      </c>
      <c r="I52" s="4">
        <f t="shared" si="1"/>
        <v>0</v>
      </c>
      <c r="J52" s="9"/>
      <c r="K52" s="595"/>
      <c r="L52" s="595"/>
      <c r="M52" s="595"/>
      <c r="N52" s="4">
        <f t="shared" si="2"/>
        <v>0</v>
      </c>
      <c r="O52" s="5" t="str">
        <f>IF(AC52="◎",COUNTIF($AC$30:AC52,"◎"),"")</f>
        <v/>
      </c>
      <c r="Q52" s="596" t="str">
        <f t="shared" si="3"/>
        <v/>
      </c>
      <c r="R52" s="648" t="str">
        <f t="shared" si="4"/>
        <v/>
      </c>
      <c r="S52" s="648" t="str">
        <f t="shared" si="5"/>
        <v/>
      </c>
      <c r="T52" s="648" t="str">
        <f t="shared" si="6"/>
        <v/>
      </c>
      <c r="Z52" s="649" t="str">
        <f>IF(B52="個別病床",はじめに入力してください!$K$50,IF(B52="共通使用",はじめに入力してください!$K$52,""))</f>
        <v/>
      </c>
      <c r="AB52" s="12">
        <v>23</v>
      </c>
      <c r="AC52" s="648" t="str">
        <f t="shared" si="7"/>
        <v>○</v>
      </c>
      <c r="AD52" s="649" t="str">
        <f t="shared" si="8"/>
        <v>整備しない場合は入力不要です。</v>
      </c>
    </row>
    <row r="53" spans="1:30">
      <c r="A53" s="12">
        <v>24</v>
      </c>
      <c r="B53" s="6"/>
      <c r="C53" s="6"/>
      <c r="D53" s="6"/>
      <c r="E53" s="10"/>
      <c r="F53" s="7"/>
      <c r="G53" s="531"/>
      <c r="H53" s="15">
        <f t="shared" si="0"/>
        <v>0</v>
      </c>
      <c r="I53" s="4">
        <f t="shared" si="1"/>
        <v>0</v>
      </c>
      <c r="J53" s="9"/>
      <c r="K53" s="595"/>
      <c r="L53" s="595"/>
      <c r="M53" s="595"/>
      <c r="N53" s="4">
        <f t="shared" si="2"/>
        <v>0</v>
      </c>
      <c r="O53" s="5" t="str">
        <f>IF(AC53="◎",COUNTIF($AC$30:AC53,"◎"),"")</f>
        <v/>
      </c>
      <c r="Q53" s="596" t="str">
        <f t="shared" si="3"/>
        <v/>
      </c>
      <c r="R53" s="648" t="str">
        <f t="shared" si="4"/>
        <v/>
      </c>
      <c r="S53" s="648" t="str">
        <f t="shared" si="5"/>
        <v/>
      </c>
      <c r="T53" s="648" t="str">
        <f t="shared" si="6"/>
        <v/>
      </c>
      <c r="Z53" s="649" t="str">
        <f>IF(B53="個別病床",はじめに入力してください!$K$50,IF(B53="共通使用",はじめに入力してください!$K$52,""))</f>
        <v/>
      </c>
      <c r="AB53" s="12">
        <v>24</v>
      </c>
      <c r="AC53" s="648" t="str">
        <f t="shared" si="7"/>
        <v>○</v>
      </c>
      <c r="AD53" s="649" t="str">
        <f t="shared" si="8"/>
        <v>整備しない場合は入力不要です。</v>
      </c>
    </row>
    <row r="54" spans="1:30">
      <c r="A54" s="12">
        <v>25</v>
      </c>
      <c r="B54" s="6"/>
      <c r="C54" s="6"/>
      <c r="D54" s="6"/>
      <c r="E54" s="10"/>
      <c r="F54" s="7"/>
      <c r="G54" s="531"/>
      <c r="H54" s="15">
        <f t="shared" si="0"/>
        <v>0</v>
      </c>
      <c r="I54" s="4">
        <f t="shared" si="1"/>
        <v>0</v>
      </c>
      <c r="J54" s="9"/>
      <c r="K54" s="595"/>
      <c r="L54" s="595"/>
      <c r="M54" s="595"/>
      <c r="N54" s="4">
        <f t="shared" si="2"/>
        <v>0</v>
      </c>
      <c r="O54" s="5" t="str">
        <f>IF(AC54="◎",COUNTIF($AC$30:AC54,"◎"),"")</f>
        <v/>
      </c>
      <c r="Q54" s="596" t="str">
        <f t="shared" si="3"/>
        <v/>
      </c>
      <c r="R54" s="648" t="str">
        <f t="shared" si="4"/>
        <v/>
      </c>
      <c r="S54" s="648" t="str">
        <f t="shared" si="5"/>
        <v/>
      </c>
      <c r="T54" s="648" t="str">
        <f t="shared" si="6"/>
        <v/>
      </c>
      <c r="Z54" s="649" t="str">
        <f>IF(B54="個別病床",はじめに入力してください!$K$50,IF(B54="共通使用",はじめに入力してください!$K$52,""))</f>
        <v/>
      </c>
      <c r="AB54" s="12">
        <v>25</v>
      </c>
      <c r="AC54" s="648" t="str">
        <f t="shared" si="7"/>
        <v>○</v>
      </c>
      <c r="AD54" s="649" t="str">
        <f t="shared" si="8"/>
        <v>整備しない場合は入力不要です。</v>
      </c>
    </row>
    <row r="55" spans="1:30">
      <c r="A55" s="12">
        <v>26</v>
      </c>
      <c r="B55" s="6"/>
      <c r="C55" s="6"/>
      <c r="D55" s="6"/>
      <c r="E55" s="10"/>
      <c r="F55" s="7"/>
      <c r="G55" s="531"/>
      <c r="H55" s="15">
        <f t="shared" si="0"/>
        <v>0</v>
      </c>
      <c r="I55" s="4">
        <f t="shared" si="1"/>
        <v>0</v>
      </c>
      <c r="J55" s="9"/>
      <c r="K55" s="595"/>
      <c r="L55" s="595"/>
      <c r="M55" s="595"/>
      <c r="N55" s="4">
        <f t="shared" si="2"/>
        <v>0</v>
      </c>
      <c r="O55" s="5" t="str">
        <f>IF(AC55="◎",COUNTIF($AC$30:AC55,"◎"),"")</f>
        <v/>
      </c>
      <c r="Q55" s="596" t="str">
        <f t="shared" si="3"/>
        <v/>
      </c>
      <c r="R55" s="648" t="str">
        <f t="shared" si="4"/>
        <v/>
      </c>
      <c r="S55" s="648" t="str">
        <f t="shared" si="5"/>
        <v/>
      </c>
      <c r="T55" s="648" t="str">
        <f t="shared" si="6"/>
        <v/>
      </c>
      <c r="Z55" s="649" t="str">
        <f>IF(B55="個別病床",はじめに入力してください!$K$50,IF(B55="共通使用",はじめに入力してください!$K$52,""))</f>
        <v/>
      </c>
      <c r="AB55" s="12">
        <v>26</v>
      </c>
      <c r="AC55" s="648" t="str">
        <f t="shared" si="7"/>
        <v>○</v>
      </c>
      <c r="AD55" s="649" t="str">
        <f t="shared" si="8"/>
        <v>整備しない場合は入力不要です。</v>
      </c>
    </row>
    <row r="56" spans="1:30">
      <c r="A56" s="12">
        <v>27</v>
      </c>
      <c r="B56" s="6"/>
      <c r="C56" s="6"/>
      <c r="D56" s="6"/>
      <c r="E56" s="10"/>
      <c r="F56" s="7"/>
      <c r="G56" s="531"/>
      <c r="H56" s="15">
        <f t="shared" si="0"/>
        <v>0</v>
      </c>
      <c r="I56" s="4">
        <f t="shared" si="1"/>
        <v>0</v>
      </c>
      <c r="J56" s="9"/>
      <c r="K56" s="595"/>
      <c r="L56" s="595"/>
      <c r="M56" s="595"/>
      <c r="N56" s="4">
        <f t="shared" si="2"/>
        <v>0</v>
      </c>
      <c r="O56" s="5" t="str">
        <f>IF(AC56="◎",COUNTIF($AC$30:AC56,"◎"),"")</f>
        <v/>
      </c>
      <c r="Q56" s="596" t="str">
        <f t="shared" si="3"/>
        <v/>
      </c>
      <c r="R56" s="648" t="str">
        <f t="shared" si="4"/>
        <v/>
      </c>
      <c r="S56" s="648" t="str">
        <f t="shared" si="5"/>
        <v/>
      </c>
      <c r="T56" s="648" t="str">
        <f t="shared" si="6"/>
        <v/>
      </c>
      <c r="Z56" s="649" t="str">
        <f>IF(B56="個別病床",はじめに入力してください!$K$50,IF(B56="共通使用",はじめに入力してください!$K$52,""))</f>
        <v/>
      </c>
      <c r="AB56" s="12">
        <v>27</v>
      </c>
      <c r="AC56" s="648" t="str">
        <f t="shared" si="7"/>
        <v>○</v>
      </c>
      <c r="AD56" s="649" t="str">
        <f t="shared" si="8"/>
        <v>整備しない場合は入力不要です。</v>
      </c>
    </row>
    <row r="57" spans="1:30">
      <c r="A57" s="12">
        <v>28</v>
      </c>
      <c r="B57" s="6"/>
      <c r="C57" s="6"/>
      <c r="D57" s="6"/>
      <c r="E57" s="10"/>
      <c r="F57" s="7"/>
      <c r="G57" s="531"/>
      <c r="H57" s="15">
        <f t="shared" si="0"/>
        <v>0</v>
      </c>
      <c r="I57" s="4">
        <f t="shared" si="1"/>
        <v>0</v>
      </c>
      <c r="J57" s="9"/>
      <c r="K57" s="595"/>
      <c r="L57" s="595"/>
      <c r="M57" s="595"/>
      <c r="N57" s="4">
        <f t="shared" si="2"/>
        <v>0</v>
      </c>
      <c r="O57" s="5" t="str">
        <f>IF(AC57="◎",COUNTIF($AC$30:AC57,"◎"),"")</f>
        <v/>
      </c>
      <c r="Q57" s="596" t="str">
        <f t="shared" si="3"/>
        <v/>
      </c>
      <c r="R57" s="648" t="str">
        <f t="shared" si="4"/>
        <v/>
      </c>
      <c r="S57" s="648" t="str">
        <f t="shared" si="5"/>
        <v/>
      </c>
      <c r="T57" s="648" t="str">
        <f t="shared" si="6"/>
        <v/>
      </c>
      <c r="Z57" s="649" t="str">
        <f>IF(B57="個別病床",はじめに入力してください!$K$50,IF(B57="共通使用",はじめに入力してください!$K$52,""))</f>
        <v/>
      </c>
      <c r="AB57" s="12">
        <v>28</v>
      </c>
      <c r="AC57" s="648" t="str">
        <f t="shared" si="7"/>
        <v>○</v>
      </c>
      <c r="AD57" s="649" t="str">
        <f t="shared" si="8"/>
        <v>整備しない場合は入力不要です。</v>
      </c>
    </row>
    <row r="58" spans="1:30">
      <c r="A58" s="12">
        <v>29</v>
      </c>
      <c r="B58" s="6"/>
      <c r="C58" s="6"/>
      <c r="D58" s="6"/>
      <c r="E58" s="10"/>
      <c r="F58" s="7"/>
      <c r="G58" s="531"/>
      <c r="H58" s="15">
        <f t="shared" si="0"/>
        <v>0</v>
      </c>
      <c r="I58" s="4">
        <f t="shared" si="1"/>
        <v>0</v>
      </c>
      <c r="J58" s="9"/>
      <c r="K58" s="595"/>
      <c r="L58" s="595"/>
      <c r="M58" s="595"/>
      <c r="N58" s="4">
        <f t="shared" si="2"/>
        <v>0</v>
      </c>
      <c r="O58" s="5" t="str">
        <f>IF(AC58="◎",COUNTIF($AC$30:AC58,"◎"),"")</f>
        <v/>
      </c>
      <c r="Q58" s="596" t="str">
        <f t="shared" si="3"/>
        <v/>
      </c>
      <c r="R58" s="648" t="str">
        <f t="shared" si="4"/>
        <v/>
      </c>
      <c r="S58" s="648" t="str">
        <f t="shared" si="5"/>
        <v/>
      </c>
      <c r="T58" s="648" t="str">
        <f t="shared" si="6"/>
        <v/>
      </c>
      <c r="Z58" s="649" t="str">
        <f>IF(B58="個別病床",はじめに入力してください!$K$50,IF(B58="共通使用",はじめに入力してください!$K$52,""))</f>
        <v/>
      </c>
      <c r="AB58" s="12">
        <v>29</v>
      </c>
      <c r="AC58" s="648" t="str">
        <f t="shared" si="7"/>
        <v>○</v>
      </c>
      <c r="AD58" s="649" t="str">
        <f t="shared" si="8"/>
        <v>整備しない場合は入力不要です。</v>
      </c>
    </row>
    <row r="59" spans="1:30">
      <c r="A59" s="12">
        <v>30</v>
      </c>
      <c r="B59" s="6"/>
      <c r="C59" s="6"/>
      <c r="D59" s="6"/>
      <c r="E59" s="10"/>
      <c r="F59" s="7"/>
      <c r="G59" s="531"/>
      <c r="H59" s="15">
        <f t="shared" si="0"/>
        <v>0</v>
      </c>
      <c r="I59" s="4">
        <f t="shared" si="1"/>
        <v>0</v>
      </c>
      <c r="J59" s="9"/>
      <c r="K59" s="595"/>
      <c r="L59" s="595"/>
      <c r="M59" s="595"/>
      <c r="N59" s="4">
        <f t="shared" si="2"/>
        <v>0</v>
      </c>
      <c r="O59" s="5" t="str">
        <f>IF(AC59="◎",COUNTIF($AC$30:AC59,"◎"),"")</f>
        <v/>
      </c>
      <c r="Q59" s="596" t="str">
        <f t="shared" si="3"/>
        <v/>
      </c>
      <c r="R59" s="648" t="str">
        <f t="shared" si="4"/>
        <v/>
      </c>
      <c r="S59" s="648" t="str">
        <f t="shared" si="5"/>
        <v/>
      </c>
      <c r="T59" s="648" t="str">
        <f t="shared" si="6"/>
        <v/>
      </c>
      <c r="Z59" s="649" t="str">
        <f>IF(B59="個別病床",はじめに入力してください!$K$50,IF(B59="共通使用",はじめに入力してください!$K$52,""))</f>
        <v/>
      </c>
      <c r="AB59" s="12">
        <v>30</v>
      </c>
      <c r="AC59" s="648" t="str">
        <f t="shared" si="7"/>
        <v>○</v>
      </c>
      <c r="AD59" s="649" t="str">
        <f t="shared" si="8"/>
        <v>整備しない場合は入力不要です。</v>
      </c>
    </row>
    <row r="60" spans="1:30">
      <c r="A60" s="12">
        <v>31</v>
      </c>
      <c r="B60" s="6"/>
      <c r="C60" s="6"/>
      <c r="D60" s="6"/>
      <c r="E60" s="10"/>
      <c r="F60" s="7"/>
      <c r="G60" s="531"/>
      <c r="H60" s="15">
        <f t="shared" si="0"/>
        <v>0</v>
      </c>
      <c r="I60" s="4">
        <f t="shared" si="1"/>
        <v>0</v>
      </c>
      <c r="J60" s="9"/>
      <c r="K60" s="595"/>
      <c r="L60" s="595"/>
      <c r="M60" s="595"/>
      <c r="N60" s="4">
        <f t="shared" si="2"/>
        <v>0</v>
      </c>
      <c r="O60" s="5" t="str">
        <f>IF(AC60="◎",COUNTIF($AC$30:AC60,"◎"),"")</f>
        <v/>
      </c>
      <c r="Q60" s="596" t="str">
        <f t="shared" si="3"/>
        <v/>
      </c>
      <c r="R60" s="648" t="str">
        <f t="shared" si="4"/>
        <v/>
      </c>
      <c r="S60" s="648" t="str">
        <f t="shared" si="5"/>
        <v/>
      </c>
      <c r="T60" s="648" t="str">
        <f t="shared" si="6"/>
        <v/>
      </c>
      <c r="Z60" s="649" t="str">
        <f>IF(B60="個別病床",はじめに入力してください!$K$50,IF(B60="共通使用",はじめに入力してください!$K$52,""))</f>
        <v/>
      </c>
      <c r="AB60" s="12">
        <v>31</v>
      </c>
      <c r="AC60" s="648" t="str">
        <f t="shared" si="7"/>
        <v>○</v>
      </c>
      <c r="AD60" s="649" t="str">
        <f t="shared" si="8"/>
        <v>整備しない場合は入力不要です。</v>
      </c>
    </row>
    <row r="61" spans="1:30">
      <c r="A61" s="12">
        <v>32</v>
      </c>
      <c r="B61" s="6"/>
      <c r="C61" s="6"/>
      <c r="D61" s="6"/>
      <c r="E61" s="10"/>
      <c r="F61" s="7"/>
      <c r="G61" s="531"/>
      <c r="H61" s="15">
        <f t="shared" si="0"/>
        <v>0</v>
      </c>
      <c r="I61" s="4">
        <f t="shared" si="1"/>
        <v>0</v>
      </c>
      <c r="J61" s="9"/>
      <c r="K61" s="595"/>
      <c r="L61" s="595"/>
      <c r="M61" s="595"/>
      <c r="N61" s="4">
        <f t="shared" si="2"/>
        <v>0</v>
      </c>
      <c r="O61" s="5" t="str">
        <f>IF(AC61="◎",COUNTIF($AC$30:AC61,"◎"),"")</f>
        <v/>
      </c>
      <c r="Q61" s="596" t="str">
        <f t="shared" si="3"/>
        <v/>
      </c>
      <c r="R61" s="648" t="str">
        <f t="shared" si="4"/>
        <v/>
      </c>
      <c r="S61" s="648" t="str">
        <f t="shared" si="5"/>
        <v/>
      </c>
      <c r="T61" s="648" t="str">
        <f t="shared" si="6"/>
        <v/>
      </c>
      <c r="Z61" s="649" t="str">
        <f>IF(B61="個別病床",はじめに入力してください!$K$50,IF(B61="共通使用",はじめに入力してください!$K$52,""))</f>
        <v/>
      </c>
      <c r="AB61" s="12">
        <v>32</v>
      </c>
      <c r="AC61" s="648" t="str">
        <f t="shared" si="7"/>
        <v>○</v>
      </c>
      <c r="AD61" s="649" t="str">
        <f t="shared" si="8"/>
        <v>整備しない場合は入力不要です。</v>
      </c>
    </row>
    <row r="62" spans="1:30">
      <c r="A62" s="12">
        <v>33</v>
      </c>
      <c r="B62" s="6"/>
      <c r="C62" s="6"/>
      <c r="D62" s="6"/>
      <c r="E62" s="10"/>
      <c r="F62" s="7"/>
      <c r="G62" s="531"/>
      <c r="H62" s="15">
        <f t="shared" si="0"/>
        <v>0</v>
      </c>
      <c r="I62" s="4">
        <f t="shared" si="1"/>
        <v>0</v>
      </c>
      <c r="J62" s="9"/>
      <c r="K62" s="595"/>
      <c r="L62" s="595"/>
      <c r="M62" s="595"/>
      <c r="N62" s="4">
        <f t="shared" si="2"/>
        <v>0</v>
      </c>
      <c r="O62" s="5" t="str">
        <f>IF(AC62="◎",COUNTIF($AC$30:AC62,"◎"),"")</f>
        <v/>
      </c>
      <c r="Q62" s="596" t="str">
        <f t="shared" si="3"/>
        <v/>
      </c>
      <c r="R62" s="648" t="str">
        <f t="shared" si="4"/>
        <v/>
      </c>
      <c r="S62" s="648" t="str">
        <f t="shared" si="5"/>
        <v/>
      </c>
      <c r="T62" s="648" t="str">
        <f t="shared" si="6"/>
        <v/>
      </c>
      <c r="Z62" s="649" t="str">
        <f>IF(B62="個別病床",はじめに入力してください!$K$50,IF(B62="共通使用",はじめに入力してください!$K$52,""))</f>
        <v/>
      </c>
      <c r="AB62" s="12">
        <v>33</v>
      </c>
      <c r="AC62" s="648" t="str">
        <f t="shared" si="7"/>
        <v>○</v>
      </c>
      <c r="AD62" s="649" t="str">
        <f t="shared" si="8"/>
        <v>整備しない場合は入力不要です。</v>
      </c>
    </row>
    <row r="63" spans="1:30">
      <c r="A63" s="12">
        <v>34</v>
      </c>
      <c r="B63" s="6"/>
      <c r="C63" s="6"/>
      <c r="D63" s="6"/>
      <c r="E63" s="10"/>
      <c r="F63" s="7"/>
      <c r="G63" s="531"/>
      <c r="H63" s="15">
        <f t="shared" si="0"/>
        <v>0</v>
      </c>
      <c r="I63" s="4">
        <f t="shared" si="1"/>
        <v>0</v>
      </c>
      <c r="J63" s="9"/>
      <c r="K63" s="595"/>
      <c r="L63" s="595"/>
      <c r="M63" s="595"/>
      <c r="N63" s="4">
        <f t="shared" si="2"/>
        <v>0</v>
      </c>
      <c r="O63" s="5" t="str">
        <f>IF(AC63="◎",COUNTIF($AC$30:AC63,"◎"),"")</f>
        <v/>
      </c>
      <c r="Q63" s="596" t="str">
        <f t="shared" si="3"/>
        <v/>
      </c>
      <c r="R63" s="648" t="str">
        <f t="shared" si="4"/>
        <v/>
      </c>
      <c r="S63" s="648" t="str">
        <f t="shared" si="5"/>
        <v/>
      </c>
      <c r="T63" s="648" t="str">
        <f t="shared" si="6"/>
        <v/>
      </c>
      <c r="Z63" s="649" t="str">
        <f>IF(B63="個別病床",はじめに入力してください!$K$50,IF(B63="共通使用",はじめに入力してください!$K$52,""))</f>
        <v/>
      </c>
      <c r="AB63" s="12">
        <v>34</v>
      </c>
      <c r="AC63" s="648" t="str">
        <f t="shared" si="7"/>
        <v>○</v>
      </c>
      <c r="AD63" s="649" t="str">
        <f t="shared" si="8"/>
        <v>整備しない場合は入力不要です。</v>
      </c>
    </row>
    <row r="64" spans="1:30">
      <c r="A64" s="12">
        <v>35</v>
      </c>
      <c r="B64" s="6"/>
      <c r="C64" s="6"/>
      <c r="D64" s="6"/>
      <c r="E64" s="10"/>
      <c r="F64" s="7"/>
      <c r="G64" s="531"/>
      <c r="H64" s="15">
        <f t="shared" si="0"/>
        <v>0</v>
      </c>
      <c r="I64" s="4">
        <f t="shared" si="1"/>
        <v>0</v>
      </c>
      <c r="J64" s="9"/>
      <c r="K64" s="595"/>
      <c r="L64" s="595"/>
      <c r="M64" s="595"/>
      <c r="N64" s="4">
        <f t="shared" si="2"/>
        <v>0</v>
      </c>
      <c r="O64" s="5" t="str">
        <f>IF(AC64="◎",COUNTIF($AC$30:AC64,"◎"),"")</f>
        <v/>
      </c>
      <c r="Q64" s="596" t="str">
        <f t="shared" si="3"/>
        <v/>
      </c>
      <c r="R64" s="648" t="str">
        <f t="shared" si="4"/>
        <v/>
      </c>
      <c r="S64" s="648" t="str">
        <f t="shared" si="5"/>
        <v/>
      </c>
      <c r="T64" s="648" t="str">
        <f t="shared" si="6"/>
        <v/>
      </c>
      <c r="Z64" s="649" t="str">
        <f>IF(B64="個別病床",はじめに入力してください!$K$50,IF(B64="共通使用",はじめに入力してください!$K$52,""))</f>
        <v/>
      </c>
      <c r="AB64" s="12">
        <v>35</v>
      </c>
      <c r="AC64" s="648" t="str">
        <f t="shared" si="7"/>
        <v>○</v>
      </c>
      <c r="AD64" s="649" t="str">
        <f t="shared" si="8"/>
        <v>整備しない場合は入力不要です。</v>
      </c>
    </row>
    <row r="65" spans="1:30">
      <c r="A65" s="12">
        <v>36</v>
      </c>
      <c r="B65" s="6"/>
      <c r="C65" s="6"/>
      <c r="D65" s="6"/>
      <c r="E65" s="10"/>
      <c r="F65" s="7"/>
      <c r="G65" s="531"/>
      <c r="H65" s="15">
        <f t="shared" si="0"/>
        <v>0</v>
      </c>
      <c r="I65" s="4">
        <f t="shared" si="1"/>
        <v>0</v>
      </c>
      <c r="J65" s="9"/>
      <c r="K65" s="595"/>
      <c r="L65" s="595"/>
      <c r="M65" s="595"/>
      <c r="N65" s="4">
        <f t="shared" si="2"/>
        <v>0</v>
      </c>
      <c r="O65" s="5" t="str">
        <f>IF(AC65="◎",COUNTIF($AC$30:AC65,"◎"),"")</f>
        <v/>
      </c>
      <c r="Q65" s="596" t="str">
        <f t="shared" si="3"/>
        <v/>
      </c>
      <c r="R65" s="648" t="str">
        <f t="shared" si="4"/>
        <v/>
      </c>
      <c r="S65" s="648" t="str">
        <f t="shared" si="5"/>
        <v/>
      </c>
      <c r="T65" s="648" t="str">
        <f t="shared" si="6"/>
        <v/>
      </c>
      <c r="Z65" s="649" t="str">
        <f>IF(B65="個別病床",はじめに入力してください!$K$50,IF(B65="共通使用",はじめに入力してください!$K$52,""))</f>
        <v/>
      </c>
      <c r="AB65" s="12">
        <v>36</v>
      </c>
      <c r="AC65" s="648" t="str">
        <f t="shared" si="7"/>
        <v>○</v>
      </c>
      <c r="AD65" s="649" t="str">
        <f t="shared" si="8"/>
        <v>整備しない場合は入力不要です。</v>
      </c>
    </row>
    <row r="66" spans="1:30">
      <c r="A66" s="12">
        <v>37</v>
      </c>
      <c r="B66" s="6"/>
      <c r="C66" s="6"/>
      <c r="D66" s="6"/>
      <c r="E66" s="10"/>
      <c r="F66" s="7"/>
      <c r="G66" s="531"/>
      <c r="H66" s="15">
        <f t="shared" si="0"/>
        <v>0</v>
      </c>
      <c r="I66" s="4">
        <f t="shared" si="1"/>
        <v>0</v>
      </c>
      <c r="J66" s="9"/>
      <c r="K66" s="595"/>
      <c r="L66" s="595"/>
      <c r="M66" s="595"/>
      <c r="N66" s="4">
        <f t="shared" si="2"/>
        <v>0</v>
      </c>
      <c r="O66" s="5" t="str">
        <f>IF(AC66="◎",COUNTIF($AC$30:AC66,"◎"),"")</f>
        <v/>
      </c>
      <c r="Q66" s="596" t="str">
        <f t="shared" si="3"/>
        <v/>
      </c>
      <c r="R66" s="648" t="str">
        <f t="shared" si="4"/>
        <v/>
      </c>
      <c r="S66" s="648" t="str">
        <f t="shared" si="5"/>
        <v/>
      </c>
      <c r="T66" s="648" t="str">
        <f t="shared" si="6"/>
        <v/>
      </c>
      <c r="Z66" s="649" t="str">
        <f>IF(B66="個別病床",はじめに入力してください!$K$50,IF(B66="共通使用",はじめに入力してください!$K$52,""))</f>
        <v/>
      </c>
      <c r="AB66" s="12">
        <v>37</v>
      </c>
      <c r="AC66" s="648" t="str">
        <f t="shared" si="7"/>
        <v>○</v>
      </c>
      <c r="AD66" s="649" t="str">
        <f t="shared" si="8"/>
        <v>整備しない場合は入力不要です。</v>
      </c>
    </row>
    <row r="67" spans="1:30">
      <c r="A67" s="12">
        <v>38</v>
      </c>
      <c r="B67" s="6"/>
      <c r="C67" s="6"/>
      <c r="D67" s="6"/>
      <c r="E67" s="10"/>
      <c r="F67" s="7"/>
      <c r="G67" s="531"/>
      <c r="H67" s="15">
        <f t="shared" si="0"/>
        <v>0</v>
      </c>
      <c r="I67" s="4">
        <f t="shared" si="1"/>
        <v>0</v>
      </c>
      <c r="J67" s="9"/>
      <c r="K67" s="595"/>
      <c r="L67" s="595"/>
      <c r="M67" s="595"/>
      <c r="N67" s="4">
        <f t="shared" si="2"/>
        <v>0</v>
      </c>
      <c r="O67" s="5" t="str">
        <f>IF(AC67="◎",COUNTIF($AC$30:AC67,"◎"),"")</f>
        <v/>
      </c>
      <c r="Q67" s="596" t="str">
        <f t="shared" si="3"/>
        <v/>
      </c>
      <c r="R67" s="648" t="str">
        <f t="shared" si="4"/>
        <v/>
      </c>
      <c r="S67" s="648" t="str">
        <f t="shared" si="5"/>
        <v/>
      </c>
      <c r="T67" s="648" t="str">
        <f t="shared" si="6"/>
        <v/>
      </c>
      <c r="Z67" s="649" t="str">
        <f>IF(B67="個別病床",はじめに入力してください!$K$50,IF(B67="共通使用",はじめに入力してください!$K$52,""))</f>
        <v/>
      </c>
      <c r="AB67" s="12">
        <v>38</v>
      </c>
      <c r="AC67" s="648" t="str">
        <f t="shared" si="7"/>
        <v>○</v>
      </c>
      <c r="AD67" s="649" t="str">
        <f t="shared" si="8"/>
        <v>整備しない場合は入力不要です。</v>
      </c>
    </row>
    <row r="68" spans="1:30">
      <c r="A68" s="12">
        <v>39</v>
      </c>
      <c r="B68" s="6"/>
      <c r="C68" s="6"/>
      <c r="D68" s="6"/>
      <c r="E68" s="10"/>
      <c r="F68" s="7"/>
      <c r="G68" s="531"/>
      <c r="H68" s="15">
        <f t="shared" si="0"/>
        <v>0</v>
      </c>
      <c r="I68" s="4">
        <f t="shared" si="1"/>
        <v>0</v>
      </c>
      <c r="J68" s="9"/>
      <c r="K68" s="595"/>
      <c r="L68" s="595"/>
      <c r="M68" s="595"/>
      <c r="N68" s="4">
        <f t="shared" si="2"/>
        <v>0</v>
      </c>
      <c r="O68" s="5" t="str">
        <f>IF(AC68="◎",COUNTIF($AC$30:AC68,"◎"),"")</f>
        <v/>
      </c>
      <c r="Q68" s="596" t="str">
        <f t="shared" si="3"/>
        <v/>
      </c>
      <c r="R68" s="648" t="str">
        <f t="shared" si="4"/>
        <v/>
      </c>
      <c r="S68" s="648" t="str">
        <f t="shared" si="5"/>
        <v/>
      </c>
      <c r="T68" s="648" t="str">
        <f t="shared" si="6"/>
        <v/>
      </c>
      <c r="Z68" s="649" t="str">
        <f>IF(B68="個別病床",はじめに入力してください!$K$50,IF(B68="共通使用",はじめに入力してください!$K$52,""))</f>
        <v/>
      </c>
      <c r="AB68" s="12">
        <v>39</v>
      </c>
      <c r="AC68" s="648" t="str">
        <f t="shared" si="7"/>
        <v>○</v>
      </c>
      <c r="AD68" s="649" t="str">
        <f t="shared" si="8"/>
        <v>整備しない場合は入力不要です。</v>
      </c>
    </row>
    <row r="69" spans="1:30">
      <c r="A69" s="12">
        <v>40</v>
      </c>
      <c r="B69" s="6"/>
      <c r="C69" s="6"/>
      <c r="D69" s="6"/>
      <c r="E69" s="10"/>
      <c r="F69" s="7"/>
      <c r="G69" s="531"/>
      <c r="H69" s="15">
        <f t="shared" si="0"/>
        <v>0</v>
      </c>
      <c r="I69" s="4">
        <f t="shared" si="1"/>
        <v>0</v>
      </c>
      <c r="J69" s="9"/>
      <c r="K69" s="595"/>
      <c r="L69" s="595"/>
      <c r="M69" s="595"/>
      <c r="N69" s="4">
        <f t="shared" si="2"/>
        <v>0</v>
      </c>
      <c r="O69" s="5" t="str">
        <f>IF(AC69="◎",COUNTIF($AC$30:AC69,"◎"),"")</f>
        <v/>
      </c>
      <c r="Q69" s="596" t="str">
        <f t="shared" si="3"/>
        <v/>
      </c>
      <c r="R69" s="648" t="str">
        <f t="shared" si="4"/>
        <v/>
      </c>
      <c r="S69" s="648" t="str">
        <f t="shared" si="5"/>
        <v/>
      </c>
      <c r="T69" s="648" t="str">
        <f t="shared" si="6"/>
        <v/>
      </c>
      <c r="Z69" s="649" t="str">
        <f>IF(B69="個別病床",はじめに入力してください!$K$50,IF(B69="共通使用",はじめに入力してください!$K$52,""))</f>
        <v/>
      </c>
      <c r="AB69" s="12">
        <v>40</v>
      </c>
      <c r="AC69" s="648" t="str">
        <f t="shared" si="7"/>
        <v>○</v>
      </c>
      <c r="AD69" s="649" t="str">
        <f t="shared" si="8"/>
        <v>整備しない場合は入力不要です。</v>
      </c>
    </row>
    <row r="70" spans="1:30">
      <c r="A70" s="12">
        <v>41</v>
      </c>
      <c r="B70" s="6"/>
      <c r="C70" s="6"/>
      <c r="D70" s="6"/>
      <c r="E70" s="10"/>
      <c r="F70" s="7"/>
      <c r="G70" s="531"/>
      <c r="H70" s="15">
        <f t="shared" si="0"/>
        <v>0</v>
      </c>
      <c r="I70" s="4">
        <f t="shared" si="1"/>
        <v>0</v>
      </c>
      <c r="J70" s="9"/>
      <c r="K70" s="595"/>
      <c r="L70" s="595"/>
      <c r="M70" s="595"/>
      <c r="N70" s="4">
        <f t="shared" si="2"/>
        <v>0</v>
      </c>
      <c r="O70" s="5" t="str">
        <f>IF(AC70="◎",COUNTIF($AC$30:AC70,"◎"),"")</f>
        <v/>
      </c>
      <c r="Q70" s="596" t="str">
        <f t="shared" si="3"/>
        <v/>
      </c>
      <c r="R70" s="648" t="str">
        <f t="shared" si="4"/>
        <v/>
      </c>
      <c r="S70" s="648" t="str">
        <f t="shared" si="5"/>
        <v/>
      </c>
      <c r="T70" s="648" t="str">
        <f t="shared" si="6"/>
        <v/>
      </c>
      <c r="Z70" s="649" t="str">
        <f>IF(B70="個別病床",はじめに入力してください!$K$50,IF(B70="共通使用",はじめに入力してください!$K$52,""))</f>
        <v/>
      </c>
      <c r="AB70" s="12">
        <v>41</v>
      </c>
      <c r="AC70" s="648" t="str">
        <f t="shared" si="7"/>
        <v>○</v>
      </c>
      <c r="AD70" s="649" t="str">
        <f t="shared" si="8"/>
        <v>整備しない場合は入力不要です。</v>
      </c>
    </row>
    <row r="71" spans="1:30">
      <c r="A71" s="12">
        <v>42</v>
      </c>
      <c r="B71" s="6"/>
      <c r="C71" s="6"/>
      <c r="D71" s="6"/>
      <c r="E71" s="10"/>
      <c r="F71" s="7"/>
      <c r="G71" s="531"/>
      <c r="H71" s="15">
        <f t="shared" si="0"/>
        <v>0</v>
      </c>
      <c r="I71" s="4">
        <f t="shared" si="1"/>
        <v>0</v>
      </c>
      <c r="J71" s="9"/>
      <c r="K71" s="595"/>
      <c r="L71" s="595"/>
      <c r="M71" s="595"/>
      <c r="N71" s="4">
        <f t="shared" si="2"/>
        <v>0</v>
      </c>
      <c r="O71" s="5" t="str">
        <f>IF(AC71="◎",COUNTIF($AC$30:AC71,"◎"),"")</f>
        <v/>
      </c>
      <c r="Q71" s="596" t="str">
        <f t="shared" si="3"/>
        <v/>
      </c>
      <c r="R71" s="648" t="str">
        <f t="shared" si="4"/>
        <v/>
      </c>
      <c r="S71" s="648" t="str">
        <f t="shared" si="5"/>
        <v/>
      </c>
      <c r="T71" s="648" t="str">
        <f t="shared" si="6"/>
        <v/>
      </c>
      <c r="Z71" s="649" t="str">
        <f>IF(B71="個別病床",はじめに入力してください!$K$50,IF(B71="共通使用",はじめに入力してください!$K$52,""))</f>
        <v/>
      </c>
      <c r="AB71" s="12">
        <v>42</v>
      </c>
      <c r="AC71" s="648" t="str">
        <f t="shared" si="7"/>
        <v>○</v>
      </c>
      <c r="AD71" s="649" t="str">
        <f t="shared" si="8"/>
        <v>整備しない場合は入力不要です。</v>
      </c>
    </row>
    <row r="72" spans="1:30">
      <c r="A72" s="12">
        <v>43</v>
      </c>
      <c r="B72" s="6"/>
      <c r="C72" s="6"/>
      <c r="D72" s="6"/>
      <c r="E72" s="10"/>
      <c r="F72" s="7"/>
      <c r="G72" s="531"/>
      <c r="H72" s="15">
        <f t="shared" si="0"/>
        <v>0</v>
      </c>
      <c r="I72" s="4">
        <f t="shared" si="1"/>
        <v>0</v>
      </c>
      <c r="J72" s="9"/>
      <c r="K72" s="595"/>
      <c r="L72" s="595"/>
      <c r="M72" s="595"/>
      <c r="N72" s="4">
        <f t="shared" si="2"/>
        <v>0</v>
      </c>
      <c r="O72" s="5" t="str">
        <f>IF(AC72="◎",COUNTIF($AC$30:AC72,"◎"),"")</f>
        <v/>
      </c>
      <c r="Q72" s="596" t="str">
        <f t="shared" si="3"/>
        <v/>
      </c>
      <c r="R72" s="648" t="str">
        <f t="shared" si="4"/>
        <v/>
      </c>
      <c r="S72" s="648" t="str">
        <f t="shared" si="5"/>
        <v/>
      </c>
      <c r="T72" s="648" t="str">
        <f t="shared" si="6"/>
        <v/>
      </c>
      <c r="Z72" s="649" t="str">
        <f>IF(B72="個別病床",はじめに入力してください!$K$50,IF(B72="共通使用",はじめに入力してください!$K$52,""))</f>
        <v/>
      </c>
      <c r="AB72" s="12">
        <v>43</v>
      </c>
      <c r="AC72" s="648" t="str">
        <f t="shared" si="7"/>
        <v>○</v>
      </c>
      <c r="AD72" s="649" t="str">
        <f t="shared" si="8"/>
        <v>整備しない場合は入力不要です。</v>
      </c>
    </row>
    <row r="73" spans="1:30">
      <c r="A73" s="12">
        <v>44</v>
      </c>
      <c r="B73" s="6"/>
      <c r="C73" s="6"/>
      <c r="D73" s="6"/>
      <c r="E73" s="10"/>
      <c r="F73" s="7"/>
      <c r="G73" s="531"/>
      <c r="H73" s="15">
        <f t="shared" si="0"/>
        <v>0</v>
      </c>
      <c r="I73" s="4">
        <f t="shared" si="1"/>
        <v>0</v>
      </c>
      <c r="J73" s="9"/>
      <c r="K73" s="595"/>
      <c r="L73" s="595"/>
      <c r="M73" s="595"/>
      <c r="N73" s="4">
        <f t="shared" si="2"/>
        <v>0</v>
      </c>
      <c r="O73" s="5" t="str">
        <f>IF(AC73="◎",COUNTIF($AC$30:AC73,"◎"),"")</f>
        <v/>
      </c>
      <c r="Q73" s="596" t="str">
        <f t="shared" si="3"/>
        <v/>
      </c>
      <c r="R73" s="648" t="str">
        <f t="shared" si="4"/>
        <v/>
      </c>
      <c r="S73" s="648" t="str">
        <f t="shared" si="5"/>
        <v/>
      </c>
      <c r="T73" s="648" t="str">
        <f t="shared" si="6"/>
        <v/>
      </c>
      <c r="Z73" s="649" t="str">
        <f>IF(B73="個別病床",はじめに入力してください!$K$50,IF(B73="共通使用",はじめに入力してください!$K$52,""))</f>
        <v/>
      </c>
      <c r="AB73" s="12">
        <v>44</v>
      </c>
      <c r="AC73" s="648" t="str">
        <f t="shared" si="7"/>
        <v>○</v>
      </c>
      <c r="AD73" s="649" t="str">
        <f t="shared" si="8"/>
        <v>整備しない場合は入力不要です。</v>
      </c>
    </row>
    <row r="74" spans="1:30">
      <c r="A74" s="12">
        <v>45</v>
      </c>
      <c r="B74" s="6"/>
      <c r="C74" s="6"/>
      <c r="D74" s="6"/>
      <c r="E74" s="10"/>
      <c r="F74" s="7"/>
      <c r="G74" s="531"/>
      <c r="H74" s="15">
        <f t="shared" si="0"/>
        <v>0</v>
      </c>
      <c r="I74" s="4">
        <f t="shared" si="1"/>
        <v>0</v>
      </c>
      <c r="J74" s="9"/>
      <c r="K74" s="595"/>
      <c r="L74" s="595"/>
      <c r="M74" s="595"/>
      <c r="N74" s="4">
        <f t="shared" si="2"/>
        <v>0</v>
      </c>
      <c r="O74" s="5" t="str">
        <f>IF(AC74="◎",COUNTIF($AC$30:AC74,"◎"),"")</f>
        <v/>
      </c>
      <c r="Q74" s="596" t="str">
        <f t="shared" si="3"/>
        <v/>
      </c>
      <c r="R74" s="648" t="str">
        <f t="shared" si="4"/>
        <v/>
      </c>
      <c r="S74" s="648" t="str">
        <f t="shared" si="5"/>
        <v/>
      </c>
      <c r="T74" s="648" t="str">
        <f t="shared" si="6"/>
        <v/>
      </c>
      <c r="Z74" s="649" t="str">
        <f>IF(B74="個別病床",はじめに入力してください!$K$50,IF(B74="共通使用",はじめに入力してください!$K$52,""))</f>
        <v/>
      </c>
      <c r="AB74" s="12">
        <v>45</v>
      </c>
      <c r="AC74" s="648" t="str">
        <f t="shared" si="7"/>
        <v>○</v>
      </c>
      <c r="AD74" s="649" t="str">
        <f t="shared" si="8"/>
        <v>整備しない場合は入力不要です。</v>
      </c>
    </row>
  </sheetData>
  <sheetProtection algorithmName="SHA-512" hashValue="Y+AlLFSARc8egdiV0laE7v85pj1E9xCduWUXo0nh16bs6aKPHw3w4IuV0/fxvCblvlRpucqaH2JIov9CTLj4HA==" saltValue="KiBg6WBINSlDzeuAB6X+Jw==" spinCount="100000" sheet="1" objects="1" scenarios="1"/>
  <mergeCells count="25">
    <mergeCell ref="N1:P1"/>
    <mergeCell ref="B22:O22"/>
    <mergeCell ref="B2:D3"/>
    <mergeCell ref="AC3:AC5"/>
    <mergeCell ref="AD3:AD5"/>
    <mergeCell ref="AC7:AC8"/>
    <mergeCell ref="AD7:AD8"/>
    <mergeCell ref="B10:O10"/>
    <mergeCell ref="B13:O13"/>
    <mergeCell ref="B14:O14"/>
    <mergeCell ref="B15:O15"/>
    <mergeCell ref="B18:O21"/>
    <mergeCell ref="B7:O7"/>
    <mergeCell ref="B9:C9"/>
    <mergeCell ref="B12:O12"/>
    <mergeCell ref="B26:O26"/>
    <mergeCell ref="AC27:AC28"/>
    <mergeCell ref="AD27:AD28"/>
    <mergeCell ref="B28:D28"/>
    <mergeCell ref="E28:F28"/>
    <mergeCell ref="G28:J28"/>
    <mergeCell ref="N28:N29"/>
    <mergeCell ref="O28:O29"/>
    <mergeCell ref="K28:M28"/>
    <mergeCell ref="Q28:Q29"/>
  </mergeCells>
  <phoneticPr fontId="9"/>
  <conditionalFormatting sqref="AC29 AC1:AC2 AC6 AC23:AC27 AC75:AC1048576 AC11:AC15 AC18:AC21 AF16:AF17">
    <cfRule type="containsText" dxfId="115" priority="11" operator="containsText" text="×">
      <formula>NOT(ISERROR(SEARCH("×",AC1)))</formula>
    </cfRule>
  </conditionalFormatting>
  <conditionalFormatting sqref="AD1:AD2 AD11:AD21 AD29 AD6 AD23:AD27 AD75:AD1048576">
    <cfRule type="containsText" dxfId="114" priority="10" operator="containsText" text="要修正">
      <formula>NOT(ISERROR(SEARCH("要修正",AD1)))</formula>
    </cfRule>
  </conditionalFormatting>
  <conditionalFormatting sqref="AC22">
    <cfRule type="containsText" dxfId="113" priority="9" operator="containsText" text="×">
      <formula>NOT(ISERROR(SEARCH("×",AC22)))</formula>
    </cfRule>
  </conditionalFormatting>
  <conditionalFormatting sqref="AD22">
    <cfRule type="containsText" dxfId="112" priority="8" operator="containsText" text="要修正">
      <formula>NOT(ISERROR(SEARCH("要修正",AD22)))</formula>
    </cfRule>
  </conditionalFormatting>
  <conditionalFormatting sqref="AC9:AC10 AC7">
    <cfRule type="containsText" dxfId="111" priority="7" operator="containsText" text="×">
      <formula>NOT(ISERROR(SEARCH("×",AC7)))</formula>
    </cfRule>
  </conditionalFormatting>
  <conditionalFormatting sqref="AD9:AD10 AD7">
    <cfRule type="containsText" dxfId="110" priority="6" operator="containsText" text="要修正">
      <formula>NOT(ISERROR(SEARCH("要修正",AD7)))</formula>
    </cfRule>
  </conditionalFormatting>
  <conditionalFormatting sqref="AC3:AC4">
    <cfRule type="containsText" dxfId="109" priority="5" operator="containsText" text="×">
      <formula>NOT(ISERROR(SEARCH("×",AC3)))</formula>
    </cfRule>
  </conditionalFormatting>
  <conditionalFormatting sqref="AD3:AD4">
    <cfRule type="containsText" dxfId="108" priority="4" operator="containsText" text="要修正">
      <formula>NOT(ISERROR(SEARCH("要修正",AD3)))</formula>
    </cfRule>
  </conditionalFormatting>
  <conditionalFormatting sqref="AD30:AD74">
    <cfRule type="containsText" dxfId="107" priority="2" operator="containsText" text="要修正">
      <formula>NOT(ISERROR(SEARCH("要修正",AD30)))</formula>
    </cfRule>
  </conditionalFormatting>
  <conditionalFormatting sqref="AC30:AC74">
    <cfRule type="containsText" dxfId="106" priority="1" operator="containsText" text="×">
      <formula>NOT(ISERROR(SEARCH("×",AC30)))</formula>
    </cfRule>
  </conditionalFormatting>
  <dataValidations count="10">
    <dataValidation type="list" allowBlank="1" showInputMessage="1" showErrorMessage="1" promptTitle="補助対象の該当非該当" prompt="コロナ対応病床の初度設備に係る経費が対象となります。_x000a_共用部分の設備、備品や医療用消耗品等は補助対象外なので「対象外」を選択してください。_x000a_審査において確認、対象外と認めたものについては対象外として補正をお願いする場合があります。" sqref="J30:J74" xr:uid="{C6DCC5CB-7530-490B-8464-B8CDB5CDA517}">
      <formula1>"補助対象,補助対象外"</formula1>
    </dataValidation>
    <dataValidation allowBlank="1" showInputMessage="1" showErrorMessage="1" promptTitle="金額の表示" prompt="数式が入力されているため、自動計算されます。" sqref="N30:N74 I30:I74" xr:uid="{352BB78B-3A5C-4212-BC46-6B17249B5175}"/>
    <dataValidation allowBlank="1" showInputMessage="1" showErrorMessage="1" promptTitle="添付書類番号" prompt="種類、規格、数量、単価が全て適切に入力され、右の「判定」が「◎」と表示されると自動で番号が表示されます。" sqref="O30:O74" xr:uid="{93E4E914-B280-4B18-A480-F9329F735643}"/>
    <dataValidation allowBlank="1" showInputMessage="1" showErrorMessage="1" promptTitle="単価の入力" prompt="税抜額または税込額のいずれかを入力してください。_x000a_入力しない方は「0」は入力せず、空欄としてください。" sqref="H30:H74" xr:uid="{38EC177D-F818-47CB-BCDF-0D7D88177526}"/>
    <dataValidation allowBlank="1" showInputMessage="1" showErrorMessage="1" promptTitle="規格及び数量の入力" prompt="補助対象経費を計上する際、いずれも入力してください。" sqref="E30:E74" xr:uid="{46522234-899C-41F6-BE2F-4DC265FB8902}"/>
    <dataValidation allowBlank="1" showInputMessage="1" showErrorMessage="1" promptTitle="補助対象金額" prompt="補助対象額×（見積書金額-割引額）/見積書金額_x000a_で算出されます。" sqref="J3:M3" xr:uid="{00000000-0002-0000-1100-000005000000}"/>
    <dataValidation allowBlank="1" showInputMessage="1" showErrorMessage="1" promptTitle="割引額がある場合は入力" prompt="割引がない場合は「0円」のままとしてください。" sqref="I3" xr:uid="{00000000-0002-0000-1100-000006000000}"/>
    <dataValidation type="list" allowBlank="1" showInputMessage="1" showErrorMessage="1" promptTitle="設備、備品、その他の別を選択" prompt="当該行に記載する品目が_x000a_・「設備」（設備本体）_x000a_・備品（本体設備と別の構成をなすもの）_x000a_・その他（上記の該当しないもの）_x000a_の別をプルダウンから選択してください。" sqref="D30:D74" xr:uid="{357DE74A-E193-4BEB-B60A-4A925599863F}">
      <formula1>"設備,備品,その他"</formula1>
    </dataValidation>
    <dataValidation type="decimal" operator="greaterThanOrEqual" allowBlank="1" showInputMessage="1" showErrorMessage="1" promptTitle="単価の入力" prompt="税抜額または税込額のいずれかを入力してください。_x000a_入力しない方は「0」は入力せず、空欄としてください。" sqref="G30:G74" xr:uid="{00A70FFD-BBE9-4764-9021-AB3686ED1A35}">
      <formula1>0</formula1>
    </dataValidation>
    <dataValidation type="whole" operator="greaterThanOrEqual" allowBlank="1" showInputMessage="1" showErrorMessage="1" errorTitle="数値のみを入力してください。" error="「個」、「枚」等の単位入力は不要です。" promptTitle="規格及び数量の入力" prompt="補助対象経費を計上する際、いずれも入力してください。" sqref="F30:F74" xr:uid="{A8A4F997-3329-4419-9388-8DB9742D25EE}">
      <formula1>0</formula1>
    </dataValidation>
  </dataValidations>
  <pageMargins left="0.7" right="0.7" top="0.75" bottom="0.75" header="0.3" footer="0.3"/>
  <pageSetup paperSize="9" scale="51" orientation="portrait"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promptTitle="配備先の別を選択" prompt="確保病床の共通使用のものか、個別のベッドに配備するものか選択してください。" xr:uid="{27C6046F-3261-4A39-B46B-933C7D5E4CFA}">
          <x14:formula1>
            <xm:f>テーブル!$X$48:$X$49</xm:f>
          </x14:formula1>
          <xm:sqref>B30:B74</xm:sqref>
        </x14:dataValidation>
        <x14:dataValidation type="list" allowBlank="1" showInputMessage="1" showErrorMessage="1" promptTitle="「用途先」病床の選択（左の「病床」を選択しないと表示されません。" prompt="ベッドに必ずしも紐付けるものではありませんが、１病床１台で紐付けした場合、整備する病床に番号付けをした場合の番号を選択してください。" xr:uid="{74B36214-8425-4926-83F8-BF58BCA80DC4}">
          <x14:formula1>
            <xm:f>OFFSET(テーブル!$X$48, 0, MATCH(B30,テーブル!$Y$47:$Z$47,0), COUNTA(OFFSET(テーブル!$X$48,0,MATCH(B30,テーブル!$Y$47:$Z$47,0),$Z$30,1)),1)</xm:f>
          </x14:formula1>
          <xm:sqref>C30:C74</xm:sqref>
        </x14:dataValidation>
        <x14:dataValidation type="list" allowBlank="1" showInputMessage="1" showErrorMessage="1" xr:uid="{00000000-0002-0000-1100-000008000000}">
          <x14:formula1>
            <xm:f>テーブル!$M$37:$M$51</xm:f>
          </x14:formula1>
          <xm:sqref>B2:D2</xm:sqref>
        </x14:dataValidation>
        <x14:dataValidation type="list" allowBlank="1" showInputMessage="1" showErrorMessage="1" xr:uid="{8809C48F-6EC9-4104-A201-AD31ED47C84C}">
          <x14:formula1>
            <xm:f>テーブル!$I$2:$I$3</xm:f>
          </x14:formula1>
          <xm:sqref>K30:K74</xm:sqref>
        </x14:dataValidation>
        <x14:dataValidation type="list" allowBlank="1" showInputMessage="1" showErrorMessage="1" xr:uid="{ECEEE891-D83F-4A25-95EC-A9417A48FD91}">
          <x14:formula1>
            <xm:f>テーブル!$J$2:$J$7</xm:f>
          </x14:formula1>
          <xm:sqref>L30:L74</xm:sqref>
        </x14:dataValidation>
        <x14:dataValidation type="list" allowBlank="1" showInputMessage="1" showErrorMessage="1" xr:uid="{EA2E537B-160D-4B13-88B8-2A82CAD3FF8C}">
          <x14:formula1>
            <xm:f>テーブル!$K$2:$K$32</xm:f>
          </x14:formula1>
          <xm:sqref>M30:M74</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452537-C50D-4AE7-A5DB-144AB8A6D9FB}">
  <sheetPr>
    <tabColor rgb="FFFFC000"/>
    <pageSetUpPr fitToPage="1"/>
  </sheetPr>
  <dimension ref="A1:AX120"/>
  <sheetViews>
    <sheetView showGridLines="0" view="pageBreakPreview" topLeftCell="A8" zoomScale="70" zoomScaleNormal="100" zoomScaleSheetLayoutView="70" workbookViewId="0">
      <selection activeCell="K13" sqref="K13:M20"/>
    </sheetView>
  </sheetViews>
  <sheetFormatPr defaultColWidth="9" defaultRowHeight="20.100000000000001" customHeight="1"/>
  <cols>
    <col min="1" max="1" width="3.625" style="370" customWidth="1"/>
    <col min="2" max="2" width="15.625" style="502" customWidth="1"/>
    <col min="3" max="3" width="12.625" style="502" customWidth="1"/>
    <col min="4" max="4" width="10.625" style="502" customWidth="1"/>
    <col min="5" max="5" width="10.625" style="503" customWidth="1"/>
    <col min="6" max="6" width="10.625" style="601" customWidth="1"/>
    <col min="7" max="7" width="8.625" style="504" customWidth="1"/>
    <col min="8" max="8" width="11.625" style="504" customWidth="1"/>
    <col min="9" max="10" width="12.625" style="504" customWidth="1"/>
    <col min="11" max="13" width="3.625" style="504" customWidth="1"/>
    <col min="14" max="14" width="9" style="504"/>
    <col min="15" max="15" width="15.625" style="504" customWidth="1"/>
    <col min="16" max="16" width="2.625" style="504" customWidth="1"/>
    <col min="17" max="17" width="12.625" style="504" customWidth="1"/>
    <col min="18" max="20" width="3.625" style="504" customWidth="1"/>
    <col min="21" max="21" width="30.625" style="504" customWidth="1"/>
    <col min="22" max="25" width="12.625" style="504" customWidth="1"/>
    <col min="26" max="31" width="9" style="504"/>
    <col min="32" max="32" width="3.625" style="505" customWidth="1"/>
    <col min="33" max="33" width="9" style="370"/>
    <col min="34" max="34" width="9" style="504"/>
    <col min="35" max="35" width="90.625" style="504" customWidth="1"/>
    <col min="36" max="40" width="9" style="504"/>
    <col min="41" max="41" width="30.625" style="504" customWidth="1"/>
    <col min="42" max="42" width="9.875" style="504" bestFit="1" customWidth="1"/>
    <col min="43" max="43" width="9" style="504"/>
    <col min="44" max="44" width="60.625" style="504" customWidth="1"/>
    <col min="45" max="45" width="9" style="504"/>
    <col min="46" max="46" width="10.625" style="370" customWidth="1"/>
    <col min="47" max="47" width="20.625" style="504" customWidth="1"/>
    <col min="48" max="52" width="10.625" style="504" customWidth="1"/>
    <col min="53" max="16384" width="9" style="504"/>
  </cols>
  <sheetData>
    <row r="1" spans="1:39" ht="20.100000000000001" customHeight="1">
      <c r="N1" s="1966" t="str">
        <f xml:space="preserve">
IF(表紙!$X$2="事前協議","（10月１日～３月31日分）",
IF(表紙!$X$2="交付申請（２次）","（10月１日～３月31日分）",
IF(表紙!$X$2="変更申請","（10月１日～３月31日分）",
IF(表紙!$X$2="実績報告（１次）","（５月８日～10月31日分）",
IF(表紙!$X$2="実績報告（２次）","（10月１日～３月31日分）",
IF(表紙!$X$2="交付申請兼実績報告","（10月１日～３月31日分）"))))))</f>
        <v>（10月１日～３月31日分）</v>
      </c>
      <c r="O1" s="1966"/>
      <c r="P1" s="1967"/>
    </row>
    <row r="2" spans="1:39" ht="20.100000000000001" customHeight="1">
      <c r="B2" s="506" t="s">
        <v>1102</v>
      </c>
      <c r="C2" s="507"/>
      <c r="D2" s="507"/>
      <c r="K2" s="1979" t="s">
        <v>454</v>
      </c>
      <c r="L2" s="1980"/>
      <c r="M2" s="1944"/>
      <c r="N2" s="1968">
        <f xml:space="preserve">
IF(表紙!$X$2="事前協議",0,
IF(表紙!$X$2="交付申請（２次）",0,
IF(表紙!$X$2="変更申請",0,
IF(AND(表紙!$X$2="実績報告（１次）",はじめに入力してください!H49=""),0,
IF(AND(表紙!$X$2="実績報告（１次）",はじめに入力してください!H49="有"),0,
IF(AND(表紙!$X$2="実績報告（１次）",はじめに入力してください!H49="無",AQ118="×"),0,
IF(AND(表紙!$X$2="実績報告（１次）",はじめに入力してください!H49="無",AQ118="○"),0,
IF(AND(表紙!$X$2="実績報告（１次）",はじめに入力してください!H49="無",AQ118="◎"),SUM(J13:J112),
IF(表紙!$X$2="実績報告（２次）",0,
IF(表紙!$X$2="交付申請兼実績報告",0))))))
))))</f>
        <v>0</v>
      </c>
      <c r="O2" s="1969"/>
    </row>
    <row r="3" spans="1:39" ht="20.100000000000001" customHeight="1">
      <c r="B3" s="1978" t="str">
        <f xml:space="preserve">
IF(表紙!$X$2="事前協議",
"令和５年10月以降の消毒経費への支援は廃止されたため申請できません。",
IF(表紙!$X$2="交付申請（２次）",
"令和５年10月以降の消毒経費への支援は廃止されたため申請できません。",
IF(表紙!$X$2="変更申請",
"令和５年10月以降の消毒経費への支援は廃止されたため申請できません。",
IF(AND(表紙!$X$2="実績報告（１次）",はじめに入力してください!H49=""),
"【注意】「はじめに入力してください」シートの「確保病床の有無」を入力してください。",
IF(AND(表紙!$X$2="実績報告（１次）",はじめに入力してください!H49="有"),
"【注意】確保病床を有する場合、消毒経費は空床補償の手続で申請してください。",
IF(AND(表紙!$X$2="実績報告（１次）",はじめに入力してください!H49="無",AQ118="×"),
"【要修正】本シートで入力不十分の箇所があります。",
IF(AND(表紙!$X$2="実績報告（１次）",はじめに入力してください!H49="無",AQ118="○"),
"実績額を報告しない場合は入力不要です。",
IF(AND(表紙!$X$2="実績報告（１次）",はじめに入力してください!H49="無",AQ118="◎"),
"",
IF(表紙!$X$2="実績報告（２次）",
"令和５年10月以降の消毒経費への支援は廃止されたため申請できません。",
IF(表紙!$X$2="交付申請兼実績報告",
"令和５年10月以降の消毒経費への支援は廃止されたため申請できません。"))))))
))))</f>
        <v>令和５年10月以降の消毒経費への支援は廃止されたため申請できません。</v>
      </c>
      <c r="C3" s="1642"/>
      <c r="D3" s="1642"/>
      <c r="E3" s="1642"/>
      <c r="F3" s="1642"/>
      <c r="G3" s="1642"/>
      <c r="H3" s="1642"/>
      <c r="I3" s="1642"/>
      <c r="J3" s="1642"/>
      <c r="K3" s="1642"/>
      <c r="L3" s="1642"/>
      <c r="M3" s="1642"/>
      <c r="N3" s="1642"/>
      <c r="O3" s="1642"/>
      <c r="P3" s="509"/>
    </row>
    <row r="4" spans="1:39" ht="24.95" customHeight="1">
      <c r="A4" s="1964" t="s">
        <v>455</v>
      </c>
      <c r="B4" s="953"/>
      <c r="C4" s="953"/>
      <c r="D4" s="953"/>
      <c r="E4" s="953"/>
      <c r="F4" s="953"/>
      <c r="G4" s="953"/>
      <c r="H4" s="953"/>
      <c r="I4" s="953"/>
      <c r="J4" s="953"/>
      <c r="K4" s="953"/>
      <c r="L4" s="953"/>
      <c r="M4" s="953"/>
      <c r="N4" s="953"/>
      <c r="O4" s="953"/>
      <c r="P4" s="953"/>
    </row>
    <row r="5" spans="1:39" ht="35.1" customHeight="1">
      <c r="A5" s="1970" t="s">
        <v>1175</v>
      </c>
      <c r="B5" s="1955"/>
      <c r="C5" s="1955"/>
      <c r="D5" s="1955"/>
      <c r="E5" s="1955"/>
      <c r="F5" s="1955"/>
      <c r="G5" s="1955"/>
      <c r="H5" s="1955"/>
      <c r="I5" s="1955"/>
      <c r="J5" s="1955"/>
      <c r="K5" s="1955"/>
      <c r="L5" s="1955"/>
      <c r="M5" s="1955"/>
      <c r="N5" s="1955"/>
      <c r="O5" s="1955"/>
      <c r="AC5" s="504" t="s">
        <v>1109</v>
      </c>
      <c r="AG5" s="370">
        <v>1000</v>
      </c>
      <c r="AH5" s="504">
        <v>1000</v>
      </c>
    </row>
    <row r="6" spans="1:39" ht="20.100000000000001" customHeight="1">
      <c r="A6" s="508">
        <v>1</v>
      </c>
      <c r="B6" s="510" t="s">
        <v>1174</v>
      </c>
      <c r="C6" s="511">
        <f xml:space="preserve">
IF(AND(表紙!X2="交付申請兼実績報告",《基礎情報》!AU52="要修正・表示不可"),0,
IF(AND(表紙!X2="交付申請兼実績報告",《基礎情報》!AU52&lt;&gt;"要修正・表示不可"),《基礎情報》!AU52,
IF(AND(表紙!X2&lt;&gt;"交付申請兼実績報告",基礎情報!AK85="要修正・表示不可"),0,
IF(AND(表紙!X2&lt;&gt;"交付申請兼実績報告",基礎情報!AK85&lt;&gt;"要修正・表示不可"),基礎情報!AK85))))</f>
        <v>63</v>
      </c>
      <c r="D6" s="512" t="str">
        <f>IF(C6="「基礎情報」要修正","×","○")</f>
        <v>○</v>
      </c>
      <c r="E6" s="1971" t="s">
        <v>456</v>
      </c>
      <c r="F6" s="1972"/>
      <c r="G6" s="1591"/>
      <c r="H6" s="1592"/>
      <c r="AB6" s="504" t="s">
        <v>1290</v>
      </c>
      <c r="AC6" s="504" t="s">
        <v>1290</v>
      </c>
      <c r="AG6" s="370">
        <v>1000</v>
      </c>
      <c r="AH6" s="504">
        <v>500</v>
      </c>
      <c r="AJ6" s="370"/>
      <c r="AK6" s="370"/>
      <c r="AL6" s="370"/>
      <c r="AM6" s="370"/>
    </row>
    <row r="7" spans="1:39" ht="20.100000000000001" customHeight="1">
      <c r="A7" s="508">
        <v>2</v>
      </c>
      <c r="B7" s="510" t="s">
        <v>1103</v>
      </c>
      <c r="C7" s="513">
        <v>1000</v>
      </c>
      <c r="D7" s="512" t="str">
        <f>IF(C7="「基礎情報」要修正","×","○")</f>
        <v>○</v>
      </c>
      <c r="E7" s="1971" t="s">
        <v>457</v>
      </c>
      <c r="F7" s="1981"/>
      <c r="G7" s="1973"/>
      <c r="H7" s="1974"/>
      <c r="I7" s="1948" t="s">
        <v>1104</v>
      </c>
      <c r="J7" s="1552"/>
      <c r="K7" s="1552"/>
      <c r="L7" s="1552"/>
      <c r="M7" s="1552"/>
      <c r="N7" s="1552"/>
      <c r="O7" s="1228"/>
      <c r="AB7" s="504" t="s">
        <v>1291</v>
      </c>
      <c r="AC7" s="504" t="s">
        <v>1293</v>
      </c>
      <c r="AG7" s="370">
        <v>1</v>
      </c>
      <c r="AH7" s="504">
        <v>50000</v>
      </c>
      <c r="AJ7" s="514"/>
      <c r="AK7" s="514"/>
      <c r="AL7" s="514"/>
      <c r="AM7" s="514"/>
    </row>
    <row r="8" spans="1:39" ht="20.100000000000001" customHeight="1">
      <c r="A8" s="508">
        <v>3</v>
      </c>
      <c r="B8" s="515" t="s">
        <v>1105</v>
      </c>
      <c r="C8" s="513">
        <f xml:space="preserve">
IF(COUNTIF(D6:D7,"○")=2,C6*C7,
IF(COUNTIF(D6:D7,"○")&lt;&gt;2,"表示不可"))</f>
        <v>63000</v>
      </c>
      <c r="E8" s="1971" t="s">
        <v>458</v>
      </c>
      <c r="F8" s="1981"/>
      <c r="G8" s="1976">
        <f>ROUNDUP(G7/1.1,2)</f>
        <v>0</v>
      </c>
      <c r="H8" s="1977"/>
      <c r="I8" s="1975"/>
      <c r="J8" s="1552"/>
      <c r="K8" s="1552"/>
      <c r="L8" s="1552"/>
      <c r="M8" s="1552"/>
      <c r="N8" s="1552"/>
      <c r="O8" s="1228"/>
      <c r="AB8" s="504" t="s">
        <v>1293</v>
      </c>
      <c r="AJ8" s="514"/>
      <c r="AK8" s="514"/>
      <c r="AL8" s="514"/>
      <c r="AM8" s="514"/>
    </row>
    <row r="9" spans="1:39" ht="20.100000000000001" customHeight="1">
      <c r="A9" s="516"/>
      <c r="B9" s="517"/>
      <c r="C9" s="518"/>
      <c r="D9" s="503"/>
      <c r="E9" s="507" t="s">
        <v>459</v>
      </c>
      <c r="F9" s="507"/>
      <c r="G9" s="519"/>
      <c r="AB9" s="504" t="s">
        <v>1292</v>
      </c>
      <c r="AJ9" s="514"/>
      <c r="AK9" s="514"/>
      <c r="AL9" s="514"/>
      <c r="AM9" s="514"/>
    </row>
    <row r="10" spans="1:39" ht="24.95" customHeight="1">
      <c r="A10" s="1964" t="s">
        <v>1106</v>
      </c>
      <c r="B10" s="1965"/>
      <c r="C10" s="953"/>
      <c r="D10" s="953"/>
      <c r="E10" s="953"/>
      <c r="F10" s="953"/>
      <c r="G10" s="953"/>
      <c r="H10" s="953"/>
      <c r="I10" s="953"/>
      <c r="J10" s="953"/>
      <c r="K10" s="953"/>
      <c r="L10" s="953"/>
      <c r="M10" s="953"/>
      <c r="N10" s="953"/>
      <c r="O10" s="953"/>
      <c r="P10" s="953"/>
      <c r="AB10" s="504" t="s">
        <v>1294</v>
      </c>
      <c r="AJ10" s="370"/>
      <c r="AK10" s="370"/>
      <c r="AL10" s="370"/>
      <c r="AM10" s="370"/>
    </row>
    <row r="11" spans="1:39" ht="120" customHeight="1">
      <c r="A11" s="1954" t="str">
        <f xml:space="preserve">
IF(OR(表紙!X2="事前協議",表紙!X2="交付申請（１次）",表紙!X2="交付申請（２次）"),
"【注意１】！！発注書、見積書、カタログ等の提出は不要です。！！"&amp;CHAR(10)&amp;
"【注意２】実績報告の際、経費発生の事実が判る書類（納品書、請求書等）のご提出が必要となりますのでご注意ください。"&amp;CHAR(10)&amp;
"【注意３】人件費を計上の際、人件費の積算内訳が判る書類（算定書、実施者の月当たり勤務時間数が判る雇用契約書、労働条件通知書等）"&amp;CHAR(10)&amp;
"【注意４】委託料を計上の際、作業箇所、実施頻度及び、業務実施報告書の提出規定の定めがある契約書（正案または案）をご提出ください。
　　　　　（ご提出いただけない等、公費補助の妥当性が判断できず補助交付できかねることとなりますのであらかじめご了承ください。）",
IF(OR(表紙!X2="変更申請"),
"【注意１】！！発注書、見積書、カタログ等の提出は不要です。！！"&amp;CHAR(10)&amp;
"【注意２】実績報告の際、経費発生の事実が判る書類（納品書、請求書等）のご提出が必要となりますのでご注意ください。"&amp;CHAR(10)&amp;
"【注意３】人件費を計上の際、人件費の積算内訳が判る書類（算定書、実施者の月当たり勤務時間数が判る雇用契約書、労働条件通知書等）"&amp;CHAR(10)&amp;
"【注意４】委託料を計上の際、作業箇所、実施頻度及び、業務実施報告書の提出規定の定めがある契約書（正案または案）をご提出ください。
　　　　　（ご提出いただけない等、公費補助の妥当性が判断できず補助交付できかねることとなりますのであらかじめご了承ください。）",
IF(OR(表紙!X2="実績報告（１次）",表紙!X2="実績報告（２次）",表紙!X2="交付申請兼実績報告"),
"【注意１】！！購入の具体的内容及び経費発生の事実がわかる書類（納品書、領収書等）の提出が必要です。！！"&amp;CHAR(10)&amp;
"【注意２】記載にあたっては納品書、領収書等に記載の金額と一致するようにしてください。"&amp;CHAR(10)&amp;
"【注意３】各行の右に表示の「添付資料番号」は資料中、該当の記述箇所に番号を付記してください。"&amp;CHAR(10)&amp;
"【注意３】人件費を計上の際、人件費の積算内訳が判る書類（算定書、実施者の月当たり勤務時間数が判る雇用契約書、労働条件通知書等）"&amp;CHAR(10)&amp;
"【注意４】委託料を計上の際、作業箇所、実施頻度及び、業務実施報告書の提出規定の定めがある契約書をご提出ください。
　　　　　（ご提出いただけない等、公費補助の妥当性が判断できず補助交付できかねることとなりますのであらかじめご了承ください。）")))</f>
        <v>【注意１】！！購入の具体的内容及び経費発生の事実がわかる書類（納品書、領収書等）の提出が必要です。！！
【注意２】記載にあたっては納品書、領収書等に記載の金額と一致するようにしてください。
【注意３】各行の右に表示の「添付資料番号」は資料中、該当の記述箇所に番号を付記してください。
【注意３】人件費を計上の際、人件費の積算内訳が判る書類（算定書、実施者の月当たり勤務時間数が判る雇用契約書、労働条件通知書等）
【注意４】委託料を計上の際、作業箇所、実施頻度及び、業務実施報告書の提出規定の定めがある契約書をご提出ください。
　　　　　（ご提出いただけない等、公費補助の妥当性が判断できず補助交付できかねることとなりますのであらかじめご了承ください。）</v>
      </c>
      <c r="B11" s="1955"/>
      <c r="C11" s="1955"/>
      <c r="D11" s="1955"/>
      <c r="E11" s="1955"/>
      <c r="F11" s="1955"/>
      <c r="G11" s="1955"/>
      <c r="H11" s="1955"/>
      <c r="I11" s="1955"/>
      <c r="J11" s="1955"/>
      <c r="K11" s="1955"/>
      <c r="L11" s="1955"/>
      <c r="M11" s="1955"/>
      <c r="N11" s="1955"/>
      <c r="O11" s="1368"/>
      <c r="AJ11" s="370"/>
      <c r="AK11" s="370"/>
      <c r="AL11" s="370"/>
      <c r="AM11" s="370"/>
    </row>
    <row r="12" spans="1:39" ht="39.950000000000003" customHeight="1">
      <c r="B12" s="520" t="s">
        <v>1107</v>
      </c>
      <c r="C12" s="1956" t="s">
        <v>1108</v>
      </c>
      <c r="D12" s="1957"/>
      <c r="E12" s="1958"/>
      <c r="F12" s="520" t="s">
        <v>1376</v>
      </c>
      <c r="G12" s="520" t="s">
        <v>1208</v>
      </c>
      <c r="H12" s="520" t="s">
        <v>50</v>
      </c>
      <c r="I12" s="520" t="s">
        <v>51</v>
      </c>
      <c r="J12" s="520" t="s">
        <v>52</v>
      </c>
      <c r="K12" s="1961" t="s">
        <v>1370</v>
      </c>
      <c r="L12" s="1962"/>
      <c r="M12" s="1963"/>
      <c r="N12" s="520" t="s">
        <v>462</v>
      </c>
      <c r="O12" s="615" t="s">
        <v>1377</v>
      </c>
      <c r="Q12" s="599" t="s">
        <v>1371</v>
      </c>
      <c r="R12" s="600" t="s">
        <v>1352</v>
      </c>
      <c r="S12" s="600" t="s">
        <v>1153</v>
      </c>
      <c r="T12" s="600" t="s">
        <v>1354</v>
      </c>
      <c r="AG12" s="521" t="s">
        <v>464</v>
      </c>
      <c r="AH12" s="522" t="s">
        <v>98</v>
      </c>
      <c r="AI12" s="521" t="s">
        <v>465</v>
      </c>
      <c r="AJ12" s="369"/>
      <c r="AK12" s="523"/>
      <c r="AL12" s="370"/>
      <c r="AM12" s="370"/>
    </row>
    <row r="13" spans="1:39" ht="20.100000000000001" customHeight="1">
      <c r="A13" s="524">
        <v>1</v>
      </c>
      <c r="B13" s="122"/>
      <c r="C13" s="1945"/>
      <c r="D13" s="1959"/>
      <c r="E13" s="1960"/>
      <c r="F13" s="614"/>
      <c r="G13" s="7"/>
      <c r="H13" s="531"/>
      <c r="I13" s="513">
        <f>ROUNDDOWN(H13*1.1,0)</f>
        <v>0</v>
      </c>
      <c r="J13" s="525">
        <f>IF(COUNTA(B13:H13,K13:M13)&lt;&gt;8,0,G13*I13)</f>
        <v>0</v>
      </c>
      <c r="K13" s="610"/>
      <c r="L13" s="610"/>
      <c r="M13" s="610"/>
      <c r="N13" s="526" t="str">
        <f xml:space="preserve">
IF(表紙!$X$2="事前協議","－",
IF(表紙!$X$2="交付申請（２次）","－",
IF(表紙!$X$2="変更申請","－",
IF(AND(表紙!$X$2="実績報告（１次）",AH13="◎"),COUNTIF($AH$13:$AH13,"◎"),
IF(AND(表紙!$X$2="実績報告（１次）",OR(AH13="×",AH13="○")),"",
IF(表紙!$X$2="実績報告（２次）","－",
IF(表紙!$X$2="交付申請兼実績報告","－")))))))</f>
        <v>－</v>
      </c>
      <c r="O13" s="616" t="str">
        <f>IF(AH13="◎",F13*G13,"")</f>
        <v/>
      </c>
      <c r="Q13" s="596" t="str">
        <f>IF(AH13="◎",DATE(IF(K13=5,2023,IF(K13=6,2024)),L13,M13),"")</f>
        <v/>
      </c>
      <c r="R13" s="600" t="str">
        <f>IF($Q13=MAX($Q$13:$Q$112),K13,"")</f>
        <v/>
      </c>
      <c r="S13" s="600" t="str">
        <f>IF($Q13=MAX($Q$13:$Q$112),L13,"")</f>
        <v/>
      </c>
      <c r="T13" s="600" t="str">
        <f>IF($Q13=MAX($Q$13:$Q$112),M13,"")</f>
        <v/>
      </c>
      <c r="AF13" s="505" t="s">
        <v>466</v>
      </c>
      <c r="AG13" s="527">
        <v>1</v>
      </c>
      <c r="AH13" s="508" t="str">
        <f xml:space="preserve">
IF(COUNTA(B13:H13,K13:M13)=0,"○",
IF(AND(COUNTA(B13:H13,K13:M13)&gt;=1,COUNTA(B13:H13,K13:M13)&lt;8),"×",
IF(COUNTA(B13:H13,K13:M13)=8,"◎")))</f>
        <v>○</v>
      </c>
      <c r="AI13" s="510" t="str">
        <f xml:space="preserve">
IF(COUNTA(B13:H13,K13:M13)=0,"申請しない場合は入力不要です。",
IF(AND(COUNTA(B13:H13,K13:M13)&gt;=1,COUNTA(B13:H13,K13:M13)&lt;8),"【要修正】種類、品名、内容量、数量、税抜単価の内、未入力の箇所があります。",
IF(COUNTA(B13:H13,K13:M13)=8,"適切に入力がされました。")))</f>
        <v>申請しない場合は入力不要です。</v>
      </c>
      <c r="AK13" s="528"/>
    </row>
    <row r="14" spans="1:39" ht="20.100000000000001" customHeight="1">
      <c r="A14" s="524">
        <v>2</v>
      </c>
      <c r="B14" s="122"/>
      <c r="C14" s="1945"/>
      <c r="D14" s="1959"/>
      <c r="E14" s="1960"/>
      <c r="F14" s="614"/>
      <c r="G14" s="7"/>
      <c r="H14" s="531"/>
      <c r="I14" s="513">
        <f>ROUNDDOWN(H14*1.1,0)</f>
        <v>0</v>
      </c>
      <c r="J14" s="525">
        <f>IF(COUNTA(B14:H14,K14:M14)&lt;&gt;8,0,G14*I14)</f>
        <v>0</v>
      </c>
      <c r="K14" s="610"/>
      <c r="L14" s="610"/>
      <c r="M14" s="610"/>
      <c r="N14" s="727" t="str">
        <f xml:space="preserve">
IF(表紙!$X$2="事前協議","－",
IF(表紙!$X$2="交付申請（２次）","－",
IF(表紙!$X$2="変更申請","－",
IF(AND(表紙!$X$2="実績報告（１次）",AH14="◎"),COUNTIF($AH$13:$AH14,"◎"),
IF(AND(表紙!$X$2="実績報告（１次）",OR(AH14="×",AH14="○")),"",
IF(表紙!$X$2="実績報告（２次）","－",
IF(表紙!$X$2="交付申請兼実績報告","－")))))))</f>
        <v>－</v>
      </c>
      <c r="O14" s="616" t="str">
        <f t="shared" ref="O14:O77" si="0">IF(AH14="◎",F14*G14,"")</f>
        <v/>
      </c>
      <c r="Q14" s="596" t="str">
        <f t="shared" ref="Q14:Q77" si="1">IF(AH14="◎",DATE(IF(K14=5,2023,IF(K14=6,2024)),L14,M14),"")</f>
        <v/>
      </c>
      <c r="R14" s="600" t="str">
        <f t="shared" ref="R14:R77" si="2">IF($Q14=MAX($Q$13:$Q$112),K14,"")</f>
        <v/>
      </c>
      <c r="S14" s="600" t="str">
        <f t="shared" ref="S14:S77" si="3">IF($Q14=MAX($Q$13:$Q$112),L14,"")</f>
        <v/>
      </c>
      <c r="T14" s="600" t="str">
        <f t="shared" ref="T14:T77" si="4">IF($Q14=MAX($Q$13:$Q$112),M14,"")</f>
        <v/>
      </c>
      <c r="AF14" s="505" t="s">
        <v>466</v>
      </c>
      <c r="AG14" s="527">
        <v>2</v>
      </c>
      <c r="AH14" s="598" t="str">
        <f t="shared" ref="AH14:AH77" si="5" xml:space="preserve">
IF(COUNTA(B14:H14,K14:M14)=0,"○",
IF(AND(COUNTA(B14:H14,K14:M14)&gt;=1,COUNTA(B14:H14,K14:M14)&lt;8),"×",
IF(COUNTA(B14:H14,K14:M14)=8,"◎")))</f>
        <v>○</v>
      </c>
      <c r="AI14" s="510" t="str">
        <f t="shared" ref="AI14:AI77" si="6" xml:space="preserve">
IF(COUNTA(B14:H14,K14:M14)=0,"申請しない場合は入力不要です。",
IF(AND(COUNTA(B14:H14,K14:M14)&gt;=1,COUNTA(B14:H14,K14:M14)&lt;8),"【要修正】種類、品名、内容量、数量、税抜単価の内、未入力の箇所があります。",
IF(COUNTA(B14:H14,K14:M14)=8,"適切に入力がされました。")))</f>
        <v>申請しない場合は入力不要です。</v>
      </c>
      <c r="AK14" s="528"/>
    </row>
    <row r="15" spans="1:39" ht="20.100000000000001" customHeight="1">
      <c r="A15" s="524">
        <v>3</v>
      </c>
      <c r="B15" s="122"/>
      <c r="C15" s="1945"/>
      <c r="D15" s="1959"/>
      <c r="E15" s="1960"/>
      <c r="F15" s="614"/>
      <c r="G15" s="7"/>
      <c r="H15" s="531"/>
      <c r="I15" s="513">
        <f>ROUNDDOWN(H15*1.1,0)</f>
        <v>0</v>
      </c>
      <c r="J15" s="525">
        <f t="shared" ref="J15:J78" si="7">IF(COUNTA(B15:H15,K15:M15)&lt;&gt;8,0,G15*I15)</f>
        <v>0</v>
      </c>
      <c r="K15" s="610"/>
      <c r="L15" s="610"/>
      <c r="M15" s="610"/>
      <c r="N15" s="727" t="str">
        <f xml:space="preserve">
IF(表紙!$X$2="事前協議","－",
IF(表紙!$X$2="交付申請（２次）","－",
IF(表紙!$X$2="変更申請","－",
IF(AND(表紙!$X$2="実績報告（１次）",AH15="◎"),COUNTIF($AH$13:$AH15,"◎"),
IF(AND(表紙!$X$2="実績報告（１次）",OR(AH15="×",AH15="○")),"",
IF(表紙!$X$2="実績報告（２次）","－",
IF(表紙!$X$2="交付申請兼実績報告","－")))))))</f>
        <v>－</v>
      </c>
      <c r="O15" s="616" t="str">
        <f t="shared" si="0"/>
        <v/>
      </c>
      <c r="Q15" s="596" t="str">
        <f t="shared" si="1"/>
        <v/>
      </c>
      <c r="R15" s="600" t="str">
        <f t="shared" si="2"/>
        <v/>
      </c>
      <c r="S15" s="600" t="str">
        <f t="shared" si="3"/>
        <v/>
      </c>
      <c r="T15" s="600" t="str">
        <f t="shared" si="4"/>
        <v/>
      </c>
      <c r="AF15" s="505" t="s">
        <v>466</v>
      </c>
      <c r="AG15" s="527">
        <v>3</v>
      </c>
      <c r="AH15" s="598" t="str">
        <f t="shared" si="5"/>
        <v>○</v>
      </c>
      <c r="AI15" s="510" t="str">
        <f t="shared" si="6"/>
        <v>申請しない場合は入力不要です。</v>
      </c>
      <c r="AK15" s="528"/>
    </row>
    <row r="16" spans="1:39" ht="20.100000000000001" customHeight="1">
      <c r="A16" s="524">
        <v>4</v>
      </c>
      <c r="B16" s="122"/>
      <c r="C16" s="1945"/>
      <c r="D16" s="1946"/>
      <c r="E16" s="1947"/>
      <c r="F16" s="614"/>
      <c r="G16" s="7"/>
      <c r="H16" s="531"/>
      <c r="I16" s="513">
        <f t="shared" ref="I16:I77" si="8">ROUNDDOWN(H16*1.1,0)</f>
        <v>0</v>
      </c>
      <c r="J16" s="525">
        <f t="shared" si="7"/>
        <v>0</v>
      </c>
      <c r="K16" s="610"/>
      <c r="L16" s="610"/>
      <c r="M16" s="610"/>
      <c r="N16" s="727" t="str">
        <f xml:space="preserve">
IF(表紙!$X$2="事前協議","－",
IF(表紙!$X$2="交付申請（２次）","－",
IF(表紙!$X$2="変更申請","－",
IF(AND(表紙!$X$2="実績報告（１次）",AH16="◎"),COUNTIF($AH$13:$AH16,"◎"),
IF(AND(表紙!$X$2="実績報告（１次）",OR(AH16="×",AH16="○")),"",
IF(表紙!$X$2="実績報告（２次）","－",
IF(表紙!$X$2="交付申請兼実績報告","－")))))))</f>
        <v>－</v>
      </c>
      <c r="O16" s="616" t="str">
        <f t="shared" si="0"/>
        <v/>
      </c>
      <c r="Q16" s="596" t="str">
        <f t="shared" si="1"/>
        <v/>
      </c>
      <c r="R16" s="600" t="str">
        <f t="shared" si="2"/>
        <v/>
      </c>
      <c r="S16" s="600" t="str">
        <f t="shared" si="3"/>
        <v/>
      </c>
      <c r="T16" s="600" t="str">
        <f t="shared" si="4"/>
        <v/>
      </c>
      <c r="AF16" s="505" t="s">
        <v>466</v>
      </c>
      <c r="AG16" s="527">
        <v>4</v>
      </c>
      <c r="AH16" s="598" t="str">
        <f t="shared" si="5"/>
        <v>○</v>
      </c>
      <c r="AI16" s="510" t="str">
        <f t="shared" si="6"/>
        <v>申請しない場合は入力不要です。</v>
      </c>
      <c r="AK16" s="528"/>
    </row>
    <row r="17" spans="1:37" ht="20.100000000000001" customHeight="1">
      <c r="A17" s="524">
        <v>5</v>
      </c>
      <c r="B17" s="122"/>
      <c r="C17" s="1945"/>
      <c r="D17" s="1946"/>
      <c r="E17" s="1947"/>
      <c r="F17" s="614"/>
      <c r="G17" s="7"/>
      <c r="H17" s="531"/>
      <c r="I17" s="513">
        <f t="shared" si="8"/>
        <v>0</v>
      </c>
      <c r="J17" s="525">
        <f t="shared" si="7"/>
        <v>0</v>
      </c>
      <c r="K17" s="610"/>
      <c r="L17" s="610"/>
      <c r="M17" s="610"/>
      <c r="N17" s="727" t="str">
        <f xml:space="preserve">
IF(表紙!$X$2="事前協議","－",
IF(表紙!$X$2="交付申請（２次）","－",
IF(表紙!$X$2="変更申請","－",
IF(AND(表紙!$X$2="実績報告（１次）",AH17="◎"),COUNTIF($AH$13:$AH17,"◎"),
IF(AND(表紙!$X$2="実績報告（１次）",OR(AH17="×",AH17="○")),"",
IF(表紙!$X$2="実績報告（２次）","－",
IF(表紙!$X$2="交付申請兼実績報告","－")))))))</f>
        <v>－</v>
      </c>
      <c r="O17" s="616" t="str">
        <f t="shared" si="0"/>
        <v/>
      </c>
      <c r="Q17" s="596" t="str">
        <f t="shared" si="1"/>
        <v/>
      </c>
      <c r="R17" s="600" t="str">
        <f t="shared" si="2"/>
        <v/>
      </c>
      <c r="S17" s="600" t="str">
        <f t="shared" si="3"/>
        <v/>
      </c>
      <c r="T17" s="600" t="str">
        <f t="shared" si="4"/>
        <v/>
      </c>
      <c r="AF17" s="505" t="s">
        <v>466</v>
      </c>
      <c r="AG17" s="527">
        <v>5</v>
      </c>
      <c r="AH17" s="598" t="str">
        <f t="shared" si="5"/>
        <v>○</v>
      </c>
      <c r="AI17" s="510" t="str">
        <f t="shared" si="6"/>
        <v>申請しない場合は入力不要です。</v>
      </c>
      <c r="AK17" s="528"/>
    </row>
    <row r="18" spans="1:37" ht="20.100000000000001" customHeight="1">
      <c r="A18" s="524">
        <v>6</v>
      </c>
      <c r="B18" s="122"/>
      <c r="C18" s="1945"/>
      <c r="D18" s="1946"/>
      <c r="E18" s="1947"/>
      <c r="F18" s="614"/>
      <c r="G18" s="7"/>
      <c r="H18" s="531"/>
      <c r="I18" s="513">
        <f t="shared" si="8"/>
        <v>0</v>
      </c>
      <c r="J18" s="525">
        <f t="shared" si="7"/>
        <v>0</v>
      </c>
      <c r="K18" s="610"/>
      <c r="L18" s="610"/>
      <c r="M18" s="610"/>
      <c r="N18" s="727" t="str">
        <f xml:space="preserve">
IF(表紙!$X$2="事前協議","－",
IF(表紙!$X$2="交付申請（２次）","－",
IF(表紙!$X$2="変更申請","－",
IF(AND(表紙!$X$2="実績報告（１次）",AH18="◎"),COUNTIF($AH$13:$AH18,"◎"),
IF(AND(表紙!$X$2="実績報告（１次）",OR(AH18="×",AH18="○")),"",
IF(表紙!$X$2="実績報告（２次）","－",
IF(表紙!$X$2="交付申請兼実績報告","－")))))))</f>
        <v>－</v>
      </c>
      <c r="O18" s="616" t="str">
        <f t="shared" si="0"/>
        <v/>
      </c>
      <c r="Q18" s="596" t="str">
        <f t="shared" si="1"/>
        <v/>
      </c>
      <c r="R18" s="600" t="str">
        <f t="shared" si="2"/>
        <v/>
      </c>
      <c r="S18" s="600" t="str">
        <f t="shared" si="3"/>
        <v/>
      </c>
      <c r="T18" s="600" t="str">
        <f t="shared" si="4"/>
        <v/>
      </c>
      <c r="AF18" s="505" t="s">
        <v>466</v>
      </c>
      <c r="AG18" s="527">
        <v>6</v>
      </c>
      <c r="AH18" s="598" t="str">
        <f t="shared" si="5"/>
        <v>○</v>
      </c>
      <c r="AI18" s="510" t="str">
        <f t="shared" si="6"/>
        <v>申請しない場合は入力不要です。</v>
      </c>
      <c r="AK18" s="528"/>
    </row>
    <row r="19" spans="1:37" ht="20.100000000000001" customHeight="1">
      <c r="A19" s="524">
        <v>7</v>
      </c>
      <c r="B19" s="122"/>
      <c r="C19" s="1945"/>
      <c r="D19" s="1946"/>
      <c r="E19" s="1947"/>
      <c r="F19" s="614"/>
      <c r="G19" s="7"/>
      <c r="H19" s="531"/>
      <c r="I19" s="513">
        <f t="shared" si="8"/>
        <v>0</v>
      </c>
      <c r="J19" s="525">
        <f t="shared" si="7"/>
        <v>0</v>
      </c>
      <c r="K19" s="610"/>
      <c r="L19" s="610"/>
      <c r="M19" s="610"/>
      <c r="N19" s="727" t="str">
        <f xml:space="preserve">
IF(表紙!$X$2="事前協議","－",
IF(表紙!$X$2="交付申請（２次）","－",
IF(表紙!$X$2="変更申請","－",
IF(AND(表紙!$X$2="実績報告（１次）",AH19="◎"),COUNTIF($AH$13:$AH19,"◎"),
IF(AND(表紙!$X$2="実績報告（１次）",OR(AH19="×",AH19="○")),"",
IF(表紙!$X$2="実績報告（２次）","－",
IF(表紙!$X$2="交付申請兼実績報告","－")))))))</f>
        <v>－</v>
      </c>
      <c r="O19" s="616" t="str">
        <f t="shared" si="0"/>
        <v/>
      </c>
      <c r="Q19" s="596" t="str">
        <f t="shared" si="1"/>
        <v/>
      </c>
      <c r="R19" s="600" t="str">
        <f t="shared" si="2"/>
        <v/>
      </c>
      <c r="S19" s="600" t="str">
        <f t="shared" si="3"/>
        <v/>
      </c>
      <c r="T19" s="600" t="str">
        <f t="shared" si="4"/>
        <v/>
      </c>
      <c r="AF19" s="505" t="s">
        <v>466</v>
      </c>
      <c r="AG19" s="527">
        <v>7</v>
      </c>
      <c r="AH19" s="598" t="str">
        <f t="shared" si="5"/>
        <v>○</v>
      </c>
      <c r="AI19" s="510" t="str">
        <f t="shared" si="6"/>
        <v>申請しない場合は入力不要です。</v>
      </c>
      <c r="AK19" s="528"/>
    </row>
    <row r="20" spans="1:37" ht="20.100000000000001" customHeight="1">
      <c r="A20" s="524">
        <v>8</v>
      </c>
      <c r="B20" s="122"/>
      <c r="C20" s="1945"/>
      <c r="D20" s="1946"/>
      <c r="E20" s="1947"/>
      <c r="F20" s="614"/>
      <c r="G20" s="7"/>
      <c r="H20" s="531"/>
      <c r="I20" s="513">
        <f t="shared" si="8"/>
        <v>0</v>
      </c>
      <c r="J20" s="525">
        <f t="shared" si="7"/>
        <v>0</v>
      </c>
      <c r="K20" s="610"/>
      <c r="L20" s="610"/>
      <c r="M20" s="610"/>
      <c r="N20" s="727" t="str">
        <f xml:space="preserve">
IF(表紙!$X$2="事前協議","－",
IF(表紙!$X$2="交付申請（２次）","－",
IF(表紙!$X$2="変更申請","－",
IF(AND(表紙!$X$2="実績報告（１次）",AH20="◎"),COUNTIF($AH$13:$AH20,"◎"),
IF(AND(表紙!$X$2="実績報告（１次）",OR(AH20="×",AH20="○")),"",
IF(表紙!$X$2="実績報告（２次）","－",
IF(表紙!$X$2="交付申請兼実績報告","－")))))))</f>
        <v>－</v>
      </c>
      <c r="O20" s="616" t="str">
        <f t="shared" si="0"/>
        <v/>
      </c>
      <c r="Q20" s="596" t="str">
        <f t="shared" si="1"/>
        <v/>
      </c>
      <c r="R20" s="600" t="str">
        <f t="shared" si="2"/>
        <v/>
      </c>
      <c r="S20" s="600" t="str">
        <f t="shared" si="3"/>
        <v/>
      </c>
      <c r="T20" s="600" t="str">
        <f t="shared" si="4"/>
        <v/>
      </c>
      <c r="AF20" s="505" t="s">
        <v>466</v>
      </c>
      <c r="AG20" s="527">
        <v>8</v>
      </c>
      <c r="AH20" s="598" t="str">
        <f t="shared" si="5"/>
        <v>○</v>
      </c>
      <c r="AI20" s="510" t="str">
        <f t="shared" si="6"/>
        <v>申請しない場合は入力不要です。</v>
      </c>
      <c r="AK20" s="528"/>
    </row>
    <row r="21" spans="1:37" ht="20.100000000000001" customHeight="1">
      <c r="A21" s="524">
        <v>9</v>
      </c>
      <c r="B21" s="122"/>
      <c r="C21" s="1945"/>
      <c r="D21" s="1946"/>
      <c r="E21" s="1947"/>
      <c r="F21" s="614"/>
      <c r="G21" s="7"/>
      <c r="H21" s="531"/>
      <c r="I21" s="513">
        <f t="shared" si="8"/>
        <v>0</v>
      </c>
      <c r="J21" s="525">
        <f t="shared" si="7"/>
        <v>0</v>
      </c>
      <c r="K21" s="610"/>
      <c r="L21" s="610"/>
      <c r="M21" s="610"/>
      <c r="N21" s="727" t="str">
        <f xml:space="preserve">
IF(表紙!$X$2="事前協議","－",
IF(表紙!$X$2="交付申請（２次）","－",
IF(表紙!$X$2="変更申請","－",
IF(AND(表紙!$X$2="実績報告（１次）",AH21="◎"),COUNTIF($AH$13:$AH21,"◎"),
IF(AND(表紙!$X$2="実績報告（１次）",OR(AH21="×",AH21="○")),"",
IF(表紙!$X$2="実績報告（２次）","－",
IF(表紙!$X$2="交付申請兼実績報告","－")))))))</f>
        <v>－</v>
      </c>
      <c r="O21" s="616" t="str">
        <f t="shared" si="0"/>
        <v/>
      </c>
      <c r="Q21" s="596" t="str">
        <f t="shared" si="1"/>
        <v/>
      </c>
      <c r="R21" s="600" t="str">
        <f t="shared" si="2"/>
        <v/>
      </c>
      <c r="S21" s="600" t="str">
        <f t="shared" si="3"/>
        <v/>
      </c>
      <c r="T21" s="600" t="str">
        <f t="shared" si="4"/>
        <v/>
      </c>
      <c r="AF21" s="505" t="s">
        <v>466</v>
      </c>
      <c r="AG21" s="527">
        <v>9</v>
      </c>
      <c r="AH21" s="598" t="str">
        <f t="shared" si="5"/>
        <v>○</v>
      </c>
      <c r="AI21" s="510" t="str">
        <f t="shared" si="6"/>
        <v>申請しない場合は入力不要です。</v>
      </c>
      <c r="AK21" s="528"/>
    </row>
    <row r="22" spans="1:37" ht="20.100000000000001" customHeight="1">
      <c r="A22" s="524">
        <v>10</v>
      </c>
      <c r="B22" s="122"/>
      <c r="C22" s="1945"/>
      <c r="D22" s="1946"/>
      <c r="E22" s="1947"/>
      <c r="F22" s="614"/>
      <c r="G22" s="7"/>
      <c r="H22" s="531"/>
      <c r="I22" s="513">
        <f t="shared" si="8"/>
        <v>0</v>
      </c>
      <c r="J22" s="525">
        <f t="shared" si="7"/>
        <v>0</v>
      </c>
      <c r="K22" s="610"/>
      <c r="L22" s="610"/>
      <c r="M22" s="610"/>
      <c r="N22" s="727" t="str">
        <f xml:space="preserve">
IF(表紙!$X$2="事前協議","－",
IF(表紙!$X$2="交付申請（２次）","－",
IF(表紙!$X$2="変更申請","－",
IF(AND(表紙!$X$2="実績報告（１次）",AH22="◎"),COUNTIF($AH$13:$AH22,"◎"),
IF(AND(表紙!$X$2="実績報告（１次）",OR(AH22="×",AH22="○")),"",
IF(表紙!$X$2="実績報告（２次）","－",
IF(表紙!$X$2="交付申請兼実績報告","－")))))))</f>
        <v>－</v>
      </c>
      <c r="O22" s="616" t="str">
        <f t="shared" si="0"/>
        <v/>
      </c>
      <c r="Q22" s="596" t="str">
        <f t="shared" si="1"/>
        <v/>
      </c>
      <c r="R22" s="600" t="str">
        <f t="shared" si="2"/>
        <v/>
      </c>
      <c r="S22" s="600" t="str">
        <f t="shared" si="3"/>
        <v/>
      </c>
      <c r="T22" s="600" t="str">
        <f t="shared" si="4"/>
        <v/>
      </c>
      <c r="AF22" s="505" t="s">
        <v>466</v>
      </c>
      <c r="AG22" s="527">
        <v>10</v>
      </c>
      <c r="AH22" s="598" t="str">
        <f t="shared" si="5"/>
        <v>○</v>
      </c>
      <c r="AI22" s="510" t="str">
        <f t="shared" si="6"/>
        <v>申請しない場合は入力不要です。</v>
      </c>
      <c r="AK22" s="528"/>
    </row>
    <row r="23" spans="1:37" ht="20.100000000000001" customHeight="1">
      <c r="A23" s="524">
        <v>11</v>
      </c>
      <c r="B23" s="122"/>
      <c r="C23" s="1945"/>
      <c r="D23" s="1946"/>
      <c r="E23" s="1947"/>
      <c r="F23" s="614"/>
      <c r="G23" s="7"/>
      <c r="H23" s="531"/>
      <c r="I23" s="513">
        <f t="shared" si="8"/>
        <v>0</v>
      </c>
      <c r="J23" s="525">
        <f t="shared" si="7"/>
        <v>0</v>
      </c>
      <c r="K23" s="610"/>
      <c r="L23" s="610"/>
      <c r="M23" s="610"/>
      <c r="N23" s="727" t="str">
        <f xml:space="preserve">
IF(表紙!$X$2="事前協議","－",
IF(表紙!$X$2="交付申請（２次）","－",
IF(表紙!$X$2="変更申請","－",
IF(AND(表紙!$X$2="実績報告（１次）",AH23="◎"),COUNTIF($AH$13:$AH23,"◎"),
IF(AND(表紙!$X$2="実績報告（１次）",OR(AH23="×",AH23="○")),"",
IF(表紙!$X$2="実績報告（２次）","－",
IF(表紙!$X$2="交付申請兼実績報告","－")))))))</f>
        <v>－</v>
      </c>
      <c r="O23" s="616" t="str">
        <f t="shared" si="0"/>
        <v/>
      </c>
      <c r="Q23" s="596" t="str">
        <f t="shared" si="1"/>
        <v/>
      </c>
      <c r="R23" s="600" t="str">
        <f t="shared" si="2"/>
        <v/>
      </c>
      <c r="S23" s="600" t="str">
        <f t="shared" si="3"/>
        <v/>
      </c>
      <c r="T23" s="600" t="str">
        <f t="shared" si="4"/>
        <v/>
      </c>
      <c r="AF23" s="505" t="s">
        <v>466</v>
      </c>
      <c r="AG23" s="527">
        <v>11</v>
      </c>
      <c r="AH23" s="598" t="str">
        <f t="shared" si="5"/>
        <v>○</v>
      </c>
      <c r="AI23" s="510" t="str">
        <f t="shared" si="6"/>
        <v>申請しない場合は入力不要です。</v>
      </c>
      <c r="AK23" s="528"/>
    </row>
    <row r="24" spans="1:37" ht="20.100000000000001" customHeight="1">
      <c r="A24" s="524">
        <v>12</v>
      </c>
      <c r="B24" s="122"/>
      <c r="C24" s="1945"/>
      <c r="D24" s="1946"/>
      <c r="E24" s="1947"/>
      <c r="F24" s="614"/>
      <c r="G24" s="7"/>
      <c r="H24" s="531"/>
      <c r="I24" s="513">
        <f t="shared" si="8"/>
        <v>0</v>
      </c>
      <c r="J24" s="525">
        <f t="shared" si="7"/>
        <v>0</v>
      </c>
      <c r="K24" s="610"/>
      <c r="L24" s="610"/>
      <c r="M24" s="610"/>
      <c r="N24" s="727" t="str">
        <f xml:space="preserve">
IF(表紙!$X$2="事前協議","－",
IF(表紙!$X$2="交付申請（２次）","－",
IF(表紙!$X$2="変更申請","－",
IF(AND(表紙!$X$2="実績報告（１次）",AH24="◎"),COUNTIF($AH$13:$AH24,"◎"),
IF(AND(表紙!$X$2="実績報告（１次）",OR(AH24="×",AH24="○")),"",
IF(表紙!$X$2="実績報告（２次）","－",
IF(表紙!$X$2="交付申請兼実績報告","－")))))))</f>
        <v>－</v>
      </c>
      <c r="O24" s="616" t="str">
        <f t="shared" si="0"/>
        <v/>
      </c>
      <c r="Q24" s="596" t="str">
        <f t="shared" si="1"/>
        <v/>
      </c>
      <c r="R24" s="600" t="str">
        <f t="shared" si="2"/>
        <v/>
      </c>
      <c r="S24" s="600" t="str">
        <f t="shared" si="3"/>
        <v/>
      </c>
      <c r="T24" s="600" t="str">
        <f t="shared" si="4"/>
        <v/>
      </c>
      <c r="AF24" s="505" t="s">
        <v>466</v>
      </c>
      <c r="AG24" s="527">
        <v>12</v>
      </c>
      <c r="AH24" s="598" t="str">
        <f t="shared" si="5"/>
        <v>○</v>
      </c>
      <c r="AI24" s="510" t="str">
        <f t="shared" si="6"/>
        <v>申請しない場合は入力不要です。</v>
      </c>
      <c r="AK24" s="528"/>
    </row>
    <row r="25" spans="1:37" ht="20.100000000000001" customHeight="1">
      <c r="A25" s="524">
        <v>13</v>
      </c>
      <c r="B25" s="122"/>
      <c r="C25" s="1945"/>
      <c r="D25" s="1946"/>
      <c r="E25" s="1947"/>
      <c r="F25" s="614"/>
      <c r="G25" s="7"/>
      <c r="H25" s="531"/>
      <c r="I25" s="513">
        <f t="shared" si="8"/>
        <v>0</v>
      </c>
      <c r="J25" s="525">
        <f t="shared" si="7"/>
        <v>0</v>
      </c>
      <c r="K25" s="610"/>
      <c r="L25" s="610"/>
      <c r="M25" s="610"/>
      <c r="N25" s="727" t="str">
        <f xml:space="preserve">
IF(表紙!$X$2="事前協議","－",
IF(表紙!$X$2="交付申請（２次）","－",
IF(表紙!$X$2="変更申請","－",
IF(AND(表紙!$X$2="実績報告（１次）",AH25="◎"),COUNTIF($AH$13:$AH25,"◎"),
IF(AND(表紙!$X$2="実績報告（１次）",OR(AH25="×",AH25="○")),"",
IF(表紙!$X$2="実績報告（２次）","－",
IF(表紙!$X$2="交付申請兼実績報告","－")))))))</f>
        <v>－</v>
      </c>
      <c r="O25" s="616" t="str">
        <f t="shared" si="0"/>
        <v/>
      </c>
      <c r="Q25" s="596" t="str">
        <f t="shared" si="1"/>
        <v/>
      </c>
      <c r="R25" s="600" t="str">
        <f t="shared" si="2"/>
        <v/>
      </c>
      <c r="S25" s="600" t="str">
        <f t="shared" si="3"/>
        <v/>
      </c>
      <c r="T25" s="600" t="str">
        <f t="shared" si="4"/>
        <v/>
      </c>
      <c r="AF25" s="505" t="s">
        <v>466</v>
      </c>
      <c r="AG25" s="527">
        <v>13</v>
      </c>
      <c r="AH25" s="598" t="str">
        <f t="shared" si="5"/>
        <v>○</v>
      </c>
      <c r="AI25" s="510" t="str">
        <f t="shared" si="6"/>
        <v>申請しない場合は入力不要です。</v>
      </c>
      <c r="AK25" s="528"/>
    </row>
    <row r="26" spans="1:37" ht="20.100000000000001" customHeight="1">
      <c r="A26" s="524">
        <v>14</v>
      </c>
      <c r="B26" s="122"/>
      <c r="C26" s="1945"/>
      <c r="D26" s="1946"/>
      <c r="E26" s="1947"/>
      <c r="F26" s="614"/>
      <c r="G26" s="7"/>
      <c r="H26" s="531"/>
      <c r="I26" s="513">
        <f t="shared" si="8"/>
        <v>0</v>
      </c>
      <c r="J26" s="525">
        <f t="shared" si="7"/>
        <v>0</v>
      </c>
      <c r="K26" s="610"/>
      <c r="L26" s="610"/>
      <c r="M26" s="610"/>
      <c r="N26" s="727" t="str">
        <f xml:space="preserve">
IF(表紙!$X$2="事前協議","－",
IF(表紙!$X$2="交付申請（２次）","－",
IF(表紙!$X$2="変更申請","－",
IF(AND(表紙!$X$2="実績報告（１次）",AH26="◎"),COUNTIF($AH$13:$AH26,"◎"),
IF(AND(表紙!$X$2="実績報告（１次）",OR(AH26="×",AH26="○")),"",
IF(表紙!$X$2="実績報告（２次）","－",
IF(表紙!$X$2="交付申請兼実績報告","－")))))))</f>
        <v>－</v>
      </c>
      <c r="O26" s="616" t="str">
        <f t="shared" si="0"/>
        <v/>
      </c>
      <c r="Q26" s="596" t="str">
        <f t="shared" si="1"/>
        <v/>
      </c>
      <c r="R26" s="600" t="str">
        <f t="shared" si="2"/>
        <v/>
      </c>
      <c r="S26" s="600" t="str">
        <f t="shared" si="3"/>
        <v/>
      </c>
      <c r="T26" s="600" t="str">
        <f t="shared" si="4"/>
        <v/>
      </c>
      <c r="AF26" s="505" t="s">
        <v>466</v>
      </c>
      <c r="AG26" s="527">
        <v>14</v>
      </c>
      <c r="AH26" s="598" t="str">
        <f t="shared" si="5"/>
        <v>○</v>
      </c>
      <c r="AI26" s="510" t="str">
        <f t="shared" si="6"/>
        <v>申請しない場合は入力不要です。</v>
      </c>
      <c r="AK26" s="528"/>
    </row>
    <row r="27" spans="1:37" ht="20.100000000000001" customHeight="1">
      <c r="A27" s="524">
        <v>15</v>
      </c>
      <c r="B27" s="122"/>
      <c r="C27" s="1945"/>
      <c r="D27" s="1946"/>
      <c r="E27" s="1947"/>
      <c r="F27" s="614"/>
      <c r="G27" s="7"/>
      <c r="H27" s="531"/>
      <c r="I27" s="513">
        <f t="shared" si="8"/>
        <v>0</v>
      </c>
      <c r="J27" s="525">
        <f t="shared" si="7"/>
        <v>0</v>
      </c>
      <c r="K27" s="610"/>
      <c r="L27" s="610"/>
      <c r="M27" s="610"/>
      <c r="N27" s="727" t="str">
        <f xml:space="preserve">
IF(表紙!$X$2="事前協議","－",
IF(表紙!$X$2="交付申請（２次）","－",
IF(表紙!$X$2="変更申請","－",
IF(AND(表紙!$X$2="実績報告（１次）",AH27="◎"),COUNTIF($AH$13:$AH27,"◎"),
IF(AND(表紙!$X$2="実績報告（１次）",OR(AH27="×",AH27="○")),"",
IF(表紙!$X$2="実績報告（２次）","－",
IF(表紙!$X$2="交付申請兼実績報告","－")))))))</f>
        <v>－</v>
      </c>
      <c r="O27" s="616" t="str">
        <f t="shared" si="0"/>
        <v/>
      </c>
      <c r="Q27" s="596" t="str">
        <f t="shared" si="1"/>
        <v/>
      </c>
      <c r="R27" s="600" t="str">
        <f t="shared" si="2"/>
        <v/>
      </c>
      <c r="S27" s="600" t="str">
        <f t="shared" si="3"/>
        <v/>
      </c>
      <c r="T27" s="600" t="str">
        <f t="shared" si="4"/>
        <v/>
      </c>
      <c r="AF27" s="505" t="s">
        <v>466</v>
      </c>
      <c r="AG27" s="527">
        <v>15</v>
      </c>
      <c r="AH27" s="598" t="str">
        <f t="shared" si="5"/>
        <v>○</v>
      </c>
      <c r="AI27" s="510" t="str">
        <f t="shared" si="6"/>
        <v>申請しない場合は入力不要です。</v>
      </c>
      <c r="AK27" s="528"/>
    </row>
    <row r="28" spans="1:37" ht="20.100000000000001" customHeight="1">
      <c r="A28" s="524">
        <v>16</v>
      </c>
      <c r="B28" s="122"/>
      <c r="C28" s="1945"/>
      <c r="D28" s="1946"/>
      <c r="E28" s="1947"/>
      <c r="F28" s="614"/>
      <c r="G28" s="7"/>
      <c r="H28" s="531"/>
      <c r="I28" s="513">
        <f t="shared" si="8"/>
        <v>0</v>
      </c>
      <c r="J28" s="525">
        <f t="shared" si="7"/>
        <v>0</v>
      </c>
      <c r="K28" s="610"/>
      <c r="L28" s="610"/>
      <c r="M28" s="610"/>
      <c r="N28" s="727" t="str">
        <f xml:space="preserve">
IF(表紙!$X$2="事前協議","－",
IF(表紙!$X$2="交付申請（２次）","－",
IF(表紙!$X$2="変更申請","－",
IF(AND(表紙!$X$2="実績報告（１次）",AH28="◎"),COUNTIF($AH$13:$AH28,"◎"),
IF(AND(表紙!$X$2="実績報告（１次）",OR(AH28="×",AH28="○")),"",
IF(表紙!$X$2="実績報告（２次）","－",
IF(表紙!$X$2="交付申請兼実績報告","－")))))))</f>
        <v>－</v>
      </c>
      <c r="O28" s="616" t="str">
        <f t="shared" si="0"/>
        <v/>
      </c>
      <c r="Q28" s="596" t="str">
        <f t="shared" si="1"/>
        <v/>
      </c>
      <c r="R28" s="600" t="str">
        <f t="shared" si="2"/>
        <v/>
      </c>
      <c r="S28" s="600" t="str">
        <f t="shared" si="3"/>
        <v/>
      </c>
      <c r="T28" s="600" t="str">
        <f t="shared" si="4"/>
        <v/>
      </c>
      <c r="AF28" s="505" t="s">
        <v>466</v>
      </c>
      <c r="AG28" s="527">
        <v>16</v>
      </c>
      <c r="AH28" s="598" t="str">
        <f t="shared" si="5"/>
        <v>○</v>
      </c>
      <c r="AI28" s="510" t="str">
        <f t="shared" si="6"/>
        <v>申請しない場合は入力不要です。</v>
      </c>
      <c r="AK28" s="528"/>
    </row>
    <row r="29" spans="1:37" ht="20.100000000000001" customHeight="1">
      <c r="A29" s="524">
        <v>17</v>
      </c>
      <c r="B29" s="122"/>
      <c r="C29" s="1945"/>
      <c r="D29" s="1946"/>
      <c r="E29" s="1947"/>
      <c r="F29" s="614"/>
      <c r="G29" s="7"/>
      <c r="H29" s="531"/>
      <c r="I29" s="513">
        <f t="shared" si="8"/>
        <v>0</v>
      </c>
      <c r="J29" s="525">
        <f t="shared" si="7"/>
        <v>0</v>
      </c>
      <c r="K29" s="610"/>
      <c r="L29" s="610"/>
      <c r="M29" s="610"/>
      <c r="N29" s="727" t="str">
        <f xml:space="preserve">
IF(表紙!$X$2="事前協議","－",
IF(表紙!$X$2="交付申請（２次）","－",
IF(表紙!$X$2="変更申請","－",
IF(AND(表紙!$X$2="実績報告（１次）",AH29="◎"),COUNTIF($AH$13:$AH29,"◎"),
IF(AND(表紙!$X$2="実績報告（１次）",OR(AH29="×",AH29="○")),"",
IF(表紙!$X$2="実績報告（２次）","－",
IF(表紙!$X$2="交付申請兼実績報告","－")))))))</f>
        <v>－</v>
      </c>
      <c r="O29" s="616" t="str">
        <f t="shared" si="0"/>
        <v/>
      </c>
      <c r="Q29" s="596" t="str">
        <f t="shared" si="1"/>
        <v/>
      </c>
      <c r="R29" s="600" t="str">
        <f t="shared" si="2"/>
        <v/>
      </c>
      <c r="S29" s="600" t="str">
        <f t="shared" si="3"/>
        <v/>
      </c>
      <c r="T29" s="600" t="str">
        <f t="shared" si="4"/>
        <v/>
      </c>
      <c r="AF29" s="505" t="s">
        <v>466</v>
      </c>
      <c r="AG29" s="527">
        <v>17</v>
      </c>
      <c r="AH29" s="598" t="str">
        <f t="shared" si="5"/>
        <v>○</v>
      </c>
      <c r="AI29" s="510" t="str">
        <f t="shared" si="6"/>
        <v>申請しない場合は入力不要です。</v>
      </c>
      <c r="AK29" s="528"/>
    </row>
    <row r="30" spans="1:37" ht="20.100000000000001" customHeight="1">
      <c r="A30" s="524">
        <v>18</v>
      </c>
      <c r="B30" s="122"/>
      <c r="C30" s="1945"/>
      <c r="D30" s="1946"/>
      <c r="E30" s="1947"/>
      <c r="F30" s="614"/>
      <c r="G30" s="7"/>
      <c r="H30" s="531"/>
      <c r="I30" s="513">
        <f t="shared" si="8"/>
        <v>0</v>
      </c>
      <c r="J30" s="525">
        <f t="shared" si="7"/>
        <v>0</v>
      </c>
      <c r="K30" s="610"/>
      <c r="L30" s="610"/>
      <c r="M30" s="610"/>
      <c r="N30" s="727" t="str">
        <f xml:space="preserve">
IF(表紙!$X$2="事前協議","－",
IF(表紙!$X$2="交付申請（２次）","－",
IF(表紙!$X$2="変更申請","－",
IF(AND(表紙!$X$2="実績報告（１次）",AH30="◎"),COUNTIF($AH$13:$AH30,"◎"),
IF(AND(表紙!$X$2="実績報告（１次）",OR(AH30="×",AH30="○")),"",
IF(表紙!$X$2="実績報告（２次）","－",
IF(表紙!$X$2="交付申請兼実績報告","－")))))))</f>
        <v>－</v>
      </c>
      <c r="O30" s="616" t="str">
        <f t="shared" si="0"/>
        <v/>
      </c>
      <c r="Q30" s="596" t="str">
        <f t="shared" si="1"/>
        <v/>
      </c>
      <c r="R30" s="600" t="str">
        <f t="shared" si="2"/>
        <v/>
      </c>
      <c r="S30" s="600" t="str">
        <f t="shared" si="3"/>
        <v/>
      </c>
      <c r="T30" s="600" t="str">
        <f t="shared" si="4"/>
        <v/>
      </c>
      <c r="AF30" s="505" t="s">
        <v>466</v>
      </c>
      <c r="AG30" s="527">
        <v>18</v>
      </c>
      <c r="AH30" s="598" t="str">
        <f t="shared" si="5"/>
        <v>○</v>
      </c>
      <c r="AI30" s="510" t="str">
        <f t="shared" si="6"/>
        <v>申請しない場合は入力不要です。</v>
      </c>
      <c r="AK30" s="528"/>
    </row>
    <row r="31" spans="1:37" ht="20.100000000000001" customHeight="1">
      <c r="A31" s="524">
        <v>19</v>
      </c>
      <c r="B31" s="122"/>
      <c r="C31" s="1945"/>
      <c r="D31" s="1946"/>
      <c r="E31" s="1947"/>
      <c r="F31" s="614"/>
      <c r="G31" s="7"/>
      <c r="H31" s="531"/>
      <c r="I31" s="513">
        <f t="shared" si="8"/>
        <v>0</v>
      </c>
      <c r="J31" s="525">
        <f t="shared" si="7"/>
        <v>0</v>
      </c>
      <c r="K31" s="610"/>
      <c r="L31" s="610"/>
      <c r="M31" s="610"/>
      <c r="N31" s="727" t="str">
        <f xml:space="preserve">
IF(表紙!$X$2="事前協議","－",
IF(表紙!$X$2="交付申請（２次）","－",
IF(表紙!$X$2="変更申請","－",
IF(AND(表紙!$X$2="実績報告（１次）",AH31="◎"),COUNTIF($AH$13:$AH31,"◎"),
IF(AND(表紙!$X$2="実績報告（１次）",OR(AH31="×",AH31="○")),"",
IF(表紙!$X$2="実績報告（２次）","－",
IF(表紙!$X$2="交付申請兼実績報告","－")))))))</f>
        <v>－</v>
      </c>
      <c r="O31" s="616" t="str">
        <f t="shared" si="0"/>
        <v/>
      </c>
      <c r="Q31" s="596" t="str">
        <f t="shared" si="1"/>
        <v/>
      </c>
      <c r="R31" s="600" t="str">
        <f t="shared" si="2"/>
        <v/>
      </c>
      <c r="S31" s="600" t="str">
        <f t="shared" si="3"/>
        <v/>
      </c>
      <c r="T31" s="600" t="str">
        <f t="shared" si="4"/>
        <v/>
      </c>
      <c r="AF31" s="505" t="s">
        <v>466</v>
      </c>
      <c r="AG31" s="527">
        <v>19</v>
      </c>
      <c r="AH31" s="598" t="str">
        <f t="shared" si="5"/>
        <v>○</v>
      </c>
      <c r="AI31" s="510" t="str">
        <f t="shared" si="6"/>
        <v>申請しない場合は入力不要です。</v>
      </c>
      <c r="AK31" s="528"/>
    </row>
    <row r="32" spans="1:37" ht="20.100000000000001" customHeight="1">
      <c r="A32" s="524">
        <v>20</v>
      </c>
      <c r="B32" s="122"/>
      <c r="C32" s="1945"/>
      <c r="D32" s="1946"/>
      <c r="E32" s="1947"/>
      <c r="F32" s="614"/>
      <c r="G32" s="7"/>
      <c r="H32" s="531"/>
      <c r="I32" s="513">
        <f t="shared" si="8"/>
        <v>0</v>
      </c>
      <c r="J32" s="525">
        <f t="shared" si="7"/>
        <v>0</v>
      </c>
      <c r="K32" s="610"/>
      <c r="L32" s="610"/>
      <c r="M32" s="610"/>
      <c r="N32" s="727" t="str">
        <f xml:space="preserve">
IF(表紙!$X$2="事前協議","－",
IF(表紙!$X$2="交付申請（２次）","－",
IF(表紙!$X$2="変更申請","－",
IF(AND(表紙!$X$2="実績報告（１次）",AH32="◎"),COUNTIF($AH$13:$AH32,"◎"),
IF(AND(表紙!$X$2="実績報告（１次）",OR(AH32="×",AH32="○")),"",
IF(表紙!$X$2="実績報告（２次）","－",
IF(表紙!$X$2="交付申請兼実績報告","－")))))))</f>
        <v>－</v>
      </c>
      <c r="O32" s="616" t="str">
        <f t="shared" si="0"/>
        <v/>
      </c>
      <c r="Q32" s="596" t="str">
        <f t="shared" si="1"/>
        <v/>
      </c>
      <c r="R32" s="600" t="str">
        <f t="shared" si="2"/>
        <v/>
      </c>
      <c r="S32" s="600" t="str">
        <f t="shared" si="3"/>
        <v/>
      </c>
      <c r="T32" s="600" t="str">
        <f t="shared" si="4"/>
        <v/>
      </c>
      <c r="AF32" s="505" t="s">
        <v>466</v>
      </c>
      <c r="AG32" s="527">
        <v>20</v>
      </c>
      <c r="AH32" s="598" t="str">
        <f t="shared" si="5"/>
        <v>○</v>
      </c>
      <c r="AI32" s="510" t="str">
        <f t="shared" si="6"/>
        <v>申請しない場合は入力不要です。</v>
      </c>
      <c r="AK32" s="528"/>
    </row>
    <row r="33" spans="1:37" ht="20.100000000000001" customHeight="1">
      <c r="A33" s="524">
        <v>21</v>
      </c>
      <c r="B33" s="122"/>
      <c r="C33" s="1945"/>
      <c r="D33" s="1946"/>
      <c r="E33" s="1947"/>
      <c r="F33" s="614"/>
      <c r="G33" s="7"/>
      <c r="H33" s="531"/>
      <c r="I33" s="513">
        <f t="shared" si="8"/>
        <v>0</v>
      </c>
      <c r="J33" s="525">
        <f t="shared" si="7"/>
        <v>0</v>
      </c>
      <c r="K33" s="610"/>
      <c r="L33" s="610"/>
      <c r="M33" s="610"/>
      <c r="N33" s="727" t="str">
        <f xml:space="preserve">
IF(表紙!$X$2="事前協議","－",
IF(表紙!$X$2="交付申請（２次）","－",
IF(表紙!$X$2="変更申請","－",
IF(AND(表紙!$X$2="実績報告（１次）",AH33="◎"),COUNTIF($AH$13:$AH33,"◎"),
IF(AND(表紙!$X$2="実績報告（１次）",OR(AH33="×",AH33="○")),"",
IF(表紙!$X$2="実績報告（２次）","－",
IF(表紙!$X$2="交付申請兼実績報告","－")))))))</f>
        <v>－</v>
      </c>
      <c r="O33" s="616" t="str">
        <f t="shared" si="0"/>
        <v/>
      </c>
      <c r="Q33" s="596" t="str">
        <f t="shared" si="1"/>
        <v/>
      </c>
      <c r="R33" s="600" t="str">
        <f t="shared" si="2"/>
        <v/>
      </c>
      <c r="S33" s="600" t="str">
        <f t="shared" si="3"/>
        <v/>
      </c>
      <c r="T33" s="600" t="str">
        <f t="shared" si="4"/>
        <v/>
      </c>
      <c r="AF33" s="505" t="s">
        <v>466</v>
      </c>
      <c r="AG33" s="527">
        <v>21</v>
      </c>
      <c r="AH33" s="598" t="str">
        <f t="shared" si="5"/>
        <v>○</v>
      </c>
      <c r="AI33" s="510" t="str">
        <f t="shared" si="6"/>
        <v>申請しない場合は入力不要です。</v>
      </c>
      <c r="AK33" s="528"/>
    </row>
    <row r="34" spans="1:37" ht="20.100000000000001" customHeight="1">
      <c r="A34" s="524">
        <v>22</v>
      </c>
      <c r="B34" s="122"/>
      <c r="C34" s="1945"/>
      <c r="D34" s="1946"/>
      <c r="E34" s="1947"/>
      <c r="F34" s="614"/>
      <c r="G34" s="7"/>
      <c r="H34" s="531"/>
      <c r="I34" s="513">
        <f t="shared" si="8"/>
        <v>0</v>
      </c>
      <c r="J34" s="525">
        <f t="shared" si="7"/>
        <v>0</v>
      </c>
      <c r="K34" s="610"/>
      <c r="L34" s="610"/>
      <c r="M34" s="610"/>
      <c r="N34" s="727" t="str">
        <f xml:space="preserve">
IF(表紙!$X$2="事前協議","－",
IF(表紙!$X$2="交付申請（２次）","－",
IF(表紙!$X$2="変更申請","－",
IF(AND(表紙!$X$2="実績報告（１次）",AH34="◎"),COUNTIF($AH$13:$AH34,"◎"),
IF(AND(表紙!$X$2="実績報告（１次）",OR(AH34="×",AH34="○")),"",
IF(表紙!$X$2="実績報告（２次）","－",
IF(表紙!$X$2="交付申請兼実績報告","－")))))))</f>
        <v>－</v>
      </c>
      <c r="O34" s="616" t="str">
        <f t="shared" si="0"/>
        <v/>
      </c>
      <c r="Q34" s="596" t="str">
        <f t="shared" si="1"/>
        <v/>
      </c>
      <c r="R34" s="600" t="str">
        <f t="shared" si="2"/>
        <v/>
      </c>
      <c r="S34" s="600" t="str">
        <f t="shared" si="3"/>
        <v/>
      </c>
      <c r="T34" s="600" t="str">
        <f t="shared" si="4"/>
        <v/>
      </c>
      <c r="AF34" s="505" t="s">
        <v>466</v>
      </c>
      <c r="AG34" s="527">
        <v>22</v>
      </c>
      <c r="AH34" s="598" t="str">
        <f t="shared" si="5"/>
        <v>○</v>
      </c>
      <c r="AI34" s="510" t="str">
        <f t="shared" si="6"/>
        <v>申請しない場合は入力不要です。</v>
      </c>
      <c r="AK34" s="528"/>
    </row>
    <row r="35" spans="1:37" ht="20.100000000000001" customHeight="1">
      <c r="A35" s="524">
        <v>23</v>
      </c>
      <c r="B35" s="122"/>
      <c r="C35" s="1945"/>
      <c r="D35" s="1946"/>
      <c r="E35" s="1947"/>
      <c r="F35" s="614"/>
      <c r="G35" s="7"/>
      <c r="H35" s="531"/>
      <c r="I35" s="513">
        <f t="shared" si="8"/>
        <v>0</v>
      </c>
      <c r="J35" s="525">
        <f t="shared" si="7"/>
        <v>0</v>
      </c>
      <c r="K35" s="610"/>
      <c r="L35" s="610"/>
      <c r="M35" s="610"/>
      <c r="N35" s="727" t="str">
        <f xml:space="preserve">
IF(表紙!$X$2="事前協議","－",
IF(表紙!$X$2="交付申請（２次）","－",
IF(表紙!$X$2="変更申請","－",
IF(AND(表紙!$X$2="実績報告（１次）",AH35="◎"),COUNTIF($AH$13:$AH35,"◎"),
IF(AND(表紙!$X$2="実績報告（１次）",OR(AH35="×",AH35="○")),"",
IF(表紙!$X$2="実績報告（２次）","－",
IF(表紙!$X$2="交付申請兼実績報告","－")))))))</f>
        <v>－</v>
      </c>
      <c r="O35" s="616" t="str">
        <f t="shared" si="0"/>
        <v/>
      </c>
      <c r="Q35" s="596" t="str">
        <f t="shared" si="1"/>
        <v/>
      </c>
      <c r="R35" s="600" t="str">
        <f t="shared" si="2"/>
        <v/>
      </c>
      <c r="S35" s="600" t="str">
        <f t="shared" si="3"/>
        <v/>
      </c>
      <c r="T35" s="600" t="str">
        <f t="shared" si="4"/>
        <v/>
      </c>
      <c r="AF35" s="505" t="s">
        <v>466</v>
      </c>
      <c r="AG35" s="527">
        <v>23</v>
      </c>
      <c r="AH35" s="598" t="str">
        <f t="shared" si="5"/>
        <v>○</v>
      </c>
      <c r="AI35" s="510" t="str">
        <f t="shared" si="6"/>
        <v>申請しない場合は入力不要です。</v>
      </c>
      <c r="AK35" s="528"/>
    </row>
    <row r="36" spans="1:37" ht="20.100000000000001" customHeight="1">
      <c r="A36" s="524">
        <v>24</v>
      </c>
      <c r="B36" s="122"/>
      <c r="C36" s="1945"/>
      <c r="D36" s="1946"/>
      <c r="E36" s="1947"/>
      <c r="F36" s="614"/>
      <c r="G36" s="7"/>
      <c r="H36" s="531"/>
      <c r="I36" s="513">
        <f t="shared" si="8"/>
        <v>0</v>
      </c>
      <c r="J36" s="525">
        <f t="shared" si="7"/>
        <v>0</v>
      </c>
      <c r="K36" s="610"/>
      <c r="L36" s="610"/>
      <c r="M36" s="610"/>
      <c r="N36" s="727" t="str">
        <f xml:space="preserve">
IF(表紙!$X$2="事前協議","－",
IF(表紙!$X$2="交付申請（２次）","－",
IF(表紙!$X$2="変更申請","－",
IF(AND(表紙!$X$2="実績報告（１次）",AH36="◎"),COUNTIF($AH$13:$AH36,"◎"),
IF(AND(表紙!$X$2="実績報告（１次）",OR(AH36="×",AH36="○")),"",
IF(表紙!$X$2="実績報告（２次）","－",
IF(表紙!$X$2="交付申請兼実績報告","－")))))))</f>
        <v>－</v>
      </c>
      <c r="O36" s="616" t="str">
        <f t="shared" si="0"/>
        <v/>
      </c>
      <c r="Q36" s="596" t="str">
        <f t="shared" si="1"/>
        <v/>
      </c>
      <c r="R36" s="600" t="str">
        <f t="shared" si="2"/>
        <v/>
      </c>
      <c r="S36" s="600" t="str">
        <f t="shared" si="3"/>
        <v/>
      </c>
      <c r="T36" s="600" t="str">
        <f t="shared" si="4"/>
        <v/>
      </c>
      <c r="AF36" s="505" t="s">
        <v>466</v>
      </c>
      <c r="AG36" s="527">
        <v>24</v>
      </c>
      <c r="AH36" s="598" t="str">
        <f t="shared" si="5"/>
        <v>○</v>
      </c>
      <c r="AI36" s="510" t="str">
        <f t="shared" si="6"/>
        <v>申請しない場合は入力不要です。</v>
      </c>
      <c r="AK36" s="528"/>
    </row>
    <row r="37" spans="1:37" ht="20.100000000000001" customHeight="1">
      <c r="A37" s="524">
        <v>25</v>
      </c>
      <c r="B37" s="122"/>
      <c r="C37" s="1945"/>
      <c r="D37" s="1946"/>
      <c r="E37" s="1947"/>
      <c r="F37" s="614"/>
      <c r="G37" s="7"/>
      <c r="H37" s="531"/>
      <c r="I37" s="513">
        <f t="shared" si="8"/>
        <v>0</v>
      </c>
      <c r="J37" s="525">
        <f t="shared" si="7"/>
        <v>0</v>
      </c>
      <c r="K37" s="610"/>
      <c r="L37" s="610"/>
      <c r="M37" s="610"/>
      <c r="N37" s="727" t="str">
        <f xml:space="preserve">
IF(表紙!$X$2="事前協議","－",
IF(表紙!$X$2="交付申請（２次）","－",
IF(表紙!$X$2="変更申請","－",
IF(AND(表紙!$X$2="実績報告（１次）",AH37="◎"),COUNTIF($AH$13:$AH37,"◎"),
IF(AND(表紙!$X$2="実績報告（１次）",OR(AH37="×",AH37="○")),"",
IF(表紙!$X$2="実績報告（２次）","－",
IF(表紙!$X$2="交付申請兼実績報告","－")))))))</f>
        <v>－</v>
      </c>
      <c r="O37" s="616" t="str">
        <f t="shared" si="0"/>
        <v/>
      </c>
      <c r="Q37" s="596" t="str">
        <f t="shared" si="1"/>
        <v/>
      </c>
      <c r="R37" s="600" t="str">
        <f t="shared" si="2"/>
        <v/>
      </c>
      <c r="S37" s="600" t="str">
        <f t="shared" si="3"/>
        <v/>
      </c>
      <c r="T37" s="600" t="str">
        <f t="shared" si="4"/>
        <v/>
      </c>
      <c r="AF37" s="505" t="s">
        <v>466</v>
      </c>
      <c r="AG37" s="527">
        <v>25</v>
      </c>
      <c r="AH37" s="598" t="str">
        <f t="shared" si="5"/>
        <v>○</v>
      </c>
      <c r="AI37" s="510" t="str">
        <f t="shared" si="6"/>
        <v>申請しない場合は入力不要です。</v>
      </c>
      <c r="AK37" s="528"/>
    </row>
    <row r="38" spans="1:37" ht="20.100000000000001" customHeight="1">
      <c r="A38" s="524">
        <v>26</v>
      </c>
      <c r="B38" s="122"/>
      <c r="C38" s="1945"/>
      <c r="D38" s="1946"/>
      <c r="E38" s="1947"/>
      <c r="F38" s="614"/>
      <c r="G38" s="7"/>
      <c r="H38" s="531"/>
      <c r="I38" s="513">
        <f t="shared" si="8"/>
        <v>0</v>
      </c>
      <c r="J38" s="525">
        <f t="shared" si="7"/>
        <v>0</v>
      </c>
      <c r="K38" s="610"/>
      <c r="L38" s="610"/>
      <c r="M38" s="610"/>
      <c r="N38" s="727" t="str">
        <f xml:space="preserve">
IF(表紙!$X$2="事前協議","－",
IF(表紙!$X$2="交付申請（２次）","－",
IF(表紙!$X$2="変更申請","－",
IF(AND(表紙!$X$2="実績報告（１次）",AH38="◎"),COUNTIF($AH$13:$AH38,"◎"),
IF(AND(表紙!$X$2="実績報告（１次）",OR(AH38="×",AH38="○")),"",
IF(表紙!$X$2="実績報告（２次）","－",
IF(表紙!$X$2="交付申請兼実績報告","－")))))))</f>
        <v>－</v>
      </c>
      <c r="O38" s="616" t="str">
        <f t="shared" si="0"/>
        <v/>
      </c>
      <c r="Q38" s="596" t="str">
        <f t="shared" si="1"/>
        <v/>
      </c>
      <c r="R38" s="600" t="str">
        <f t="shared" si="2"/>
        <v/>
      </c>
      <c r="S38" s="600" t="str">
        <f t="shared" si="3"/>
        <v/>
      </c>
      <c r="T38" s="600" t="str">
        <f t="shared" si="4"/>
        <v/>
      </c>
      <c r="AF38" s="505" t="s">
        <v>466</v>
      </c>
      <c r="AG38" s="527">
        <v>26</v>
      </c>
      <c r="AH38" s="598" t="str">
        <f t="shared" si="5"/>
        <v>○</v>
      </c>
      <c r="AI38" s="510" t="str">
        <f t="shared" si="6"/>
        <v>申請しない場合は入力不要です。</v>
      </c>
      <c r="AK38" s="528"/>
    </row>
    <row r="39" spans="1:37" ht="20.100000000000001" customHeight="1">
      <c r="A39" s="524">
        <v>27</v>
      </c>
      <c r="B39" s="122"/>
      <c r="C39" s="1945"/>
      <c r="D39" s="1946"/>
      <c r="E39" s="1947"/>
      <c r="F39" s="614"/>
      <c r="G39" s="7"/>
      <c r="H39" s="531"/>
      <c r="I39" s="513">
        <f t="shared" si="8"/>
        <v>0</v>
      </c>
      <c r="J39" s="525">
        <f t="shared" si="7"/>
        <v>0</v>
      </c>
      <c r="K39" s="610"/>
      <c r="L39" s="610"/>
      <c r="M39" s="610"/>
      <c r="N39" s="727" t="str">
        <f xml:space="preserve">
IF(表紙!$X$2="事前協議","－",
IF(表紙!$X$2="交付申請（２次）","－",
IF(表紙!$X$2="変更申請","－",
IF(AND(表紙!$X$2="実績報告（１次）",AH39="◎"),COUNTIF($AH$13:$AH39,"◎"),
IF(AND(表紙!$X$2="実績報告（１次）",OR(AH39="×",AH39="○")),"",
IF(表紙!$X$2="実績報告（２次）","－",
IF(表紙!$X$2="交付申請兼実績報告","－")))))))</f>
        <v>－</v>
      </c>
      <c r="O39" s="616" t="str">
        <f t="shared" si="0"/>
        <v/>
      </c>
      <c r="Q39" s="596" t="str">
        <f t="shared" si="1"/>
        <v/>
      </c>
      <c r="R39" s="600" t="str">
        <f t="shared" si="2"/>
        <v/>
      </c>
      <c r="S39" s="600" t="str">
        <f t="shared" si="3"/>
        <v/>
      </c>
      <c r="T39" s="600" t="str">
        <f t="shared" si="4"/>
        <v/>
      </c>
      <c r="AF39" s="505" t="s">
        <v>466</v>
      </c>
      <c r="AG39" s="527">
        <v>27</v>
      </c>
      <c r="AH39" s="598" t="str">
        <f t="shared" si="5"/>
        <v>○</v>
      </c>
      <c r="AI39" s="510" t="str">
        <f t="shared" si="6"/>
        <v>申請しない場合は入力不要です。</v>
      </c>
      <c r="AK39" s="528"/>
    </row>
    <row r="40" spans="1:37" ht="20.100000000000001" customHeight="1">
      <c r="A40" s="524">
        <v>28</v>
      </c>
      <c r="B40" s="122"/>
      <c r="C40" s="1945"/>
      <c r="D40" s="1946"/>
      <c r="E40" s="1947"/>
      <c r="F40" s="614"/>
      <c r="G40" s="7"/>
      <c r="H40" s="531"/>
      <c r="I40" s="513">
        <f t="shared" si="8"/>
        <v>0</v>
      </c>
      <c r="J40" s="525">
        <f t="shared" si="7"/>
        <v>0</v>
      </c>
      <c r="K40" s="610"/>
      <c r="L40" s="610"/>
      <c r="M40" s="610"/>
      <c r="N40" s="727" t="str">
        <f xml:space="preserve">
IF(表紙!$X$2="事前協議","－",
IF(表紙!$X$2="交付申請（２次）","－",
IF(表紙!$X$2="変更申請","－",
IF(AND(表紙!$X$2="実績報告（１次）",AH40="◎"),COUNTIF($AH$13:$AH40,"◎"),
IF(AND(表紙!$X$2="実績報告（１次）",OR(AH40="×",AH40="○")),"",
IF(表紙!$X$2="実績報告（２次）","－",
IF(表紙!$X$2="交付申請兼実績報告","－")))))))</f>
        <v>－</v>
      </c>
      <c r="O40" s="616" t="str">
        <f t="shared" si="0"/>
        <v/>
      </c>
      <c r="Q40" s="596" t="str">
        <f t="shared" si="1"/>
        <v/>
      </c>
      <c r="R40" s="600" t="str">
        <f t="shared" si="2"/>
        <v/>
      </c>
      <c r="S40" s="600" t="str">
        <f t="shared" si="3"/>
        <v/>
      </c>
      <c r="T40" s="600" t="str">
        <f t="shared" si="4"/>
        <v/>
      </c>
      <c r="AF40" s="505" t="s">
        <v>466</v>
      </c>
      <c r="AG40" s="527">
        <v>28</v>
      </c>
      <c r="AH40" s="598" t="str">
        <f t="shared" si="5"/>
        <v>○</v>
      </c>
      <c r="AI40" s="510" t="str">
        <f t="shared" si="6"/>
        <v>申請しない場合は入力不要です。</v>
      </c>
      <c r="AK40" s="528"/>
    </row>
    <row r="41" spans="1:37" ht="20.100000000000001" customHeight="1">
      <c r="A41" s="524">
        <v>29</v>
      </c>
      <c r="B41" s="122"/>
      <c r="C41" s="1945"/>
      <c r="D41" s="1946"/>
      <c r="E41" s="1947"/>
      <c r="F41" s="614"/>
      <c r="G41" s="7"/>
      <c r="H41" s="531"/>
      <c r="I41" s="513">
        <f t="shared" si="8"/>
        <v>0</v>
      </c>
      <c r="J41" s="525">
        <f t="shared" si="7"/>
        <v>0</v>
      </c>
      <c r="K41" s="610"/>
      <c r="L41" s="610"/>
      <c r="M41" s="610"/>
      <c r="N41" s="727" t="str">
        <f xml:space="preserve">
IF(表紙!$X$2="事前協議","－",
IF(表紙!$X$2="交付申請（２次）","－",
IF(表紙!$X$2="変更申請","－",
IF(AND(表紙!$X$2="実績報告（１次）",AH41="◎"),COUNTIF($AH$13:$AH41,"◎"),
IF(AND(表紙!$X$2="実績報告（１次）",OR(AH41="×",AH41="○")),"",
IF(表紙!$X$2="実績報告（２次）","－",
IF(表紙!$X$2="交付申請兼実績報告","－")))))))</f>
        <v>－</v>
      </c>
      <c r="O41" s="616" t="str">
        <f t="shared" si="0"/>
        <v/>
      </c>
      <c r="Q41" s="596" t="str">
        <f t="shared" si="1"/>
        <v/>
      </c>
      <c r="R41" s="600" t="str">
        <f t="shared" si="2"/>
        <v/>
      </c>
      <c r="S41" s="600" t="str">
        <f t="shared" si="3"/>
        <v/>
      </c>
      <c r="T41" s="600" t="str">
        <f t="shared" si="4"/>
        <v/>
      </c>
      <c r="AF41" s="505" t="s">
        <v>466</v>
      </c>
      <c r="AG41" s="527">
        <v>29</v>
      </c>
      <c r="AH41" s="598" t="str">
        <f t="shared" si="5"/>
        <v>○</v>
      </c>
      <c r="AI41" s="510" t="str">
        <f t="shared" si="6"/>
        <v>申請しない場合は入力不要です。</v>
      </c>
      <c r="AK41" s="528"/>
    </row>
    <row r="42" spans="1:37" ht="20.100000000000001" customHeight="1">
      <c r="A42" s="524">
        <v>30</v>
      </c>
      <c r="B42" s="122"/>
      <c r="C42" s="1945"/>
      <c r="D42" s="1946"/>
      <c r="E42" s="1947"/>
      <c r="F42" s="614"/>
      <c r="G42" s="7"/>
      <c r="H42" s="531"/>
      <c r="I42" s="513">
        <f t="shared" si="8"/>
        <v>0</v>
      </c>
      <c r="J42" s="525">
        <f t="shared" si="7"/>
        <v>0</v>
      </c>
      <c r="K42" s="610"/>
      <c r="L42" s="610"/>
      <c r="M42" s="610"/>
      <c r="N42" s="727" t="str">
        <f xml:space="preserve">
IF(表紙!$X$2="事前協議","－",
IF(表紙!$X$2="交付申請（２次）","－",
IF(表紙!$X$2="変更申請","－",
IF(AND(表紙!$X$2="実績報告（１次）",AH42="◎"),COUNTIF($AH$13:$AH42,"◎"),
IF(AND(表紙!$X$2="実績報告（１次）",OR(AH42="×",AH42="○")),"",
IF(表紙!$X$2="実績報告（２次）","－",
IF(表紙!$X$2="交付申請兼実績報告","－")))))))</f>
        <v>－</v>
      </c>
      <c r="O42" s="616" t="str">
        <f t="shared" si="0"/>
        <v/>
      </c>
      <c r="Q42" s="596" t="str">
        <f t="shared" si="1"/>
        <v/>
      </c>
      <c r="R42" s="600" t="str">
        <f t="shared" si="2"/>
        <v/>
      </c>
      <c r="S42" s="600" t="str">
        <f t="shared" si="3"/>
        <v/>
      </c>
      <c r="T42" s="600" t="str">
        <f t="shared" si="4"/>
        <v/>
      </c>
      <c r="AF42" s="505" t="s">
        <v>466</v>
      </c>
      <c r="AG42" s="527">
        <v>30</v>
      </c>
      <c r="AH42" s="598" t="str">
        <f t="shared" si="5"/>
        <v>○</v>
      </c>
      <c r="AI42" s="510" t="str">
        <f t="shared" si="6"/>
        <v>申請しない場合は入力不要です。</v>
      </c>
      <c r="AK42" s="528"/>
    </row>
    <row r="43" spans="1:37" ht="20.100000000000001" customHeight="1">
      <c r="A43" s="524">
        <v>31</v>
      </c>
      <c r="B43" s="122"/>
      <c r="C43" s="1945"/>
      <c r="D43" s="1946"/>
      <c r="E43" s="1947"/>
      <c r="F43" s="614"/>
      <c r="G43" s="7"/>
      <c r="H43" s="531"/>
      <c r="I43" s="513">
        <f t="shared" si="8"/>
        <v>0</v>
      </c>
      <c r="J43" s="525">
        <f t="shared" si="7"/>
        <v>0</v>
      </c>
      <c r="K43" s="610"/>
      <c r="L43" s="610"/>
      <c r="M43" s="610"/>
      <c r="N43" s="727" t="str">
        <f xml:space="preserve">
IF(表紙!$X$2="事前協議","－",
IF(表紙!$X$2="交付申請（２次）","－",
IF(表紙!$X$2="変更申請","－",
IF(AND(表紙!$X$2="実績報告（１次）",AH43="◎"),COUNTIF($AH$13:$AH43,"◎"),
IF(AND(表紙!$X$2="実績報告（１次）",OR(AH43="×",AH43="○")),"",
IF(表紙!$X$2="実績報告（２次）","－",
IF(表紙!$X$2="交付申請兼実績報告","－")))))))</f>
        <v>－</v>
      </c>
      <c r="O43" s="616" t="str">
        <f t="shared" si="0"/>
        <v/>
      </c>
      <c r="Q43" s="596" t="str">
        <f t="shared" si="1"/>
        <v/>
      </c>
      <c r="R43" s="600" t="str">
        <f t="shared" si="2"/>
        <v/>
      </c>
      <c r="S43" s="600" t="str">
        <f t="shared" si="3"/>
        <v/>
      </c>
      <c r="T43" s="600" t="str">
        <f t="shared" si="4"/>
        <v/>
      </c>
      <c r="AF43" s="505" t="s">
        <v>466</v>
      </c>
      <c r="AG43" s="527">
        <v>31</v>
      </c>
      <c r="AH43" s="598" t="str">
        <f t="shared" si="5"/>
        <v>○</v>
      </c>
      <c r="AI43" s="510" t="str">
        <f t="shared" si="6"/>
        <v>申請しない場合は入力不要です。</v>
      </c>
      <c r="AK43" s="528"/>
    </row>
    <row r="44" spans="1:37" ht="20.100000000000001" customHeight="1">
      <c r="A44" s="524">
        <v>32</v>
      </c>
      <c r="B44" s="122"/>
      <c r="C44" s="1945"/>
      <c r="D44" s="1946"/>
      <c r="E44" s="1947"/>
      <c r="F44" s="614"/>
      <c r="G44" s="7"/>
      <c r="H44" s="531"/>
      <c r="I44" s="513">
        <f t="shared" si="8"/>
        <v>0</v>
      </c>
      <c r="J44" s="525">
        <f t="shared" si="7"/>
        <v>0</v>
      </c>
      <c r="K44" s="610"/>
      <c r="L44" s="610"/>
      <c r="M44" s="610"/>
      <c r="N44" s="727" t="str">
        <f xml:space="preserve">
IF(表紙!$X$2="事前協議","－",
IF(表紙!$X$2="交付申請（２次）","－",
IF(表紙!$X$2="変更申請","－",
IF(AND(表紙!$X$2="実績報告（１次）",AH44="◎"),COUNTIF($AH$13:$AH44,"◎"),
IF(AND(表紙!$X$2="実績報告（１次）",OR(AH44="×",AH44="○")),"",
IF(表紙!$X$2="実績報告（２次）","－",
IF(表紙!$X$2="交付申請兼実績報告","－")))))))</f>
        <v>－</v>
      </c>
      <c r="O44" s="616" t="str">
        <f t="shared" si="0"/>
        <v/>
      </c>
      <c r="Q44" s="596" t="str">
        <f t="shared" si="1"/>
        <v/>
      </c>
      <c r="R44" s="600" t="str">
        <f t="shared" si="2"/>
        <v/>
      </c>
      <c r="S44" s="600" t="str">
        <f t="shared" si="3"/>
        <v/>
      </c>
      <c r="T44" s="600" t="str">
        <f t="shared" si="4"/>
        <v/>
      </c>
      <c r="AF44" s="505" t="s">
        <v>466</v>
      </c>
      <c r="AG44" s="527">
        <v>32</v>
      </c>
      <c r="AH44" s="598" t="str">
        <f t="shared" si="5"/>
        <v>○</v>
      </c>
      <c r="AI44" s="510" t="str">
        <f t="shared" si="6"/>
        <v>申請しない場合は入力不要です。</v>
      </c>
      <c r="AK44" s="528"/>
    </row>
    <row r="45" spans="1:37" ht="20.100000000000001" customHeight="1">
      <c r="A45" s="524">
        <v>33</v>
      </c>
      <c r="B45" s="122"/>
      <c r="C45" s="1945"/>
      <c r="D45" s="1946"/>
      <c r="E45" s="1947"/>
      <c r="F45" s="614"/>
      <c r="G45" s="7"/>
      <c r="H45" s="531"/>
      <c r="I45" s="513">
        <f t="shared" si="8"/>
        <v>0</v>
      </c>
      <c r="J45" s="525">
        <f t="shared" si="7"/>
        <v>0</v>
      </c>
      <c r="K45" s="610"/>
      <c r="L45" s="610"/>
      <c r="M45" s="610"/>
      <c r="N45" s="727" t="str">
        <f xml:space="preserve">
IF(表紙!$X$2="事前協議","－",
IF(表紙!$X$2="交付申請（２次）","－",
IF(表紙!$X$2="変更申請","－",
IF(AND(表紙!$X$2="実績報告（１次）",AH45="◎"),COUNTIF($AH$13:$AH45,"◎"),
IF(AND(表紙!$X$2="実績報告（１次）",OR(AH45="×",AH45="○")),"",
IF(表紙!$X$2="実績報告（２次）","－",
IF(表紙!$X$2="交付申請兼実績報告","－")))))))</f>
        <v>－</v>
      </c>
      <c r="O45" s="616" t="str">
        <f t="shared" si="0"/>
        <v/>
      </c>
      <c r="Q45" s="596" t="str">
        <f t="shared" si="1"/>
        <v/>
      </c>
      <c r="R45" s="600" t="str">
        <f t="shared" si="2"/>
        <v/>
      </c>
      <c r="S45" s="600" t="str">
        <f t="shared" si="3"/>
        <v/>
      </c>
      <c r="T45" s="600" t="str">
        <f t="shared" si="4"/>
        <v/>
      </c>
      <c r="AE45" s="505" t="str">
        <f>IF(C8=0,"×","○")</f>
        <v>○</v>
      </c>
      <c r="AF45" s="505" t="s">
        <v>466</v>
      </c>
      <c r="AG45" s="527">
        <v>33</v>
      </c>
      <c r="AH45" s="598" t="str">
        <f t="shared" si="5"/>
        <v>○</v>
      </c>
      <c r="AI45" s="510" t="str">
        <f t="shared" si="6"/>
        <v>申請しない場合は入力不要です。</v>
      </c>
      <c r="AK45" s="528"/>
    </row>
    <row r="46" spans="1:37" ht="20.100000000000001" customHeight="1">
      <c r="A46" s="524">
        <v>34</v>
      </c>
      <c r="B46" s="122"/>
      <c r="C46" s="1945"/>
      <c r="D46" s="1946"/>
      <c r="E46" s="1947"/>
      <c r="F46" s="614"/>
      <c r="G46" s="7"/>
      <c r="H46" s="531"/>
      <c r="I46" s="513">
        <f t="shared" si="8"/>
        <v>0</v>
      </c>
      <c r="J46" s="525">
        <f t="shared" si="7"/>
        <v>0</v>
      </c>
      <c r="K46" s="610"/>
      <c r="L46" s="610"/>
      <c r="M46" s="610"/>
      <c r="N46" s="727" t="str">
        <f xml:space="preserve">
IF(表紙!$X$2="事前協議","－",
IF(表紙!$X$2="交付申請（２次）","－",
IF(表紙!$X$2="変更申請","－",
IF(AND(表紙!$X$2="実績報告（１次）",AH46="◎"),COUNTIF($AH$13:$AH46,"◎"),
IF(AND(表紙!$X$2="実績報告（１次）",OR(AH46="×",AH46="○")),"",
IF(表紙!$X$2="実績報告（２次）","－",
IF(表紙!$X$2="交付申請兼実績報告","－")))))))</f>
        <v>－</v>
      </c>
      <c r="O46" s="616" t="str">
        <f t="shared" si="0"/>
        <v/>
      </c>
      <c r="Q46" s="596" t="str">
        <f t="shared" si="1"/>
        <v/>
      </c>
      <c r="R46" s="600" t="str">
        <f t="shared" si="2"/>
        <v/>
      </c>
      <c r="S46" s="600" t="str">
        <f t="shared" si="3"/>
        <v/>
      </c>
      <c r="T46" s="600" t="str">
        <f t="shared" si="4"/>
        <v/>
      </c>
      <c r="AF46" s="505" t="s">
        <v>466</v>
      </c>
      <c r="AG46" s="527">
        <v>34</v>
      </c>
      <c r="AH46" s="598" t="str">
        <f t="shared" si="5"/>
        <v>○</v>
      </c>
      <c r="AI46" s="510" t="str">
        <f t="shared" si="6"/>
        <v>申請しない場合は入力不要です。</v>
      </c>
      <c r="AK46" s="528"/>
    </row>
    <row r="47" spans="1:37" ht="20.100000000000001" customHeight="1">
      <c r="A47" s="524">
        <v>35</v>
      </c>
      <c r="B47" s="122"/>
      <c r="C47" s="1945"/>
      <c r="D47" s="1946"/>
      <c r="E47" s="1947"/>
      <c r="F47" s="614"/>
      <c r="G47" s="7"/>
      <c r="H47" s="531"/>
      <c r="I47" s="513">
        <f t="shared" si="8"/>
        <v>0</v>
      </c>
      <c r="J47" s="525">
        <f t="shared" si="7"/>
        <v>0</v>
      </c>
      <c r="K47" s="610"/>
      <c r="L47" s="610"/>
      <c r="M47" s="610"/>
      <c r="N47" s="727" t="str">
        <f xml:space="preserve">
IF(表紙!$X$2="事前協議","－",
IF(表紙!$X$2="交付申請（２次）","－",
IF(表紙!$X$2="変更申請","－",
IF(AND(表紙!$X$2="実績報告（１次）",AH47="◎"),COUNTIF($AH$13:$AH47,"◎"),
IF(AND(表紙!$X$2="実績報告（１次）",OR(AH47="×",AH47="○")),"",
IF(表紙!$X$2="実績報告（２次）","－",
IF(表紙!$X$2="交付申請兼実績報告","－")))))))</f>
        <v>－</v>
      </c>
      <c r="O47" s="616" t="str">
        <f t="shared" si="0"/>
        <v/>
      </c>
      <c r="Q47" s="596" t="str">
        <f t="shared" si="1"/>
        <v/>
      </c>
      <c r="R47" s="600" t="str">
        <f t="shared" si="2"/>
        <v/>
      </c>
      <c r="S47" s="600" t="str">
        <f t="shared" si="3"/>
        <v/>
      </c>
      <c r="T47" s="600" t="str">
        <f t="shared" si="4"/>
        <v/>
      </c>
      <c r="AF47" s="505" t="s">
        <v>466</v>
      </c>
      <c r="AG47" s="527">
        <v>35</v>
      </c>
      <c r="AH47" s="598" t="str">
        <f t="shared" si="5"/>
        <v>○</v>
      </c>
      <c r="AI47" s="510" t="str">
        <f t="shared" si="6"/>
        <v>申請しない場合は入力不要です。</v>
      </c>
      <c r="AK47" s="528"/>
    </row>
    <row r="48" spans="1:37" ht="20.100000000000001" customHeight="1">
      <c r="A48" s="524">
        <v>36</v>
      </c>
      <c r="B48" s="122"/>
      <c r="C48" s="1945"/>
      <c r="D48" s="1946"/>
      <c r="E48" s="1947"/>
      <c r="F48" s="614"/>
      <c r="G48" s="7"/>
      <c r="H48" s="531"/>
      <c r="I48" s="513">
        <f t="shared" si="8"/>
        <v>0</v>
      </c>
      <c r="J48" s="525">
        <f t="shared" si="7"/>
        <v>0</v>
      </c>
      <c r="K48" s="610"/>
      <c r="L48" s="610"/>
      <c r="M48" s="610"/>
      <c r="N48" s="727" t="str">
        <f xml:space="preserve">
IF(表紙!$X$2="事前協議","－",
IF(表紙!$X$2="交付申請（２次）","－",
IF(表紙!$X$2="変更申請","－",
IF(AND(表紙!$X$2="実績報告（１次）",AH48="◎"),COUNTIF($AH$13:$AH48,"◎"),
IF(AND(表紙!$X$2="実績報告（１次）",OR(AH48="×",AH48="○")),"",
IF(表紙!$X$2="実績報告（２次）","－",
IF(表紙!$X$2="交付申請兼実績報告","－")))))))</f>
        <v>－</v>
      </c>
      <c r="O48" s="616" t="str">
        <f t="shared" si="0"/>
        <v/>
      </c>
      <c r="Q48" s="596" t="str">
        <f t="shared" si="1"/>
        <v/>
      </c>
      <c r="R48" s="600" t="str">
        <f t="shared" si="2"/>
        <v/>
      </c>
      <c r="S48" s="600" t="str">
        <f t="shared" si="3"/>
        <v/>
      </c>
      <c r="T48" s="600" t="str">
        <f t="shared" si="4"/>
        <v/>
      </c>
      <c r="AF48" s="505" t="s">
        <v>466</v>
      </c>
      <c r="AG48" s="527">
        <v>36</v>
      </c>
      <c r="AH48" s="598" t="str">
        <f t="shared" si="5"/>
        <v>○</v>
      </c>
      <c r="AI48" s="510" t="str">
        <f t="shared" si="6"/>
        <v>申請しない場合は入力不要です。</v>
      </c>
      <c r="AK48" s="528"/>
    </row>
    <row r="49" spans="1:37" ht="20.100000000000001" customHeight="1">
      <c r="A49" s="524">
        <v>37</v>
      </c>
      <c r="B49" s="122"/>
      <c r="C49" s="1945"/>
      <c r="D49" s="1946"/>
      <c r="E49" s="1947"/>
      <c r="F49" s="614"/>
      <c r="G49" s="7"/>
      <c r="H49" s="531"/>
      <c r="I49" s="513">
        <f t="shared" si="8"/>
        <v>0</v>
      </c>
      <c r="J49" s="525">
        <f t="shared" si="7"/>
        <v>0</v>
      </c>
      <c r="K49" s="610"/>
      <c r="L49" s="610"/>
      <c r="M49" s="610"/>
      <c r="N49" s="727" t="str">
        <f xml:space="preserve">
IF(表紙!$X$2="事前協議","－",
IF(表紙!$X$2="交付申請（２次）","－",
IF(表紙!$X$2="変更申請","－",
IF(AND(表紙!$X$2="実績報告（１次）",AH49="◎"),COUNTIF($AH$13:$AH49,"◎"),
IF(AND(表紙!$X$2="実績報告（１次）",OR(AH49="×",AH49="○")),"",
IF(表紙!$X$2="実績報告（２次）","－",
IF(表紙!$X$2="交付申請兼実績報告","－")))))))</f>
        <v>－</v>
      </c>
      <c r="O49" s="616" t="str">
        <f t="shared" si="0"/>
        <v/>
      </c>
      <c r="Q49" s="596" t="str">
        <f t="shared" si="1"/>
        <v/>
      </c>
      <c r="R49" s="600" t="str">
        <f t="shared" si="2"/>
        <v/>
      </c>
      <c r="S49" s="600" t="str">
        <f t="shared" si="3"/>
        <v/>
      </c>
      <c r="T49" s="600" t="str">
        <f t="shared" si="4"/>
        <v/>
      </c>
      <c r="AF49" s="505" t="s">
        <v>466</v>
      </c>
      <c r="AG49" s="527">
        <v>37</v>
      </c>
      <c r="AH49" s="598" t="str">
        <f t="shared" si="5"/>
        <v>○</v>
      </c>
      <c r="AI49" s="510" t="str">
        <f t="shared" si="6"/>
        <v>申請しない場合は入力不要です。</v>
      </c>
      <c r="AK49" s="528"/>
    </row>
    <row r="50" spans="1:37" ht="20.100000000000001" customHeight="1">
      <c r="A50" s="524">
        <v>38</v>
      </c>
      <c r="B50" s="122"/>
      <c r="C50" s="1945"/>
      <c r="D50" s="1946"/>
      <c r="E50" s="1947"/>
      <c r="F50" s="614"/>
      <c r="G50" s="7"/>
      <c r="H50" s="531"/>
      <c r="I50" s="513">
        <f t="shared" si="8"/>
        <v>0</v>
      </c>
      <c r="J50" s="525">
        <f t="shared" si="7"/>
        <v>0</v>
      </c>
      <c r="K50" s="610"/>
      <c r="L50" s="610"/>
      <c r="M50" s="610"/>
      <c r="N50" s="727" t="str">
        <f xml:space="preserve">
IF(表紙!$X$2="事前協議","－",
IF(表紙!$X$2="交付申請（２次）","－",
IF(表紙!$X$2="変更申請","－",
IF(AND(表紙!$X$2="実績報告（１次）",AH50="◎"),COUNTIF($AH$13:$AH50,"◎"),
IF(AND(表紙!$X$2="実績報告（１次）",OR(AH50="×",AH50="○")),"",
IF(表紙!$X$2="実績報告（２次）","－",
IF(表紙!$X$2="交付申請兼実績報告","－")))))))</f>
        <v>－</v>
      </c>
      <c r="O50" s="616" t="str">
        <f t="shared" si="0"/>
        <v/>
      </c>
      <c r="Q50" s="596" t="str">
        <f t="shared" si="1"/>
        <v/>
      </c>
      <c r="R50" s="600" t="str">
        <f t="shared" si="2"/>
        <v/>
      </c>
      <c r="S50" s="600" t="str">
        <f t="shared" si="3"/>
        <v/>
      </c>
      <c r="T50" s="600" t="str">
        <f t="shared" si="4"/>
        <v/>
      </c>
      <c r="AF50" s="505" t="s">
        <v>466</v>
      </c>
      <c r="AG50" s="527">
        <v>38</v>
      </c>
      <c r="AH50" s="598" t="str">
        <f t="shared" si="5"/>
        <v>○</v>
      </c>
      <c r="AI50" s="510" t="str">
        <f t="shared" si="6"/>
        <v>申請しない場合は入力不要です。</v>
      </c>
      <c r="AK50" s="528"/>
    </row>
    <row r="51" spans="1:37" ht="20.100000000000001" customHeight="1">
      <c r="A51" s="524">
        <v>39</v>
      </c>
      <c r="B51" s="122"/>
      <c r="C51" s="1945"/>
      <c r="D51" s="1946"/>
      <c r="E51" s="1947"/>
      <c r="F51" s="614"/>
      <c r="G51" s="7"/>
      <c r="H51" s="531"/>
      <c r="I51" s="513">
        <f t="shared" si="8"/>
        <v>0</v>
      </c>
      <c r="J51" s="525">
        <f t="shared" si="7"/>
        <v>0</v>
      </c>
      <c r="K51" s="610"/>
      <c r="L51" s="610"/>
      <c r="M51" s="610"/>
      <c r="N51" s="727" t="str">
        <f xml:space="preserve">
IF(表紙!$X$2="事前協議","－",
IF(表紙!$X$2="交付申請（２次）","－",
IF(表紙!$X$2="変更申請","－",
IF(AND(表紙!$X$2="実績報告（１次）",AH51="◎"),COUNTIF($AH$13:$AH51,"◎"),
IF(AND(表紙!$X$2="実績報告（１次）",OR(AH51="×",AH51="○")),"",
IF(表紙!$X$2="実績報告（２次）","－",
IF(表紙!$X$2="交付申請兼実績報告","－")))))))</f>
        <v>－</v>
      </c>
      <c r="O51" s="616" t="str">
        <f t="shared" si="0"/>
        <v/>
      </c>
      <c r="Q51" s="596" t="str">
        <f t="shared" si="1"/>
        <v/>
      </c>
      <c r="R51" s="600" t="str">
        <f t="shared" si="2"/>
        <v/>
      </c>
      <c r="S51" s="600" t="str">
        <f t="shared" si="3"/>
        <v/>
      </c>
      <c r="T51" s="600" t="str">
        <f t="shared" si="4"/>
        <v/>
      </c>
      <c r="AF51" s="505" t="s">
        <v>466</v>
      </c>
      <c r="AG51" s="527">
        <v>39</v>
      </c>
      <c r="AH51" s="598" t="str">
        <f t="shared" si="5"/>
        <v>○</v>
      </c>
      <c r="AI51" s="510" t="str">
        <f t="shared" si="6"/>
        <v>申請しない場合は入力不要です。</v>
      </c>
      <c r="AK51" s="528"/>
    </row>
    <row r="52" spans="1:37" ht="20.100000000000001" customHeight="1">
      <c r="A52" s="524">
        <v>40</v>
      </c>
      <c r="B52" s="122"/>
      <c r="C52" s="1945"/>
      <c r="D52" s="1946"/>
      <c r="E52" s="1947"/>
      <c r="F52" s="614"/>
      <c r="G52" s="7"/>
      <c r="H52" s="531"/>
      <c r="I52" s="513">
        <f t="shared" si="8"/>
        <v>0</v>
      </c>
      <c r="J52" s="525">
        <f t="shared" si="7"/>
        <v>0</v>
      </c>
      <c r="K52" s="610"/>
      <c r="L52" s="610"/>
      <c r="M52" s="610"/>
      <c r="N52" s="727" t="str">
        <f xml:space="preserve">
IF(表紙!$X$2="事前協議","－",
IF(表紙!$X$2="交付申請（２次）","－",
IF(表紙!$X$2="変更申請","－",
IF(AND(表紙!$X$2="実績報告（１次）",AH52="◎"),COUNTIF($AH$13:$AH52,"◎"),
IF(AND(表紙!$X$2="実績報告（１次）",OR(AH52="×",AH52="○")),"",
IF(表紙!$X$2="実績報告（２次）","－",
IF(表紙!$X$2="交付申請兼実績報告","－")))))))</f>
        <v>－</v>
      </c>
      <c r="O52" s="616" t="str">
        <f t="shared" si="0"/>
        <v/>
      </c>
      <c r="Q52" s="596" t="str">
        <f t="shared" si="1"/>
        <v/>
      </c>
      <c r="R52" s="600" t="str">
        <f t="shared" si="2"/>
        <v/>
      </c>
      <c r="S52" s="600" t="str">
        <f t="shared" si="3"/>
        <v/>
      </c>
      <c r="T52" s="600" t="str">
        <f t="shared" si="4"/>
        <v/>
      </c>
      <c r="AF52" s="505" t="s">
        <v>466</v>
      </c>
      <c r="AG52" s="527">
        <v>40</v>
      </c>
      <c r="AH52" s="598" t="str">
        <f t="shared" si="5"/>
        <v>○</v>
      </c>
      <c r="AI52" s="510" t="str">
        <f t="shared" si="6"/>
        <v>申請しない場合は入力不要です。</v>
      </c>
      <c r="AK52" s="528"/>
    </row>
    <row r="53" spans="1:37" ht="20.100000000000001" customHeight="1">
      <c r="A53" s="524">
        <v>41</v>
      </c>
      <c r="B53" s="122"/>
      <c r="C53" s="1945"/>
      <c r="D53" s="1946"/>
      <c r="E53" s="1947"/>
      <c r="F53" s="614"/>
      <c r="G53" s="7"/>
      <c r="H53" s="531"/>
      <c r="I53" s="513">
        <f t="shared" si="8"/>
        <v>0</v>
      </c>
      <c r="J53" s="525">
        <f t="shared" si="7"/>
        <v>0</v>
      </c>
      <c r="K53" s="610"/>
      <c r="L53" s="610"/>
      <c r="M53" s="610"/>
      <c r="N53" s="727" t="str">
        <f xml:space="preserve">
IF(表紙!$X$2="事前協議","－",
IF(表紙!$X$2="交付申請（２次）","－",
IF(表紙!$X$2="変更申請","－",
IF(AND(表紙!$X$2="実績報告（１次）",AH53="◎"),COUNTIF($AH$13:$AH53,"◎"),
IF(AND(表紙!$X$2="実績報告（１次）",OR(AH53="×",AH53="○")),"",
IF(表紙!$X$2="実績報告（２次）","－",
IF(表紙!$X$2="交付申請兼実績報告","－")))))))</f>
        <v>－</v>
      </c>
      <c r="O53" s="616" t="str">
        <f t="shared" si="0"/>
        <v/>
      </c>
      <c r="Q53" s="596" t="str">
        <f t="shared" si="1"/>
        <v/>
      </c>
      <c r="R53" s="600" t="str">
        <f t="shared" si="2"/>
        <v/>
      </c>
      <c r="S53" s="600" t="str">
        <f t="shared" si="3"/>
        <v/>
      </c>
      <c r="T53" s="600" t="str">
        <f t="shared" si="4"/>
        <v/>
      </c>
      <c r="AF53" s="505" t="s">
        <v>466</v>
      </c>
      <c r="AG53" s="527">
        <v>41</v>
      </c>
      <c r="AH53" s="598" t="str">
        <f t="shared" si="5"/>
        <v>○</v>
      </c>
      <c r="AI53" s="510" t="str">
        <f t="shared" si="6"/>
        <v>申請しない場合は入力不要です。</v>
      </c>
      <c r="AK53" s="528"/>
    </row>
    <row r="54" spans="1:37" ht="20.100000000000001" customHeight="1">
      <c r="A54" s="524">
        <v>42</v>
      </c>
      <c r="B54" s="122"/>
      <c r="C54" s="1945"/>
      <c r="D54" s="1946"/>
      <c r="E54" s="1947"/>
      <c r="F54" s="614"/>
      <c r="G54" s="7"/>
      <c r="H54" s="531"/>
      <c r="I54" s="513">
        <f t="shared" si="8"/>
        <v>0</v>
      </c>
      <c r="J54" s="525">
        <f t="shared" si="7"/>
        <v>0</v>
      </c>
      <c r="K54" s="610"/>
      <c r="L54" s="610"/>
      <c r="M54" s="610"/>
      <c r="N54" s="727" t="str">
        <f xml:space="preserve">
IF(表紙!$X$2="事前協議","－",
IF(表紙!$X$2="交付申請（２次）","－",
IF(表紙!$X$2="変更申請","－",
IF(AND(表紙!$X$2="実績報告（１次）",AH54="◎"),COUNTIF($AH$13:$AH54,"◎"),
IF(AND(表紙!$X$2="実績報告（１次）",OR(AH54="×",AH54="○")),"",
IF(表紙!$X$2="実績報告（２次）","－",
IF(表紙!$X$2="交付申請兼実績報告","－")))))))</f>
        <v>－</v>
      </c>
      <c r="O54" s="616" t="str">
        <f t="shared" si="0"/>
        <v/>
      </c>
      <c r="Q54" s="596" t="str">
        <f t="shared" si="1"/>
        <v/>
      </c>
      <c r="R54" s="600" t="str">
        <f t="shared" si="2"/>
        <v/>
      </c>
      <c r="S54" s="600" t="str">
        <f t="shared" si="3"/>
        <v/>
      </c>
      <c r="T54" s="600" t="str">
        <f t="shared" si="4"/>
        <v/>
      </c>
      <c r="AF54" s="505" t="s">
        <v>466</v>
      </c>
      <c r="AG54" s="527">
        <v>42</v>
      </c>
      <c r="AH54" s="598" t="str">
        <f t="shared" si="5"/>
        <v>○</v>
      </c>
      <c r="AI54" s="510" t="str">
        <f t="shared" si="6"/>
        <v>申請しない場合は入力不要です。</v>
      </c>
      <c r="AK54" s="528"/>
    </row>
    <row r="55" spans="1:37" ht="20.100000000000001" customHeight="1">
      <c r="A55" s="524">
        <v>43</v>
      </c>
      <c r="B55" s="122"/>
      <c r="C55" s="1945"/>
      <c r="D55" s="1946"/>
      <c r="E55" s="1947"/>
      <c r="F55" s="614"/>
      <c r="G55" s="7"/>
      <c r="H55" s="531"/>
      <c r="I55" s="513">
        <f t="shared" si="8"/>
        <v>0</v>
      </c>
      <c r="J55" s="525">
        <f t="shared" si="7"/>
        <v>0</v>
      </c>
      <c r="K55" s="610"/>
      <c r="L55" s="610"/>
      <c r="M55" s="610"/>
      <c r="N55" s="727" t="str">
        <f xml:space="preserve">
IF(表紙!$X$2="事前協議","－",
IF(表紙!$X$2="交付申請（２次）","－",
IF(表紙!$X$2="変更申請","－",
IF(AND(表紙!$X$2="実績報告（１次）",AH55="◎"),COUNTIF($AH$13:$AH55,"◎"),
IF(AND(表紙!$X$2="実績報告（１次）",OR(AH55="×",AH55="○")),"",
IF(表紙!$X$2="実績報告（２次）","－",
IF(表紙!$X$2="交付申請兼実績報告","－")))))))</f>
        <v>－</v>
      </c>
      <c r="O55" s="616" t="str">
        <f t="shared" si="0"/>
        <v/>
      </c>
      <c r="Q55" s="596" t="str">
        <f t="shared" si="1"/>
        <v/>
      </c>
      <c r="R55" s="600" t="str">
        <f t="shared" si="2"/>
        <v/>
      </c>
      <c r="S55" s="600" t="str">
        <f t="shared" si="3"/>
        <v/>
      </c>
      <c r="T55" s="600" t="str">
        <f t="shared" si="4"/>
        <v/>
      </c>
      <c r="AF55" s="505" t="s">
        <v>466</v>
      </c>
      <c r="AG55" s="527">
        <v>43</v>
      </c>
      <c r="AH55" s="598" t="str">
        <f t="shared" si="5"/>
        <v>○</v>
      </c>
      <c r="AI55" s="510" t="str">
        <f t="shared" si="6"/>
        <v>申請しない場合は入力不要です。</v>
      </c>
      <c r="AK55" s="528"/>
    </row>
    <row r="56" spans="1:37" ht="20.100000000000001" customHeight="1">
      <c r="A56" s="524">
        <v>44</v>
      </c>
      <c r="B56" s="122"/>
      <c r="C56" s="1945"/>
      <c r="D56" s="1946"/>
      <c r="E56" s="1947"/>
      <c r="F56" s="614"/>
      <c r="G56" s="7"/>
      <c r="H56" s="531"/>
      <c r="I56" s="513">
        <f t="shared" si="8"/>
        <v>0</v>
      </c>
      <c r="J56" s="525">
        <f t="shared" si="7"/>
        <v>0</v>
      </c>
      <c r="K56" s="610"/>
      <c r="L56" s="610"/>
      <c r="M56" s="610"/>
      <c r="N56" s="727" t="str">
        <f xml:space="preserve">
IF(表紙!$X$2="事前協議","－",
IF(表紙!$X$2="交付申請（２次）","－",
IF(表紙!$X$2="変更申請","－",
IF(AND(表紙!$X$2="実績報告（１次）",AH56="◎"),COUNTIF($AH$13:$AH56,"◎"),
IF(AND(表紙!$X$2="実績報告（１次）",OR(AH56="×",AH56="○")),"",
IF(表紙!$X$2="実績報告（２次）","－",
IF(表紙!$X$2="交付申請兼実績報告","－")))))))</f>
        <v>－</v>
      </c>
      <c r="O56" s="616" t="str">
        <f t="shared" si="0"/>
        <v/>
      </c>
      <c r="Q56" s="596" t="str">
        <f t="shared" si="1"/>
        <v/>
      </c>
      <c r="R56" s="600" t="str">
        <f t="shared" si="2"/>
        <v/>
      </c>
      <c r="S56" s="600" t="str">
        <f t="shared" si="3"/>
        <v/>
      </c>
      <c r="T56" s="600" t="str">
        <f t="shared" si="4"/>
        <v/>
      </c>
      <c r="AF56" s="505" t="s">
        <v>466</v>
      </c>
      <c r="AG56" s="527">
        <v>44</v>
      </c>
      <c r="AH56" s="598" t="str">
        <f t="shared" si="5"/>
        <v>○</v>
      </c>
      <c r="AI56" s="510" t="str">
        <f t="shared" si="6"/>
        <v>申請しない場合は入力不要です。</v>
      </c>
      <c r="AK56" s="528"/>
    </row>
    <row r="57" spans="1:37" ht="20.100000000000001" customHeight="1">
      <c r="A57" s="524">
        <v>45</v>
      </c>
      <c r="B57" s="122"/>
      <c r="C57" s="1945"/>
      <c r="D57" s="1946"/>
      <c r="E57" s="1947"/>
      <c r="F57" s="614"/>
      <c r="G57" s="7"/>
      <c r="H57" s="531"/>
      <c r="I57" s="513">
        <f t="shared" si="8"/>
        <v>0</v>
      </c>
      <c r="J57" s="525">
        <f t="shared" si="7"/>
        <v>0</v>
      </c>
      <c r="K57" s="610"/>
      <c r="L57" s="610"/>
      <c r="M57" s="610"/>
      <c r="N57" s="727" t="str">
        <f xml:space="preserve">
IF(表紙!$X$2="事前協議","－",
IF(表紙!$X$2="交付申請（２次）","－",
IF(表紙!$X$2="変更申請","－",
IF(AND(表紙!$X$2="実績報告（１次）",AH57="◎"),COUNTIF($AH$13:$AH57,"◎"),
IF(AND(表紙!$X$2="実績報告（１次）",OR(AH57="×",AH57="○")),"",
IF(表紙!$X$2="実績報告（２次）","－",
IF(表紙!$X$2="交付申請兼実績報告","－")))))))</f>
        <v>－</v>
      </c>
      <c r="O57" s="616" t="str">
        <f t="shared" si="0"/>
        <v/>
      </c>
      <c r="Q57" s="596" t="str">
        <f t="shared" si="1"/>
        <v/>
      </c>
      <c r="R57" s="600" t="str">
        <f t="shared" si="2"/>
        <v/>
      </c>
      <c r="S57" s="600" t="str">
        <f t="shared" si="3"/>
        <v/>
      </c>
      <c r="T57" s="600" t="str">
        <f t="shared" si="4"/>
        <v/>
      </c>
      <c r="AF57" s="505" t="s">
        <v>466</v>
      </c>
      <c r="AG57" s="527">
        <v>45</v>
      </c>
      <c r="AH57" s="598" t="str">
        <f t="shared" si="5"/>
        <v>○</v>
      </c>
      <c r="AI57" s="510" t="str">
        <f t="shared" si="6"/>
        <v>申請しない場合は入力不要です。</v>
      </c>
      <c r="AK57" s="528"/>
    </row>
    <row r="58" spans="1:37" ht="20.100000000000001" customHeight="1">
      <c r="A58" s="524">
        <v>46</v>
      </c>
      <c r="B58" s="122"/>
      <c r="C58" s="1945"/>
      <c r="D58" s="1946"/>
      <c r="E58" s="1947"/>
      <c r="F58" s="614"/>
      <c r="G58" s="7"/>
      <c r="H58" s="531"/>
      <c r="I58" s="513">
        <f t="shared" si="8"/>
        <v>0</v>
      </c>
      <c r="J58" s="525">
        <f t="shared" si="7"/>
        <v>0</v>
      </c>
      <c r="K58" s="610"/>
      <c r="L58" s="610"/>
      <c r="M58" s="610"/>
      <c r="N58" s="727" t="str">
        <f xml:space="preserve">
IF(表紙!$X$2="事前協議","－",
IF(表紙!$X$2="交付申請（２次）","－",
IF(表紙!$X$2="変更申請","－",
IF(AND(表紙!$X$2="実績報告（１次）",AH58="◎"),COUNTIF($AH$13:$AH58,"◎"),
IF(AND(表紙!$X$2="実績報告（１次）",OR(AH58="×",AH58="○")),"",
IF(表紙!$X$2="実績報告（２次）","－",
IF(表紙!$X$2="交付申請兼実績報告","－")))))))</f>
        <v>－</v>
      </c>
      <c r="O58" s="616" t="str">
        <f t="shared" si="0"/>
        <v/>
      </c>
      <c r="Q58" s="596" t="str">
        <f t="shared" si="1"/>
        <v/>
      </c>
      <c r="R58" s="600" t="str">
        <f t="shared" si="2"/>
        <v/>
      </c>
      <c r="S58" s="600" t="str">
        <f t="shared" si="3"/>
        <v/>
      </c>
      <c r="T58" s="600" t="str">
        <f t="shared" si="4"/>
        <v/>
      </c>
      <c r="AF58" s="505" t="s">
        <v>466</v>
      </c>
      <c r="AG58" s="527">
        <v>46</v>
      </c>
      <c r="AH58" s="598" t="str">
        <f t="shared" si="5"/>
        <v>○</v>
      </c>
      <c r="AI58" s="510" t="str">
        <f t="shared" si="6"/>
        <v>申請しない場合は入力不要です。</v>
      </c>
      <c r="AK58" s="528"/>
    </row>
    <row r="59" spans="1:37" ht="20.100000000000001" customHeight="1">
      <c r="A59" s="524">
        <v>47</v>
      </c>
      <c r="B59" s="122"/>
      <c r="C59" s="1945"/>
      <c r="D59" s="1946"/>
      <c r="E59" s="1947"/>
      <c r="F59" s="614"/>
      <c r="G59" s="7"/>
      <c r="H59" s="531"/>
      <c r="I59" s="513">
        <f t="shared" si="8"/>
        <v>0</v>
      </c>
      <c r="J59" s="525">
        <f t="shared" si="7"/>
        <v>0</v>
      </c>
      <c r="K59" s="610"/>
      <c r="L59" s="610"/>
      <c r="M59" s="610"/>
      <c r="N59" s="727" t="str">
        <f xml:space="preserve">
IF(表紙!$X$2="事前協議","－",
IF(表紙!$X$2="交付申請（２次）","－",
IF(表紙!$X$2="変更申請","－",
IF(AND(表紙!$X$2="実績報告（１次）",AH59="◎"),COUNTIF($AH$13:$AH59,"◎"),
IF(AND(表紙!$X$2="実績報告（１次）",OR(AH59="×",AH59="○")),"",
IF(表紙!$X$2="実績報告（２次）","－",
IF(表紙!$X$2="交付申請兼実績報告","－")))))))</f>
        <v>－</v>
      </c>
      <c r="O59" s="616" t="str">
        <f t="shared" si="0"/>
        <v/>
      </c>
      <c r="Q59" s="596" t="str">
        <f t="shared" si="1"/>
        <v/>
      </c>
      <c r="R59" s="600" t="str">
        <f t="shared" si="2"/>
        <v/>
      </c>
      <c r="S59" s="600" t="str">
        <f t="shared" si="3"/>
        <v/>
      </c>
      <c r="T59" s="600" t="str">
        <f t="shared" si="4"/>
        <v/>
      </c>
      <c r="AF59" s="505" t="s">
        <v>466</v>
      </c>
      <c r="AG59" s="527">
        <v>47</v>
      </c>
      <c r="AH59" s="598" t="str">
        <f t="shared" si="5"/>
        <v>○</v>
      </c>
      <c r="AI59" s="510" t="str">
        <f t="shared" si="6"/>
        <v>申請しない場合は入力不要です。</v>
      </c>
      <c r="AK59" s="528"/>
    </row>
    <row r="60" spans="1:37" ht="20.100000000000001" customHeight="1">
      <c r="A60" s="524">
        <v>48</v>
      </c>
      <c r="B60" s="122"/>
      <c r="C60" s="1945"/>
      <c r="D60" s="1946"/>
      <c r="E60" s="1947"/>
      <c r="F60" s="614"/>
      <c r="G60" s="7"/>
      <c r="H60" s="531"/>
      <c r="I60" s="513">
        <f t="shared" si="8"/>
        <v>0</v>
      </c>
      <c r="J60" s="525">
        <f t="shared" si="7"/>
        <v>0</v>
      </c>
      <c r="K60" s="610"/>
      <c r="L60" s="610"/>
      <c r="M60" s="610"/>
      <c r="N60" s="727" t="str">
        <f xml:space="preserve">
IF(表紙!$X$2="事前協議","－",
IF(表紙!$X$2="交付申請（２次）","－",
IF(表紙!$X$2="変更申請","－",
IF(AND(表紙!$X$2="実績報告（１次）",AH60="◎"),COUNTIF($AH$13:$AH60,"◎"),
IF(AND(表紙!$X$2="実績報告（１次）",OR(AH60="×",AH60="○")),"",
IF(表紙!$X$2="実績報告（２次）","－",
IF(表紙!$X$2="交付申請兼実績報告","－")))))))</f>
        <v>－</v>
      </c>
      <c r="O60" s="616" t="str">
        <f t="shared" si="0"/>
        <v/>
      </c>
      <c r="Q60" s="596" t="str">
        <f t="shared" si="1"/>
        <v/>
      </c>
      <c r="R60" s="600" t="str">
        <f t="shared" si="2"/>
        <v/>
      </c>
      <c r="S60" s="600" t="str">
        <f t="shared" si="3"/>
        <v/>
      </c>
      <c r="T60" s="600" t="str">
        <f t="shared" si="4"/>
        <v/>
      </c>
      <c r="AF60" s="505" t="s">
        <v>466</v>
      </c>
      <c r="AG60" s="527">
        <v>48</v>
      </c>
      <c r="AH60" s="598" t="str">
        <f t="shared" si="5"/>
        <v>○</v>
      </c>
      <c r="AI60" s="510" t="str">
        <f t="shared" si="6"/>
        <v>申請しない場合は入力不要です。</v>
      </c>
      <c r="AK60" s="528"/>
    </row>
    <row r="61" spans="1:37" ht="20.100000000000001" customHeight="1">
      <c r="A61" s="524">
        <v>49</v>
      </c>
      <c r="B61" s="122"/>
      <c r="C61" s="1945"/>
      <c r="D61" s="1946"/>
      <c r="E61" s="1947"/>
      <c r="F61" s="614"/>
      <c r="G61" s="7"/>
      <c r="H61" s="531"/>
      <c r="I61" s="513">
        <f t="shared" si="8"/>
        <v>0</v>
      </c>
      <c r="J61" s="525">
        <f t="shared" si="7"/>
        <v>0</v>
      </c>
      <c r="K61" s="610"/>
      <c r="L61" s="610"/>
      <c r="M61" s="610"/>
      <c r="N61" s="727" t="str">
        <f xml:space="preserve">
IF(表紙!$X$2="事前協議","－",
IF(表紙!$X$2="交付申請（２次）","－",
IF(表紙!$X$2="変更申請","－",
IF(AND(表紙!$X$2="実績報告（１次）",AH61="◎"),COUNTIF($AH$13:$AH61,"◎"),
IF(AND(表紙!$X$2="実績報告（１次）",OR(AH61="×",AH61="○")),"",
IF(表紙!$X$2="実績報告（２次）","－",
IF(表紙!$X$2="交付申請兼実績報告","－")))))))</f>
        <v>－</v>
      </c>
      <c r="O61" s="616" t="str">
        <f t="shared" si="0"/>
        <v/>
      </c>
      <c r="Q61" s="596" t="str">
        <f t="shared" si="1"/>
        <v/>
      </c>
      <c r="R61" s="600" t="str">
        <f t="shared" si="2"/>
        <v/>
      </c>
      <c r="S61" s="600" t="str">
        <f t="shared" si="3"/>
        <v/>
      </c>
      <c r="T61" s="600" t="str">
        <f t="shared" si="4"/>
        <v/>
      </c>
      <c r="AF61" s="505" t="s">
        <v>466</v>
      </c>
      <c r="AG61" s="527">
        <v>49</v>
      </c>
      <c r="AH61" s="598" t="str">
        <f t="shared" si="5"/>
        <v>○</v>
      </c>
      <c r="AI61" s="510" t="str">
        <f t="shared" si="6"/>
        <v>申請しない場合は入力不要です。</v>
      </c>
      <c r="AK61" s="528"/>
    </row>
    <row r="62" spans="1:37" ht="20.100000000000001" customHeight="1">
      <c r="A62" s="524">
        <v>50</v>
      </c>
      <c r="B62" s="122"/>
      <c r="C62" s="1945"/>
      <c r="D62" s="1946"/>
      <c r="E62" s="1947"/>
      <c r="F62" s="614"/>
      <c r="G62" s="7"/>
      <c r="H62" s="531"/>
      <c r="I62" s="513">
        <f t="shared" si="8"/>
        <v>0</v>
      </c>
      <c r="J62" s="525">
        <f t="shared" si="7"/>
        <v>0</v>
      </c>
      <c r="K62" s="610"/>
      <c r="L62" s="610"/>
      <c r="M62" s="610"/>
      <c r="N62" s="727" t="str">
        <f xml:space="preserve">
IF(表紙!$X$2="事前協議","－",
IF(表紙!$X$2="交付申請（２次）","－",
IF(表紙!$X$2="変更申請","－",
IF(AND(表紙!$X$2="実績報告（１次）",AH62="◎"),COUNTIF($AH$13:$AH62,"◎"),
IF(AND(表紙!$X$2="実績報告（１次）",OR(AH62="×",AH62="○")),"",
IF(表紙!$X$2="実績報告（２次）","－",
IF(表紙!$X$2="交付申請兼実績報告","－")))))))</f>
        <v>－</v>
      </c>
      <c r="O62" s="616" t="str">
        <f t="shared" si="0"/>
        <v/>
      </c>
      <c r="Q62" s="596" t="str">
        <f t="shared" si="1"/>
        <v/>
      </c>
      <c r="R62" s="600" t="str">
        <f t="shared" si="2"/>
        <v/>
      </c>
      <c r="S62" s="600" t="str">
        <f t="shared" si="3"/>
        <v/>
      </c>
      <c r="T62" s="600" t="str">
        <f t="shared" si="4"/>
        <v/>
      </c>
      <c r="AF62" s="505" t="s">
        <v>466</v>
      </c>
      <c r="AG62" s="527">
        <v>50</v>
      </c>
      <c r="AH62" s="598" t="str">
        <f t="shared" si="5"/>
        <v>○</v>
      </c>
      <c r="AI62" s="510" t="str">
        <f t="shared" si="6"/>
        <v>申請しない場合は入力不要です。</v>
      </c>
      <c r="AK62" s="528"/>
    </row>
    <row r="63" spans="1:37" ht="20.100000000000001" customHeight="1">
      <c r="A63" s="524">
        <v>51</v>
      </c>
      <c r="B63" s="122"/>
      <c r="C63" s="1945"/>
      <c r="D63" s="1946"/>
      <c r="E63" s="1947"/>
      <c r="F63" s="614"/>
      <c r="G63" s="7"/>
      <c r="H63" s="531"/>
      <c r="I63" s="513">
        <f t="shared" si="8"/>
        <v>0</v>
      </c>
      <c r="J63" s="525">
        <f t="shared" si="7"/>
        <v>0</v>
      </c>
      <c r="K63" s="610"/>
      <c r="L63" s="610"/>
      <c r="M63" s="610"/>
      <c r="N63" s="727" t="str">
        <f xml:space="preserve">
IF(表紙!$X$2="事前協議","－",
IF(表紙!$X$2="交付申請（２次）","－",
IF(表紙!$X$2="変更申請","－",
IF(AND(表紙!$X$2="実績報告（１次）",AH63="◎"),COUNTIF($AH$13:$AH63,"◎"),
IF(AND(表紙!$X$2="実績報告（１次）",OR(AH63="×",AH63="○")),"",
IF(表紙!$X$2="実績報告（２次）","－",
IF(表紙!$X$2="交付申請兼実績報告","－")))))))</f>
        <v>－</v>
      </c>
      <c r="O63" s="616" t="str">
        <f t="shared" si="0"/>
        <v/>
      </c>
      <c r="Q63" s="596" t="str">
        <f t="shared" si="1"/>
        <v/>
      </c>
      <c r="R63" s="600" t="str">
        <f t="shared" si="2"/>
        <v/>
      </c>
      <c r="S63" s="600" t="str">
        <f t="shared" si="3"/>
        <v/>
      </c>
      <c r="T63" s="600" t="str">
        <f t="shared" si="4"/>
        <v/>
      </c>
      <c r="AF63" s="505" t="s">
        <v>466</v>
      </c>
      <c r="AG63" s="527">
        <v>51</v>
      </c>
      <c r="AH63" s="598" t="str">
        <f t="shared" si="5"/>
        <v>○</v>
      </c>
      <c r="AI63" s="510" t="str">
        <f t="shared" si="6"/>
        <v>申請しない場合は入力不要です。</v>
      </c>
      <c r="AK63" s="528"/>
    </row>
    <row r="64" spans="1:37" ht="20.100000000000001" customHeight="1">
      <c r="A64" s="524">
        <v>52</v>
      </c>
      <c r="B64" s="122"/>
      <c r="C64" s="1945"/>
      <c r="D64" s="1946"/>
      <c r="E64" s="1947"/>
      <c r="F64" s="614"/>
      <c r="G64" s="7"/>
      <c r="H64" s="531"/>
      <c r="I64" s="513">
        <f t="shared" si="8"/>
        <v>0</v>
      </c>
      <c r="J64" s="525">
        <f t="shared" si="7"/>
        <v>0</v>
      </c>
      <c r="K64" s="610"/>
      <c r="L64" s="610"/>
      <c r="M64" s="610"/>
      <c r="N64" s="727" t="str">
        <f xml:space="preserve">
IF(表紙!$X$2="事前協議","－",
IF(表紙!$X$2="交付申請（２次）","－",
IF(表紙!$X$2="変更申請","－",
IF(AND(表紙!$X$2="実績報告（１次）",AH64="◎"),COUNTIF($AH$13:$AH64,"◎"),
IF(AND(表紙!$X$2="実績報告（１次）",OR(AH64="×",AH64="○")),"",
IF(表紙!$X$2="実績報告（２次）","－",
IF(表紙!$X$2="交付申請兼実績報告","－")))))))</f>
        <v>－</v>
      </c>
      <c r="O64" s="616" t="str">
        <f t="shared" si="0"/>
        <v/>
      </c>
      <c r="Q64" s="596" t="str">
        <f t="shared" si="1"/>
        <v/>
      </c>
      <c r="R64" s="600" t="str">
        <f t="shared" si="2"/>
        <v/>
      </c>
      <c r="S64" s="600" t="str">
        <f t="shared" si="3"/>
        <v/>
      </c>
      <c r="T64" s="600" t="str">
        <f t="shared" si="4"/>
        <v/>
      </c>
      <c r="AF64" s="505" t="s">
        <v>466</v>
      </c>
      <c r="AG64" s="527">
        <v>52</v>
      </c>
      <c r="AH64" s="598" t="str">
        <f t="shared" si="5"/>
        <v>○</v>
      </c>
      <c r="AI64" s="510" t="str">
        <f t="shared" si="6"/>
        <v>申請しない場合は入力不要です。</v>
      </c>
      <c r="AK64" s="528"/>
    </row>
    <row r="65" spans="1:37" ht="20.100000000000001" customHeight="1">
      <c r="A65" s="524">
        <v>53</v>
      </c>
      <c r="B65" s="122"/>
      <c r="C65" s="1945"/>
      <c r="D65" s="1946"/>
      <c r="E65" s="1947"/>
      <c r="F65" s="614"/>
      <c r="G65" s="7"/>
      <c r="H65" s="531"/>
      <c r="I65" s="513">
        <f t="shared" si="8"/>
        <v>0</v>
      </c>
      <c r="J65" s="525">
        <f t="shared" si="7"/>
        <v>0</v>
      </c>
      <c r="K65" s="610"/>
      <c r="L65" s="610"/>
      <c r="M65" s="610"/>
      <c r="N65" s="727" t="str">
        <f xml:space="preserve">
IF(表紙!$X$2="事前協議","－",
IF(表紙!$X$2="交付申請（２次）","－",
IF(表紙!$X$2="変更申請","－",
IF(AND(表紙!$X$2="実績報告（１次）",AH65="◎"),COUNTIF($AH$13:$AH65,"◎"),
IF(AND(表紙!$X$2="実績報告（１次）",OR(AH65="×",AH65="○")),"",
IF(表紙!$X$2="実績報告（２次）","－",
IF(表紙!$X$2="交付申請兼実績報告","－")))))))</f>
        <v>－</v>
      </c>
      <c r="O65" s="616" t="str">
        <f t="shared" si="0"/>
        <v/>
      </c>
      <c r="Q65" s="596" t="str">
        <f t="shared" si="1"/>
        <v/>
      </c>
      <c r="R65" s="600" t="str">
        <f t="shared" si="2"/>
        <v/>
      </c>
      <c r="S65" s="600" t="str">
        <f t="shared" si="3"/>
        <v/>
      </c>
      <c r="T65" s="600" t="str">
        <f t="shared" si="4"/>
        <v/>
      </c>
      <c r="AF65" s="505" t="s">
        <v>466</v>
      </c>
      <c r="AG65" s="527">
        <v>53</v>
      </c>
      <c r="AH65" s="598" t="str">
        <f t="shared" si="5"/>
        <v>○</v>
      </c>
      <c r="AI65" s="510" t="str">
        <f t="shared" si="6"/>
        <v>申請しない場合は入力不要です。</v>
      </c>
      <c r="AK65" s="528"/>
    </row>
    <row r="66" spans="1:37" ht="20.100000000000001" customHeight="1">
      <c r="A66" s="524">
        <v>54</v>
      </c>
      <c r="B66" s="122"/>
      <c r="C66" s="1945"/>
      <c r="D66" s="1946"/>
      <c r="E66" s="1947"/>
      <c r="F66" s="614"/>
      <c r="G66" s="7"/>
      <c r="H66" s="531"/>
      <c r="I66" s="513">
        <f t="shared" si="8"/>
        <v>0</v>
      </c>
      <c r="J66" s="525">
        <f t="shared" si="7"/>
        <v>0</v>
      </c>
      <c r="K66" s="610"/>
      <c r="L66" s="610"/>
      <c r="M66" s="610"/>
      <c r="N66" s="727" t="str">
        <f xml:space="preserve">
IF(表紙!$X$2="事前協議","－",
IF(表紙!$X$2="交付申請（２次）","－",
IF(表紙!$X$2="変更申請","－",
IF(AND(表紙!$X$2="実績報告（１次）",AH66="◎"),COUNTIF($AH$13:$AH66,"◎"),
IF(AND(表紙!$X$2="実績報告（１次）",OR(AH66="×",AH66="○")),"",
IF(表紙!$X$2="実績報告（２次）","－",
IF(表紙!$X$2="交付申請兼実績報告","－")))))))</f>
        <v>－</v>
      </c>
      <c r="O66" s="616" t="str">
        <f t="shared" si="0"/>
        <v/>
      </c>
      <c r="Q66" s="596" t="str">
        <f t="shared" si="1"/>
        <v/>
      </c>
      <c r="R66" s="600" t="str">
        <f t="shared" si="2"/>
        <v/>
      </c>
      <c r="S66" s="600" t="str">
        <f t="shared" si="3"/>
        <v/>
      </c>
      <c r="T66" s="600" t="str">
        <f t="shared" si="4"/>
        <v/>
      </c>
      <c r="AF66" s="505" t="s">
        <v>466</v>
      </c>
      <c r="AG66" s="527">
        <v>54</v>
      </c>
      <c r="AH66" s="598" t="str">
        <f t="shared" si="5"/>
        <v>○</v>
      </c>
      <c r="AI66" s="510" t="str">
        <f t="shared" si="6"/>
        <v>申請しない場合は入力不要です。</v>
      </c>
      <c r="AK66" s="528"/>
    </row>
    <row r="67" spans="1:37" ht="20.100000000000001" customHeight="1">
      <c r="A67" s="524">
        <v>55</v>
      </c>
      <c r="B67" s="122"/>
      <c r="C67" s="1945"/>
      <c r="D67" s="1946"/>
      <c r="E67" s="1947"/>
      <c r="F67" s="614"/>
      <c r="G67" s="7"/>
      <c r="H67" s="531"/>
      <c r="I67" s="513">
        <f t="shared" si="8"/>
        <v>0</v>
      </c>
      <c r="J67" s="525">
        <f t="shared" si="7"/>
        <v>0</v>
      </c>
      <c r="K67" s="610"/>
      <c r="L67" s="610"/>
      <c r="M67" s="610"/>
      <c r="N67" s="727" t="str">
        <f xml:space="preserve">
IF(表紙!$X$2="事前協議","－",
IF(表紙!$X$2="交付申請（２次）","－",
IF(表紙!$X$2="変更申請","－",
IF(AND(表紙!$X$2="実績報告（１次）",AH67="◎"),COUNTIF($AH$13:$AH67,"◎"),
IF(AND(表紙!$X$2="実績報告（１次）",OR(AH67="×",AH67="○")),"",
IF(表紙!$X$2="実績報告（２次）","－",
IF(表紙!$X$2="交付申請兼実績報告","－")))))))</f>
        <v>－</v>
      </c>
      <c r="O67" s="616" t="str">
        <f t="shared" si="0"/>
        <v/>
      </c>
      <c r="Q67" s="596" t="str">
        <f t="shared" si="1"/>
        <v/>
      </c>
      <c r="R67" s="600" t="str">
        <f t="shared" si="2"/>
        <v/>
      </c>
      <c r="S67" s="600" t="str">
        <f t="shared" si="3"/>
        <v/>
      </c>
      <c r="T67" s="600" t="str">
        <f t="shared" si="4"/>
        <v/>
      </c>
      <c r="AF67" s="505" t="s">
        <v>466</v>
      </c>
      <c r="AG67" s="527">
        <v>55</v>
      </c>
      <c r="AH67" s="598" t="str">
        <f t="shared" si="5"/>
        <v>○</v>
      </c>
      <c r="AI67" s="510" t="str">
        <f t="shared" si="6"/>
        <v>申請しない場合は入力不要です。</v>
      </c>
      <c r="AK67" s="528"/>
    </row>
    <row r="68" spans="1:37" ht="20.100000000000001" customHeight="1">
      <c r="A68" s="524">
        <v>56</v>
      </c>
      <c r="B68" s="122"/>
      <c r="C68" s="1945"/>
      <c r="D68" s="1946"/>
      <c r="E68" s="1947"/>
      <c r="F68" s="614"/>
      <c r="G68" s="7"/>
      <c r="H68" s="531"/>
      <c r="I68" s="513">
        <f t="shared" si="8"/>
        <v>0</v>
      </c>
      <c r="J68" s="525">
        <f t="shared" si="7"/>
        <v>0</v>
      </c>
      <c r="K68" s="610"/>
      <c r="L68" s="610"/>
      <c r="M68" s="610"/>
      <c r="N68" s="727" t="str">
        <f xml:space="preserve">
IF(表紙!$X$2="事前協議","－",
IF(表紙!$X$2="交付申請（２次）","－",
IF(表紙!$X$2="変更申請","－",
IF(AND(表紙!$X$2="実績報告（１次）",AH68="◎"),COUNTIF($AH$13:$AH68,"◎"),
IF(AND(表紙!$X$2="実績報告（１次）",OR(AH68="×",AH68="○")),"",
IF(表紙!$X$2="実績報告（２次）","－",
IF(表紙!$X$2="交付申請兼実績報告","－")))))))</f>
        <v>－</v>
      </c>
      <c r="O68" s="616" t="str">
        <f t="shared" si="0"/>
        <v/>
      </c>
      <c r="Q68" s="596" t="str">
        <f t="shared" si="1"/>
        <v/>
      </c>
      <c r="R68" s="600" t="str">
        <f t="shared" si="2"/>
        <v/>
      </c>
      <c r="S68" s="600" t="str">
        <f t="shared" si="3"/>
        <v/>
      </c>
      <c r="T68" s="600" t="str">
        <f t="shared" si="4"/>
        <v/>
      </c>
      <c r="AF68" s="505" t="s">
        <v>466</v>
      </c>
      <c r="AG68" s="527">
        <v>56</v>
      </c>
      <c r="AH68" s="598" t="str">
        <f t="shared" si="5"/>
        <v>○</v>
      </c>
      <c r="AI68" s="510" t="str">
        <f t="shared" si="6"/>
        <v>申請しない場合は入力不要です。</v>
      </c>
      <c r="AK68" s="528"/>
    </row>
    <row r="69" spans="1:37" ht="20.100000000000001" customHeight="1">
      <c r="A69" s="524">
        <v>57</v>
      </c>
      <c r="B69" s="122"/>
      <c r="C69" s="1945"/>
      <c r="D69" s="1946"/>
      <c r="E69" s="1947"/>
      <c r="F69" s="614"/>
      <c r="G69" s="7"/>
      <c r="H69" s="531"/>
      <c r="I69" s="513">
        <f t="shared" si="8"/>
        <v>0</v>
      </c>
      <c r="J69" s="525">
        <f t="shared" si="7"/>
        <v>0</v>
      </c>
      <c r="K69" s="610"/>
      <c r="L69" s="610"/>
      <c r="M69" s="610"/>
      <c r="N69" s="727" t="str">
        <f xml:space="preserve">
IF(表紙!$X$2="事前協議","－",
IF(表紙!$X$2="交付申請（２次）","－",
IF(表紙!$X$2="変更申請","－",
IF(AND(表紙!$X$2="実績報告（１次）",AH69="◎"),COUNTIF($AH$13:$AH69,"◎"),
IF(AND(表紙!$X$2="実績報告（１次）",OR(AH69="×",AH69="○")),"",
IF(表紙!$X$2="実績報告（２次）","－",
IF(表紙!$X$2="交付申請兼実績報告","－")))))))</f>
        <v>－</v>
      </c>
      <c r="O69" s="616" t="str">
        <f t="shared" si="0"/>
        <v/>
      </c>
      <c r="Q69" s="596" t="str">
        <f t="shared" si="1"/>
        <v/>
      </c>
      <c r="R69" s="600" t="str">
        <f t="shared" si="2"/>
        <v/>
      </c>
      <c r="S69" s="600" t="str">
        <f t="shared" si="3"/>
        <v/>
      </c>
      <c r="T69" s="600" t="str">
        <f t="shared" si="4"/>
        <v/>
      </c>
      <c r="AF69" s="505" t="s">
        <v>466</v>
      </c>
      <c r="AG69" s="527">
        <v>57</v>
      </c>
      <c r="AH69" s="598" t="str">
        <f t="shared" si="5"/>
        <v>○</v>
      </c>
      <c r="AI69" s="510" t="str">
        <f t="shared" si="6"/>
        <v>申請しない場合は入力不要です。</v>
      </c>
      <c r="AK69" s="528"/>
    </row>
    <row r="70" spans="1:37" ht="20.100000000000001" customHeight="1">
      <c r="A70" s="524">
        <v>58</v>
      </c>
      <c r="B70" s="122"/>
      <c r="C70" s="1945"/>
      <c r="D70" s="1946"/>
      <c r="E70" s="1947"/>
      <c r="F70" s="614"/>
      <c r="G70" s="7"/>
      <c r="H70" s="531"/>
      <c r="I70" s="513">
        <f t="shared" si="8"/>
        <v>0</v>
      </c>
      <c r="J70" s="525">
        <f t="shared" si="7"/>
        <v>0</v>
      </c>
      <c r="K70" s="610"/>
      <c r="L70" s="610"/>
      <c r="M70" s="610"/>
      <c r="N70" s="727" t="str">
        <f xml:space="preserve">
IF(表紙!$X$2="事前協議","－",
IF(表紙!$X$2="交付申請（２次）","－",
IF(表紙!$X$2="変更申請","－",
IF(AND(表紙!$X$2="実績報告（１次）",AH70="◎"),COUNTIF($AH$13:$AH70,"◎"),
IF(AND(表紙!$X$2="実績報告（１次）",OR(AH70="×",AH70="○")),"",
IF(表紙!$X$2="実績報告（２次）","－",
IF(表紙!$X$2="交付申請兼実績報告","－")))))))</f>
        <v>－</v>
      </c>
      <c r="O70" s="616" t="str">
        <f t="shared" si="0"/>
        <v/>
      </c>
      <c r="Q70" s="596" t="str">
        <f t="shared" si="1"/>
        <v/>
      </c>
      <c r="R70" s="600" t="str">
        <f t="shared" si="2"/>
        <v/>
      </c>
      <c r="S70" s="600" t="str">
        <f t="shared" si="3"/>
        <v/>
      </c>
      <c r="T70" s="600" t="str">
        <f t="shared" si="4"/>
        <v/>
      </c>
      <c r="AF70" s="505" t="s">
        <v>466</v>
      </c>
      <c r="AG70" s="527">
        <v>58</v>
      </c>
      <c r="AH70" s="598" t="str">
        <f t="shared" si="5"/>
        <v>○</v>
      </c>
      <c r="AI70" s="510" t="str">
        <f t="shared" si="6"/>
        <v>申請しない場合は入力不要です。</v>
      </c>
      <c r="AK70" s="528"/>
    </row>
    <row r="71" spans="1:37" ht="20.100000000000001" customHeight="1">
      <c r="A71" s="524">
        <v>59</v>
      </c>
      <c r="B71" s="122"/>
      <c r="C71" s="1945"/>
      <c r="D71" s="1946"/>
      <c r="E71" s="1947"/>
      <c r="F71" s="614"/>
      <c r="G71" s="7"/>
      <c r="H71" s="531"/>
      <c r="I71" s="513">
        <f t="shared" si="8"/>
        <v>0</v>
      </c>
      <c r="J71" s="525">
        <f t="shared" si="7"/>
        <v>0</v>
      </c>
      <c r="K71" s="610"/>
      <c r="L71" s="610"/>
      <c r="M71" s="610"/>
      <c r="N71" s="727" t="str">
        <f xml:space="preserve">
IF(表紙!$X$2="事前協議","－",
IF(表紙!$X$2="交付申請（２次）","－",
IF(表紙!$X$2="変更申請","－",
IF(AND(表紙!$X$2="実績報告（１次）",AH71="◎"),COUNTIF($AH$13:$AH71,"◎"),
IF(AND(表紙!$X$2="実績報告（１次）",OR(AH71="×",AH71="○")),"",
IF(表紙!$X$2="実績報告（２次）","－",
IF(表紙!$X$2="交付申請兼実績報告","－")))))))</f>
        <v>－</v>
      </c>
      <c r="O71" s="616" t="str">
        <f t="shared" si="0"/>
        <v/>
      </c>
      <c r="Q71" s="596" t="str">
        <f t="shared" si="1"/>
        <v/>
      </c>
      <c r="R71" s="600" t="str">
        <f t="shared" si="2"/>
        <v/>
      </c>
      <c r="S71" s="600" t="str">
        <f t="shared" si="3"/>
        <v/>
      </c>
      <c r="T71" s="600" t="str">
        <f t="shared" si="4"/>
        <v/>
      </c>
      <c r="AF71" s="505" t="s">
        <v>466</v>
      </c>
      <c r="AG71" s="527">
        <v>59</v>
      </c>
      <c r="AH71" s="598" t="str">
        <f t="shared" si="5"/>
        <v>○</v>
      </c>
      <c r="AI71" s="510" t="str">
        <f t="shared" si="6"/>
        <v>申請しない場合は入力不要です。</v>
      </c>
      <c r="AK71" s="528"/>
    </row>
    <row r="72" spans="1:37" ht="20.100000000000001" customHeight="1">
      <c r="A72" s="524">
        <v>60</v>
      </c>
      <c r="B72" s="122"/>
      <c r="C72" s="1945"/>
      <c r="D72" s="1946"/>
      <c r="E72" s="1947"/>
      <c r="F72" s="614"/>
      <c r="G72" s="7"/>
      <c r="H72" s="531"/>
      <c r="I72" s="513">
        <f t="shared" si="8"/>
        <v>0</v>
      </c>
      <c r="J72" s="525">
        <f t="shared" si="7"/>
        <v>0</v>
      </c>
      <c r="K72" s="610"/>
      <c r="L72" s="610"/>
      <c r="M72" s="610"/>
      <c r="N72" s="727" t="str">
        <f xml:space="preserve">
IF(表紙!$X$2="事前協議","－",
IF(表紙!$X$2="交付申請（２次）","－",
IF(表紙!$X$2="変更申請","－",
IF(AND(表紙!$X$2="実績報告（１次）",AH72="◎"),COUNTIF($AH$13:$AH72,"◎"),
IF(AND(表紙!$X$2="実績報告（１次）",OR(AH72="×",AH72="○")),"",
IF(表紙!$X$2="実績報告（２次）","－",
IF(表紙!$X$2="交付申請兼実績報告","－")))))))</f>
        <v>－</v>
      </c>
      <c r="O72" s="616" t="str">
        <f t="shared" si="0"/>
        <v/>
      </c>
      <c r="Q72" s="596" t="str">
        <f t="shared" si="1"/>
        <v/>
      </c>
      <c r="R72" s="600" t="str">
        <f t="shared" si="2"/>
        <v/>
      </c>
      <c r="S72" s="600" t="str">
        <f t="shared" si="3"/>
        <v/>
      </c>
      <c r="T72" s="600" t="str">
        <f t="shared" si="4"/>
        <v/>
      </c>
      <c r="AF72" s="505" t="s">
        <v>466</v>
      </c>
      <c r="AG72" s="527">
        <v>60</v>
      </c>
      <c r="AH72" s="598" t="str">
        <f t="shared" si="5"/>
        <v>○</v>
      </c>
      <c r="AI72" s="510" t="str">
        <f t="shared" si="6"/>
        <v>申請しない場合は入力不要です。</v>
      </c>
      <c r="AK72" s="528"/>
    </row>
    <row r="73" spans="1:37" ht="20.100000000000001" customHeight="1">
      <c r="A73" s="524">
        <v>61</v>
      </c>
      <c r="B73" s="122"/>
      <c r="C73" s="1945"/>
      <c r="D73" s="1946"/>
      <c r="E73" s="1947"/>
      <c r="F73" s="614"/>
      <c r="G73" s="7"/>
      <c r="H73" s="531"/>
      <c r="I73" s="513">
        <f t="shared" si="8"/>
        <v>0</v>
      </c>
      <c r="J73" s="525">
        <f t="shared" si="7"/>
        <v>0</v>
      </c>
      <c r="K73" s="610"/>
      <c r="L73" s="610"/>
      <c r="M73" s="610"/>
      <c r="N73" s="727" t="str">
        <f xml:space="preserve">
IF(表紙!$X$2="事前協議","－",
IF(表紙!$X$2="交付申請（２次）","－",
IF(表紙!$X$2="変更申請","－",
IF(AND(表紙!$X$2="実績報告（１次）",AH73="◎"),COUNTIF($AH$13:$AH73,"◎"),
IF(AND(表紙!$X$2="実績報告（１次）",OR(AH73="×",AH73="○")),"",
IF(表紙!$X$2="実績報告（２次）","－",
IF(表紙!$X$2="交付申請兼実績報告","－")))))))</f>
        <v>－</v>
      </c>
      <c r="O73" s="616" t="str">
        <f t="shared" si="0"/>
        <v/>
      </c>
      <c r="Q73" s="596" t="str">
        <f t="shared" si="1"/>
        <v/>
      </c>
      <c r="R73" s="600" t="str">
        <f t="shared" si="2"/>
        <v/>
      </c>
      <c r="S73" s="600" t="str">
        <f t="shared" si="3"/>
        <v/>
      </c>
      <c r="T73" s="600" t="str">
        <f t="shared" si="4"/>
        <v/>
      </c>
      <c r="AF73" s="505" t="s">
        <v>466</v>
      </c>
      <c r="AG73" s="527">
        <v>61</v>
      </c>
      <c r="AH73" s="598" t="str">
        <f t="shared" si="5"/>
        <v>○</v>
      </c>
      <c r="AI73" s="510" t="str">
        <f t="shared" si="6"/>
        <v>申請しない場合は入力不要です。</v>
      </c>
      <c r="AK73" s="528"/>
    </row>
    <row r="74" spans="1:37" ht="20.100000000000001" customHeight="1">
      <c r="A74" s="524">
        <v>62</v>
      </c>
      <c r="B74" s="122"/>
      <c r="C74" s="1945"/>
      <c r="D74" s="1946"/>
      <c r="E74" s="1947"/>
      <c r="F74" s="614"/>
      <c r="G74" s="7"/>
      <c r="H74" s="531"/>
      <c r="I74" s="513">
        <f t="shared" si="8"/>
        <v>0</v>
      </c>
      <c r="J74" s="525">
        <f t="shared" si="7"/>
        <v>0</v>
      </c>
      <c r="K74" s="610"/>
      <c r="L74" s="610"/>
      <c r="M74" s="610"/>
      <c r="N74" s="727" t="str">
        <f xml:space="preserve">
IF(表紙!$X$2="事前協議","－",
IF(表紙!$X$2="交付申請（２次）","－",
IF(表紙!$X$2="変更申請","－",
IF(AND(表紙!$X$2="実績報告（１次）",AH74="◎"),COUNTIF($AH$13:$AH74,"◎"),
IF(AND(表紙!$X$2="実績報告（１次）",OR(AH74="×",AH74="○")),"",
IF(表紙!$X$2="実績報告（２次）","－",
IF(表紙!$X$2="交付申請兼実績報告","－")))))))</f>
        <v>－</v>
      </c>
      <c r="O74" s="616" t="str">
        <f t="shared" si="0"/>
        <v/>
      </c>
      <c r="Q74" s="596" t="str">
        <f t="shared" si="1"/>
        <v/>
      </c>
      <c r="R74" s="600" t="str">
        <f t="shared" si="2"/>
        <v/>
      </c>
      <c r="S74" s="600" t="str">
        <f t="shared" si="3"/>
        <v/>
      </c>
      <c r="T74" s="600" t="str">
        <f t="shared" si="4"/>
        <v/>
      </c>
      <c r="AF74" s="505" t="s">
        <v>466</v>
      </c>
      <c r="AG74" s="527">
        <v>62</v>
      </c>
      <c r="AH74" s="598" t="str">
        <f t="shared" si="5"/>
        <v>○</v>
      </c>
      <c r="AI74" s="510" t="str">
        <f t="shared" si="6"/>
        <v>申請しない場合は入力不要です。</v>
      </c>
      <c r="AK74" s="528"/>
    </row>
    <row r="75" spans="1:37" ht="20.100000000000001" customHeight="1">
      <c r="A75" s="524">
        <v>63</v>
      </c>
      <c r="B75" s="122"/>
      <c r="C75" s="1945"/>
      <c r="D75" s="1946"/>
      <c r="E75" s="1947"/>
      <c r="F75" s="614"/>
      <c r="G75" s="7"/>
      <c r="H75" s="531"/>
      <c r="I75" s="513">
        <f t="shared" si="8"/>
        <v>0</v>
      </c>
      <c r="J75" s="525">
        <f t="shared" si="7"/>
        <v>0</v>
      </c>
      <c r="K75" s="610"/>
      <c r="L75" s="610"/>
      <c r="M75" s="610"/>
      <c r="N75" s="727" t="str">
        <f xml:space="preserve">
IF(表紙!$X$2="事前協議","－",
IF(表紙!$X$2="交付申請（２次）","－",
IF(表紙!$X$2="変更申請","－",
IF(AND(表紙!$X$2="実績報告（１次）",AH75="◎"),COUNTIF($AH$13:$AH75,"◎"),
IF(AND(表紙!$X$2="実績報告（１次）",OR(AH75="×",AH75="○")),"",
IF(表紙!$X$2="実績報告（２次）","－",
IF(表紙!$X$2="交付申請兼実績報告","－")))))))</f>
        <v>－</v>
      </c>
      <c r="O75" s="616" t="str">
        <f t="shared" si="0"/>
        <v/>
      </c>
      <c r="Q75" s="596" t="str">
        <f t="shared" si="1"/>
        <v/>
      </c>
      <c r="R75" s="600" t="str">
        <f t="shared" si="2"/>
        <v/>
      </c>
      <c r="S75" s="600" t="str">
        <f t="shared" si="3"/>
        <v/>
      </c>
      <c r="T75" s="600" t="str">
        <f t="shared" si="4"/>
        <v/>
      </c>
      <c r="AF75" s="505" t="s">
        <v>466</v>
      </c>
      <c r="AG75" s="527">
        <v>63</v>
      </c>
      <c r="AH75" s="598" t="str">
        <f t="shared" si="5"/>
        <v>○</v>
      </c>
      <c r="AI75" s="510" t="str">
        <f t="shared" si="6"/>
        <v>申請しない場合は入力不要です。</v>
      </c>
      <c r="AK75" s="528"/>
    </row>
    <row r="76" spans="1:37" ht="20.100000000000001" customHeight="1">
      <c r="A76" s="524">
        <v>64</v>
      </c>
      <c r="B76" s="122"/>
      <c r="C76" s="1945"/>
      <c r="D76" s="1946"/>
      <c r="E76" s="1947"/>
      <c r="F76" s="614"/>
      <c r="G76" s="7"/>
      <c r="H76" s="531"/>
      <c r="I76" s="513">
        <f t="shared" si="8"/>
        <v>0</v>
      </c>
      <c r="J76" s="525">
        <f t="shared" si="7"/>
        <v>0</v>
      </c>
      <c r="K76" s="610"/>
      <c r="L76" s="610"/>
      <c r="M76" s="610"/>
      <c r="N76" s="727" t="str">
        <f xml:space="preserve">
IF(表紙!$X$2="事前協議","－",
IF(表紙!$X$2="交付申請（２次）","－",
IF(表紙!$X$2="変更申請","－",
IF(AND(表紙!$X$2="実績報告（１次）",AH76="◎"),COUNTIF($AH$13:$AH76,"◎"),
IF(AND(表紙!$X$2="実績報告（１次）",OR(AH76="×",AH76="○")),"",
IF(表紙!$X$2="実績報告（２次）","－",
IF(表紙!$X$2="交付申請兼実績報告","－")))))))</f>
        <v>－</v>
      </c>
      <c r="O76" s="616" t="str">
        <f t="shared" si="0"/>
        <v/>
      </c>
      <c r="Q76" s="596" t="str">
        <f t="shared" si="1"/>
        <v/>
      </c>
      <c r="R76" s="600" t="str">
        <f t="shared" si="2"/>
        <v/>
      </c>
      <c r="S76" s="600" t="str">
        <f t="shared" si="3"/>
        <v/>
      </c>
      <c r="T76" s="600" t="str">
        <f t="shared" si="4"/>
        <v/>
      </c>
      <c r="AF76" s="505" t="s">
        <v>466</v>
      </c>
      <c r="AG76" s="527">
        <v>64</v>
      </c>
      <c r="AH76" s="598" t="str">
        <f t="shared" si="5"/>
        <v>○</v>
      </c>
      <c r="AI76" s="510" t="str">
        <f t="shared" si="6"/>
        <v>申請しない場合は入力不要です。</v>
      </c>
      <c r="AK76" s="528"/>
    </row>
    <row r="77" spans="1:37" ht="20.100000000000001" customHeight="1">
      <c r="A77" s="524">
        <v>65</v>
      </c>
      <c r="B77" s="122"/>
      <c r="C77" s="1945"/>
      <c r="D77" s="1946"/>
      <c r="E77" s="1947"/>
      <c r="F77" s="614"/>
      <c r="G77" s="7"/>
      <c r="H77" s="531"/>
      <c r="I77" s="513">
        <f t="shared" si="8"/>
        <v>0</v>
      </c>
      <c r="J77" s="525">
        <f t="shared" si="7"/>
        <v>0</v>
      </c>
      <c r="K77" s="610"/>
      <c r="L77" s="610"/>
      <c r="M77" s="610"/>
      <c r="N77" s="727" t="str">
        <f xml:space="preserve">
IF(表紙!$X$2="事前協議","－",
IF(表紙!$X$2="交付申請（２次）","－",
IF(表紙!$X$2="変更申請","－",
IF(AND(表紙!$X$2="実績報告（１次）",AH77="◎"),COUNTIF($AH$13:$AH77,"◎"),
IF(AND(表紙!$X$2="実績報告（１次）",OR(AH77="×",AH77="○")),"",
IF(表紙!$X$2="実績報告（２次）","－",
IF(表紙!$X$2="交付申請兼実績報告","－")))))))</f>
        <v>－</v>
      </c>
      <c r="O77" s="616" t="str">
        <f t="shared" si="0"/>
        <v/>
      </c>
      <c r="Q77" s="596" t="str">
        <f t="shared" si="1"/>
        <v/>
      </c>
      <c r="R77" s="600" t="str">
        <f t="shared" si="2"/>
        <v/>
      </c>
      <c r="S77" s="600" t="str">
        <f t="shared" si="3"/>
        <v/>
      </c>
      <c r="T77" s="600" t="str">
        <f t="shared" si="4"/>
        <v/>
      </c>
      <c r="AF77" s="505" t="s">
        <v>466</v>
      </c>
      <c r="AG77" s="527">
        <v>65</v>
      </c>
      <c r="AH77" s="598" t="str">
        <f t="shared" si="5"/>
        <v>○</v>
      </c>
      <c r="AI77" s="510" t="str">
        <f t="shared" si="6"/>
        <v>申請しない場合は入力不要です。</v>
      </c>
      <c r="AK77" s="528"/>
    </row>
    <row r="78" spans="1:37" ht="20.100000000000001" customHeight="1">
      <c r="A78" s="524">
        <v>66</v>
      </c>
      <c r="B78" s="122"/>
      <c r="C78" s="1945"/>
      <c r="D78" s="1946"/>
      <c r="E78" s="1947"/>
      <c r="F78" s="614"/>
      <c r="G78" s="7"/>
      <c r="H78" s="531"/>
      <c r="I78" s="513">
        <f t="shared" ref="I78:I112" si="9">ROUNDDOWN(H78*1.1,0)</f>
        <v>0</v>
      </c>
      <c r="J78" s="525">
        <f t="shared" si="7"/>
        <v>0</v>
      </c>
      <c r="K78" s="610"/>
      <c r="L78" s="610"/>
      <c r="M78" s="610"/>
      <c r="N78" s="727" t="str">
        <f xml:space="preserve">
IF(表紙!$X$2="事前協議","－",
IF(表紙!$X$2="交付申請（２次）","－",
IF(表紙!$X$2="変更申請","－",
IF(AND(表紙!$X$2="実績報告（１次）",AH78="◎"),COUNTIF($AH$13:$AH78,"◎"),
IF(AND(表紙!$X$2="実績報告（１次）",OR(AH78="×",AH78="○")),"",
IF(表紙!$X$2="実績報告（２次）","－",
IF(表紙!$X$2="交付申請兼実績報告","－")))))))</f>
        <v>－</v>
      </c>
      <c r="O78" s="616" t="str">
        <f t="shared" ref="O78:O112" si="10">IF(AH78="◎",F78*G78,"")</f>
        <v/>
      </c>
      <c r="Q78" s="596" t="str">
        <f t="shared" ref="Q78:Q111" si="11">IF(AH78="◎",DATE(IF(K78=5,2023,IF(K78=6,2024)),L78,M78),"")</f>
        <v/>
      </c>
      <c r="R78" s="600" t="str">
        <f t="shared" ref="R78:R112" si="12">IF($Q78=MAX($Q$13:$Q$112),K78,"")</f>
        <v/>
      </c>
      <c r="S78" s="600" t="str">
        <f t="shared" ref="S78:S112" si="13">IF($Q78=MAX($Q$13:$Q$112),L78,"")</f>
        <v/>
      </c>
      <c r="T78" s="600" t="str">
        <f t="shared" ref="T78:T112" si="14">IF($Q78=MAX($Q$13:$Q$112),M78,"")</f>
        <v/>
      </c>
      <c r="AF78" s="505" t="s">
        <v>466</v>
      </c>
      <c r="AG78" s="527">
        <v>66</v>
      </c>
      <c r="AH78" s="598" t="str">
        <f t="shared" ref="AH78:AH112" si="15" xml:space="preserve">
IF(COUNTA(B78:H78,K78:M78)=0,"○",
IF(AND(COUNTA(B78:H78,K78:M78)&gt;=1,COUNTA(B78:H78,K78:M78)&lt;8),"×",
IF(COUNTA(B78:H78,K78:M78)=8,"◎")))</f>
        <v>○</v>
      </c>
      <c r="AI78" s="510" t="str">
        <f t="shared" ref="AI78:AI112" si="16" xml:space="preserve">
IF(COUNTA(B78:H78,K78:M78)=0,"申請しない場合は入力不要です。",
IF(AND(COUNTA(B78:H78,K78:M78)&gt;=1,COUNTA(B78:H78,K78:M78)&lt;8),"【要修正】種類、品名、内容量、数量、税抜単価の内、未入力の箇所があります。",
IF(COUNTA(B78:H78,K78:M78)=8,"適切に入力がされました。")))</f>
        <v>申請しない場合は入力不要です。</v>
      </c>
      <c r="AK78" s="528"/>
    </row>
    <row r="79" spans="1:37" ht="20.100000000000001" customHeight="1">
      <c r="A79" s="524">
        <v>67</v>
      </c>
      <c r="B79" s="122"/>
      <c r="C79" s="1945"/>
      <c r="D79" s="1946"/>
      <c r="E79" s="1947"/>
      <c r="F79" s="614"/>
      <c r="G79" s="7"/>
      <c r="H79" s="531"/>
      <c r="I79" s="513">
        <f t="shared" si="9"/>
        <v>0</v>
      </c>
      <c r="J79" s="525">
        <f t="shared" ref="J79:J112" si="17">IF(COUNTA(B79:H79,K79:M79)&lt;&gt;8,0,G79*I79)</f>
        <v>0</v>
      </c>
      <c r="K79" s="610"/>
      <c r="L79" s="610"/>
      <c r="M79" s="610"/>
      <c r="N79" s="727" t="str">
        <f xml:space="preserve">
IF(表紙!$X$2="事前協議","－",
IF(表紙!$X$2="交付申請（２次）","－",
IF(表紙!$X$2="変更申請","－",
IF(AND(表紙!$X$2="実績報告（１次）",AH79="◎"),COUNTIF($AH$13:$AH79,"◎"),
IF(AND(表紙!$X$2="実績報告（１次）",OR(AH79="×",AH79="○")),"",
IF(表紙!$X$2="実績報告（２次）","－",
IF(表紙!$X$2="交付申請兼実績報告","－")))))))</f>
        <v>－</v>
      </c>
      <c r="O79" s="616" t="str">
        <f t="shared" si="10"/>
        <v/>
      </c>
      <c r="Q79" s="596" t="str">
        <f t="shared" si="11"/>
        <v/>
      </c>
      <c r="R79" s="600" t="str">
        <f t="shared" si="12"/>
        <v/>
      </c>
      <c r="S79" s="600" t="str">
        <f t="shared" si="13"/>
        <v/>
      </c>
      <c r="T79" s="600" t="str">
        <f t="shared" si="14"/>
        <v/>
      </c>
      <c r="AF79" s="505" t="s">
        <v>466</v>
      </c>
      <c r="AG79" s="527">
        <v>67</v>
      </c>
      <c r="AH79" s="598" t="str">
        <f t="shared" si="15"/>
        <v>○</v>
      </c>
      <c r="AI79" s="510" t="str">
        <f t="shared" si="16"/>
        <v>申請しない場合は入力不要です。</v>
      </c>
      <c r="AK79" s="528"/>
    </row>
    <row r="80" spans="1:37" ht="20.100000000000001" customHeight="1">
      <c r="A80" s="524">
        <v>68</v>
      </c>
      <c r="B80" s="122"/>
      <c r="C80" s="1945"/>
      <c r="D80" s="1946"/>
      <c r="E80" s="1947"/>
      <c r="F80" s="614"/>
      <c r="G80" s="7"/>
      <c r="H80" s="531"/>
      <c r="I80" s="513">
        <f t="shared" si="9"/>
        <v>0</v>
      </c>
      <c r="J80" s="525">
        <f t="shared" si="17"/>
        <v>0</v>
      </c>
      <c r="K80" s="610"/>
      <c r="L80" s="610"/>
      <c r="M80" s="610"/>
      <c r="N80" s="727" t="str">
        <f xml:space="preserve">
IF(表紙!$X$2="事前協議","－",
IF(表紙!$X$2="交付申請（２次）","－",
IF(表紙!$X$2="変更申請","－",
IF(AND(表紙!$X$2="実績報告（１次）",AH80="◎"),COUNTIF($AH$13:$AH80,"◎"),
IF(AND(表紙!$X$2="実績報告（１次）",OR(AH80="×",AH80="○")),"",
IF(表紙!$X$2="実績報告（２次）","－",
IF(表紙!$X$2="交付申請兼実績報告","－")))))))</f>
        <v>－</v>
      </c>
      <c r="O80" s="616" t="str">
        <f t="shared" si="10"/>
        <v/>
      </c>
      <c r="Q80" s="596" t="str">
        <f t="shared" si="11"/>
        <v/>
      </c>
      <c r="R80" s="600" t="str">
        <f t="shared" si="12"/>
        <v/>
      </c>
      <c r="S80" s="600" t="str">
        <f t="shared" si="13"/>
        <v/>
      </c>
      <c r="T80" s="600" t="str">
        <f t="shared" si="14"/>
        <v/>
      </c>
      <c r="AF80" s="505" t="s">
        <v>466</v>
      </c>
      <c r="AG80" s="527">
        <v>68</v>
      </c>
      <c r="AH80" s="598" t="str">
        <f t="shared" si="15"/>
        <v>○</v>
      </c>
      <c r="AI80" s="510" t="str">
        <f t="shared" si="16"/>
        <v>申請しない場合は入力不要です。</v>
      </c>
      <c r="AK80" s="528"/>
    </row>
    <row r="81" spans="1:37" ht="20.100000000000001" customHeight="1">
      <c r="A81" s="524">
        <v>69</v>
      </c>
      <c r="B81" s="122"/>
      <c r="C81" s="1945"/>
      <c r="D81" s="1946"/>
      <c r="E81" s="1947"/>
      <c r="F81" s="614"/>
      <c r="G81" s="7"/>
      <c r="H81" s="531"/>
      <c r="I81" s="513">
        <f t="shared" si="9"/>
        <v>0</v>
      </c>
      <c r="J81" s="525">
        <f t="shared" si="17"/>
        <v>0</v>
      </c>
      <c r="K81" s="610"/>
      <c r="L81" s="610"/>
      <c r="M81" s="610"/>
      <c r="N81" s="727" t="str">
        <f xml:space="preserve">
IF(表紙!$X$2="事前協議","－",
IF(表紙!$X$2="交付申請（２次）","－",
IF(表紙!$X$2="変更申請","－",
IF(AND(表紙!$X$2="実績報告（１次）",AH81="◎"),COUNTIF($AH$13:$AH81,"◎"),
IF(AND(表紙!$X$2="実績報告（１次）",OR(AH81="×",AH81="○")),"",
IF(表紙!$X$2="実績報告（２次）","－",
IF(表紙!$X$2="交付申請兼実績報告","－")))))))</f>
        <v>－</v>
      </c>
      <c r="O81" s="616" t="str">
        <f t="shared" si="10"/>
        <v/>
      </c>
      <c r="Q81" s="596" t="str">
        <f t="shared" si="11"/>
        <v/>
      </c>
      <c r="R81" s="600" t="str">
        <f t="shared" si="12"/>
        <v/>
      </c>
      <c r="S81" s="600" t="str">
        <f t="shared" si="13"/>
        <v/>
      </c>
      <c r="T81" s="600" t="str">
        <f t="shared" si="14"/>
        <v/>
      </c>
      <c r="AF81" s="505" t="s">
        <v>466</v>
      </c>
      <c r="AG81" s="527">
        <v>69</v>
      </c>
      <c r="AH81" s="598" t="str">
        <f t="shared" si="15"/>
        <v>○</v>
      </c>
      <c r="AI81" s="510" t="str">
        <f t="shared" si="16"/>
        <v>申請しない場合は入力不要です。</v>
      </c>
      <c r="AK81" s="528"/>
    </row>
    <row r="82" spans="1:37" ht="20.100000000000001" customHeight="1">
      <c r="A82" s="524">
        <v>70</v>
      </c>
      <c r="B82" s="122"/>
      <c r="C82" s="1945"/>
      <c r="D82" s="1946"/>
      <c r="E82" s="1947"/>
      <c r="F82" s="614"/>
      <c r="G82" s="7"/>
      <c r="H82" s="531"/>
      <c r="I82" s="513">
        <f t="shared" si="9"/>
        <v>0</v>
      </c>
      <c r="J82" s="525">
        <f t="shared" si="17"/>
        <v>0</v>
      </c>
      <c r="K82" s="610"/>
      <c r="L82" s="610"/>
      <c r="M82" s="610"/>
      <c r="N82" s="727" t="str">
        <f xml:space="preserve">
IF(表紙!$X$2="事前協議","－",
IF(表紙!$X$2="交付申請（２次）","－",
IF(表紙!$X$2="変更申請","－",
IF(AND(表紙!$X$2="実績報告（１次）",AH82="◎"),COUNTIF($AH$13:$AH82,"◎"),
IF(AND(表紙!$X$2="実績報告（１次）",OR(AH82="×",AH82="○")),"",
IF(表紙!$X$2="実績報告（２次）","－",
IF(表紙!$X$2="交付申請兼実績報告","－")))))))</f>
        <v>－</v>
      </c>
      <c r="O82" s="616" t="str">
        <f t="shared" si="10"/>
        <v/>
      </c>
      <c r="Q82" s="596" t="str">
        <f t="shared" si="11"/>
        <v/>
      </c>
      <c r="R82" s="600" t="str">
        <f t="shared" si="12"/>
        <v/>
      </c>
      <c r="S82" s="600" t="str">
        <f t="shared" si="13"/>
        <v/>
      </c>
      <c r="T82" s="600" t="str">
        <f t="shared" si="14"/>
        <v/>
      </c>
      <c r="AF82" s="505" t="s">
        <v>466</v>
      </c>
      <c r="AG82" s="527">
        <v>70</v>
      </c>
      <c r="AH82" s="598" t="str">
        <f t="shared" si="15"/>
        <v>○</v>
      </c>
      <c r="AI82" s="510" t="str">
        <f t="shared" si="16"/>
        <v>申請しない場合は入力不要です。</v>
      </c>
      <c r="AK82" s="528"/>
    </row>
    <row r="83" spans="1:37" ht="20.100000000000001" customHeight="1">
      <c r="A83" s="524">
        <v>71</v>
      </c>
      <c r="B83" s="122"/>
      <c r="C83" s="1945"/>
      <c r="D83" s="1946"/>
      <c r="E83" s="1947"/>
      <c r="F83" s="614"/>
      <c r="G83" s="7"/>
      <c r="H83" s="531"/>
      <c r="I83" s="513">
        <f t="shared" si="9"/>
        <v>0</v>
      </c>
      <c r="J83" s="525">
        <f t="shared" si="17"/>
        <v>0</v>
      </c>
      <c r="K83" s="610"/>
      <c r="L83" s="610"/>
      <c r="M83" s="610"/>
      <c r="N83" s="727" t="str">
        <f xml:space="preserve">
IF(表紙!$X$2="事前協議","－",
IF(表紙!$X$2="交付申請（２次）","－",
IF(表紙!$X$2="変更申請","－",
IF(AND(表紙!$X$2="実績報告（１次）",AH83="◎"),COUNTIF($AH$13:$AH83,"◎"),
IF(AND(表紙!$X$2="実績報告（１次）",OR(AH83="×",AH83="○")),"",
IF(表紙!$X$2="実績報告（２次）","－",
IF(表紙!$X$2="交付申請兼実績報告","－")))))))</f>
        <v>－</v>
      </c>
      <c r="O83" s="616" t="str">
        <f t="shared" si="10"/>
        <v/>
      </c>
      <c r="Q83" s="596" t="str">
        <f t="shared" si="11"/>
        <v/>
      </c>
      <c r="R83" s="600" t="str">
        <f t="shared" si="12"/>
        <v/>
      </c>
      <c r="S83" s="600" t="str">
        <f t="shared" si="13"/>
        <v/>
      </c>
      <c r="T83" s="600" t="str">
        <f t="shared" si="14"/>
        <v/>
      </c>
      <c r="AF83" s="505" t="s">
        <v>466</v>
      </c>
      <c r="AG83" s="527">
        <v>71</v>
      </c>
      <c r="AH83" s="598" t="str">
        <f t="shared" si="15"/>
        <v>○</v>
      </c>
      <c r="AI83" s="510" t="str">
        <f t="shared" si="16"/>
        <v>申請しない場合は入力不要です。</v>
      </c>
      <c r="AK83" s="528"/>
    </row>
    <row r="84" spans="1:37" ht="20.100000000000001" customHeight="1">
      <c r="A84" s="524">
        <v>72</v>
      </c>
      <c r="B84" s="122"/>
      <c r="C84" s="1945"/>
      <c r="D84" s="1946"/>
      <c r="E84" s="1947"/>
      <c r="F84" s="614"/>
      <c r="G84" s="7"/>
      <c r="H84" s="531"/>
      <c r="I84" s="513">
        <f t="shared" si="9"/>
        <v>0</v>
      </c>
      <c r="J84" s="525">
        <f t="shared" si="17"/>
        <v>0</v>
      </c>
      <c r="K84" s="610"/>
      <c r="L84" s="610"/>
      <c r="M84" s="610"/>
      <c r="N84" s="727" t="str">
        <f xml:space="preserve">
IF(表紙!$X$2="事前協議","－",
IF(表紙!$X$2="交付申請（２次）","－",
IF(表紙!$X$2="変更申請","－",
IF(AND(表紙!$X$2="実績報告（１次）",AH84="◎"),COUNTIF($AH$13:$AH84,"◎"),
IF(AND(表紙!$X$2="実績報告（１次）",OR(AH84="×",AH84="○")),"",
IF(表紙!$X$2="実績報告（２次）","－",
IF(表紙!$X$2="交付申請兼実績報告","－")))))))</f>
        <v>－</v>
      </c>
      <c r="O84" s="616" t="str">
        <f t="shared" si="10"/>
        <v/>
      </c>
      <c r="Q84" s="596" t="str">
        <f t="shared" si="11"/>
        <v/>
      </c>
      <c r="R84" s="600" t="str">
        <f t="shared" si="12"/>
        <v/>
      </c>
      <c r="S84" s="600" t="str">
        <f t="shared" si="13"/>
        <v/>
      </c>
      <c r="T84" s="600" t="str">
        <f t="shared" si="14"/>
        <v/>
      </c>
      <c r="AF84" s="505" t="s">
        <v>466</v>
      </c>
      <c r="AG84" s="527">
        <v>72</v>
      </c>
      <c r="AH84" s="598" t="str">
        <f t="shared" si="15"/>
        <v>○</v>
      </c>
      <c r="AI84" s="510" t="str">
        <f t="shared" si="16"/>
        <v>申請しない場合は入力不要です。</v>
      </c>
      <c r="AK84" s="528"/>
    </row>
    <row r="85" spans="1:37" ht="20.100000000000001" customHeight="1">
      <c r="A85" s="524">
        <v>73</v>
      </c>
      <c r="B85" s="122"/>
      <c r="C85" s="1945"/>
      <c r="D85" s="1946"/>
      <c r="E85" s="1947"/>
      <c r="F85" s="614"/>
      <c r="G85" s="7"/>
      <c r="H85" s="531"/>
      <c r="I85" s="513">
        <f t="shared" si="9"/>
        <v>0</v>
      </c>
      <c r="J85" s="525">
        <f t="shared" si="17"/>
        <v>0</v>
      </c>
      <c r="K85" s="610"/>
      <c r="L85" s="610"/>
      <c r="M85" s="610"/>
      <c r="N85" s="727" t="str">
        <f xml:space="preserve">
IF(表紙!$X$2="事前協議","－",
IF(表紙!$X$2="交付申請（２次）","－",
IF(表紙!$X$2="変更申請","－",
IF(AND(表紙!$X$2="実績報告（１次）",AH85="◎"),COUNTIF($AH$13:$AH85,"◎"),
IF(AND(表紙!$X$2="実績報告（１次）",OR(AH85="×",AH85="○")),"",
IF(表紙!$X$2="実績報告（２次）","－",
IF(表紙!$X$2="交付申請兼実績報告","－")))))))</f>
        <v>－</v>
      </c>
      <c r="O85" s="616" t="str">
        <f t="shared" si="10"/>
        <v/>
      </c>
      <c r="Q85" s="596" t="str">
        <f t="shared" si="11"/>
        <v/>
      </c>
      <c r="R85" s="600" t="str">
        <f t="shared" si="12"/>
        <v/>
      </c>
      <c r="S85" s="600" t="str">
        <f t="shared" si="13"/>
        <v/>
      </c>
      <c r="T85" s="600" t="str">
        <f t="shared" si="14"/>
        <v/>
      </c>
      <c r="AF85" s="505" t="s">
        <v>466</v>
      </c>
      <c r="AG85" s="527">
        <v>73</v>
      </c>
      <c r="AH85" s="598" t="str">
        <f t="shared" si="15"/>
        <v>○</v>
      </c>
      <c r="AI85" s="510" t="str">
        <f t="shared" si="16"/>
        <v>申請しない場合は入力不要です。</v>
      </c>
      <c r="AK85" s="528"/>
    </row>
    <row r="86" spans="1:37" ht="20.100000000000001" customHeight="1">
      <c r="A86" s="524">
        <v>74</v>
      </c>
      <c r="B86" s="122"/>
      <c r="C86" s="1945"/>
      <c r="D86" s="1946"/>
      <c r="E86" s="1947"/>
      <c r="F86" s="614"/>
      <c r="G86" s="7"/>
      <c r="H86" s="531"/>
      <c r="I86" s="513">
        <f t="shared" si="9"/>
        <v>0</v>
      </c>
      <c r="J86" s="525">
        <f t="shared" si="17"/>
        <v>0</v>
      </c>
      <c r="K86" s="610"/>
      <c r="L86" s="610"/>
      <c r="M86" s="610"/>
      <c r="N86" s="727" t="str">
        <f xml:space="preserve">
IF(表紙!$X$2="事前協議","－",
IF(表紙!$X$2="交付申請（２次）","－",
IF(表紙!$X$2="変更申請","－",
IF(AND(表紙!$X$2="実績報告（１次）",AH86="◎"),COUNTIF($AH$13:$AH86,"◎"),
IF(AND(表紙!$X$2="実績報告（１次）",OR(AH86="×",AH86="○")),"",
IF(表紙!$X$2="実績報告（２次）","－",
IF(表紙!$X$2="交付申請兼実績報告","－")))))))</f>
        <v>－</v>
      </c>
      <c r="O86" s="616" t="str">
        <f t="shared" si="10"/>
        <v/>
      </c>
      <c r="Q86" s="596" t="str">
        <f t="shared" si="11"/>
        <v/>
      </c>
      <c r="R86" s="600" t="str">
        <f t="shared" si="12"/>
        <v/>
      </c>
      <c r="S86" s="600" t="str">
        <f t="shared" si="13"/>
        <v/>
      </c>
      <c r="T86" s="600" t="str">
        <f t="shared" si="14"/>
        <v/>
      </c>
      <c r="AF86" s="505" t="s">
        <v>466</v>
      </c>
      <c r="AG86" s="527">
        <v>74</v>
      </c>
      <c r="AH86" s="598" t="str">
        <f t="shared" si="15"/>
        <v>○</v>
      </c>
      <c r="AI86" s="510" t="str">
        <f t="shared" si="16"/>
        <v>申請しない場合は入力不要です。</v>
      </c>
      <c r="AK86" s="528"/>
    </row>
    <row r="87" spans="1:37" ht="20.100000000000001" customHeight="1">
      <c r="A87" s="524">
        <v>75</v>
      </c>
      <c r="B87" s="122"/>
      <c r="C87" s="1945"/>
      <c r="D87" s="1946"/>
      <c r="E87" s="1947"/>
      <c r="F87" s="614"/>
      <c r="G87" s="7"/>
      <c r="H87" s="531"/>
      <c r="I87" s="513">
        <f t="shared" si="9"/>
        <v>0</v>
      </c>
      <c r="J87" s="525">
        <f t="shared" si="17"/>
        <v>0</v>
      </c>
      <c r="K87" s="610"/>
      <c r="L87" s="610"/>
      <c r="M87" s="610"/>
      <c r="N87" s="727" t="str">
        <f xml:space="preserve">
IF(表紙!$X$2="事前協議","－",
IF(表紙!$X$2="交付申請（２次）","－",
IF(表紙!$X$2="変更申請","－",
IF(AND(表紙!$X$2="実績報告（１次）",AH87="◎"),COUNTIF($AH$13:$AH87,"◎"),
IF(AND(表紙!$X$2="実績報告（１次）",OR(AH87="×",AH87="○")),"",
IF(表紙!$X$2="実績報告（２次）","－",
IF(表紙!$X$2="交付申請兼実績報告","－")))))))</f>
        <v>－</v>
      </c>
      <c r="O87" s="616" t="str">
        <f t="shared" si="10"/>
        <v/>
      </c>
      <c r="Q87" s="596" t="str">
        <f t="shared" si="11"/>
        <v/>
      </c>
      <c r="R87" s="600" t="str">
        <f t="shared" si="12"/>
        <v/>
      </c>
      <c r="S87" s="600" t="str">
        <f t="shared" si="13"/>
        <v/>
      </c>
      <c r="T87" s="600" t="str">
        <f t="shared" si="14"/>
        <v/>
      </c>
      <c r="AF87" s="505" t="s">
        <v>466</v>
      </c>
      <c r="AG87" s="527">
        <v>75</v>
      </c>
      <c r="AH87" s="598" t="str">
        <f t="shared" si="15"/>
        <v>○</v>
      </c>
      <c r="AI87" s="510" t="str">
        <f t="shared" si="16"/>
        <v>申請しない場合は入力不要です。</v>
      </c>
      <c r="AK87" s="528"/>
    </row>
    <row r="88" spans="1:37" ht="20.100000000000001" customHeight="1">
      <c r="A88" s="524">
        <v>76</v>
      </c>
      <c r="B88" s="122"/>
      <c r="C88" s="1945"/>
      <c r="D88" s="1946"/>
      <c r="E88" s="1947"/>
      <c r="F88" s="614"/>
      <c r="G88" s="7"/>
      <c r="H88" s="531"/>
      <c r="I88" s="513">
        <f t="shared" si="9"/>
        <v>0</v>
      </c>
      <c r="J88" s="525">
        <f t="shared" si="17"/>
        <v>0</v>
      </c>
      <c r="K88" s="610"/>
      <c r="L88" s="610"/>
      <c r="M88" s="610"/>
      <c r="N88" s="727" t="str">
        <f xml:space="preserve">
IF(表紙!$X$2="事前協議","－",
IF(表紙!$X$2="交付申請（２次）","－",
IF(表紙!$X$2="変更申請","－",
IF(AND(表紙!$X$2="実績報告（１次）",AH88="◎"),COUNTIF($AH$13:$AH88,"◎"),
IF(AND(表紙!$X$2="実績報告（１次）",OR(AH88="×",AH88="○")),"",
IF(表紙!$X$2="実績報告（２次）","－",
IF(表紙!$X$2="交付申請兼実績報告","－")))))))</f>
        <v>－</v>
      </c>
      <c r="O88" s="616" t="str">
        <f t="shared" si="10"/>
        <v/>
      </c>
      <c r="Q88" s="596" t="str">
        <f t="shared" si="11"/>
        <v/>
      </c>
      <c r="R88" s="600" t="str">
        <f t="shared" si="12"/>
        <v/>
      </c>
      <c r="S88" s="600" t="str">
        <f t="shared" si="13"/>
        <v/>
      </c>
      <c r="T88" s="600" t="str">
        <f t="shared" si="14"/>
        <v/>
      </c>
      <c r="AF88" s="505" t="s">
        <v>466</v>
      </c>
      <c r="AG88" s="527">
        <v>76</v>
      </c>
      <c r="AH88" s="598" t="str">
        <f t="shared" si="15"/>
        <v>○</v>
      </c>
      <c r="AI88" s="510" t="str">
        <f t="shared" si="16"/>
        <v>申請しない場合は入力不要です。</v>
      </c>
      <c r="AK88" s="528"/>
    </row>
    <row r="89" spans="1:37" ht="20.100000000000001" customHeight="1">
      <c r="A89" s="524">
        <v>77</v>
      </c>
      <c r="B89" s="122"/>
      <c r="C89" s="1945"/>
      <c r="D89" s="1946"/>
      <c r="E89" s="1947"/>
      <c r="F89" s="614"/>
      <c r="G89" s="7"/>
      <c r="H89" s="531"/>
      <c r="I89" s="513">
        <f t="shared" si="9"/>
        <v>0</v>
      </c>
      <c r="J89" s="525">
        <f t="shared" si="17"/>
        <v>0</v>
      </c>
      <c r="K89" s="610"/>
      <c r="L89" s="610"/>
      <c r="M89" s="610"/>
      <c r="N89" s="727" t="str">
        <f xml:space="preserve">
IF(表紙!$X$2="事前協議","－",
IF(表紙!$X$2="交付申請（２次）","－",
IF(表紙!$X$2="変更申請","－",
IF(AND(表紙!$X$2="実績報告（１次）",AH89="◎"),COUNTIF($AH$13:$AH89,"◎"),
IF(AND(表紙!$X$2="実績報告（１次）",OR(AH89="×",AH89="○")),"",
IF(表紙!$X$2="実績報告（２次）","－",
IF(表紙!$X$2="交付申請兼実績報告","－")))))))</f>
        <v>－</v>
      </c>
      <c r="O89" s="616" t="str">
        <f t="shared" si="10"/>
        <v/>
      </c>
      <c r="Q89" s="596" t="str">
        <f t="shared" si="11"/>
        <v/>
      </c>
      <c r="R89" s="600" t="str">
        <f t="shared" si="12"/>
        <v/>
      </c>
      <c r="S89" s="600" t="str">
        <f t="shared" si="13"/>
        <v/>
      </c>
      <c r="T89" s="600" t="str">
        <f t="shared" si="14"/>
        <v/>
      </c>
      <c r="AF89" s="505" t="s">
        <v>466</v>
      </c>
      <c r="AG89" s="527">
        <v>77</v>
      </c>
      <c r="AH89" s="598" t="str">
        <f t="shared" si="15"/>
        <v>○</v>
      </c>
      <c r="AI89" s="510" t="str">
        <f t="shared" si="16"/>
        <v>申請しない場合は入力不要です。</v>
      </c>
      <c r="AK89" s="528"/>
    </row>
    <row r="90" spans="1:37" ht="20.100000000000001" customHeight="1">
      <c r="A90" s="524">
        <v>78</v>
      </c>
      <c r="B90" s="122"/>
      <c r="C90" s="1945"/>
      <c r="D90" s="1946"/>
      <c r="E90" s="1947"/>
      <c r="F90" s="614"/>
      <c r="G90" s="7"/>
      <c r="H90" s="531"/>
      <c r="I90" s="513">
        <f t="shared" si="9"/>
        <v>0</v>
      </c>
      <c r="J90" s="525">
        <f t="shared" si="17"/>
        <v>0</v>
      </c>
      <c r="K90" s="610"/>
      <c r="L90" s="610"/>
      <c r="M90" s="610"/>
      <c r="N90" s="727" t="str">
        <f xml:space="preserve">
IF(表紙!$X$2="事前協議","－",
IF(表紙!$X$2="交付申請（２次）","－",
IF(表紙!$X$2="変更申請","－",
IF(AND(表紙!$X$2="実績報告（１次）",AH90="◎"),COUNTIF($AH$13:$AH90,"◎"),
IF(AND(表紙!$X$2="実績報告（１次）",OR(AH90="×",AH90="○")),"",
IF(表紙!$X$2="実績報告（２次）","－",
IF(表紙!$X$2="交付申請兼実績報告","－")))))))</f>
        <v>－</v>
      </c>
      <c r="O90" s="616" t="str">
        <f t="shared" si="10"/>
        <v/>
      </c>
      <c r="Q90" s="596" t="str">
        <f t="shared" si="11"/>
        <v/>
      </c>
      <c r="R90" s="600" t="str">
        <f t="shared" si="12"/>
        <v/>
      </c>
      <c r="S90" s="600" t="str">
        <f t="shared" si="13"/>
        <v/>
      </c>
      <c r="T90" s="600" t="str">
        <f t="shared" si="14"/>
        <v/>
      </c>
      <c r="AF90" s="505" t="s">
        <v>466</v>
      </c>
      <c r="AG90" s="527">
        <v>78</v>
      </c>
      <c r="AH90" s="598" t="str">
        <f t="shared" si="15"/>
        <v>○</v>
      </c>
      <c r="AI90" s="510" t="str">
        <f t="shared" si="16"/>
        <v>申請しない場合は入力不要です。</v>
      </c>
      <c r="AK90" s="528"/>
    </row>
    <row r="91" spans="1:37" ht="20.100000000000001" customHeight="1">
      <c r="A91" s="524">
        <v>79</v>
      </c>
      <c r="B91" s="122"/>
      <c r="C91" s="1945"/>
      <c r="D91" s="1946"/>
      <c r="E91" s="1947"/>
      <c r="F91" s="614"/>
      <c r="G91" s="7"/>
      <c r="H91" s="531"/>
      <c r="I91" s="513">
        <f t="shared" si="9"/>
        <v>0</v>
      </c>
      <c r="J91" s="525">
        <f t="shared" si="17"/>
        <v>0</v>
      </c>
      <c r="K91" s="610"/>
      <c r="L91" s="610"/>
      <c r="M91" s="610"/>
      <c r="N91" s="727" t="str">
        <f xml:space="preserve">
IF(表紙!$X$2="事前協議","－",
IF(表紙!$X$2="交付申請（２次）","－",
IF(表紙!$X$2="変更申請","－",
IF(AND(表紙!$X$2="実績報告（１次）",AH91="◎"),COUNTIF($AH$13:$AH91,"◎"),
IF(AND(表紙!$X$2="実績報告（１次）",OR(AH91="×",AH91="○")),"",
IF(表紙!$X$2="実績報告（２次）","－",
IF(表紙!$X$2="交付申請兼実績報告","－")))))))</f>
        <v>－</v>
      </c>
      <c r="O91" s="616" t="str">
        <f t="shared" si="10"/>
        <v/>
      </c>
      <c r="Q91" s="596" t="str">
        <f t="shared" si="11"/>
        <v/>
      </c>
      <c r="R91" s="600" t="str">
        <f t="shared" si="12"/>
        <v/>
      </c>
      <c r="S91" s="600" t="str">
        <f t="shared" si="13"/>
        <v/>
      </c>
      <c r="T91" s="600" t="str">
        <f t="shared" si="14"/>
        <v/>
      </c>
      <c r="AF91" s="505" t="s">
        <v>466</v>
      </c>
      <c r="AG91" s="527">
        <v>79</v>
      </c>
      <c r="AH91" s="598" t="str">
        <f t="shared" si="15"/>
        <v>○</v>
      </c>
      <c r="AI91" s="510" t="str">
        <f t="shared" si="16"/>
        <v>申請しない場合は入力不要です。</v>
      </c>
      <c r="AK91" s="528"/>
    </row>
    <row r="92" spans="1:37" ht="20.100000000000001" customHeight="1">
      <c r="A92" s="524">
        <v>80</v>
      </c>
      <c r="B92" s="122"/>
      <c r="C92" s="1945"/>
      <c r="D92" s="1946"/>
      <c r="E92" s="1947"/>
      <c r="F92" s="614"/>
      <c r="G92" s="7"/>
      <c r="H92" s="531"/>
      <c r="I92" s="513">
        <f t="shared" si="9"/>
        <v>0</v>
      </c>
      <c r="J92" s="525">
        <f t="shared" si="17"/>
        <v>0</v>
      </c>
      <c r="K92" s="610"/>
      <c r="L92" s="610"/>
      <c r="M92" s="610"/>
      <c r="N92" s="727" t="str">
        <f xml:space="preserve">
IF(表紙!$X$2="事前協議","－",
IF(表紙!$X$2="交付申請（２次）","－",
IF(表紙!$X$2="変更申請","－",
IF(AND(表紙!$X$2="実績報告（１次）",AH92="◎"),COUNTIF($AH$13:$AH92,"◎"),
IF(AND(表紙!$X$2="実績報告（１次）",OR(AH92="×",AH92="○")),"",
IF(表紙!$X$2="実績報告（２次）","－",
IF(表紙!$X$2="交付申請兼実績報告","－")))))))</f>
        <v>－</v>
      </c>
      <c r="O92" s="616" t="str">
        <f t="shared" si="10"/>
        <v/>
      </c>
      <c r="Q92" s="596" t="str">
        <f t="shared" si="11"/>
        <v/>
      </c>
      <c r="R92" s="600" t="str">
        <f t="shared" si="12"/>
        <v/>
      </c>
      <c r="S92" s="600" t="str">
        <f t="shared" si="13"/>
        <v/>
      </c>
      <c r="T92" s="600" t="str">
        <f t="shared" si="14"/>
        <v/>
      </c>
      <c r="AF92" s="505" t="s">
        <v>466</v>
      </c>
      <c r="AG92" s="527">
        <v>80</v>
      </c>
      <c r="AH92" s="598" t="str">
        <f t="shared" si="15"/>
        <v>○</v>
      </c>
      <c r="AI92" s="510" t="str">
        <f t="shared" si="16"/>
        <v>申請しない場合は入力不要です。</v>
      </c>
      <c r="AK92" s="528"/>
    </row>
    <row r="93" spans="1:37" ht="20.100000000000001" customHeight="1">
      <c r="A93" s="524">
        <v>81</v>
      </c>
      <c r="B93" s="122"/>
      <c r="C93" s="1945"/>
      <c r="D93" s="1946"/>
      <c r="E93" s="1947"/>
      <c r="F93" s="614"/>
      <c r="G93" s="7"/>
      <c r="H93" s="531"/>
      <c r="I93" s="513">
        <f t="shared" si="9"/>
        <v>0</v>
      </c>
      <c r="J93" s="525">
        <f t="shared" si="17"/>
        <v>0</v>
      </c>
      <c r="K93" s="610"/>
      <c r="L93" s="610"/>
      <c r="M93" s="610"/>
      <c r="N93" s="727" t="str">
        <f xml:space="preserve">
IF(表紙!$X$2="事前協議","－",
IF(表紙!$X$2="交付申請（２次）","－",
IF(表紙!$X$2="変更申請","－",
IF(AND(表紙!$X$2="実績報告（１次）",AH93="◎"),COUNTIF($AH$13:$AH93,"◎"),
IF(AND(表紙!$X$2="実績報告（１次）",OR(AH93="×",AH93="○")),"",
IF(表紙!$X$2="実績報告（２次）","－",
IF(表紙!$X$2="交付申請兼実績報告","－")))))))</f>
        <v>－</v>
      </c>
      <c r="O93" s="616" t="str">
        <f t="shared" si="10"/>
        <v/>
      </c>
      <c r="Q93" s="596" t="str">
        <f t="shared" si="11"/>
        <v/>
      </c>
      <c r="R93" s="600" t="str">
        <f t="shared" si="12"/>
        <v/>
      </c>
      <c r="S93" s="600" t="str">
        <f t="shared" si="13"/>
        <v/>
      </c>
      <c r="T93" s="600" t="str">
        <f t="shared" si="14"/>
        <v/>
      </c>
      <c r="AF93" s="505" t="s">
        <v>466</v>
      </c>
      <c r="AG93" s="527">
        <v>81</v>
      </c>
      <c r="AH93" s="598" t="str">
        <f t="shared" si="15"/>
        <v>○</v>
      </c>
      <c r="AI93" s="510" t="str">
        <f t="shared" si="16"/>
        <v>申請しない場合は入力不要です。</v>
      </c>
      <c r="AK93" s="528"/>
    </row>
    <row r="94" spans="1:37" ht="20.100000000000001" customHeight="1">
      <c r="A94" s="524">
        <v>82</v>
      </c>
      <c r="B94" s="122"/>
      <c r="C94" s="1945"/>
      <c r="D94" s="1946"/>
      <c r="E94" s="1947"/>
      <c r="F94" s="614"/>
      <c r="G94" s="7"/>
      <c r="H94" s="531"/>
      <c r="I94" s="513">
        <f t="shared" si="9"/>
        <v>0</v>
      </c>
      <c r="J94" s="525">
        <f t="shared" si="17"/>
        <v>0</v>
      </c>
      <c r="K94" s="610"/>
      <c r="L94" s="610"/>
      <c r="M94" s="610"/>
      <c r="N94" s="727" t="str">
        <f xml:space="preserve">
IF(表紙!$X$2="事前協議","－",
IF(表紙!$X$2="交付申請（２次）","－",
IF(表紙!$X$2="変更申請","－",
IF(AND(表紙!$X$2="実績報告（１次）",AH94="◎"),COUNTIF($AH$13:$AH94,"◎"),
IF(AND(表紙!$X$2="実績報告（１次）",OR(AH94="×",AH94="○")),"",
IF(表紙!$X$2="実績報告（２次）","－",
IF(表紙!$X$2="交付申請兼実績報告","－")))))))</f>
        <v>－</v>
      </c>
      <c r="O94" s="616" t="str">
        <f t="shared" si="10"/>
        <v/>
      </c>
      <c r="Q94" s="596" t="str">
        <f t="shared" si="11"/>
        <v/>
      </c>
      <c r="R94" s="600" t="str">
        <f t="shared" si="12"/>
        <v/>
      </c>
      <c r="S94" s="600" t="str">
        <f t="shared" si="13"/>
        <v/>
      </c>
      <c r="T94" s="600" t="str">
        <f t="shared" si="14"/>
        <v/>
      </c>
      <c r="AF94" s="505" t="s">
        <v>466</v>
      </c>
      <c r="AG94" s="527">
        <v>82</v>
      </c>
      <c r="AH94" s="598" t="str">
        <f t="shared" si="15"/>
        <v>○</v>
      </c>
      <c r="AI94" s="510" t="str">
        <f t="shared" si="16"/>
        <v>申請しない場合は入力不要です。</v>
      </c>
      <c r="AK94" s="528"/>
    </row>
    <row r="95" spans="1:37" ht="20.100000000000001" customHeight="1">
      <c r="A95" s="524">
        <v>83</v>
      </c>
      <c r="B95" s="122"/>
      <c r="C95" s="1945"/>
      <c r="D95" s="1946"/>
      <c r="E95" s="1947"/>
      <c r="F95" s="614"/>
      <c r="G95" s="7"/>
      <c r="H95" s="531"/>
      <c r="I95" s="513">
        <f t="shared" si="9"/>
        <v>0</v>
      </c>
      <c r="J95" s="525">
        <f t="shared" si="17"/>
        <v>0</v>
      </c>
      <c r="K95" s="610"/>
      <c r="L95" s="610"/>
      <c r="M95" s="610"/>
      <c r="N95" s="727" t="str">
        <f xml:space="preserve">
IF(表紙!$X$2="事前協議","－",
IF(表紙!$X$2="交付申請（２次）","－",
IF(表紙!$X$2="変更申請","－",
IF(AND(表紙!$X$2="実績報告（１次）",AH95="◎"),COUNTIF($AH$13:$AH95,"◎"),
IF(AND(表紙!$X$2="実績報告（１次）",OR(AH95="×",AH95="○")),"",
IF(表紙!$X$2="実績報告（２次）","－",
IF(表紙!$X$2="交付申請兼実績報告","－")))))))</f>
        <v>－</v>
      </c>
      <c r="O95" s="616" t="str">
        <f t="shared" si="10"/>
        <v/>
      </c>
      <c r="Q95" s="596" t="str">
        <f t="shared" si="11"/>
        <v/>
      </c>
      <c r="R95" s="600" t="str">
        <f t="shared" si="12"/>
        <v/>
      </c>
      <c r="S95" s="600" t="str">
        <f t="shared" si="13"/>
        <v/>
      </c>
      <c r="T95" s="600" t="str">
        <f t="shared" si="14"/>
        <v/>
      </c>
      <c r="AF95" s="505" t="s">
        <v>466</v>
      </c>
      <c r="AG95" s="527">
        <v>83</v>
      </c>
      <c r="AH95" s="598" t="str">
        <f t="shared" si="15"/>
        <v>○</v>
      </c>
      <c r="AI95" s="510" t="str">
        <f t="shared" si="16"/>
        <v>申請しない場合は入力不要です。</v>
      </c>
      <c r="AK95" s="528"/>
    </row>
    <row r="96" spans="1:37" ht="20.100000000000001" customHeight="1">
      <c r="A96" s="524">
        <v>84</v>
      </c>
      <c r="B96" s="122"/>
      <c r="C96" s="1945"/>
      <c r="D96" s="1946"/>
      <c r="E96" s="1947"/>
      <c r="F96" s="614"/>
      <c r="G96" s="7"/>
      <c r="H96" s="531"/>
      <c r="I96" s="513">
        <f t="shared" si="9"/>
        <v>0</v>
      </c>
      <c r="J96" s="525">
        <f t="shared" si="17"/>
        <v>0</v>
      </c>
      <c r="K96" s="610"/>
      <c r="L96" s="610"/>
      <c r="M96" s="610"/>
      <c r="N96" s="727" t="str">
        <f xml:space="preserve">
IF(表紙!$X$2="事前協議","－",
IF(表紙!$X$2="交付申請（２次）","－",
IF(表紙!$X$2="変更申請","－",
IF(AND(表紙!$X$2="実績報告（１次）",AH96="◎"),COUNTIF($AH$13:$AH96,"◎"),
IF(AND(表紙!$X$2="実績報告（１次）",OR(AH96="×",AH96="○")),"",
IF(表紙!$X$2="実績報告（２次）","－",
IF(表紙!$X$2="交付申請兼実績報告","－")))))))</f>
        <v>－</v>
      </c>
      <c r="O96" s="616" t="str">
        <f t="shared" si="10"/>
        <v/>
      </c>
      <c r="Q96" s="596" t="str">
        <f t="shared" si="11"/>
        <v/>
      </c>
      <c r="R96" s="600" t="str">
        <f t="shared" si="12"/>
        <v/>
      </c>
      <c r="S96" s="600" t="str">
        <f t="shared" si="13"/>
        <v/>
      </c>
      <c r="T96" s="600" t="str">
        <f t="shared" si="14"/>
        <v/>
      </c>
      <c r="AF96" s="505" t="s">
        <v>466</v>
      </c>
      <c r="AG96" s="527">
        <v>84</v>
      </c>
      <c r="AH96" s="598" t="str">
        <f t="shared" si="15"/>
        <v>○</v>
      </c>
      <c r="AI96" s="510" t="str">
        <f t="shared" si="16"/>
        <v>申請しない場合は入力不要です。</v>
      </c>
      <c r="AK96" s="528"/>
    </row>
    <row r="97" spans="1:37" ht="20.100000000000001" customHeight="1">
      <c r="A97" s="524">
        <v>85</v>
      </c>
      <c r="B97" s="122"/>
      <c r="C97" s="1945"/>
      <c r="D97" s="1946"/>
      <c r="E97" s="1947"/>
      <c r="F97" s="614"/>
      <c r="G97" s="7"/>
      <c r="H97" s="531"/>
      <c r="I97" s="513">
        <f t="shared" si="9"/>
        <v>0</v>
      </c>
      <c r="J97" s="525">
        <f t="shared" si="17"/>
        <v>0</v>
      </c>
      <c r="K97" s="610"/>
      <c r="L97" s="610"/>
      <c r="M97" s="610"/>
      <c r="N97" s="727" t="str">
        <f xml:space="preserve">
IF(表紙!$X$2="事前協議","－",
IF(表紙!$X$2="交付申請（２次）","－",
IF(表紙!$X$2="変更申請","－",
IF(AND(表紙!$X$2="実績報告（１次）",AH97="◎"),COUNTIF($AH$13:$AH97,"◎"),
IF(AND(表紙!$X$2="実績報告（１次）",OR(AH97="×",AH97="○")),"",
IF(表紙!$X$2="実績報告（２次）","－",
IF(表紙!$X$2="交付申請兼実績報告","－")))))))</f>
        <v>－</v>
      </c>
      <c r="O97" s="616" t="str">
        <f t="shared" si="10"/>
        <v/>
      </c>
      <c r="Q97" s="596" t="str">
        <f t="shared" si="11"/>
        <v/>
      </c>
      <c r="R97" s="600" t="str">
        <f t="shared" si="12"/>
        <v/>
      </c>
      <c r="S97" s="600" t="str">
        <f t="shared" si="13"/>
        <v/>
      </c>
      <c r="T97" s="600" t="str">
        <f t="shared" si="14"/>
        <v/>
      </c>
      <c r="AF97" s="505" t="s">
        <v>466</v>
      </c>
      <c r="AG97" s="527">
        <v>85</v>
      </c>
      <c r="AH97" s="598" t="str">
        <f t="shared" si="15"/>
        <v>○</v>
      </c>
      <c r="AI97" s="510" t="str">
        <f t="shared" si="16"/>
        <v>申請しない場合は入力不要です。</v>
      </c>
      <c r="AK97" s="528"/>
    </row>
    <row r="98" spans="1:37" ht="20.100000000000001" customHeight="1">
      <c r="A98" s="524">
        <v>86</v>
      </c>
      <c r="B98" s="122"/>
      <c r="C98" s="1945"/>
      <c r="D98" s="1946"/>
      <c r="E98" s="1947"/>
      <c r="F98" s="614"/>
      <c r="G98" s="7"/>
      <c r="H98" s="531"/>
      <c r="I98" s="513">
        <f t="shared" si="9"/>
        <v>0</v>
      </c>
      <c r="J98" s="525">
        <f t="shared" si="17"/>
        <v>0</v>
      </c>
      <c r="K98" s="610"/>
      <c r="L98" s="610"/>
      <c r="M98" s="610"/>
      <c r="N98" s="727" t="str">
        <f xml:space="preserve">
IF(表紙!$X$2="事前協議","－",
IF(表紙!$X$2="交付申請（２次）","－",
IF(表紙!$X$2="変更申請","－",
IF(AND(表紙!$X$2="実績報告（１次）",AH98="◎"),COUNTIF($AH$13:$AH98,"◎"),
IF(AND(表紙!$X$2="実績報告（１次）",OR(AH98="×",AH98="○")),"",
IF(表紙!$X$2="実績報告（２次）","－",
IF(表紙!$X$2="交付申請兼実績報告","－")))))))</f>
        <v>－</v>
      </c>
      <c r="O98" s="616" t="str">
        <f t="shared" si="10"/>
        <v/>
      </c>
      <c r="Q98" s="596" t="str">
        <f t="shared" si="11"/>
        <v/>
      </c>
      <c r="R98" s="600" t="str">
        <f t="shared" si="12"/>
        <v/>
      </c>
      <c r="S98" s="600" t="str">
        <f t="shared" si="13"/>
        <v/>
      </c>
      <c r="T98" s="600" t="str">
        <f t="shared" si="14"/>
        <v/>
      </c>
      <c r="AF98" s="505" t="s">
        <v>466</v>
      </c>
      <c r="AG98" s="527">
        <v>86</v>
      </c>
      <c r="AH98" s="598" t="str">
        <f t="shared" si="15"/>
        <v>○</v>
      </c>
      <c r="AI98" s="510" t="str">
        <f t="shared" si="16"/>
        <v>申請しない場合は入力不要です。</v>
      </c>
      <c r="AK98" s="528"/>
    </row>
    <row r="99" spans="1:37" ht="20.100000000000001" customHeight="1">
      <c r="A99" s="524">
        <v>87</v>
      </c>
      <c r="B99" s="122"/>
      <c r="C99" s="1945"/>
      <c r="D99" s="1946"/>
      <c r="E99" s="1947"/>
      <c r="F99" s="614"/>
      <c r="G99" s="7"/>
      <c r="H99" s="531"/>
      <c r="I99" s="513">
        <f t="shared" si="9"/>
        <v>0</v>
      </c>
      <c r="J99" s="525">
        <f t="shared" si="17"/>
        <v>0</v>
      </c>
      <c r="K99" s="610"/>
      <c r="L99" s="610"/>
      <c r="M99" s="610"/>
      <c r="N99" s="727" t="str">
        <f xml:space="preserve">
IF(表紙!$X$2="事前協議","－",
IF(表紙!$X$2="交付申請（２次）","－",
IF(表紙!$X$2="変更申請","－",
IF(AND(表紙!$X$2="実績報告（１次）",AH99="◎"),COUNTIF($AH$13:$AH99,"◎"),
IF(AND(表紙!$X$2="実績報告（１次）",OR(AH99="×",AH99="○")),"",
IF(表紙!$X$2="実績報告（２次）","－",
IF(表紙!$X$2="交付申請兼実績報告","－")))))))</f>
        <v>－</v>
      </c>
      <c r="O99" s="616" t="str">
        <f t="shared" si="10"/>
        <v/>
      </c>
      <c r="Q99" s="596" t="str">
        <f t="shared" si="11"/>
        <v/>
      </c>
      <c r="R99" s="600" t="str">
        <f t="shared" si="12"/>
        <v/>
      </c>
      <c r="S99" s="600" t="str">
        <f t="shared" si="13"/>
        <v/>
      </c>
      <c r="T99" s="600" t="str">
        <f t="shared" si="14"/>
        <v/>
      </c>
      <c r="AF99" s="505" t="s">
        <v>466</v>
      </c>
      <c r="AG99" s="527">
        <v>87</v>
      </c>
      <c r="AH99" s="598" t="str">
        <f t="shared" si="15"/>
        <v>○</v>
      </c>
      <c r="AI99" s="510" t="str">
        <f t="shared" si="16"/>
        <v>申請しない場合は入力不要です。</v>
      </c>
      <c r="AK99" s="528"/>
    </row>
    <row r="100" spans="1:37" ht="20.100000000000001" customHeight="1">
      <c r="A100" s="524">
        <v>88</v>
      </c>
      <c r="B100" s="122"/>
      <c r="C100" s="1945"/>
      <c r="D100" s="1946"/>
      <c r="E100" s="1947"/>
      <c r="F100" s="614"/>
      <c r="G100" s="7"/>
      <c r="H100" s="531"/>
      <c r="I100" s="513">
        <f t="shared" si="9"/>
        <v>0</v>
      </c>
      <c r="J100" s="525">
        <f t="shared" si="17"/>
        <v>0</v>
      </c>
      <c r="K100" s="610"/>
      <c r="L100" s="610"/>
      <c r="M100" s="610"/>
      <c r="N100" s="727" t="str">
        <f xml:space="preserve">
IF(表紙!$X$2="事前協議","－",
IF(表紙!$X$2="交付申請（２次）","－",
IF(表紙!$X$2="変更申請","－",
IF(AND(表紙!$X$2="実績報告（１次）",AH100="◎"),COUNTIF($AH$13:$AH100,"◎"),
IF(AND(表紙!$X$2="実績報告（１次）",OR(AH100="×",AH100="○")),"",
IF(表紙!$X$2="実績報告（２次）","－",
IF(表紙!$X$2="交付申請兼実績報告","－")))))))</f>
        <v>－</v>
      </c>
      <c r="O100" s="616" t="str">
        <f t="shared" si="10"/>
        <v/>
      </c>
      <c r="Q100" s="596" t="str">
        <f t="shared" si="11"/>
        <v/>
      </c>
      <c r="R100" s="600" t="str">
        <f t="shared" si="12"/>
        <v/>
      </c>
      <c r="S100" s="600" t="str">
        <f t="shared" si="13"/>
        <v/>
      </c>
      <c r="T100" s="600" t="str">
        <f t="shared" si="14"/>
        <v/>
      </c>
      <c r="AF100" s="505" t="s">
        <v>466</v>
      </c>
      <c r="AG100" s="527">
        <v>88</v>
      </c>
      <c r="AH100" s="598" t="str">
        <f t="shared" si="15"/>
        <v>○</v>
      </c>
      <c r="AI100" s="510" t="str">
        <f t="shared" si="16"/>
        <v>申請しない場合は入力不要です。</v>
      </c>
      <c r="AK100" s="528"/>
    </row>
    <row r="101" spans="1:37" ht="20.100000000000001" customHeight="1">
      <c r="A101" s="524">
        <v>89</v>
      </c>
      <c r="B101" s="122"/>
      <c r="C101" s="1945"/>
      <c r="D101" s="1946"/>
      <c r="E101" s="1947"/>
      <c r="F101" s="614"/>
      <c r="G101" s="7"/>
      <c r="H101" s="531"/>
      <c r="I101" s="513">
        <f t="shared" si="9"/>
        <v>0</v>
      </c>
      <c r="J101" s="525">
        <f t="shared" si="17"/>
        <v>0</v>
      </c>
      <c r="K101" s="610"/>
      <c r="L101" s="610"/>
      <c r="M101" s="610"/>
      <c r="N101" s="727" t="str">
        <f xml:space="preserve">
IF(表紙!$X$2="事前協議","－",
IF(表紙!$X$2="交付申請（２次）","－",
IF(表紙!$X$2="変更申請","－",
IF(AND(表紙!$X$2="実績報告（１次）",AH101="◎"),COUNTIF($AH$13:$AH101,"◎"),
IF(AND(表紙!$X$2="実績報告（１次）",OR(AH101="×",AH101="○")),"",
IF(表紙!$X$2="実績報告（２次）","－",
IF(表紙!$X$2="交付申請兼実績報告","－")))))))</f>
        <v>－</v>
      </c>
      <c r="O101" s="616" t="str">
        <f t="shared" si="10"/>
        <v/>
      </c>
      <c r="Q101" s="596" t="str">
        <f t="shared" si="11"/>
        <v/>
      </c>
      <c r="R101" s="600" t="str">
        <f t="shared" si="12"/>
        <v/>
      </c>
      <c r="S101" s="600" t="str">
        <f t="shared" si="13"/>
        <v/>
      </c>
      <c r="T101" s="600" t="str">
        <f t="shared" si="14"/>
        <v/>
      </c>
      <c r="AF101" s="505" t="s">
        <v>466</v>
      </c>
      <c r="AG101" s="527">
        <v>89</v>
      </c>
      <c r="AH101" s="598" t="str">
        <f t="shared" si="15"/>
        <v>○</v>
      </c>
      <c r="AI101" s="510" t="str">
        <f t="shared" si="16"/>
        <v>申請しない場合は入力不要です。</v>
      </c>
      <c r="AK101" s="528"/>
    </row>
    <row r="102" spans="1:37" ht="20.100000000000001" customHeight="1">
      <c r="A102" s="524">
        <v>90</v>
      </c>
      <c r="B102" s="122"/>
      <c r="C102" s="1945"/>
      <c r="D102" s="1946"/>
      <c r="E102" s="1947"/>
      <c r="F102" s="614"/>
      <c r="G102" s="7"/>
      <c r="H102" s="531"/>
      <c r="I102" s="513">
        <f t="shared" si="9"/>
        <v>0</v>
      </c>
      <c r="J102" s="525">
        <f t="shared" si="17"/>
        <v>0</v>
      </c>
      <c r="K102" s="610"/>
      <c r="L102" s="610"/>
      <c r="M102" s="610"/>
      <c r="N102" s="727" t="str">
        <f xml:space="preserve">
IF(表紙!$X$2="事前協議","－",
IF(表紙!$X$2="交付申請（２次）","－",
IF(表紙!$X$2="変更申請","－",
IF(AND(表紙!$X$2="実績報告（１次）",AH102="◎"),COUNTIF($AH$13:$AH102,"◎"),
IF(AND(表紙!$X$2="実績報告（１次）",OR(AH102="×",AH102="○")),"",
IF(表紙!$X$2="実績報告（２次）","－",
IF(表紙!$X$2="交付申請兼実績報告","－")))))))</f>
        <v>－</v>
      </c>
      <c r="O102" s="616" t="str">
        <f t="shared" si="10"/>
        <v/>
      </c>
      <c r="Q102" s="596" t="str">
        <f t="shared" si="11"/>
        <v/>
      </c>
      <c r="R102" s="600" t="str">
        <f t="shared" si="12"/>
        <v/>
      </c>
      <c r="S102" s="600" t="str">
        <f t="shared" si="13"/>
        <v/>
      </c>
      <c r="T102" s="600" t="str">
        <f t="shared" si="14"/>
        <v/>
      </c>
      <c r="AF102" s="505" t="s">
        <v>466</v>
      </c>
      <c r="AG102" s="527">
        <v>90</v>
      </c>
      <c r="AH102" s="598" t="str">
        <f t="shared" si="15"/>
        <v>○</v>
      </c>
      <c r="AI102" s="510" t="str">
        <f t="shared" si="16"/>
        <v>申請しない場合は入力不要です。</v>
      </c>
      <c r="AK102" s="528"/>
    </row>
    <row r="103" spans="1:37" ht="20.100000000000001" customHeight="1">
      <c r="A103" s="524">
        <v>91</v>
      </c>
      <c r="B103" s="122"/>
      <c r="C103" s="1945"/>
      <c r="D103" s="1946"/>
      <c r="E103" s="1947"/>
      <c r="F103" s="614"/>
      <c r="G103" s="7"/>
      <c r="H103" s="531"/>
      <c r="I103" s="513">
        <f t="shared" si="9"/>
        <v>0</v>
      </c>
      <c r="J103" s="525">
        <f t="shared" si="17"/>
        <v>0</v>
      </c>
      <c r="K103" s="610"/>
      <c r="L103" s="610"/>
      <c r="M103" s="610"/>
      <c r="N103" s="727" t="str">
        <f xml:space="preserve">
IF(表紙!$X$2="事前協議","－",
IF(表紙!$X$2="交付申請（２次）","－",
IF(表紙!$X$2="変更申請","－",
IF(AND(表紙!$X$2="実績報告（１次）",AH103="◎"),COUNTIF($AH$13:$AH103,"◎"),
IF(AND(表紙!$X$2="実績報告（１次）",OR(AH103="×",AH103="○")),"",
IF(表紙!$X$2="実績報告（２次）","－",
IF(表紙!$X$2="交付申請兼実績報告","－")))))))</f>
        <v>－</v>
      </c>
      <c r="O103" s="616" t="str">
        <f t="shared" si="10"/>
        <v/>
      </c>
      <c r="Q103" s="596" t="str">
        <f t="shared" si="11"/>
        <v/>
      </c>
      <c r="R103" s="600" t="str">
        <f t="shared" si="12"/>
        <v/>
      </c>
      <c r="S103" s="600" t="str">
        <f t="shared" si="13"/>
        <v/>
      </c>
      <c r="T103" s="600" t="str">
        <f t="shared" si="14"/>
        <v/>
      </c>
      <c r="AF103" s="505" t="s">
        <v>466</v>
      </c>
      <c r="AG103" s="527">
        <v>91</v>
      </c>
      <c r="AH103" s="598" t="str">
        <f t="shared" si="15"/>
        <v>○</v>
      </c>
      <c r="AI103" s="510" t="str">
        <f t="shared" si="16"/>
        <v>申請しない場合は入力不要です。</v>
      </c>
      <c r="AK103" s="528"/>
    </row>
    <row r="104" spans="1:37" ht="20.100000000000001" customHeight="1">
      <c r="A104" s="524">
        <v>92</v>
      </c>
      <c r="B104" s="122"/>
      <c r="C104" s="1945"/>
      <c r="D104" s="1946"/>
      <c r="E104" s="1947"/>
      <c r="F104" s="614"/>
      <c r="G104" s="7"/>
      <c r="H104" s="531"/>
      <c r="I104" s="513">
        <f t="shared" si="9"/>
        <v>0</v>
      </c>
      <c r="J104" s="525">
        <f t="shared" si="17"/>
        <v>0</v>
      </c>
      <c r="K104" s="610"/>
      <c r="L104" s="610"/>
      <c r="M104" s="610"/>
      <c r="N104" s="727" t="str">
        <f xml:space="preserve">
IF(表紙!$X$2="事前協議","－",
IF(表紙!$X$2="交付申請（２次）","－",
IF(表紙!$X$2="変更申請","－",
IF(AND(表紙!$X$2="実績報告（１次）",AH104="◎"),COUNTIF($AH$13:$AH104,"◎"),
IF(AND(表紙!$X$2="実績報告（１次）",OR(AH104="×",AH104="○")),"",
IF(表紙!$X$2="実績報告（２次）","－",
IF(表紙!$X$2="交付申請兼実績報告","－")))))))</f>
        <v>－</v>
      </c>
      <c r="O104" s="616" t="str">
        <f t="shared" si="10"/>
        <v/>
      </c>
      <c r="Q104" s="596" t="str">
        <f t="shared" si="11"/>
        <v/>
      </c>
      <c r="R104" s="600" t="str">
        <f t="shared" si="12"/>
        <v/>
      </c>
      <c r="S104" s="600" t="str">
        <f t="shared" si="13"/>
        <v/>
      </c>
      <c r="T104" s="600" t="str">
        <f t="shared" si="14"/>
        <v/>
      </c>
      <c r="AF104" s="505" t="s">
        <v>466</v>
      </c>
      <c r="AG104" s="527">
        <v>92</v>
      </c>
      <c r="AH104" s="598" t="str">
        <f t="shared" si="15"/>
        <v>○</v>
      </c>
      <c r="AI104" s="510" t="str">
        <f t="shared" si="16"/>
        <v>申請しない場合は入力不要です。</v>
      </c>
      <c r="AK104" s="528"/>
    </row>
    <row r="105" spans="1:37" ht="20.100000000000001" customHeight="1">
      <c r="A105" s="524">
        <v>93</v>
      </c>
      <c r="B105" s="122"/>
      <c r="C105" s="1945"/>
      <c r="D105" s="1946"/>
      <c r="E105" s="1947"/>
      <c r="F105" s="614"/>
      <c r="G105" s="7"/>
      <c r="H105" s="531"/>
      <c r="I105" s="513">
        <f t="shared" si="9"/>
        <v>0</v>
      </c>
      <c r="J105" s="525">
        <f t="shared" si="17"/>
        <v>0</v>
      </c>
      <c r="K105" s="610"/>
      <c r="L105" s="610"/>
      <c r="M105" s="610"/>
      <c r="N105" s="727" t="str">
        <f xml:space="preserve">
IF(表紙!$X$2="事前協議","－",
IF(表紙!$X$2="交付申請（２次）","－",
IF(表紙!$X$2="変更申請","－",
IF(AND(表紙!$X$2="実績報告（１次）",AH105="◎"),COUNTIF($AH$13:$AH105,"◎"),
IF(AND(表紙!$X$2="実績報告（１次）",OR(AH105="×",AH105="○")),"",
IF(表紙!$X$2="実績報告（２次）","－",
IF(表紙!$X$2="交付申請兼実績報告","－")))))))</f>
        <v>－</v>
      </c>
      <c r="O105" s="616" t="str">
        <f t="shared" si="10"/>
        <v/>
      </c>
      <c r="Q105" s="596" t="str">
        <f t="shared" si="11"/>
        <v/>
      </c>
      <c r="R105" s="600" t="str">
        <f t="shared" si="12"/>
        <v/>
      </c>
      <c r="S105" s="600" t="str">
        <f t="shared" si="13"/>
        <v/>
      </c>
      <c r="T105" s="600" t="str">
        <f t="shared" si="14"/>
        <v/>
      </c>
      <c r="AF105" s="505" t="s">
        <v>466</v>
      </c>
      <c r="AG105" s="527">
        <v>93</v>
      </c>
      <c r="AH105" s="598" t="str">
        <f t="shared" si="15"/>
        <v>○</v>
      </c>
      <c r="AI105" s="510" t="str">
        <f t="shared" si="16"/>
        <v>申請しない場合は入力不要です。</v>
      </c>
      <c r="AK105" s="528"/>
    </row>
    <row r="106" spans="1:37" ht="20.100000000000001" customHeight="1">
      <c r="A106" s="524">
        <v>94</v>
      </c>
      <c r="B106" s="122"/>
      <c r="C106" s="1945"/>
      <c r="D106" s="1946"/>
      <c r="E106" s="1947"/>
      <c r="F106" s="614"/>
      <c r="G106" s="7"/>
      <c r="H106" s="531"/>
      <c r="I106" s="513">
        <f t="shared" si="9"/>
        <v>0</v>
      </c>
      <c r="J106" s="525">
        <f t="shared" si="17"/>
        <v>0</v>
      </c>
      <c r="K106" s="610"/>
      <c r="L106" s="610"/>
      <c r="M106" s="610"/>
      <c r="N106" s="727" t="str">
        <f xml:space="preserve">
IF(表紙!$X$2="事前協議","－",
IF(表紙!$X$2="交付申請（２次）","－",
IF(表紙!$X$2="変更申請","－",
IF(AND(表紙!$X$2="実績報告（１次）",AH106="◎"),COUNTIF($AH$13:$AH106,"◎"),
IF(AND(表紙!$X$2="実績報告（１次）",OR(AH106="×",AH106="○")),"",
IF(表紙!$X$2="実績報告（２次）","－",
IF(表紙!$X$2="交付申請兼実績報告","－")))))))</f>
        <v>－</v>
      </c>
      <c r="O106" s="616" t="str">
        <f t="shared" si="10"/>
        <v/>
      </c>
      <c r="Q106" s="596" t="str">
        <f t="shared" si="11"/>
        <v/>
      </c>
      <c r="R106" s="600" t="str">
        <f t="shared" si="12"/>
        <v/>
      </c>
      <c r="S106" s="600" t="str">
        <f t="shared" si="13"/>
        <v/>
      </c>
      <c r="T106" s="600" t="str">
        <f t="shared" si="14"/>
        <v/>
      </c>
      <c r="AF106" s="505" t="s">
        <v>466</v>
      </c>
      <c r="AG106" s="527">
        <v>94</v>
      </c>
      <c r="AH106" s="598" t="str">
        <f t="shared" si="15"/>
        <v>○</v>
      </c>
      <c r="AI106" s="510" t="str">
        <f t="shared" si="16"/>
        <v>申請しない場合は入力不要です。</v>
      </c>
      <c r="AK106" s="528"/>
    </row>
    <row r="107" spans="1:37" ht="20.100000000000001" customHeight="1">
      <c r="A107" s="524">
        <v>95</v>
      </c>
      <c r="B107" s="122"/>
      <c r="C107" s="1945"/>
      <c r="D107" s="1946"/>
      <c r="E107" s="1947"/>
      <c r="F107" s="614"/>
      <c r="G107" s="7"/>
      <c r="H107" s="531"/>
      <c r="I107" s="513">
        <f t="shared" si="9"/>
        <v>0</v>
      </c>
      <c r="J107" s="525">
        <f t="shared" si="17"/>
        <v>0</v>
      </c>
      <c r="K107" s="610"/>
      <c r="L107" s="610"/>
      <c r="M107" s="610"/>
      <c r="N107" s="727" t="str">
        <f xml:space="preserve">
IF(表紙!$X$2="事前協議","－",
IF(表紙!$X$2="交付申請（２次）","－",
IF(表紙!$X$2="変更申請","－",
IF(AND(表紙!$X$2="実績報告（１次）",AH107="◎"),COUNTIF($AH$13:$AH107,"◎"),
IF(AND(表紙!$X$2="実績報告（１次）",OR(AH107="×",AH107="○")),"",
IF(表紙!$X$2="実績報告（２次）","－",
IF(表紙!$X$2="交付申請兼実績報告","－")))))))</f>
        <v>－</v>
      </c>
      <c r="O107" s="616" t="str">
        <f t="shared" si="10"/>
        <v/>
      </c>
      <c r="Q107" s="596" t="str">
        <f t="shared" si="11"/>
        <v/>
      </c>
      <c r="R107" s="600" t="str">
        <f t="shared" si="12"/>
        <v/>
      </c>
      <c r="S107" s="600" t="str">
        <f t="shared" si="13"/>
        <v/>
      </c>
      <c r="T107" s="600" t="str">
        <f t="shared" si="14"/>
        <v/>
      </c>
      <c r="AF107" s="505" t="s">
        <v>466</v>
      </c>
      <c r="AG107" s="527">
        <v>95</v>
      </c>
      <c r="AH107" s="598" t="str">
        <f t="shared" si="15"/>
        <v>○</v>
      </c>
      <c r="AI107" s="510" t="str">
        <f t="shared" si="16"/>
        <v>申請しない場合は入力不要です。</v>
      </c>
      <c r="AK107" s="528"/>
    </row>
    <row r="108" spans="1:37" ht="20.100000000000001" customHeight="1">
      <c r="A108" s="524">
        <v>96</v>
      </c>
      <c r="B108" s="122"/>
      <c r="C108" s="1945"/>
      <c r="D108" s="1946"/>
      <c r="E108" s="1947"/>
      <c r="F108" s="614"/>
      <c r="G108" s="7"/>
      <c r="H108" s="531"/>
      <c r="I108" s="513">
        <f t="shared" si="9"/>
        <v>0</v>
      </c>
      <c r="J108" s="525">
        <f t="shared" si="17"/>
        <v>0</v>
      </c>
      <c r="K108" s="610"/>
      <c r="L108" s="610"/>
      <c r="M108" s="610"/>
      <c r="N108" s="727" t="str">
        <f xml:space="preserve">
IF(表紙!$X$2="事前協議","－",
IF(表紙!$X$2="交付申請（２次）","－",
IF(表紙!$X$2="変更申請","－",
IF(AND(表紙!$X$2="実績報告（１次）",AH108="◎"),COUNTIF($AH$13:$AH108,"◎"),
IF(AND(表紙!$X$2="実績報告（１次）",OR(AH108="×",AH108="○")),"",
IF(表紙!$X$2="実績報告（２次）","－",
IF(表紙!$X$2="交付申請兼実績報告","－")))))))</f>
        <v>－</v>
      </c>
      <c r="O108" s="616" t="str">
        <f t="shared" si="10"/>
        <v/>
      </c>
      <c r="Q108" s="596" t="str">
        <f t="shared" si="11"/>
        <v/>
      </c>
      <c r="R108" s="600" t="str">
        <f t="shared" si="12"/>
        <v/>
      </c>
      <c r="S108" s="600" t="str">
        <f t="shared" si="13"/>
        <v/>
      </c>
      <c r="T108" s="600" t="str">
        <f t="shared" si="14"/>
        <v/>
      </c>
      <c r="AF108" s="505" t="s">
        <v>466</v>
      </c>
      <c r="AG108" s="527">
        <v>96</v>
      </c>
      <c r="AH108" s="598" t="str">
        <f t="shared" si="15"/>
        <v>○</v>
      </c>
      <c r="AI108" s="510" t="str">
        <f t="shared" si="16"/>
        <v>申請しない場合は入力不要です。</v>
      </c>
      <c r="AK108" s="528"/>
    </row>
    <row r="109" spans="1:37" ht="20.100000000000001" customHeight="1">
      <c r="A109" s="524">
        <v>97</v>
      </c>
      <c r="B109" s="122"/>
      <c r="C109" s="1945"/>
      <c r="D109" s="1946"/>
      <c r="E109" s="1947"/>
      <c r="F109" s="614"/>
      <c r="G109" s="7"/>
      <c r="H109" s="531"/>
      <c r="I109" s="513">
        <f t="shared" si="9"/>
        <v>0</v>
      </c>
      <c r="J109" s="525">
        <f t="shared" si="17"/>
        <v>0</v>
      </c>
      <c r="K109" s="610"/>
      <c r="L109" s="610"/>
      <c r="M109" s="610"/>
      <c r="N109" s="727" t="str">
        <f xml:space="preserve">
IF(表紙!$X$2="事前協議","－",
IF(表紙!$X$2="交付申請（２次）","－",
IF(表紙!$X$2="変更申請","－",
IF(AND(表紙!$X$2="実績報告（１次）",AH109="◎"),COUNTIF($AH$13:$AH109,"◎"),
IF(AND(表紙!$X$2="実績報告（１次）",OR(AH109="×",AH109="○")),"",
IF(表紙!$X$2="実績報告（２次）","－",
IF(表紙!$X$2="交付申請兼実績報告","－")))))))</f>
        <v>－</v>
      </c>
      <c r="O109" s="616" t="str">
        <f t="shared" si="10"/>
        <v/>
      </c>
      <c r="Q109" s="596" t="str">
        <f t="shared" si="11"/>
        <v/>
      </c>
      <c r="R109" s="600" t="str">
        <f t="shared" si="12"/>
        <v/>
      </c>
      <c r="S109" s="600" t="str">
        <f t="shared" si="13"/>
        <v/>
      </c>
      <c r="T109" s="600" t="str">
        <f t="shared" si="14"/>
        <v/>
      </c>
      <c r="AF109" s="505" t="s">
        <v>466</v>
      </c>
      <c r="AG109" s="527">
        <v>97</v>
      </c>
      <c r="AH109" s="598" t="str">
        <f t="shared" si="15"/>
        <v>○</v>
      </c>
      <c r="AI109" s="510" t="str">
        <f t="shared" si="16"/>
        <v>申請しない場合は入力不要です。</v>
      </c>
      <c r="AK109" s="528"/>
    </row>
    <row r="110" spans="1:37" ht="20.100000000000001" customHeight="1">
      <c r="A110" s="524">
        <v>98</v>
      </c>
      <c r="B110" s="122"/>
      <c r="C110" s="1945"/>
      <c r="D110" s="1946"/>
      <c r="E110" s="1947"/>
      <c r="F110" s="614"/>
      <c r="G110" s="7"/>
      <c r="H110" s="531"/>
      <c r="I110" s="513">
        <f t="shared" si="9"/>
        <v>0</v>
      </c>
      <c r="J110" s="525">
        <f t="shared" si="17"/>
        <v>0</v>
      </c>
      <c r="K110" s="610"/>
      <c r="L110" s="610"/>
      <c r="M110" s="610"/>
      <c r="N110" s="727" t="str">
        <f xml:space="preserve">
IF(表紙!$X$2="事前協議","－",
IF(表紙!$X$2="交付申請（２次）","－",
IF(表紙!$X$2="変更申請","－",
IF(AND(表紙!$X$2="実績報告（１次）",AH110="◎"),COUNTIF($AH$13:$AH110,"◎"),
IF(AND(表紙!$X$2="実績報告（１次）",OR(AH110="×",AH110="○")),"",
IF(表紙!$X$2="実績報告（２次）","－",
IF(表紙!$X$2="交付申請兼実績報告","－")))))))</f>
        <v>－</v>
      </c>
      <c r="O110" s="616" t="str">
        <f t="shared" si="10"/>
        <v/>
      </c>
      <c r="Q110" s="596" t="str">
        <f t="shared" si="11"/>
        <v/>
      </c>
      <c r="R110" s="600" t="str">
        <f t="shared" si="12"/>
        <v/>
      </c>
      <c r="S110" s="600" t="str">
        <f t="shared" si="13"/>
        <v/>
      </c>
      <c r="T110" s="600" t="str">
        <f t="shared" si="14"/>
        <v/>
      </c>
      <c r="AF110" s="505" t="s">
        <v>466</v>
      </c>
      <c r="AG110" s="527">
        <v>98</v>
      </c>
      <c r="AH110" s="598" t="str">
        <f t="shared" si="15"/>
        <v>○</v>
      </c>
      <c r="AI110" s="510" t="str">
        <f t="shared" si="16"/>
        <v>申請しない場合は入力不要です。</v>
      </c>
      <c r="AK110" s="528"/>
    </row>
    <row r="111" spans="1:37" ht="20.100000000000001" customHeight="1">
      <c r="A111" s="524">
        <v>99</v>
      </c>
      <c r="B111" s="122"/>
      <c r="C111" s="1945"/>
      <c r="D111" s="1946"/>
      <c r="E111" s="1947"/>
      <c r="F111" s="614"/>
      <c r="G111" s="7"/>
      <c r="H111" s="531"/>
      <c r="I111" s="513">
        <f t="shared" si="9"/>
        <v>0</v>
      </c>
      <c r="J111" s="525">
        <f t="shared" si="17"/>
        <v>0</v>
      </c>
      <c r="K111" s="610"/>
      <c r="L111" s="610"/>
      <c r="M111" s="610"/>
      <c r="N111" s="727" t="str">
        <f xml:space="preserve">
IF(表紙!$X$2="事前協議","－",
IF(表紙!$X$2="交付申請（２次）","－",
IF(表紙!$X$2="変更申請","－",
IF(AND(表紙!$X$2="実績報告（１次）",AH111="◎"),COUNTIF($AH$13:$AH111,"◎"),
IF(AND(表紙!$X$2="実績報告（１次）",OR(AH111="×",AH111="○")),"",
IF(表紙!$X$2="実績報告（２次）","－",
IF(表紙!$X$2="交付申請兼実績報告","－")))))))</f>
        <v>－</v>
      </c>
      <c r="O111" s="616" t="str">
        <f t="shared" si="10"/>
        <v/>
      </c>
      <c r="Q111" s="596" t="str">
        <f t="shared" si="11"/>
        <v/>
      </c>
      <c r="R111" s="600" t="str">
        <f t="shared" si="12"/>
        <v/>
      </c>
      <c r="S111" s="600" t="str">
        <f t="shared" si="13"/>
        <v/>
      </c>
      <c r="T111" s="600" t="str">
        <f t="shared" si="14"/>
        <v/>
      </c>
      <c r="AF111" s="505" t="s">
        <v>466</v>
      </c>
      <c r="AG111" s="527">
        <v>99</v>
      </c>
      <c r="AH111" s="598" t="str">
        <f t="shared" si="15"/>
        <v>○</v>
      </c>
      <c r="AI111" s="510" t="str">
        <f t="shared" si="16"/>
        <v>申請しない場合は入力不要です。</v>
      </c>
      <c r="AK111" s="528"/>
    </row>
    <row r="112" spans="1:37" ht="20.100000000000001" customHeight="1">
      <c r="A112" s="524">
        <v>100</v>
      </c>
      <c r="B112" s="122"/>
      <c r="C112" s="1945"/>
      <c r="D112" s="1946"/>
      <c r="E112" s="1947"/>
      <c r="F112" s="614"/>
      <c r="G112" s="7"/>
      <c r="H112" s="531"/>
      <c r="I112" s="513">
        <f t="shared" si="9"/>
        <v>0</v>
      </c>
      <c r="J112" s="525">
        <f t="shared" si="17"/>
        <v>0</v>
      </c>
      <c r="K112" s="610"/>
      <c r="L112" s="610"/>
      <c r="M112" s="610"/>
      <c r="N112" s="727" t="str">
        <f xml:space="preserve">
IF(表紙!$X$2="事前協議","－",
IF(表紙!$X$2="交付申請（２次）","－",
IF(表紙!$X$2="変更申請","－",
IF(AND(表紙!$X$2="実績報告（１次）",AH112="◎"),COUNTIF($AH$13:$AH112,"◎"),
IF(AND(表紙!$X$2="実績報告（１次）",OR(AH112="×",AH112="○")),"",
IF(表紙!$X$2="実績報告（２次）","－",
IF(表紙!$X$2="交付申請兼実績報告","－")))))))</f>
        <v>－</v>
      </c>
      <c r="O112" s="616" t="str">
        <f t="shared" si="10"/>
        <v/>
      </c>
      <c r="Q112" s="596" t="str">
        <f>IF(AH112="◎",DATE(IF(K112=5,2023,IF(K112=6,2024)),L112,M112),"")</f>
        <v/>
      </c>
      <c r="R112" s="600" t="str">
        <f t="shared" si="12"/>
        <v/>
      </c>
      <c r="S112" s="600" t="str">
        <f t="shared" si="13"/>
        <v/>
      </c>
      <c r="T112" s="600" t="str">
        <f t="shared" si="14"/>
        <v/>
      </c>
      <c r="AF112" s="505" t="s">
        <v>466</v>
      </c>
      <c r="AG112" s="527">
        <v>100</v>
      </c>
      <c r="AH112" s="598" t="str">
        <f t="shared" si="15"/>
        <v>○</v>
      </c>
      <c r="AI112" s="510" t="str">
        <f t="shared" si="16"/>
        <v>申請しない場合は入力不要です。</v>
      </c>
      <c r="AK112" s="528"/>
    </row>
    <row r="117" spans="41:50" ht="30" customHeight="1">
      <c r="AO117" s="508" t="s">
        <v>467</v>
      </c>
      <c r="AP117" s="508" t="s">
        <v>98</v>
      </c>
      <c r="AQ117" s="508" t="s">
        <v>97</v>
      </c>
      <c r="AR117" s="508" t="s">
        <v>61</v>
      </c>
      <c r="AS117" s="1948" t="s">
        <v>468</v>
      </c>
      <c r="AT117" s="1949"/>
      <c r="AU117" s="1949"/>
      <c r="AV117" s="1949"/>
      <c r="AW117" s="1949"/>
      <c r="AX117" s="1949"/>
    </row>
    <row r="118" spans="41:50" ht="30" customHeight="1">
      <c r="AO118" s="529" t="s">
        <v>1180</v>
      </c>
      <c r="AP118" s="530" t="str">
        <f>IF(基礎情報!AZ77="○","◎","×")</f>
        <v>×</v>
      </c>
      <c r="AQ118" s="1950" t="str">
        <f xml:space="preserve">
IF(AND(AP118="×",AP119="×"),"×",
IF(AND(AP118="×",AP119="○"),"×",
IF(AND(AP118="×",AP119="◎"),"×",
IF(AND(AP118="◎",AP119="×"),"×",
IF(AND(AP118="◎",AP119="○"),"○",
IF(AND(AP118="◎",AP119="◎"),"◎",
))))))</f>
        <v>×</v>
      </c>
      <c r="AR118" s="1952" t="str">
        <f xml:space="preserve">
IF(AND(AP118="×",AP119="×"),"【要修正】基礎情報シート及び本シートが入力不十分です。",
IF(AND(AP118="×",AP119="○"),"【要修正】基礎情報シートが入力不十分です。",
IF(AND(AP118="×",AP119="◎"),"【要修正】基礎情報シートが入力不十分です。",
IF(AND(AP118="◎",AP119="×"),"【要修正】本シートが入力不十分です。",
IF(AND(AP118="◎",AP119="○"),"申請しない場合は入力不要です。",
IF(AND(AP118="◎",AP119="◎"),"適切に入力がされました。",
))))))</f>
        <v>【要修正】基礎情報シートが入力不十分です。</v>
      </c>
      <c r="AS118" s="1948"/>
      <c r="AT118" s="1949"/>
      <c r="AU118" s="1949"/>
      <c r="AV118" s="1949"/>
      <c r="AW118" s="1949"/>
      <c r="AX118" s="1949"/>
    </row>
    <row r="119" spans="41:50" ht="30" customHeight="1">
      <c r="AO119" s="510" t="s">
        <v>1110</v>
      </c>
      <c r="AP119" s="530" t="str">
        <f>IF(COUNTIF(AH13:AH112,"×")&gt;=1,"×",IF(COUNTIF(AH13:AH112,"○")=100,"○","◎"))</f>
        <v>○</v>
      </c>
      <c r="AQ119" s="1951"/>
      <c r="AR119" s="1953"/>
      <c r="AS119" s="1948"/>
      <c r="AT119" s="1949"/>
      <c r="AU119" s="1949"/>
      <c r="AV119" s="1949"/>
      <c r="AW119" s="1949"/>
      <c r="AX119" s="1949"/>
    </row>
    <row r="120" spans="41:50" ht="30" customHeight="1">
      <c r="AO120" s="504" t="s">
        <v>470</v>
      </c>
      <c r="AP120" s="370"/>
      <c r="AQ120" s="370"/>
    </row>
  </sheetData>
  <sheetProtection insertRows="0"/>
  <mergeCells count="119">
    <mergeCell ref="A10:P10"/>
    <mergeCell ref="N1:P1"/>
    <mergeCell ref="N2:O2"/>
    <mergeCell ref="A5:O5"/>
    <mergeCell ref="E6:H6"/>
    <mergeCell ref="G7:H7"/>
    <mergeCell ref="I7:O8"/>
    <mergeCell ref="G8:H8"/>
    <mergeCell ref="A4:P4"/>
    <mergeCell ref="B3:O3"/>
    <mergeCell ref="K2:M2"/>
    <mergeCell ref="E7:F7"/>
    <mergeCell ref="E8:F8"/>
    <mergeCell ref="C17:E17"/>
    <mergeCell ref="C18:E18"/>
    <mergeCell ref="C19:E19"/>
    <mergeCell ref="C20:E20"/>
    <mergeCell ref="C21:E21"/>
    <mergeCell ref="A11:O11"/>
    <mergeCell ref="C12:E12"/>
    <mergeCell ref="C13:E13"/>
    <mergeCell ref="C14:E14"/>
    <mergeCell ref="C15:E15"/>
    <mergeCell ref="C16:E16"/>
    <mergeCell ref="K12:M12"/>
    <mergeCell ref="C28:E28"/>
    <mergeCell ref="C29:E29"/>
    <mergeCell ref="C30:E30"/>
    <mergeCell ref="C31:E31"/>
    <mergeCell ref="C32:E32"/>
    <mergeCell ref="C33:E33"/>
    <mergeCell ref="C22:E22"/>
    <mergeCell ref="C23:E23"/>
    <mergeCell ref="C24:E24"/>
    <mergeCell ref="C25:E25"/>
    <mergeCell ref="C26:E26"/>
    <mergeCell ref="C27:E27"/>
    <mergeCell ref="C40:E40"/>
    <mergeCell ref="C41:E41"/>
    <mergeCell ref="C42:E42"/>
    <mergeCell ref="C43:E43"/>
    <mergeCell ref="C44:E44"/>
    <mergeCell ref="C45:E45"/>
    <mergeCell ref="C34:E34"/>
    <mergeCell ref="C35:E35"/>
    <mergeCell ref="C36:E36"/>
    <mergeCell ref="C37:E37"/>
    <mergeCell ref="C38:E38"/>
    <mergeCell ref="C39:E39"/>
    <mergeCell ref="C52:E52"/>
    <mergeCell ref="C53:E53"/>
    <mergeCell ref="C54:E54"/>
    <mergeCell ref="C55:E55"/>
    <mergeCell ref="C56:E56"/>
    <mergeCell ref="C57:E57"/>
    <mergeCell ref="C46:E46"/>
    <mergeCell ref="C47:E47"/>
    <mergeCell ref="C48:E48"/>
    <mergeCell ref="C49:E49"/>
    <mergeCell ref="C50:E50"/>
    <mergeCell ref="C51:E51"/>
    <mergeCell ref="C64:E64"/>
    <mergeCell ref="C65:E65"/>
    <mergeCell ref="C66:E66"/>
    <mergeCell ref="C67:E67"/>
    <mergeCell ref="C68:E68"/>
    <mergeCell ref="C69:E69"/>
    <mergeCell ref="C58:E58"/>
    <mergeCell ref="C59:E59"/>
    <mergeCell ref="C60:E60"/>
    <mergeCell ref="C61:E61"/>
    <mergeCell ref="C62:E62"/>
    <mergeCell ref="C63:E63"/>
    <mergeCell ref="C76:E76"/>
    <mergeCell ref="C77:E77"/>
    <mergeCell ref="C78:E78"/>
    <mergeCell ref="C79:E79"/>
    <mergeCell ref="C80:E80"/>
    <mergeCell ref="C81:E81"/>
    <mergeCell ref="C70:E70"/>
    <mergeCell ref="C71:E71"/>
    <mergeCell ref="C72:E72"/>
    <mergeCell ref="C73:E73"/>
    <mergeCell ref="C74:E74"/>
    <mergeCell ref="C75:E75"/>
    <mergeCell ref="C88:E88"/>
    <mergeCell ref="C89:E89"/>
    <mergeCell ref="C90:E90"/>
    <mergeCell ref="C91:E91"/>
    <mergeCell ref="C92:E92"/>
    <mergeCell ref="C93:E93"/>
    <mergeCell ref="C82:E82"/>
    <mergeCell ref="C83:E83"/>
    <mergeCell ref="C84:E84"/>
    <mergeCell ref="C85:E85"/>
    <mergeCell ref="C86:E86"/>
    <mergeCell ref="C87:E87"/>
    <mergeCell ref="C100:E100"/>
    <mergeCell ref="C101:E101"/>
    <mergeCell ref="C102:E102"/>
    <mergeCell ref="C103:E103"/>
    <mergeCell ref="C104:E104"/>
    <mergeCell ref="C105:E105"/>
    <mergeCell ref="C94:E94"/>
    <mergeCell ref="C95:E95"/>
    <mergeCell ref="C96:E96"/>
    <mergeCell ref="C97:E97"/>
    <mergeCell ref="C98:E98"/>
    <mergeCell ref="C99:E99"/>
    <mergeCell ref="C112:E112"/>
    <mergeCell ref="AS117:AX119"/>
    <mergeCell ref="AQ118:AQ119"/>
    <mergeCell ref="AR118:AR119"/>
    <mergeCell ref="C106:E106"/>
    <mergeCell ref="C107:E107"/>
    <mergeCell ref="C108:E108"/>
    <mergeCell ref="C109:E109"/>
    <mergeCell ref="C110:E110"/>
    <mergeCell ref="C111:E111"/>
  </mergeCells>
  <phoneticPr fontId="9"/>
  <conditionalFormatting sqref="AJ7">
    <cfRule type="containsText" dxfId="105" priority="10" operator="containsText" text="（補助対象員数）">
      <formula>NOT(ISERROR(SEARCH("（補助対象員数）",AJ7)))</formula>
    </cfRule>
  </conditionalFormatting>
  <conditionalFormatting sqref="AI13:AI112">
    <cfRule type="containsText" dxfId="104" priority="9" operator="containsText" text="【不備の点】">
      <formula>NOT(ISERROR(SEARCH("【不備の点】",AI13)))</formula>
    </cfRule>
  </conditionalFormatting>
  <conditionalFormatting sqref="AH13:AH112">
    <cfRule type="containsText" dxfId="103" priority="8" operator="containsText" text="×">
      <formula>NOT(ISERROR(SEARCH("×",AH13)))</formula>
    </cfRule>
  </conditionalFormatting>
  <conditionalFormatting sqref="AJ7:AM12">
    <cfRule type="containsText" dxfId="102" priority="7" operator="containsText" text="【未入力有】">
      <formula>NOT(ISERROR(SEARCH("【未入力有】",AJ7)))</formula>
    </cfRule>
  </conditionalFormatting>
  <conditionalFormatting sqref="AP118:AQ119">
    <cfRule type="containsText" dxfId="101" priority="6" operator="containsText" text="×">
      <formula>NOT(ISERROR(SEARCH("×",AP118)))</formula>
    </cfRule>
  </conditionalFormatting>
  <conditionalFormatting sqref="AR118:AR119">
    <cfRule type="containsText" dxfId="100" priority="5" operator="containsText" text="要修正">
      <formula>NOT(ISERROR(SEARCH("要修正",AR118)))</formula>
    </cfRule>
  </conditionalFormatting>
  <conditionalFormatting sqref="N2:O2">
    <cfRule type="containsText" dxfId="99" priority="4" operator="containsText" text="要修正">
      <formula>NOT(ISERROR(SEARCH("要修正",N2)))</formula>
    </cfRule>
  </conditionalFormatting>
  <conditionalFormatting sqref="C6:C7">
    <cfRule type="containsText" dxfId="98" priority="3" operator="containsText" text="要修正">
      <formula>NOT(ISERROR(SEARCH("要修正",C6)))</formula>
    </cfRule>
  </conditionalFormatting>
  <conditionalFormatting sqref="C8">
    <cfRule type="containsText" dxfId="97" priority="2" operator="containsText" text="表示不可">
      <formula>NOT(ISERROR(SEARCH("表示不可",C8)))</formula>
    </cfRule>
  </conditionalFormatting>
  <conditionalFormatting sqref="B3">
    <cfRule type="containsText" dxfId="96" priority="1" operator="containsText" text="注意">
      <formula>NOT(ISERROR(SEARCH("注意",B3)))</formula>
    </cfRule>
  </conditionalFormatting>
  <dataValidations xWindow="858" yWindow="876" count="6">
    <dataValidation allowBlank="1" showInputMessage="1" showErrorMessage="1" promptTitle="金額の表示" prompt="数式が入力されているため、自動計算されます。" sqref="I13:J112" xr:uid="{E8DF5F8A-30B5-484D-81E2-3C42849B19DC}"/>
    <dataValidation allowBlank="1" showInputMessage="1" showErrorMessage="1" promptTitle="添付書類番号" prompt="種類、規格、数量、単価が全て適切に入力され、右の「判定」が「◎」と表示されると自動で番号が表示されます。" sqref="N13:O112" xr:uid="{6F58ECA0-1BA3-4B99-9D9E-BC2A5598F2E5}"/>
    <dataValidation allowBlank="1" showInputMessage="1" showErrorMessage="1" promptTitle="経費発生原因の入力" prompt="発生する経費の具体的内容を記載してください。" sqref="C13:F112" xr:uid="{03AF7846-A5B6-44D6-9FFF-0C785D620AEC}"/>
    <dataValidation type="whole" operator="greaterThanOrEqual" allowBlank="1" showInputMessage="1" showErrorMessage="1" errorTitle="整数値を入力" error="単価に基づく箱数の購入量を入力してください。_x000a_数値のみ入力し、「箱」等の単位は入力しないでください。" promptTitle="購入数量の入力" prompt="購入するセット数を入力してください。（１箱50枚入りのマスクを10箱買う場合は、「10」を入力）_x000a_数値のみ入力し、「箱」等の単位は入力しないでください。" sqref="G13:G112" xr:uid="{380CB006-3790-41DF-9278-E90437D3D75E}">
      <formula1>0</formula1>
    </dataValidation>
    <dataValidation type="decimal" operator="greaterThanOrEqual" allowBlank="1" showInputMessage="1" showErrorMessage="1" errorTitle="入力内容に誤りあり" error="数値のみを入力し、単位「円」は入力しないようにしてください。" promptTitle="税抜単価の入力" prompt="購入単価の税抜額を入力してください。_x000a_見積書の記載が税込額だけで、税抜額がわからない場合は上の算出欄をご利用ください。_x000a_入力しない方は「0」は入力せず、空欄としてください。" sqref="H13:H112" xr:uid="{D6609B2B-C1F4-4854-9162-BA7E8CC5D128}">
      <formula1>-1000000</formula1>
    </dataValidation>
    <dataValidation type="list" allowBlank="1" showInputMessage="1" showErrorMessage="1" sqref="B13:B112" xr:uid="{37BB4862-017C-4888-ACF8-7787740F9EEF}">
      <formula1>$AB$6:$AB$10</formula1>
    </dataValidation>
  </dataValidations>
  <printOptions horizontalCentered="1"/>
  <pageMargins left="0.59055118110236227" right="0.39370078740157483" top="0.39370078740157483" bottom="0.39370078740157483" header="0.31496062992125984" footer="0.31496062992125984"/>
  <pageSetup paperSize="9" scale="58" fitToHeight="0" orientation="portrait" r:id="rId1"/>
  <drawing r:id="rId2"/>
  <legacyDrawing r:id="rId3"/>
  <extLst>
    <ext xmlns:x14="http://schemas.microsoft.com/office/spreadsheetml/2009/9/main" uri="{CCE6A557-97BC-4b89-ADB6-D9C93CAAB3DF}">
      <x14:dataValidations xmlns:xm="http://schemas.microsoft.com/office/excel/2006/main" xWindow="858" yWindow="876" count="3">
        <x14:dataValidation type="list" allowBlank="1" showInputMessage="1" showErrorMessage="1" promptTitle="金額の表示" prompt="数式が入力されているため、自動計算されます。" xr:uid="{132A44EC-4256-4369-9DD3-985073E09E93}">
          <x14:formula1>
            <xm:f>テーブル!$K$2:$K$32</xm:f>
          </x14:formula1>
          <xm:sqref>M13:M112</xm:sqref>
        </x14:dataValidation>
        <x14:dataValidation type="list" allowBlank="1" showInputMessage="1" showErrorMessage="1" promptTitle="金額の表示" prompt="数式が入力されているため、自動計算されます。" xr:uid="{E87921D1-9A34-4A9D-B8A5-9E1F68109070}">
          <x14:formula1>
            <xm:f>テーブル!$J$2:$J$7</xm:f>
          </x14:formula1>
          <xm:sqref>L13:L112</xm:sqref>
        </x14:dataValidation>
        <x14:dataValidation type="list" allowBlank="1" showInputMessage="1" showErrorMessage="1" promptTitle="金額の表示" prompt="数式が入力されているため、自動計算されます。" xr:uid="{5D512A7B-2DE2-420F-8F2E-3675A75AAE13}">
          <x14:formula1>
            <xm:f>テーブル!$I$2:$I$3</xm:f>
          </x14:formula1>
          <xm:sqref>K13:K112</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213F9-567A-4EE4-9563-1A79B6F71C34}">
  <sheetPr>
    <tabColor theme="9" tint="0.79998168889431442"/>
  </sheetPr>
  <dimension ref="A1:AO57"/>
  <sheetViews>
    <sheetView showGridLines="0" view="pageBreakPreview" topLeftCell="A8" zoomScale="60" zoomScaleNormal="100" workbookViewId="0">
      <selection activeCell="BC58" sqref="BC58"/>
    </sheetView>
  </sheetViews>
  <sheetFormatPr defaultRowHeight="18"/>
  <cols>
    <col min="1" max="41" width="3.625" style="561" customWidth="1"/>
    <col min="42" max="16384" width="9" style="561"/>
  </cols>
  <sheetData>
    <row r="1" spans="1:41">
      <c r="A1" s="560"/>
      <c r="B1" s="560"/>
      <c r="C1" s="560"/>
      <c r="D1" s="560"/>
      <c r="E1" s="560"/>
      <c r="F1" s="560"/>
      <c r="G1" s="560"/>
      <c r="H1" s="560"/>
      <c r="I1" s="560"/>
      <c r="J1" s="560"/>
      <c r="K1" s="560"/>
      <c r="L1" s="560"/>
      <c r="M1" s="560"/>
      <c r="N1" s="560"/>
      <c r="O1" s="560"/>
      <c r="P1" s="560"/>
      <c r="Q1" s="560"/>
      <c r="R1" s="560"/>
      <c r="S1" s="560"/>
      <c r="T1" s="560"/>
      <c r="U1" s="560"/>
      <c r="V1" s="560"/>
      <c r="W1" s="560"/>
      <c r="X1" s="560"/>
      <c r="Y1" s="560"/>
      <c r="Z1" s="560"/>
      <c r="AA1" s="560"/>
      <c r="AB1" s="560"/>
      <c r="AC1" s="560"/>
      <c r="AD1" s="560"/>
      <c r="AE1" s="560"/>
      <c r="AF1" s="560"/>
      <c r="AG1" s="560"/>
      <c r="AH1" s="560"/>
      <c r="AI1" s="560"/>
      <c r="AJ1" s="560"/>
      <c r="AK1" s="560"/>
      <c r="AL1" s="560"/>
      <c r="AM1" s="560"/>
      <c r="AN1" s="560"/>
      <c r="AO1" s="560"/>
    </row>
    <row r="2" spans="1:41" ht="30" customHeight="1">
      <c r="A2" s="1988" t="s">
        <v>1306</v>
      </c>
      <c r="B2" s="1989"/>
      <c r="C2" s="1989"/>
      <c r="D2" s="1989"/>
      <c r="E2" s="1989"/>
      <c r="F2" s="1989"/>
      <c r="G2" s="1989"/>
      <c r="H2" s="1989"/>
      <c r="I2" s="1989"/>
      <c r="J2" s="1989"/>
      <c r="K2" s="1989"/>
      <c r="L2" s="1989"/>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row>
    <row r="3" spans="1:41" ht="19.5">
      <c r="A3" s="1990" t="s">
        <v>1307</v>
      </c>
      <c r="B3" s="1991"/>
      <c r="C3" s="1991"/>
      <c r="D3" s="1991"/>
      <c r="E3" s="1991"/>
      <c r="F3" s="1991"/>
      <c r="G3" s="1991"/>
      <c r="H3" s="1991"/>
      <c r="I3" s="1991"/>
      <c r="J3" s="1991"/>
      <c r="K3" s="1991"/>
      <c r="L3" s="1991"/>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562"/>
      <c r="AL3" s="562"/>
      <c r="AM3" s="562"/>
      <c r="AN3" s="562"/>
      <c r="AO3" s="562"/>
    </row>
    <row r="4" spans="1:41" ht="19.5">
      <c r="A4" s="1991"/>
      <c r="B4" s="1991"/>
      <c r="C4" s="1991"/>
      <c r="D4" s="1991"/>
      <c r="E4" s="1991"/>
      <c r="F4" s="1991"/>
      <c r="G4" s="1991"/>
      <c r="H4" s="1991"/>
      <c r="I4" s="1991"/>
      <c r="J4" s="1991"/>
      <c r="K4" s="1991"/>
      <c r="L4" s="1991"/>
      <c r="M4" s="1991"/>
      <c r="N4" s="1991"/>
      <c r="O4" s="1991"/>
      <c r="P4" s="1991"/>
      <c r="Q4" s="1991"/>
      <c r="R4" s="1991"/>
      <c r="S4" s="1991"/>
      <c r="T4" s="1991"/>
      <c r="U4" s="1991"/>
      <c r="V4" s="1991"/>
      <c r="W4" s="1991"/>
      <c r="X4" s="1991"/>
      <c r="Y4" s="1991"/>
      <c r="Z4" s="1991"/>
      <c r="AA4" s="1991"/>
      <c r="AB4" s="1991"/>
      <c r="AC4" s="1991"/>
      <c r="AD4" s="1991"/>
      <c r="AE4" s="1991"/>
      <c r="AF4" s="1991"/>
      <c r="AG4" s="1991"/>
      <c r="AH4" s="1991"/>
      <c r="AI4" s="1991"/>
      <c r="AJ4" s="1991"/>
      <c r="AK4" s="562"/>
      <c r="AL4" s="562"/>
      <c r="AM4" s="562"/>
      <c r="AN4" s="562"/>
      <c r="AO4" s="562"/>
    </row>
    <row r="5" spans="1:41" ht="24" customHeight="1">
      <c r="B5" s="1992" t="s">
        <v>1308</v>
      </c>
      <c r="C5" s="1993"/>
      <c r="D5" s="1993"/>
      <c r="E5" s="1993"/>
      <c r="F5" s="1993"/>
      <c r="G5" s="1993"/>
      <c r="H5" s="1993"/>
      <c r="I5" s="1993"/>
      <c r="J5" s="1993"/>
      <c r="K5" s="1993"/>
      <c r="L5" s="1993"/>
      <c r="M5" s="1993"/>
      <c r="N5" s="1993"/>
      <c r="O5" s="1993"/>
      <c r="P5" s="1993"/>
      <c r="Q5" s="1993"/>
      <c r="R5" s="1993"/>
      <c r="S5" s="1993"/>
      <c r="T5" s="1993"/>
      <c r="U5" s="1993"/>
      <c r="V5" s="1993"/>
      <c r="W5" s="1993"/>
      <c r="X5" s="1993"/>
      <c r="Y5" s="1993"/>
      <c r="Z5" s="1993"/>
      <c r="AA5" s="1993"/>
      <c r="AB5" s="1993"/>
      <c r="AC5" s="1993"/>
      <c r="AD5" s="1993"/>
      <c r="AE5" s="1993"/>
      <c r="AF5" s="1993"/>
      <c r="AG5" s="1993"/>
      <c r="AH5" s="1993"/>
      <c r="AI5" s="1993"/>
    </row>
    <row r="6" spans="1:41" ht="24" customHeight="1">
      <c r="B6" s="1993"/>
      <c r="C6" s="1993"/>
      <c r="D6" s="1993"/>
      <c r="E6" s="1993"/>
      <c r="F6" s="1993"/>
      <c r="G6" s="1993"/>
      <c r="H6" s="1993"/>
      <c r="I6" s="1993"/>
      <c r="J6" s="1993"/>
      <c r="K6" s="1993"/>
      <c r="L6" s="1993"/>
      <c r="M6" s="1993"/>
      <c r="N6" s="1993"/>
      <c r="O6" s="1993"/>
      <c r="P6" s="1993"/>
      <c r="Q6" s="1993"/>
      <c r="R6" s="1993"/>
      <c r="S6" s="1993"/>
      <c r="T6" s="1993"/>
      <c r="U6" s="1993"/>
      <c r="V6" s="1993"/>
      <c r="W6" s="1993"/>
      <c r="X6" s="1993"/>
      <c r="Y6" s="1993"/>
      <c r="Z6" s="1993"/>
      <c r="AA6" s="1993"/>
      <c r="AB6" s="1993"/>
      <c r="AC6" s="1993"/>
      <c r="AD6" s="1993"/>
      <c r="AE6" s="1993"/>
      <c r="AF6" s="1993"/>
      <c r="AG6" s="1993"/>
      <c r="AH6" s="1993"/>
      <c r="AI6" s="1993"/>
    </row>
    <row r="7" spans="1:41" ht="30" customHeight="1">
      <c r="A7" s="1994" t="str">
        <f>"１．算定基礎となる賃金情報　【判定】"&amp;AK7&amp;"（"&amp;AL7&amp;"）"</f>
        <v>１．算定基礎となる賃金情報　【判定】×（【要修正】未入力の状態です。）</v>
      </c>
      <c r="B7" s="1995"/>
      <c r="C7" s="1995"/>
      <c r="D7" s="1995"/>
      <c r="E7" s="1995"/>
      <c r="F7" s="1995"/>
      <c r="G7" s="1995"/>
      <c r="H7" s="1995"/>
      <c r="I7" s="1995"/>
      <c r="J7" s="1995"/>
      <c r="K7" s="1995"/>
      <c r="L7" s="1995"/>
      <c r="M7" s="1995"/>
      <c r="N7" s="1995"/>
      <c r="O7" s="1995"/>
      <c r="P7" s="1995"/>
      <c r="Q7" s="1995"/>
      <c r="R7" s="1995"/>
      <c r="S7" s="1995"/>
      <c r="T7" s="1995"/>
      <c r="U7" s="1995"/>
      <c r="V7" s="1995"/>
      <c r="W7" s="1995"/>
      <c r="X7" s="1995"/>
      <c r="Y7" s="1995"/>
      <c r="Z7" s="1995"/>
      <c r="AA7" s="1995"/>
      <c r="AB7" s="1995"/>
      <c r="AC7" s="1995"/>
      <c r="AD7" s="1995"/>
      <c r="AE7" s="1995"/>
      <c r="AF7" s="1995"/>
      <c r="AG7" s="1995"/>
      <c r="AH7" s="1995"/>
      <c r="AI7" s="1995"/>
      <c r="AJ7" s="1995"/>
      <c r="AK7" s="559" t="str">
        <f xml:space="preserve">
IF(COUNTIF(AB11:AC25,"○")=15,"×",
IF(COUNTIF(AB11:AC25,"×")&gt;=1,"×",
IF(COUNTIF(AB11:AC25,"◎")&gt;=1,"◎")))</f>
        <v>×</v>
      </c>
      <c r="AL7" s="558" t="str">
        <f xml:space="preserve">
IF(COUNTIF(AB11:AC25,"○")=15,"【要修正】未入力の状態です。",
IF(COUNTIF(AB11:AC25,"×")&gt;=1,"【要修正】入力不十分の箇所があります。",
IF(COUNTIF(AB11:AC25,"◎")&gt;=1,"適切に入力がされました。")))</f>
        <v>【要修正】未入力の状態です。</v>
      </c>
      <c r="AM7" s="563"/>
      <c r="AN7" s="563"/>
      <c r="AO7" s="563"/>
    </row>
    <row r="8" spans="1:41" ht="19.5">
      <c r="A8" s="564"/>
      <c r="B8" s="1996" t="s">
        <v>1263</v>
      </c>
      <c r="C8" s="1996"/>
      <c r="D8" s="1997"/>
      <c r="E8" s="1996" t="s">
        <v>1309</v>
      </c>
      <c r="F8" s="1996"/>
      <c r="G8" s="1997"/>
      <c r="H8" s="1984" t="s">
        <v>1310</v>
      </c>
      <c r="I8" s="1985"/>
      <c r="J8" s="1985"/>
      <c r="K8" s="1985"/>
      <c r="L8" s="1985"/>
      <c r="M8" s="1985"/>
      <c r="N8" s="1985"/>
      <c r="O8" s="1985"/>
      <c r="P8" s="1985"/>
      <c r="Q8" s="1985"/>
      <c r="R8" s="1985"/>
      <c r="S8" s="1985"/>
      <c r="T8" s="1985"/>
      <c r="U8" s="1985"/>
      <c r="V8" s="1985"/>
      <c r="W8" s="1985"/>
      <c r="X8" s="979" t="s">
        <v>1311</v>
      </c>
      <c r="Y8" s="1998"/>
      <c r="Z8" s="1998"/>
      <c r="AA8" s="1999"/>
      <c r="AB8" s="990" t="s">
        <v>413</v>
      </c>
      <c r="AC8" s="991"/>
      <c r="AD8" s="990" t="s">
        <v>415</v>
      </c>
      <c r="AE8" s="991"/>
      <c r="AF8" s="991"/>
      <c r="AG8" s="991"/>
      <c r="AH8" s="991"/>
      <c r="AI8" s="991"/>
      <c r="AJ8" s="564"/>
    </row>
    <row r="9" spans="1:41" ht="19.5">
      <c r="A9" s="564"/>
      <c r="B9" s="1996"/>
      <c r="C9" s="1996"/>
      <c r="D9" s="1997"/>
      <c r="E9" s="1996"/>
      <c r="F9" s="1996"/>
      <c r="G9" s="1997"/>
      <c r="H9" s="1984" t="s">
        <v>1312</v>
      </c>
      <c r="I9" s="1985"/>
      <c r="J9" s="1985"/>
      <c r="K9" s="1985"/>
      <c r="L9" s="1985"/>
      <c r="M9" s="1985"/>
      <c r="N9" s="1985"/>
      <c r="O9" s="1985"/>
      <c r="P9" s="1985"/>
      <c r="Q9" s="1985"/>
      <c r="R9" s="1985"/>
      <c r="S9" s="1985"/>
      <c r="T9" s="1986" t="s">
        <v>1313</v>
      </c>
      <c r="U9" s="1987"/>
      <c r="V9" s="1987"/>
      <c r="W9" s="1987"/>
      <c r="X9" s="982"/>
      <c r="Y9" s="983"/>
      <c r="Z9" s="983"/>
      <c r="AA9" s="984"/>
      <c r="AB9" s="991"/>
      <c r="AC9" s="991"/>
      <c r="AD9" s="991"/>
      <c r="AE9" s="991"/>
      <c r="AF9" s="991"/>
      <c r="AG9" s="991"/>
      <c r="AH9" s="991"/>
      <c r="AI9" s="991"/>
      <c r="AJ9" s="564"/>
    </row>
    <row r="10" spans="1:41" ht="19.5">
      <c r="A10" s="564"/>
      <c r="B10" s="1997"/>
      <c r="C10" s="1997"/>
      <c r="D10" s="1997"/>
      <c r="E10" s="1997"/>
      <c r="F10" s="1997"/>
      <c r="G10" s="1997"/>
      <c r="H10" s="1984" t="s">
        <v>1314</v>
      </c>
      <c r="I10" s="1985"/>
      <c r="J10" s="1985"/>
      <c r="K10" s="1985"/>
      <c r="L10" s="1984" t="s">
        <v>1315</v>
      </c>
      <c r="M10" s="1985"/>
      <c r="N10" s="1985"/>
      <c r="O10" s="1985"/>
      <c r="P10" s="1984" t="s">
        <v>1316</v>
      </c>
      <c r="Q10" s="1985"/>
      <c r="R10" s="1985"/>
      <c r="S10" s="1985"/>
      <c r="T10" s="1984" t="s">
        <v>1317</v>
      </c>
      <c r="U10" s="1985"/>
      <c r="V10" s="1985"/>
      <c r="W10" s="1985"/>
      <c r="X10" s="985"/>
      <c r="Y10" s="986"/>
      <c r="Z10" s="986"/>
      <c r="AA10" s="987"/>
      <c r="AB10" s="991"/>
      <c r="AC10" s="991"/>
      <c r="AD10" s="991"/>
      <c r="AE10" s="991"/>
      <c r="AF10" s="991"/>
      <c r="AG10" s="991"/>
      <c r="AH10" s="991"/>
      <c r="AI10" s="991"/>
      <c r="AJ10" s="564"/>
    </row>
    <row r="11" spans="1:41" ht="24.95" customHeight="1">
      <c r="A11" s="564"/>
      <c r="B11" s="1996" t="s">
        <v>1318</v>
      </c>
      <c r="C11" s="1996"/>
      <c r="D11" s="1997"/>
      <c r="E11" s="2002"/>
      <c r="F11" s="2002"/>
      <c r="G11" s="2003"/>
      <c r="H11" s="1982"/>
      <c r="I11" s="1983"/>
      <c r="J11" s="1983"/>
      <c r="K11" s="1983"/>
      <c r="L11" s="2004"/>
      <c r="M11" s="2005"/>
      <c r="N11" s="2005"/>
      <c r="O11" s="2005"/>
      <c r="P11" s="2006">
        <f>IFERROR(ROUNDDOWN(H11/L11,0),0)</f>
        <v>0</v>
      </c>
      <c r="Q11" s="2007"/>
      <c r="R11" s="2007"/>
      <c r="S11" s="2007"/>
      <c r="T11" s="1982"/>
      <c r="U11" s="1983"/>
      <c r="V11" s="1983"/>
      <c r="W11" s="1983"/>
      <c r="X11" s="2008">
        <f>IF(AK7&lt;&gt;"◎",0,ROUNDDOWN(SUM(AK11:AK25)/COUNTIF(AB11:AC25,"◎"),0))</f>
        <v>0</v>
      </c>
      <c r="Y11" s="2009"/>
      <c r="Z11" s="2009"/>
      <c r="AA11" s="2010"/>
      <c r="AB11" s="990" t="str">
        <f xml:space="preserve">
IF(SUM(COUNTA(E11:O11),COUNTA(T11))=0,"○",
IF(AND(COUNTA(E11)=1,OR(AND(COUNTA(H11:O11)=2,COUNTA(T11)=0),AND(COUNTA(H11:O11)=0,COUNTA(T11)=1))),"◎","×"))</f>
        <v>○</v>
      </c>
      <c r="AC11" s="991"/>
      <c r="AD11" s="2000" t="str">
        <f xml:space="preserve">
IF(SUM(COUNTA(E11:O11),COUNTA(T11))=0,"未入力の状態です",
IF(AND(COUNTA(E11)=1,OR(AND(COUNTA(H11:O11)=2,COUNTA(T11)=0),AND(COUNTA(H11:O11)=0,COUNTA(T11)=1))),"適切に入力がされました。","【要修正】入力が不十分です。"))</f>
        <v>未入力の状態です</v>
      </c>
      <c r="AE11" s="2001"/>
      <c r="AF11" s="2001"/>
      <c r="AG11" s="2001"/>
      <c r="AH11" s="2001"/>
      <c r="AI11" s="2001"/>
      <c r="AJ11" s="564"/>
      <c r="AK11" s="561" t="str">
        <f xml:space="preserve">
IF(AND(AB11="◎",COUNTA(H11:O11)=2),P11,
IF(AND(AB11="◎",COUNTA(T11)=1),T11,""))</f>
        <v/>
      </c>
    </row>
    <row r="12" spans="1:41" ht="24.95" customHeight="1">
      <c r="A12" s="564"/>
      <c r="B12" s="1996" t="s">
        <v>1319</v>
      </c>
      <c r="C12" s="1996"/>
      <c r="D12" s="1997"/>
      <c r="E12" s="2002"/>
      <c r="F12" s="2002"/>
      <c r="G12" s="2003"/>
      <c r="H12" s="1982"/>
      <c r="I12" s="1983"/>
      <c r="J12" s="1983"/>
      <c r="K12" s="1983"/>
      <c r="L12" s="2004"/>
      <c r="M12" s="2005"/>
      <c r="N12" s="2005"/>
      <c r="O12" s="2005"/>
      <c r="P12" s="2006">
        <f>IFERROR(ROUNDDOWN(H12/L12,0),0)</f>
        <v>0</v>
      </c>
      <c r="Q12" s="2007"/>
      <c r="R12" s="2007"/>
      <c r="S12" s="2007"/>
      <c r="T12" s="1982"/>
      <c r="U12" s="1983"/>
      <c r="V12" s="1983"/>
      <c r="W12" s="1983"/>
      <c r="X12" s="2011"/>
      <c r="Y12" s="2012"/>
      <c r="Z12" s="2012"/>
      <c r="AA12" s="2013"/>
      <c r="AB12" s="990" t="str">
        <f t="shared" ref="AB12:AB25" si="0" xml:space="preserve">
IF(SUM(COUNTA(E12:O12),COUNTA(T12))=0,"○",
IF(AND(COUNTA(E12)=1,OR(AND(COUNTA(H12:O12)=2,COUNTA(T12)=0),AND(COUNTA(H12:O12)=0,COUNTA(T12)=1))),"◎","×"))</f>
        <v>○</v>
      </c>
      <c r="AC12" s="991"/>
      <c r="AD12" s="2000" t="str">
        <f t="shared" ref="AD12:AD25" si="1" xml:space="preserve">
IF(SUM(COUNTA(E12:O12),COUNTA(T12))=0,"未入力の状態です",
IF(AND(COUNTA(E12)=1,OR(AND(COUNTA(H12:O12)=2,COUNTA(T12)=0),AND(COUNTA(H12:O12)=0,COUNTA(T12)=1))),"適切に入力がされました。","【要修正】入力が不十分です。"))</f>
        <v>未入力の状態です</v>
      </c>
      <c r="AE12" s="2001"/>
      <c r="AF12" s="2001"/>
      <c r="AG12" s="2001"/>
      <c r="AH12" s="2001"/>
      <c r="AI12" s="2001"/>
      <c r="AJ12" s="564"/>
      <c r="AK12" s="561" t="str">
        <f t="shared" ref="AK12:AK25" si="2" xml:space="preserve">
IF(AND(AB12="◎",COUNTA(H12:O12)=2),P12,
IF(AND(AB12="◎",COUNTA(T12)=1),T12,""))</f>
        <v/>
      </c>
    </row>
    <row r="13" spans="1:41" ht="24.95" customHeight="1">
      <c r="A13" s="564"/>
      <c r="B13" s="1996" t="s">
        <v>1321</v>
      </c>
      <c r="C13" s="1996"/>
      <c r="D13" s="1997"/>
      <c r="E13" s="2002"/>
      <c r="F13" s="2002"/>
      <c r="G13" s="2003"/>
      <c r="H13" s="1982"/>
      <c r="I13" s="1983"/>
      <c r="J13" s="1983"/>
      <c r="K13" s="1983"/>
      <c r="L13" s="2004"/>
      <c r="M13" s="2005"/>
      <c r="N13" s="2005"/>
      <c r="O13" s="2005"/>
      <c r="P13" s="2006">
        <f t="shared" ref="P13:P25" si="3">IFERROR(ROUNDDOWN(H13/L13,0),0)</f>
        <v>0</v>
      </c>
      <c r="Q13" s="2007"/>
      <c r="R13" s="2007"/>
      <c r="S13" s="2007"/>
      <c r="T13" s="1982"/>
      <c r="U13" s="1983"/>
      <c r="V13" s="1983"/>
      <c r="W13" s="1983"/>
      <c r="X13" s="2011"/>
      <c r="Y13" s="2012"/>
      <c r="Z13" s="2012"/>
      <c r="AA13" s="2013"/>
      <c r="AB13" s="990" t="str">
        <f t="shared" si="0"/>
        <v>○</v>
      </c>
      <c r="AC13" s="991"/>
      <c r="AD13" s="2000" t="str">
        <f t="shared" si="1"/>
        <v>未入力の状態です</v>
      </c>
      <c r="AE13" s="2001"/>
      <c r="AF13" s="2001"/>
      <c r="AG13" s="2001"/>
      <c r="AH13" s="2001"/>
      <c r="AI13" s="2001"/>
      <c r="AJ13" s="564"/>
      <c r="AK13" s="561" t="str">
        <f t="shared" si="2"/>
        <v/>
      </c>
    </row>
    <row r="14" spans="1:41" ht="24.95" customHeight="1">
      <c r="A14" s="564"/>
      <c r="B14" s="1996" t="s">
        <v>1322</v>
      </c>
      <c r="C14" s="1996"/>
      <c r="D14" s="1997"/>
      <c r="E14" s="2002"/>
      <c r="F14" s="2002"/>
      <c r="G14" s="2003"/>
      <c r="H14" s="1982"/>
      <c r="I14" s="1983"/>
      <c r="J14" s="1983"/>
      <c r="K14" s="1983"/>
      <c r="L14" s="2004"/>
      <c r="M14" s="2005"/>
      <c r="N14" s="2005"/>
      <c r="O14" s="2005"/>
      <c r="P14" s="2006">
        <f t="shared" si="3"/>
        <v>0</v>
      </c>
      <c r="Q14" s="2007"/>
      <c r="R14" s="2007"/>
      <c r="S14" s="2007"/>
      <c r="T14" s="1982"/>
      <c r="U14" s="1983"/>
      <c r="V14" s="1983"/>
      <c r="W14" s="1983"/>
      <c r="X14" s="2011"/>
      <c r="Y14" s="2012"/>
      <c r="Z14" s="2012"/>
      <c r="AA14" s="2013"/>
      <c r="AB14" s="990" t="str">
        <f t="shared" si="0"/>
        <v>○</v>
      </c>
      <c r="AC14" s="991"/>
      <c r="AD14" s="2000" t="str">
        <f t="shared" si="1"/>
        <v>未入力の状態です</v>
      </c>
      <c r="AE14" s="2001"/>
      <c r="AF14" s="2001"/>
      <c r="AG14" s="2001"/>
      <c r="AH14" s="2001"/>
      <c r="AI14" s="2001"/>
      <c r="AJ14" s="564"/>
      <c r="AK14" s="561" t="str">
        <f t="shared" si="2"/>
        <v/>
      </c>
    </row>
    <row r="15" spans="1:41" ht="24.95" customHeight="1">
      <c r="A15" s="564"/>
      <c r="B15" s="1996" t="s">
        <v>1323</v>
      </c>
      <c r="C15" s="1996"/>
      <c r="D15" s="1997"/>
      <c r="E15" s="2002"/>
      <c r="F15" s="2002"/>
      <c r="G15" s="2003"/>
      <c r="H15" s="1982"/>
      <c r="I15" s="1983"/>
      <c r="J15" s="1983"/>
      <c r="K15" s="1983"/>
      <c r="L15" s="2004"/>
      <c r="M15" s="2005"/>
      <c r="N15" s="2005"/>
      <c r="O15" s="2005"/>
      <c r="P15" s="2006">
        <f t="shared" si="3"/>
        <v>0</v>
      </c>
      <c r="Q15" s="2007"/>
      <c r="R15" s="2007"/>
      <c r="S15" s="2007"/>
      <c r="T15" s="1982"/>
      <c r="U15" s="1983"/>
      <c r="V15" s="1983"/>
      <c r="W15" s="1983"/>
      <c r="X15" s="2011"/>
      <c r="Y15" s="2012"/>
      <c r="Z15" s="2012"/>
      <c r="AA15" s="2013"/>
      <c r="AB15" s="990" t="str">
        <f t="shared" si="0"/>
        <v>○</v>
      </c>
      <c r="AC15" s="991"/>
      <c r="AD15" s="2000" t="str">
        <f t="shared" si="1"/>
        <v>未入力の状態です</v>
      </c>
      <c r="AE15" s="2001"/>
      <c r="AF15" s="2001"/>
      <c r="AG15" s="2001"/>
      <c r="AH15" s="2001"/>
      <c r="AI15" s="2001"/>
      <c r="AJ15" s="564"/>
      <c r="AK15" s="561" t="str">
        <f t="shared" si="2"/>
        <v/>
      </c>
    </row>
    <row r="16" spans="1:41" ht="24.95" customHeight="1">
      <c r="A16" s="564"/>
      <c r="B16" s="1996" t="s">
        <v>1324</v>
      </c>
      <c r="C16" s="1996"/>
      <c r="D16" s="1997"/>
      <c r="E16" s="2002"/>
      <c r="F16" s="2002"/>
      <c r="G16" s="2003"/>
      <c r="H16" s="1982"/>
      <c r="I16" s="1983"/>
      <c r="J16" s="1983"/>
      <c r="K16" s="1983"/>
      <c r="L16" s="2004"/>
      <c r="M16" s="2005"/>
      <c r="N16" s="2005"/>
      <c r="O16" s="2005"/>
      <c r="P16" s="2006">
        <f t="shared" si="3"/>
        <v>0</v>
      </c>
      <c r="Q16" s="2007"/>
      <c r="R16" s="2007"/>
      <c r="S16" s="2007"/>
      <c r="T16" s="1982"/>
      <c r="U16" s="1983"/>
      <c r="V16" s="1983"/>
      <c r="W16" s="1983"/>
      <c r="X16" s="2011"/>
      <c r="Y16" s="2012"/>
      <c r="Z16" s="2012"/>
      <c r="AA16" s="2013"/>
      <c r="AB16" s="990" t="str">
        <f t="shared" si="0"/>
        <v>○</v>
      </c>
      <c r="AC16" s="991"/>
      <c r="AD16" s="2000" t="str">
        <f t="shared" si="1"/>
        <v>未入力の状態です</v>
      </c>
      <c r="AE16" s="2001"/>
      <c r="AF16" s="2001"/>
      <c r="AG16" s="2001"/>
      <c r="AH16" s="2001"/>
      <c r="AI16" s="2001"/>
      <c r="AJ16" s="564"/>
      <c r="AK16" s="561" t="str">
        <f t="shared" si="2"/>
        <v/>
      </c>
    </row>
    <row r="17" spans="1:38" ht="24.95" customHeight="1">
      <c r="A17" s="564"/>
      <c r="B17" s="1996" t="s">
        <v>1325</v>
      </c>
      <c r="C17" s="1996"/>
      <c r="D17" s="1997"/>
      <c r="E17" s="2002"/>
      <c r="F17" s="2002"/>
      <c r="G17" s="2003"/>
      <c r="H17" s="1982"/>
      <c r="I17" s="1983"/>
      <c r="J17" s="1983"/>
      <c r="K17" s="1983"/>
      <c r="L17" s="2004"/>
      <c r="M17" s="2005"/>
      <c r="N17" s="2005"/>
      <c r="O17" s="2005"/>
      <c r="P17" s="2006">
        <f t="shared" si="3"/>
        <v>0</v>
      </c>
      <c r="Q17" s="2007"/>
      <c r="R17" s="2007"/>
      <c r="S17" s="2007"/>
      <c r="T17" s="1982"/>
      <c r="U17" s="1983"/>
      <c r="V17" s="1983"/>
      <c r="W17" s="1983"/>
      <c r="X17" s="2011"/>
      <c r="Y17" s="2012"/>
      <c r="Z17" s="2012"/>
      <c r="AA17" s="2013"/>
      <c r="AB17" s="990" t="str">
        <f t="shared" si="0"/>
        <v>○</v>
      </c>
      <c r="AC17" s="991"/>
      <c r="AD17" s="2000" t="str">
        <f t="shared" si="1"/>
        <v>未入力の状態です</v>
      </c>
      <c r="AE17" s="2001"/>
      <c r="AF17" s="2001"/>
      <c r="AG17" s="2001"/>
      <c r="AH17" s="2001"/>
      <c r="AI17" s="2001"/>
      <c r="AJ17" s="564"/>
      <c r="AK17" s="561" t="str">
        <f t="shared" si="2"/>
        <v/>
      </c>
    </row>
    <row r="18" spans="1:38" ht="24.95" customHeight="1">
      <c r="A18" s="564"/>
      <c r="B18" s="1996" t="s">
        <v>1326</v>
      </c>
      <c r="C18" s="1996"/>
      <c r="D18" s="1997"/>
      <c r="E18" s="2002"/>
      <c r="F18" s="2002"/>
      <c r="G18" s="2003"/>
      <c r="H18" s="1982"/>
      <c r="I18" s="1983"/>
      <c r="J18" s="1983"/>
      <c r="K18" s="1983"/>
      <c r="L18" s="2004"/>
      <c r="M18" s="2005"/>
      <c r="N18" s="2005"/>
      <c r="O18" s="2005"/>
      <c r="P18" s="2006">
        <f t="shared" si="3"/>
        <v>0</v>
      </c>
      <c r="Q18" s="2007"/>
      <c r="R18" s="2007"/>
      <c r="S18" s="2007"/>
      <c r="T18" s="1982"/>
      <c r="U18" s="1983"/>
      <c r="V18" s="1983"/>
      <c r="W18" s="1983"/>
      <c r="X18" s="2011"/>
      <c r="Y18" s="2012"/>
      <c r="Z18" s="2012"/>
      <c r="AA18" s="2013"/>
      <c r="AB18" s="990" t="str">
        <f t="shared" si="0"/>
        <v>○</v>
      </c>
      <c r="AC18" s="991"/>
      <c r="AD18" s="2000" t="str">
        <f t="shared" si="1"/>
        <v>未入力の状態です</v>
      </c>
      <c r="AE18" s="2001"/>
      <c r="AF18" s="2001"/>
      <c r="AG18" s="2001"/>
      <c r="AH18" s="2001"/>
      <c r="AI18" s="2001"/>
      <c r="AJ18" s="564"/>
      <c r="AK18" s="561" t="str">
        <f t="shared" si="2"/>
        <v/>
      </c>
    </row>
    <row r="19" spans="1:38" ht="24.95" customHeight="1">
      <c r="A19" s="564"/>
      <c r="B19" s="1996" t="s">
        <v>1327</v>
      </c>
      <c r="C19" s="1996"/>
      <c r="D19" s="1997"/>
      <c r="E19" s="2002"/>
      <c r="F19" s="2002"/>
      <c r="G19" s="2003"/>
      <c r="H19" s="1982"/>
      <c r="I19" s="1983"/>
      <c r="J19" s="1983"/>
      <c r="K19" s="1983"/>
      <c r="L19" s="2004"/>
      <c r="M19" s="2005"/>
      <c r="N19" s="2005"/>
      <c r="O19" s="2005"/>
      <c r="P19" s="2006">
        <f t="shared" si="3"/>
        <v>0</v>
      </c>
      <c r="Q19" s="2007"/>
      <c r="R19" s="2007"/>
      <c r="S19" s="2007"/>
      <c r="T19" s="1982"/>
      <c r="U19" s="1983"/>
      <c r="V19" s="1983"/>
      <c r="W19" s="1983"/>
      <c r="X19" s="2011"/>
      <c r="Y19" s="2012"/>
      <c r="Z19" s="2012"/>
      <c r="AA19" s="2013"/>
      <c r="AB19" s="990" t="str">
        <f t="shared" si="0"/>
        <v>○</v>
      </c>
      <c r="AC19" s="991"/>
      <c r="AD19" s="2000" t="str">
        <f t="shared" si="1"/>
        <v>未入力の状態です</v>
      </c>
      <c r="AE19" s="2001"/>
      <c r="AF19" s="2001"/>
      <c r="AG19" s="2001"/>
      <c r="AH19" s="2001"/>
      <c r="AI19" s="2001"/>
      <c r="AJ19" s="564"/>
      <c r="AK19" s="561" t="str">
        <f t="shared" si="2"/>
        <v/>
      </c>
    </row>
    <row r="20" spans="1:38" ht="24.95" customHeight="1">
      <c r="A20" s="564"/>
      <c r="B20" s="1996" t="s">
        <v>1328</v>
      </c>
      <c r="C20" s="1996"/>
      <c r="D20" s="1997"/>
      <c r="E20" s="2002"/>
      <c r="F20" s="2002"/>
      <c r="G20" s="2003"/>
      <c r="H20" s="1982"/>
      <c r="I20" s="1983"/>
      <c r="J20" s="1983"/>
      <c r="K20" s="1983"/>
      <c r="L20" s="2004"/>
      <c r="M20" s="2005"/>
      <c r="N20" s="2005"/>
      <c r="O20" s="2005"/>
      <c r="P20" s="2006">
        <f t="shared" si="3"/>
        <v>0</v>
      </c>
      <c r="Q20" s="2007"/>
      <c r="R20" s="2007"/>
      <c r="S20" s="2007"/>
      <c r="T20" s="1982"/>
      <c r="U20" s="1983"/>
      <c r="V20" s="1983"/>
      <c r="W20" s="1983"/>
      <c r="X20" s="2011"/>
      <c r="Y20" s="2012"/>
      <c r="Z20" s="2012"/>
      <c r="AA20" s="2013"/>
      <c r="AB20" s="990" t="str">
        <f t="shared" si="0"/>
        <v>○</v>
      </c>
      <c r="AC20" s="991"/>
      <c r="AD20" s="2000" t="str">
        <f t="shared" si="1"/>
        <v>未入力の状態です</v>
      </c>
      <c r="AE20" s="2001"/>
      <c r="AF20" s="2001"/>
      <c r="AG20" s="2001"/>
      <c r="AH20" s="2001"/>
      <c r="AI20" s="2001"/>
      <c r="AJ20" s="564"/>
      <c r="AK20" s="561" t="str">
        <f t="shared" si="2"/>
        <v/>
      </c>
    </row>
    <row r="21" spans="1:38" ht="24.95" customHeight="1">
      <c r="A21" s="564"/>
      <c r="B21" s="1996" t="s">
        <v>1329</v>
      </c>
      <c r="C21" s="1996"/>
      <c r="D21" s="1997"/>
      <c r="E21" s="2002"/>
      <c r="F21" s="2002"/>
      <c r="G21" s="2003"/>
      <c r="H21" s="1982"/>
      <c r="I21" s="1983"/>
      <c r="J21" s="1983"/>
      <c r="K21" s="1983"/>
      <c r="L21" s="2004"/>
      <c r="M21" s="2005"/>
      <c r="N21" s="2005"/>
      <c r="O21" s="2005"/>
      <c r="P21" s="2006">
        <f t="shared" si="3"/>
        <v>0</v>
      </c>
      <c r="Q21" s="2007"/>
      <c r="R21" s="2007"/>
      <c r="S21" s="2007"/>
      <c r="T21" s="1982"/>
      <c r="U21" s="1983"/>
      <c r="V21" s="1983"/>
      <c r="W21" s="1983"/>
      <c r="X21" s="2014"/>
      <c r="Y21" s="2015"/>
      <c r="Z21" s="2015"/>
      <c r="AA21" s="2016"/>
      <c r="AB21" s="990" t="str">
        <f t="shared" si="0"/>
        <v>○</v>
      </c>
      <c r="AC21" s="991"/>
      <c r="AD21" s="2000" t="str">
        <f t="shared" si="1"/>
        <v>未入力の状態です</v>
      </c>
      <c r="AE21" s="2001"/>
      <c r="AF21" s="2001"/>
      <c r="AG21" s="2001"/>
      <c r="AH21" s="2001"/>
      <c r="AI21" s="2001"/>
      <c r="AJ21" s="564"/>
      <c r="AK21" s="561" t="str">
        <f t="shared" si="2"/>
        <v/>
      </c>
    </row>
    <row r="22" spans="1:38" ht="24.95" customHeight="1">
      <c r="A22" s="564"/>
      <c r="B22" s="1996" t="s">
        <v>1330</v>
      </c>
      <c r="C22" s="1996"/>
      <c r="D22" s="1997"/>
      <c r="E22" s="2002"/>
      <c r="F22" s="2002"/>
      <c r="G22" s="2003"/>
      <c r="H22" s="1982"/>
      <c r="I22" s="1983"/>
      <c r="J22" s="1983"/>
      <c r="K22" s="1983"/>
      <c r="L22" s="2004"/>
      <c r="M22" s="2005"/>
      <c r="N22" s="2005"/>
      <c r="O22" s="2005"/>
      <c r="P22" s="2006">
        <f t="shared" si="3"/>
        <v>0</v>
      </c>
      <c r="Q22" s="2007"/>
      <c r="R22" s="2007"/>
      <c r="S22" s="2007"/>
      <c r="T22" s="1982"/>
      <c r="U22" s="1983"/>
      <c r="V22" s="1983"/>
      <c r="W22" s="1983"/>
      <c r="X22" s="2014"/>
      <c r="Y22" s="2015"/>
      <c r="Z22" s="2015"/>
      <c r="AA22" s="2016"/>
      <c r="AB22" s="990" t="str">
        <f t="shared" si="0"/>
        <v>○</v>
      </c>
      <c r="AC22" s="991"/>
      <c r="AD22" s="2000" t="str">
        <f t="shared" si="1"/>
        <v>未入力の状態です</v>
      </c>
      <c r="AE22" s="2001"/>
      <c r="AF22" s="2001"/>
      <c r="AG22" s="2001"/>
      <c r="AH22" s="2001"/>
      <c r="AI22" s="2001"/>
      <c r="AJ22" s="564"/>
      <c r="AK22" s="561" t="str">
        <f t="shared" si="2"/>
        <v/>
      </c>
    </row>
    <row r="23" spans="1:38" ht="24.95" customHeight="1">
      <c r="A23" s="564"/>
      <c r="B23" s="1996" t="s">
        <v>1331</v>
      </c>
      <c r="C23" s="1996"/>
      <c r="D23" s="1997"/>
      <c r="E23" s="2002"/>
      <c r="F23" s="2002"/>
      <c r="G23" s="2003"/>
      <c r="H23" s="1982"/>
      <c r="I23" s="1983"/>
      <c r="J23" s="1983"/>
      <c r="K23" s="1983"/>
      <c r="L23" s="2004"/>
      <c r="M23" s="2005"/>
      <c r="N23" s="2005"/>
      <c r="O23" s="2005"/>
      <c r="P23" s="2006">
        <f t="shared" si="3"/>
        <v>0</v>
      </c>
      <c r="Q23" s="2007"/>
      <c r="R23" s="2007"/>
      <c r="S23" s="2007"/>
      <c r="T23" s="1982"/>
      <c r="U23" s="1983"/>
      <c r="V23" s="1983"/>
      <c r="W23" s="1983"/>
      <c r="X23" s="2014"/>
      <c r="Y23" s="2015"/>
      <c r="Z23" s="2015"/>
      <c r="AA23" s="2016"/>
      <c r="AB23" s="990" t="str">
        <f t="shared" si="0"/>
        <v>○</v>
      </c>
      <c r="AC23" s="991"/>
      <c r="AD23" s="2000" t="str">
        <f t="shared" si="1"/>
        <v>未入力の状態です</v>
      </c>
      <c r="AE23" s="2001"/>
      <c r="AF23" s="2001"/>
      <c r="AG23" s="2001"/>
      <c r="AH23" s="2001"/>
      <c r="AI23" s="2001"/>
      <c r="AJ23" s="564"/>
      <c r="AK23" s="561" t="str">
        <f t="shared" si="2"/>
        <v/>
      </c>
    </row>
    <row r="24" spans="1:38" ht="24.95" customHeight="1">
      <c r="A24" s="564"/>
      <c r="B24" s="1996" t="s">
        <v>1332</v>
      </c>
      <c r="C24" s="1996"/>
      <c r="D24" s="1997"/>
      <c r="E24" s="2002"/>
      <c r="F24" s="2002"/>
      <c r="G24" s="2003"/>
      <c r="H24" s="1982"/>
      <c r="I24" s="1983"/>
      <c r="J24" s="1983"/>
      <c r="K24" s="1983"/>
      <c r="L24" s="2004"/>
      <c r="M24" s="2005"/>
      <c r="N24" s="2005"/>
      <c r="O24" s="2005"/>
      <c r="P24" s="2006">
        <f t="shared" si="3"/>
        <v>0</v>
      </c>
      <c r="Q24" s="2007"/>
      <c r="R24" s="2007"/>
      <c r="S24" s="2007"/>
      <c r="T24" s="1982"/>
      <c r="U24" s="1983"/>
      <c r="V24" s="1983"/>
      <c r="W24" s="1983"/>
      <c r="X24" s="2014"/>
      <c r="Y24" s="2015"/>
      <c r="Z24" s="2015"/>
      <c r="AA24" s="2016"/>
      <c r="AB24" s="990" t="str">
        <f t="shared" si="0"/>
        <v>○</v>
      </c>
      <c r="AC24" s="991"/>
      <c r="AD24" s="2000" t="str">
        <f t="shared" si="1"/>
        <v>未入力の状態です</v>
      </c>
      <c r="AE24" s="2001"/>
      <c r="AF24" s="2001"/>
      <c r="AG24" s="2001"/>
      <c r="AH24" s="2001"/>
      <c r="AI24" s="2001"/>
      <c r="AJ24" s="564"/>
      <c r="AK24" s="561" t="str">
        <f t="shared" si="2"/>
        <v/>
      </c>
    </row>
    <row r="25" spans="1:38" ht="24.95" customHeight="1">
      <c r="A25" s="564"/>
      <c r="B25" s="1996" t="s">
        <v>1333</v>
      </c>
      <c r="C25" s="1996"/>
      <c r="D25" s="1997"/>
      <c r="E25" s="2002"/>
      <c r="F25" s="2002"/>
      <c r="G25" s="2003"/>
      <c r="H25" s="1982"/>
      <c r="I25" s="1983"/>
      <c r="J25" s="1983"/>
      <c r="K25" s="1983"/>
      <c r="L25" s="2004"/>
      <c r="M25" s="2005"/>
      <c r="N25" s="2005"/>
      <c r="O25" s="2005"/>
      <c r="P25" s="2006">
        <f t="shared" si="3"/>
        <v>0</v>
      </c>
      <c r="Q25" s="2007"/>
      <c r="R25" s="2007"/>
      <c r="S25" s="2007"/>
      <c r="T25" s="1982"/>
      <c r="U25" s="1983"/>
      <c r="V25" s="1983"/>
      <c r="W25" s="1983"/>
      <c r="X25" s="2017"/>
      <c r="Y25" s="2018"/>
      <c r="Z25" s="2018"/>
      <c r="AA25" s="2019"/>
      <c r="AB25" s="990" t="str">
        <f t="shared" si="0"/>
        <v>○</v>
      </c>
      <c r="AC25" s="991"/>
      <c r="AD25" s="2000" t="str">
        <f t="shared" si="1"/>
        <v>未入力の状態です</v>
      </c>
      <c r="AE25" s="2001"/>
      <c r="AF25" s="2001"/>
      <c r="AG25" s="2001"/>
      <c r="AH25" s="2001"/>
      <c r="AI25" s="2001"/>
      <c r="AJ25" s="564"/>
      <c r="AK25" s="561" t="str">
        <f t="shared" si="2"/>
        <v/>
      </c>
    </row>
    <row r="26" spans="1:38" ht="19.5">
      <c r="A26" s="564"/>
      <c r="B26" s="564"/>
      <c r="C26" s="564"/>
      <c r="D26" s="564"/>
      <c r="E26" s="564"/>
      <c r="F26" s="564"/>
      <c r="G26" s="564"/>
      <c r="H26" s="564"/>
      <c r="I26" s="564"/>
      <c r="J26" s="564"/>
      <c r="K26" s="564"/>
      <c r="L26" s="564"/>
      <c r="M26" s="564"/>
      <c r="N26" s="564"/>
      <c r="O26" s="564"/>
      <c r="P26" s="564"/>
      <c r="Q26" s="564"/>
      <c r="R26" s="564"/>
      <c r="S26" s="564"/>
      <c r="T26" s="564"/>
      <c r="U26" s="564"/>
      <c r="V26" s="564"/>
      <c r="W26" s="564"/>
      <c r="X26" s="564"/>
      <c r="Y26" s="564"/>
      <c r="Z26" s="564"/>
      <c r="AA26" s="564"/>
      <c r="AB26" s="564"/>
      <c r="AC26" s="564"/>
      <c r="AD26" s="564"/>
      <c r="AE26" s="564"/>
      <c r="AF26" s="564"/>
      <c r="AG26" s="564"/>
      <c r="AH26" s="564"/>
      <c r="AI26" s="564"/>
      <c r="AJ26" s="564"/>
    </row>
    <row r="27" spans="1:38" ht="30" customHeight="1">
      <c r="A27" s="1994" t="str">
        <f>"２．作業内容　【判定】"&amp;AK27&amp;"（"&amp;AL27&amp;"）"</f>
        <v>２．作業内容　【判定】×（【要修正】未入力または入力不十分の箇所があります。）</v>
      </c>
      <c r="B27" s="1995"/>
      <c r="C27" s="1995"/>
      <c r="D27" s="1995"/>
      <c r="E27" s="1995"/>
      <c r="F27" s="1995"/>
      <c r="G27" s="1995"/>
      <c r="H27" s="1995"/>
      <c r="I27" s="1995"/>
      <c r="J27" s="1995"/>
      <c r="K27" s="1995"/>
      <c r="L27" s="1995"/>
      <c r="M27" s="1995"/>
      <c r="N27" s="1995"/>
      <c r="O27" s="1995"/>
      <c r="P27" s="1995"/>
      <c r="Q27" s="1995"/>
      <c r="R27" s="1995"/>
      <c r="S27" s="1995"/>
      <c r="T27" s="1995"/>
      <c r="U27" s="1995"/>
      <c r="V27" s="1995"/>
      <c r="W27" s="1995"/>
      <c r="X27" s="1995"/>
      <c r="Y27" s="1995"/>
      <c r="Z27" s="1995"/>
      <c r="AA27" s="1995"/>
      <c r="AB27" s="1995"/>
      <c r="AC27" s="1995"/>
      <c r="AD27" s="1995"/>
      <c r="AE27" s="1995"/>
      <c r="AF27" s="1995"/>
      <c r="AG27" s="1995"/>
      <c r="AH27" s="1995"/>
      <c r="AI27" s="1995"/>
      <c r="AJ27" s="1995"/>
      <c r="AK27" s="565" t="str">
        <f xml:space="preserve">
IF(OR(COUNTIF(Q29:R38,"○")=10,COUNTIF(Q29:R38,"×")&gt;=1,COUNTA(D41)=0),"×","◎")</f>
        <v>×</v>
      </c>
      <c r="AL27" s="566" t="str">
        <f xml:space="preserve">
IF(OR(COUNTIF(Q29:R38,"○")=10,COUNTIF(Q29:R38,"×")&gt;=1,COUNTA(D41)=0),"【要修正】未入力または入力不十分の箇所があります。","適切に入力がされました。")</f>
        <v>【要修正】未入力または入力不十分の箇所があります。</v>
      </c>
    </row>
    <row r="28" spans="1:38" ht="24.95" customHeight="1">
      <c r="A28" s="564"/>
      <c r="B28" s="2020" t="s">
        <v>1263</v>
      </c>
      <c r="C28" s="991"/>
      <c r="D28" s="990" t="s">
        <v>1334</v>
      </c>
      <c r="E28" s="991"/>
      <c r="F28" s="991"/>
      <c r="G28" s="991"/>
      <c r="H28" s="991"/>
      <c r="I28" s="991"/>
      <c r="J28" s="991"/>
      <c r="K28" s="991"/>
      <c r="L28" s="991"/>
      <c r="M28" s="991"/>
      <c r="N28" s="990" t="s">
        <v>1335</v>
      </c>
      <c r="O28" s="991"/>
      <c r="P28" s="991"/>
      <c r="Q28" s="990" t="s">
        <v>413</v>
      </c>
      <c r="R28" s="991"/>
      <c r="S28" s="2020" t="s">
        <v>415</v>
      </c>
      <c r="T28" s="991"/>
      <c r="U28" s="991"/>
      <c r="V28" s="991"/>
      <c r="W28" s="991"/>
      <c r="X28" s="991"/>
      <c r="Y28" s="991"/>
      <c r="Z28" s="991"/>
      <c r="AA28" s="991"/>
      <c r="AB28" s="991"/>
      <c r="AC28" s="991"/>
      <c r="AD28" s="991"/>
      <c r="AE28" s="991"/>
      <c r="AF28" s="991"/>
      <c r="AG28" s="991"/>
      <c r="AH28" s="991"/>
      <c r="AI28" s="991"/>
      <c r="AJ28" s="564"/>
    </row>
    <row r="29" spans="1:38" ht="24.95" customHeight="1">
      <c r="A29" s="564"/>
      <c r="B29" s="2020">
        <v>1</v>
      </c>
      <c r="C29" s="991"/>
      <c r="D29" s="2021"/>
      <c r="E29" s="2022"/>
      <c r="F29" s="2022"/>
      <c r="G29" s="2022"/>
      <c r="H29" s="2022"/>
      <c r="I29" s="2022"/>
      <c r="J29" s="2022"/>
      <c r="K29" s="2022"/>
      <c r="L29" s="2022"/>
      <c r="M29" s="2022"/>
      <c r="N29" s="2023"/>
      <c r="O29" s="2024"/>
      <c r="P29" s="2024"/>
      <c r="Q29" s="990" t="str">
        <f xml:space="preserve">
IF(COUNTA(D29:P29)=0,"○",
IF(COUNTA(D29:P29)=1,"×",
IF(COUNTA(D29:P29)=2,"◎")))</f>
        <v>○</v>
      </c>
      <c r="R29" s="991"/>
      <c r="S29" s="2025" t="str">
        <f xml:space="preserve">
IF(COUNTA(D29:P29)=0,"未入力の状態です。（全ての欄を埋める必要はありません。）",
IF(COUNTA(D29:P29)=1,"【要修正】入力が不十分です。",
IF(COUNTA(D29:P29)=2,"適切に入力がされました。")))</f>
        <v>未入力の状態です。（全ての欄を埋める必要はありません。）</v>
      </c>
      <c r="T29" s="2026"/>
      <c r="U29" s="2026"/>
      <c r="V29" s="2026"/>
      <c r="W29" s="2026"/>
      <c r="X29" s="2026"/>
      <c r="Y29" s="2026"/>
      <c r="Z29" s="2026"/>
      <c r="AA29" s="2026"/>
      <c r="AB29" s="2026"/>
      <c r="AC29" s="2026"/>
      <c r="AD29" s="2026"/>
      <c r="AE29" s="2026"/>
      <c r="AF29" s="2026"/>
      <c r="AG29" s="2026"/>
      <c r="AH29" s="2026"/>
      <c r="AI29" s="2026"/>
      <c r="AJ29" s="564"/>
    </row>
    <row r="30" spans="1:38" ht="24.95" customHeight="1">
      <c r="A30" s="564"/>
      <c r="B30" s="2020">
        <v>2</v>
      </c>
      <c r="C30" s="991"/>
      <c r="D30" s="2021"/>
      <c r="E30" s="2022"/>
      <c r="F30" s="2022"/>
      <c r="G30" s="2022"/>
      <c r="H30" s="2022"/>
      <c r="I30" s="2022"/>
      <c r="J30" s="2022"/>
      <c r="K30" s="2022"/>
      <c r="L30" s="2022"/>
      <c r="M30" s="2022"/>
      <c r="N30" s="2023"/>
      <c r="O30" s="2024"/>
      <c r="P30" s="2024"/>
      <c r="Q30" s="990" t="str">
        <f t="shared" ref="Q30:Q38" si="4" xml:space="preserve">
IF(COUNTA(D30:P30)=0,"○",
IF(COUNTA(D30:P30)=1,"×",
IF(COUNTA(D30:P30)=2,"◎")))</f>
        <v>○</v>
      </c>
      <c r="R30" s="991"/>
      <c r="S30" s="2025" t="str">
        <f t="shared" ref="S30:S38" si="5" xml:space="preserve">
IF(COUNTA(D30:P30)=0,"未入力の状態です。（全ての欄を埋める必要はありません。）",
IF(COUNTA(D30:P30)=1,"【要修正】入力が不十分です。",
IF(COUNTA(D30:P30)=2,"適切に入力がされました。")))</f>
        <v>未入力の状態です。（全ての欄を埋める必要はありません。）</v>
      </c>
      <c r="T30" s="2026"/>
      <c r="U30" s="2026"/>
      <c r="V30" s="2026"/>
      <c r="W30" s="2026"/>
      <c r="X30" s="2026"/>
      <c r="Y30" s="2026"/>
      <c r="Z30" s="2026"/>
      <c r="AA30" s="2026"/>
      <c r="AB30" s="2026"/>
      <c r="AC30" s="2026"/>
      <c r="AD30" s="2026"/>
      <c r="AE30" s="2026"/>
      <c r="AF30" s="2026"/>
      <c r="AG30" s="2026"/>
      <c r="AH30" s="2026"/>
      <c r="AI30" s="2026"/>
      <c r="AJ30" s="564"/>
    </row>
    <row r="31" spans="1:38" ht="24.95" customHeight="1">
      <c r="A31" s="564"/>
      <c r="B31" s="2020">
        <v>3</v>
      </c>
      <c r="C31" s="991"/>
      <c r="D31" s="2021"/>
      <c r="E31" s="2022"/>
      <c r="F31" s="2022"/>
      <c r="G31" s="2022"/>
      <c r="H31" s="2022"/>
      <c r="I31" s="2022"/>
      <c r="J31" s="2022"/>
      <c r="K31" s="2022"/>
      <c r="L31" s="2022"/>
      <c r="M31" s="2022"/>
      <c r="N31" s="2023"/>
      <c r="O31" s="2024"/>
      <c r="P31" s="2024"/>
      <c r="Q31" s="990" t="str">
        <f t="shared" si="4"/>
        <v>○</v>
      </c>
      <c r="R31" s="991"/>
      <c r="S31" s="2025" t="str">
        <f t="shared" si="5"/>
        <v>未入力の状態です。（全ての欄を埋める必要はありません。）</v>
      </c>
      <c r="T31" s="2026"/>
      <c r="U31" s="2026"/>
      <c r="V31" s="2026"/>
      <c r="W31" s="2026"/>
      <c r="X31" s="2026"/>
      <c r="Y31" s="2026"/>
      <c r="Z31" s="2026"/>
      <c r="AA31" s="2026"/>
      <c r="AB31" s="2026"/>
      <c r="AC31" s="2026"/>
      <c r="AD31" s="2026"/>
      <c r="AE31" s="2026"/>
      <c r="AF31" s="2026"/>
      <c r="AG31" s="2026"/>
      <c r="AH31" s="2026"/>
      <c r="AI31" s="2026"/>
      <c r="AJ31" s="564"/>
    </row>
    <row r="32" spans="1:38" ht="24.95" customHeight="1">
      <c r="A32" s="564"/>
      <c r="B32" s="2020">
        <v>4</v>
      </c>
      <c r="C32" s="991"/>
      <c r="D32" s="2021"/>
      <c r="E32" s="2022"/>
      <c r="F32" s="2022"/>
      <c r="G32" s="2022"/>
      <c r="H32" s="2022"/>
      <c r="I32" s="2022"/>
      <c r="J32" s="2022"/>
      <c r="K32" s="2022"/>
      <c r="L32" s="2022"/>
      <c r="M32" s="2022"/>
      <c r="N32" s="2023"/>
      <c r="O32" s="2024"/>
      <c r="P32" s="2024"/>
      <c r="Q32" s="990" t="str">
        <f t="shared" si="4"/>
        <v>○</v>
      </c>
      <c r="R32" s="991"/>
      <c r="S32" s="2025" t="str">
        <f t="shared" si="5"/>
        <v>未入力の状態です。（全ての欄を埋める必要はありません。）</v>
      </c>
      <c r="T32" s="2026"/>
      <c r="U32" s="2026"/>
      <c r="V32" s="2026"/>
      <c r="W32" s="2026"/>
      <c r="X32" s="2026"/>
      <c r="Y32" s="2026"/>
      <c r="Z32" s="2026"/>
      <c r="AA32" s="2026"/>
      <c r="AB32" s="2026"/>
      <c r="AC32" s="2026"/>
      <c r="AD32" s="2026"/>
      <c r="AE32" s="2026"/>
      <c r="AF32" s="2026"/>
      <c r="AG32" s="2026"/>
      <c r="AH32" s="2026"/>
      <c r="AI32" s="2026"/>
      <c r="AJ32" s="564"/>
    </row>
    <row r="33" spans="1:38" ht="24.95" customHeight="1">
      <c r="A33" s="564"/>
      <c r="B33" s="2020">
        <v>5</v>
      </c>
      <c r="C33" s="991"/>
      <c r="D33" s="2021"/>
      <c r="E33" s="2022"/>
      <c r="F33" s="2022"/>
      <c r="G33" s="2022"/>
      <c r="H33" s="2022"/>
      <c r="I33" s="2022"/>
      <c r="J33" s="2022"/>
      <c r="K33" s="2022"/>
      <c r="L33" s="2022"/>
      <c r="M33" s="2022"/>
      <c r="N33" s="2023"/>
      <c r="O33" s="2024"/>
      <c r="P33" s="2024"/>
      <c r="Q33" s="990" t="str">
        <f t="shared" si="4"/>
        <v>○</v>
      </c>
      <c r="R33" s="991"/>
      <c r="S33" s="2025" t="str">
        <f t="shared" si="5"/>
        <v>未入力の状態です。（全ての欄を埋める必要はありません。）</v>
      </c>
      <c r="T33" s="2026"/>
      <c r="U33" s="2026"/>
      <c r="V33" s="2026"/>
      <c r="W33" s="2026"/>
      <c r="X33" s="2026"/>
      <c r="Y33" s="2026"/>
      <c r="Z33" s="2026"/>
      <c r="AA33" s="2026"/>
      <c r="AB33" s="2026"/>
      <c r="AC33" s="2026"/>
      <c r="AD33" s="2026"/>
      <c r="AE33" s="2026"/>
      <c r="AF33" s="2026"/>
      <c r="AG33" s="2026"/>
      <c r="AH33" s="2026"/>
      <c r="AI33" s="2026"/>
      <c r="AJ33" s="564"/>
    </row>
    <row r="34" spans="1:38" ht="24.95" customHeight="1">
      <c r="A34" s="564"/>
      <c r="B34" s="2020">
        <v>6</v>
      </c>
      <c r="C34" s="991"/>
      <c r="D34" s="2021"/>
      <c r="E34" s="2022"/>
      <c r="F34" s="2022"/>
      <c r="G34" s="2022"/>
      <c r="H34" s="2022"/>
      <c r="I34" s="2022"/>
      <c r="J34" s="2022"/>
      <c r="K34" s="2022"/>
      <c r="L34" s="2022"/>
      <c r="M34" s="2022"/>
      <c r="N34" s="2023"/>
      <c r="O34" s="2024"/>
      <c r="P34" s="2024"/>
      <c r="Q34" s="990" t="str">
        <f t="shared" si="4"/>
        <v>○</v>
      </c>
      <c r="R34" s="991"/>
      <c r="S34" s="2025" t="str">
        <f t="shared" si="5"/>
        <v>未入力の状態です。（全ての欄を埋める必要はありません。）</v>
      </c>
      <c r="T34" s="2026"/>
      <c r="U34" s="2026"/>
      <c r="V34" s="2026"/>
      <c r="W34" s="2026"/>
      <c r="X34" s="2026"/>
      <c r="Y34" s="2026"/>
      <c r="Z34" s="2026"/>
      <c r="AA34" s="2026"/>
      <c r="AB34" s="2026"/>
      <c r="AC34" s="2026"/>
      <c r="AD34" s="2026"/>
      <c r="AE34" s="2026"/>
      <c r="AF34" s="2026"/>
      <c r="AG34" s="2026"/>
      <c r="AH34" s="2026"/>
      <c r="AI34" s="2026"/>
      <c r="AJ34" s="564"/>
    </row>
    <row r="35" spans="1:38" ht="24.95" customHeight="1">
      <c r="B35" s="2020">
        <v>7</v>
      </c>
      <c r="C35" s="991"/>
      <c r="D35" s="2021"/>
      <c r="E35" s="2022"/>
      <c r="F35" s="2022"/>
      <c r="G35" s="2022"/>
      <c r="H35" s="2022"/>
      <c r="I35" s="2022"/>
      <c r="J35" s="2022"/>
      <c r="K35" s="2022"/>
      <c r="L35" s="2022"/>
      <c r="M35" s="2022"/>
      <c r="N35" s="2023"/>
      <c r="O35" s="2024"/>
      <c r="P35" s="2024"/>
      <c r="Q35" s="990" t="str">
        <f t="shared" si="4"/>
        <v>○</v>
      </c>
      <c r="R35" s="991"/>
      <c r="S35" s="2025" t="str">
        <f t="shared" si="5"/>
        <v>未入力の状態です。（全ての欄を埋める必要はありません。）</v>
      </c>
      <c r="T35" s="2026"/>
      <c r="U35" s="2026"/>
      <c r="V35" s="2026"/>
      <c r="W35" s="2026"/>
      <c r="X35" s="2026"/>
      <c r="Y35" s="2026"/>
      <c r="Z35" s="2026"/>
      <c r="AA35" s="2026"/>
      <c r="AB35" s="2026"/>
      <c r="AC35" s="2026"/>
      <c r="AD35" s="2026"/>
      <c r="AE35" s="2026"/>
      <c r="AF35" s="2026"/>
      <c r="AG35" s="2026"/>
      <c r="AH35" s="2026"/>
      <c r="AI35" s="2026"/>
    </row>
    <row r="36" spans="1:38" ht="24.95" customHeight="1">
      <c r="B36" s="2020">
        <v>8</v>
      </c>
      <c r="C36" s="991"/>
      <c r="D36" s="2021"/>
      <c r="E36" s="2022"/>
      <c r="F36" s="2022"/>
      <c r="G36" s="2022"/>
      <c r="H36" s="2022"/>
      <c r="I36" s="2022"/>
      <c r="J36" s="2022"/>
      <c r="K36" s="2022"/>
      <c r="L36" s="2022"/>
      <c r="M36" s="2022"/>
      <c r="N36" s="2023"/>
      <c r="O36" s="2024"/>
      <c r="P36" s="2024"/>
      <c r="Q36" s="990" t="str">
        <f t="shared" si="4"/>
        <v>○</v>
      </c>
      <c r="R36" s="991"/>
      <c r="S36" s="2025" t="str">
        <f t="shared" si="5"/>
        <v>未入力の状態です。（全ての欄を埋める必要はありません。）</v>
      </c>
      <c r="T36" s="2026"/>
      <c r="U36" s="2026"/>
      <c r="V36" s="2026"/>
      <c r="W36" s="2026"/>
      <c r="X36" s="2026"/>
      <c r="Y36" s="2026"/>
      <c r="Z36" s="2026"/>
      <c r="AA36" s="2026"/>
      <c r="AB36" s="2026"/>
      <c r="AC36" s="2026"/>
      <c r="AD36" s="2026"/>
      <c r="AE36" s="2026"/>
      <c r="AF36" s="2026"/>
      <c r="AG36" s="2026"/>
      <c r="AH36" s="2026"/>
      <c r="AI36" s="2026"/>
    </row>
    <row r="37" spans="1:38" ht="24.95" customHeight="1">
      <c r="B37" s="2020">
        <v>9</v>
      </c>
      <c r="C37" s="991"/>
      <c r="D37" s="2021"/>
      <c r="E37" s="2022"/>
      <c r="F37" s="2022"/>
      <c r="G37" s="2022"/>
      <c r="H37" s="2022"/>
      <c r="I37" s="2022"/>
      <c r="J37" s="2022"/>
      <c r="K37" s="2022"/>
      <c r="L37" s="2022"/>
      <c r="M37" s="2022"/>
      <c r="N37" s="2023"/>
      <c r="O37" s="2024"/>
      <c r="P37" s="2024"/>
      <c r="Q37" s="990" t="str">
        <f t="shared" si="4"/>
        <v>○</v>
      </c>
      <c r="R37" s="991"/>
      <c r="S37" s="2025" t="str">
        <f t="shared" si="5"/>
        <v>未入力の状態です。（全ての欄を埋める必要はありません。）</v>
      </c>
      <c r="T37" s="2026"/>
      <c r="U37" s="2026"/>
      <c r="V37" s="2026"/>
      <c r="W37" s="2026"/>
      <c r="X37" s="2026"/>
      <c r="Y37" s="2026"/>
      <c r="Z37" s="2026"/>
      <c r="AA37" s="2026"/>
      <c r="AB37" s="2026"/>
      <c r="AC37" s="2026"/>
      <c r="AD37" s="2026"/>
      <c r="AE37" s="2026"/>
      <c r="AF37" s="2026"/>
      <c r="AG37" s="2026"/>
      <c r="AH37" s="2026"/>
      <c r="AI37" s="2026"/>
    </row>
    <row r="38" spans="1:38" ht="24.95" customHeight="1">
      <c r="B38" s="2020">
        <v>10</v>
      </c>
      <c r="C38" s="991"/>
      <c r="D38" s="2021"/>
      <c r="E38" s="2022"/>
      <c r="F38" s="2022"/>
      <c r="G38" s="2022"/>
      <c r="H38" s="2022"/>
      <c r="I38" s="2022"/>
      <c r="J38" s="2022"/>
      <c r="K38" s="2022"/>
      <c r="L38" s="2022"/>
      <c r="M38" s="2022"/>
      <c r="N38" s="2023"/>
      <c r="O38" s="2024"/>
      <c r="P38" s="2024"/>
      <c r="Q38" s="990" t="str">
        <f t="shared" si="4"/>
        <v>○</v>
      </c>
      <c r="R38" s="991"/>
      <c r="S38" s="2025" t="str">
        <f t="shared" si="5"/>
        <v>未入力の状態です。（全ての欄を埋める必要はありません。）</v>
      </c>
      <c r="T38" s="2026"/>
      <c r="U38" s="2026"/>
      <c r="V38" s="2026"/>
      <c r="W38" s="2026"/>
      <c r="X38" s="2026"/>
      <c r="Y38" s="2026"/>
      <c r="Z38" s="2026"/>
      <c r="AA38" s="2026"/>
      <c r="AB38" s="2026"/>
      <c r="AC38" s="2026"/>
      <c r="AD38" s="2026"/>
      <c r="AE38" s="2026"/>
      <c r="AF38" s="2026"/>
      <c r="AG38" s="2026"/>
      <c r="AH38" s="2026"/>
      <c r="AI38" s="2026"/>
    </row>
    <row r="39" spans="1:38" ht="24.95" customHeight="1"/>
    <row r="40" spans="1:38" ht="24.95" customHeight="1">
      <c r="B40" s="2031" t="str">
        <f>"上記の "&amp;SUM(N29:P38)&amp;"箇所 を消毒する際の１回あたり所要時間"</f>
        <v>上記の 0箇所 を消毒する際の１回あたり所要時間</v>
      </c>
      <c r="C40" s="983"/>
      <c r="D40" s="983"/>
      <c r="E40" s="983"/>
      <c r="F40" s="983"/>
      <c r="G40" s="983"/>
      <c r="H40" s="983"/>
      <c r="I40" s="983"/>
      <c r="J40" s="983"/>
      <c r="K40" s="983"/>
      <c r="L40" s="983"/>
      <c r="M40" s="983"/>
      <c r="N40" s="983"/>
      <c r="O40" s="983"/>
      <c r="P40" s="564"/>
      <c r="Q40" s="990" t="s">
        <v>413</v>
      </c>
      <c r="R40" s="991"/>
      <c r="S40" s="2020" t="s">
        <v>415</v>
      </c>
      <c r="T40" s="991"/>
      <c r="U40" s="991"/>
      <c r="V40" s="991"/>
      <c r="W40" s="991"/>
      <c r="X40" s="991"/>
      <c r="Y40" s="991"/>
      <c r="Z40" s="991"/>
      <c r="AA40" s="991"/>
      <c r="AB40" s="991"/>
      <c r="AC40" s="991"/>
      <c r="AD40" s="991"/>
      <c r="AE40" s="991"/>
      <c r="AF40" s="991"/>
      <c r="AG40" s="991"/>
      <c r="AH40" s="991"/>
      <c r="AI40" s="991"/>
    </row>
    <row r="41" spans="1:38" ht="24.95" customHeight="1">
      <c r="B41" s="2032" t="s">
        <v>1336</v>
      </c>
      <c r="C41" s="1776"/>
      <c r="D41" s="2033"/>
      <c r="E41" s="2034"/>
      <c r="F41" s="2034"/>
      <c r="G41" s="2034"/>
      <c r="H41" s="2035" t="s">
        <v>1337</v>
      </c>
      <c r="I41" s="1776"/>
      <c r="J41" s="1776"/>
      <c r="K41" s="1776"/>
      <c r="L41" s="1776"/>
      <c r="M41" s="1776"/>
      <c r="N41" s="1776"/>
      <c r="O41" s="1776"/>
      <c r="P41" s="1776"/>
      <c r="Q41" s="2037" t="str">
        <f xml:space="preserve">
IF(COUNTA(D41)=0,"×",
IF(COUNTA(D41)=1,"◎"))</f>
        <v>×</v>
      </c>
      <c r="R41" s="2038"/>
      <c r="S41" s="2039" t="str">
        <f xml:space="preserve">
IF(COUNTA(D41)=0,"【要修正】未入力の状態です。",
IF(COUNTA(D41)=1,"適切に入力がされました。"))</f>
        <v>【要修正】未入力の状態です。</v>
      </c>
      <c r="T41" s="2040"/>
      <c r="U41" s="2040"/>
      <c r="V41" s="2040"/>
      <c r="W41" s="2040"/>
      <c r="X41" s="2040"/>
      <c r="Y41" s="2040"/>
      <c r="Z41" s="2040"/>
      <c r="AA41" s="2040"/>
      <c r="AB41" s="2040"/>
      <c r="AC41" s="2040"/>
      <c r="AD41" s="2040"/>
      <c r="AE41" s="2040"/>
      <c r="AF41" s="2040"/>
      <c r="AG41" s="2040"/>
      <c r="AH41" s="2040"/>
      <c r="AI41" s="2040"/>
    </row>
    <row r="42" spans="1:38" ht="24.95" customHeight="1">
      <c r="B42" s="1776"/>
      <c r="C42" s="1776"/>
      <c r="D42" s="2034"/>
      <c r="E42" s="2034"/>
      <c r="F42" s="2034"/>
      <c r="G42" s="2034"/>
      <c r="H42" s="2036"/>
      <c r="I42" s="1776"/>
      <c r="J42" s="1776"/>
      <c r="K42" s="1776"/>
      <c r="L42" s="1776"/>
      <c r="M42" s="1776"/>
      <c r="N42" s="1776"/>
      <c r="O42" s="1776"/>
      <c r="P42" s="1776"/>
      <c r="Q42" s="1722"/>
      <c r="R42" s="1722"/>
      <c r="S42" s="1722"/>
      <c r="T42" s="1722"/>
      <c r="U42" s="1722"/>
      <c r="V42" s="1722"/>
      <c r="W42" s="1722"/>
      <c r="X42" s="1722"/>
      <c r="Y42" s="1722"/>
      <c r="Z42" s="1722"/>
      <c r="AA42" s="1722"/>
      <c r="AB42" s="1722"/>
      <c r="AC42" s="1722"/>
      <c r="AD42" s="1722"/>
      <c r="AE42" s="1722"/>
      <c r="AF42" s="1722"/>
      <c r="AG42" s="1722"/>
      <c r="AH42" s="1722"/>
      <c r="AI42" s="1722"/>
    </row>
    <row r="44" spans="1:38" ht="30" customHeight="1">
      <c r="A44" s="1994" t="s">
        <v>1338</v>
      </c>
      <c r="B44" s="1995"/>
      <c r="C44" s="1995"/>
      <c r="D44" s="1995"/>
      <c r="E44" s="1995"/>
      <c r="F44" s="1995"/>
      <c r="G44" s="1995"/>
      <c r="H44" s="1995"/>
      <c r="I44" s="1995"/>
      <c r="J44" s="1995"/>
      <c r="K44" s="1995"/>
      <c r="L44" s="1995"/>
      <c r="M44" s="1995"/>
      <c r="N44" s="1995"/>
      <c r="O44" s="1995"/>
      <c r="P44" s="1995"/>
      <c r="Q44" s="1995"/>
      <c r="R44" s="1995"/>
      <c r="S44" s="1995"/>
      <c r="T44" s="1995"/>
      <c r="U44" s="1995"/>
      <c r="V44" s="1995"/>
      <c r="W44" s="1995"/>
      <c r="X44" s="1995"/>
      <c r="Y44" s="1995"/>
      <c r="Z44" s="1995"/>
      <c r="AA44" s="1995"/>
      <c r="AB44" s="1995"/>
      <c r="AC44" s="1995"/>
      <c r="AD44" s="1995"/>
      <c r="AE44" s="1995"/>
      <c r="AF44" s="1995"/>
      <c r="AG44" s="1995"/>
      <c r="AH44" s="1995"/>
      <c r="AI44" s="1995"/>
      <c r="AJ44" s="1995"/>
    </row>
    <row r="45" spans="1:38">
      <c r="AK45" s="561">
        <v>1</v>
      </c>
      <c r="AL45" s="561" t="str">
        <f>AK7</f>
        <v>×</v>
      </c>
    </row>
    <row r="46" spans="1:38" ht="18.75">
      <c r="B46" s="2027" t="s">
        <v>1311</v>
      </c>
      <c r="C46" s="2028"/>
      <c r="D46" s="2028"/>
      <c r="E46" s="2028"/>
      <c r="H46" s="2027" t="s">
        <v>1339</v>
      </c>
      <c r="I46" s="2028"/>
      <c r="J46" s="2028"/>
      <c r="K46" s="2028"/>
      <c r="N46" s="2027"/>
      <c r="O46" s="2028"/>
      <c r="P46" s="2028"/>
      <c r="Q46" s="2028"/>
      <c r="T46" s="2027" t="s">
        <v>1340</v>
      </c>
      <c r="U46" s="2028"/>
      <c r="V46" s="2028"/>
      <c r="W46" s="2028"/>
      <c r="X46" s="2028"/>
      <c r="AA46" s="2029" t="s">
        <v>1341</v>
      </c>
      <c r="AB46" s="2030"/>
      <c r="AC46" s="2030"/>
      <c r="AD46" s="2030"/>
      <c r="AE46" s="2030"/>
      <c r="AK46" s="561">
        <v>2</v>
      </c>
      <c r="AL46" s="561" t="str">
        <f>AK27</f>
        <v>×</v>
      </c>
    </row>
    <row r="47" spans="1:38" ht="18" customHeight="1">
      <c r="B47" s="2048">
        <f>IF(AL45="◎",X11,0)</f>
        <v>0</v>
      </c>
      <c r="C47" s="980"/>
      <c r="D47" s="980"/>
      <c r="E47" s="981"/>
      <c r="F47" s="2047" t="s">
        <v>1342</v>
      </c>
      <c r="G47" s="1776"/>
      <c r="H47" s="2057">
        <f>IF(AL46="◎",D41,0)</f>
        <v>0</v>
      </c>
      <c r="I47" s="2058"/>
      <c r="J47" s="2058"/>
      <c r="K47" s="2059"/>
      <c r="L47" s="2047" t="s">
        <v>1343</v>
      </c>
      <c r="M47" s="1776"/>
      <c r="N47" s="2057">
        <v>60</v>
      </c>
      <c r="O47" s="2058"/>
      <c r="P47" s="2058"/>
      <c r="Q47" s="2059"/>
      <c r="R47" s="2047" t="s">
        <v>1342</v>
      </c>
      <c r="S47" s="1776"/>
      <c r="T47" s="2041"/>
      <c r="U47" s="2042"/>
      <c r="V47" s="2042"/>
      <c r="W47" s="2042"/>
      <c r="X47" s="2043"/>
      <c r="Y47" s="2047" t="s">
        <v>1344</v>
      </c>
      <c r="Z47" s="1776"/>
      <c r="AA47" s="2048">
        <f>IF(COUNTIF(AL45:AL46,"◎")=2,ROUNDDOWN(B47*H47/N47*T47,0),0)</f>
        <v>0</v>
      </c>
      <c r="AB47" s="2049"/>
      <c r="AC47" s="2049"/>
      <c r="AD47" s="2049"/>
      <c r="AE47" s="2050"/>
      <c r="AK47" s="566" t="s">
        <v>1345</v>
      </c>
      <c r="AL47" s="561" t="str">
        <f>IF(はじめに入力してください!P26="総合判定"&amp;CHAR(10)&amp;"【○】","◎","×")</f>
        <v>×</v>
      </c>
    </row>
    <row r="48" spans="1:38" ht="18" customHeight="1">
      <c r="B48" s="2054"/>
      <c r="C48" s="2055"/>
      <c r="D48" s="2055"/>
      <c r="E48" s="2056"/>
      <c r="F48" s="1776"/>
      <c r="G48" s="1776"/>
      <c r="H48" s="2060"/>
      <c r="I48" s="2061"/>
      <c r="J48" s="2061"/>
      <c r="K48" s="2062"/>
      <c r="L48" s="1776"/>
      <c r="M48" s="1776"/>
      <c r="N48" s="2060"/>
      <c r="O48" s="2061"/>
      <c r="P48" s="2061"/>
      <c r="Q48" s="2062"/>
      <c r="R48" s="1776"/>
      <c r="S48" s="1776"/>
      <c r="T48" s="2044"/>
      <c r="U48" s="2045"/>
      <c r="V48" s="2045"/>
      <c r="W48" s="2045"/>
      <c r="X48" s="2046"/>
      <c r="Y48" s="1776"/>
      <c r="Z48" s="1776"/>
      <c r="AA48" s="2051"/>
      <c r="AB48" s="2052"/>
      <c r="AC48" s="2052"/>
      <c r="AD48" s="2052"/>
      <c r="AE48" s="2053"/>
    </row>
    <row r="50" spans="1:35" ht="18.75">
      <c r="T50" s="2029" t="str">
        <f>"《参考》延べ入院患者数："&amp;IF(AL47="◎",TEXT(消毒経費!C6,"#,###人"),"基礎情報シートが入力不十分")</f>
        <v>《参考》延べ入院患者数：基礎情報シートが入力不十分</v>
      </c>
      <c r="U50" s="2030"/>
      <c r="V50" s="2030"/>
      <c r="W50" s="2030"/>
      <c r="X50" s="2030"/>
      <c r="Y50" s="2030"/>
      <c r="Z50" s="2030"/>
      <c r="AA50" s="2030"/>
      <c r="AB50" s="2030"/>
      <c r="AC50" s="2030"/>
      <c r="AD50" s="2030"/>
      <c r="AE50" s="2030"/>
      <c r="AF50" s="2030"/>
      <c r="AG50" s="2030"/>
      <c r="AH50" s="2030"/>
      <c r="AI50" s="2030"/>
    </row>
    <row r="56" spans="1:35">
      <c r="A56" s="561" t="s">
        <v>1320</v>
      </c>
    </row>
    <row r="57" spans="1:35">
      <c r="A57" s="561" t="s">
        <v>1294</v>
      </c>
    </row>
  </sheetData>
  <sheetProtection algorithmName="SHA-512" hashValue="3FhcqWh5slQwzBGj38To4FyEW8S6HkTgWDBQQMONakC4d04bSwCdUnh3ZdiL/O1zFIKqp5ODH8X1TpkzhPKbZA==" saltValue="wUaGmKPwXxnWNonF8bTJUw==" spinCount="100000" sheet="1" objects="1" scenarios="1"/>
  <mergeCells count="217">
    <mergeCell ref="T47:X48"/>
    <mergeCell ref="Y47:Z48"/>
    <mergeCell ref="AA47:AE48"/>
    <mergeCell ref="T50:AI50"/>
    <mergeCell ref="B47:E48"/>
    <mergeCell ref="F47:G48"/>
    <mergeCell ref="H47:K48"/>
    <mergeCell ref="L47:M48"/>
    <mergeCell ref="N47:Q48"/>
    <mergeCell ref="R47:S48"/>
    <mergeCell ref="A44:AJ44"/>
    <mergeCell ref="B46:E46"/>
    <mergeCell ref="H46:K46"/>
    <mergeCell ref="N46:Q46"/>
    <mergeCell ref="T46:X46"/>
    <mergeCell ref="AA46:AE46"/>
    <mergeCell ref="B40:O40"/>
    <mergeCell ref="Q40:R40"/>
    <mergeCell ref="S40:AI40"/>
    <mergeCell ref="B41:C42"/>
    <mergeCell ref="D41:G42"/>
    <mergeCell ref="H41:P42"/>
    <mergeCell ref="Q41:R42"/>
    <mergeCell ref="S41:AI42"/>
    <mergeCell ref="B37:C37"/>
    <mergeCell ref="D37:M37"/>
    <mergeCell ref="N37:P37"/>
    <mergeCell ref="Q37:R37"/>
    <mergeCell ref="S37:AI37"/>
    <mergeCell ref="B38:C38"/>
    <mergeCell ref="D38:M38"/>
    <mergeCell ref="N38:P38"/>
    <mergeCell ref="Q38:R38"/>
    <mergeCell ref="S38:AI38"/>
    <mergeCell ref="B35:C35"/>
    <mergeCell ref="D35:M35"/>
    <mergeCell ref="N35:P35"/>
    <mergeCell ref="Q35:R35"/>
    <mergeCell ref="S35:AI35"/>
    <mergeCell ref="B36:C36"/>
    <mergeCell ref="D36:M36"/>
    <mergeCell ref="N36:P36"/>
    <mergeCell ref="Q36:R36"/>
    <mergeCell ref="S36:AI36"/>
    <mergeCell ref="B33:C33"/>
    <mergeCell ref="D33:M33"/>
    <mergeCell ref="N33:P33"/>
    <mergeCell ref="Q33:R33"/>
    <mergeCell ref="S33:AI33"/>
    <mergeCell ref="B34:C34"/>
    <mergeCell ref="D34:M34"/>
    <mergeCell ref="N34:P34"/>
    <mergeCell ref="Q34:R34"/>
    <mergeCell ref="S34:AI34"/>
    <mergeCell ref="B31:C31"/>
    <mergeCell ref="D31:M31"/>
    <mergeCell ref="N31:P31"/>
    <mergeCell ref="Q31:R31"/>
    <mergeCell ref="S31:AI31"/>
    <mergeCell ref="B32:C32"/>
    <mergeCell ref="D32:M32"/>
    <mergeCell ref="N32:P32"/>
    <mergeCell ref="Q32:R32"/>
    <mergeCell ref="S32:AI32"/>
    <mergeCell ref="B29:C29"/>
    <mergeCell ref="D29:M29"/>
    <mergeCell ref="N29:P29"/>
    <mergeCell ref="Q29:R29"/>
    <mergeCell ref="S29:AI29"/>
    <mergeCell ref="B30:C30"/>
    <mergeCell ref="D30:M30"/>
    <mergeCell ref="N30:P30"/>
    <mergeCell ref="Q30:R30"/>
    <mergeCell ref="S30:AI30"/>
    <mergeCell ref="A27:AJ27"/>
    <mergeCell ref="B28:C28"/>
    <mergeCell ref="D28:M28"/>
    <mergeCell ref="N28:P28"/>
    <mergeCell ref="Q28:R28"/>
    <mergeCell ref="S28:AI28"/>
    <mergeCell ref="AB24:AC24"/>
    <mergeCell ref="AD24:AI24"/>
    <mergeCell ref="B25:D25"/>
    <mergeCell ref="E25:G25"/>
    <mergeCell ref="H25:K25"/>
    <mergeCell ref="L25:O25"/>
    <mergeCell ref="P25:S25"/>
    <mergeCell ref="T25:W25"/>
    <mergeCell ref="AB25:AC25"/>
    <mergeCell ref="AD25:AI25"/>
    <mergeCell ref="B24:D24"/>
    <mergeCell ref="E24:G24"/>
    <mergeCell ref="H24:K24"/>
    <mergeCell ref="L24:O24"/>
    <mergeCell ref="P24:S24"/>
    <mergeCell ref="T24:W24"/>
    <mergeCell ref="AB22:AC22"/>
    <mergeCell ref="AD22:AI22"/>
    <mergeCell ref="B23:D23"/>
    <mergeCell ref="E23:G23"/>
    <mergeCell ref="H23:K23"/>
    <mergeCell ref="L23:O23"/>
    <mergeCell ref="P23:S23"/>
    <mergeCell ref="T23:W23"/>
    <mergeCell ref="AB23:AC23"/>
    <mergeCell ref="AD23:AI23"/>
    <mergeCell ref="B22:D22"/>
    <mergeCell ref="E22:G22"/>
    <mergeCell ref="H22:K22"/>
    <mergeCell ref="L22:O22"/>
    <mergeCell ref="P22:S22"/>
    <mergeCell ref="T22:W22"/>
    <mergeCell ref="AB20:AC20"/>
    <mergeCell ref="AD20:AI20"/>
    <mergeCell ref="B21:D21"/>
    <mergeCell ref="E21:G21"/>
    <mergeCell ref="H21:K21"/>
    <mergeCell ref="L21:O21"/>
    <mergeCell ref="P21:S21"/>
    <mergeCell ref="T21:W21"/>
    <mergeCell ref="AB21:AC21"/>
    <mergeCell ref="AD21:AI21"/>
    <mergeCell ref="B20:D20"/>
    <mergeCell ref="E20:G20"/>
    <mergeCell ref="H20:K20"/>
    <mergeCell ref="L20:O20"/>
    <mergeCell ref="P20:S20"/>
    <mergeCell ref="T20:W20"/>
    <mergeCell ref="AB18:AC18"/>
    <mergeCell ref="AD18:AI18"/>
    <mergeCell ref="B19:D19"/>
    <mergeCell ref="E19:G19"/>
    <mergeCell ref="H19:K19"/>
    <mergeCell ref="L19:O19"/>
    <mergeCell ref="P19:S19"/>
    <mergeCell ref="T19:W19"/>
    <mergeCell ref="AB19:AC19"/>
    <mergeCell ref="AD19:AI19"/>
    <mergeCell ref="B18:D18"/>
    <mergeCell ref="E18:G18"/>
    <mergeCell ref="H18:K18"/>
    <mergeCell ref="L18:O18"/>
    <mergeCell ref="P18:S18"/>
    <mergeCell ref="T18:W18"/>
    <mergeCell ref="AB16:AC16"/>
    <mergeCell ref="AD16:AI16"/>
    <mergeCell ref="B17:D17"/>
    <mergeCell ref="E17:G17"/>
    <mergeCell ref="H17:K17"/>
    <mergeCell ref="L17:O17"/>
    <mergeCell ref="P17:S17"/>
    <mergeCell ref="T17:W17"/>
    <mergeCell ref="AB17:AC17"/>
    <mergeCell ref="AD17:AI17"/>
    <mergeCell ref="B16:D16"/>
    <mergeCell ref="E16:G16"/>
    <mergeCell ref="H16:K16"/>
    <mergeCell ref="L16:O16"/>
    <mergeCell ref="P16:S16"/>
    <mergeCell ref="T16:W16"/>
    <mergeCell ref="AB14:AC14"/>
    <mergeCell ref="AD14:AI14"/>
    <mergeCell ref="B15:D15"/>
    <mergeCell ref="E15:G15"/>
    <mergeCell ref="H15:K15"/>
    <mergeCell ref="L15:O15"/>
    <mergeCell ref="P15:S15"/>
    <mergeCell ref="T15:W15"/>
    <mergeCell ref="AB15:AC15"/>
    <mergeCell ref="AD15:AI15"/>
    <mergeCell ref="B14:D14"/>
    <mergeCell ref="E14:G14"/>
    <mergeCell ref="H14:K14"/>
    <mergeCell ref="L14:O14"/>
    <mergeCell ref="P14:S14"/>
    <mergeCell ref="T14:W14"/>
    <mergeCell ref="AD12:AI12"/>
    <mergeCell ref="B13:D13"/>
    <mergeCell ref="E13:G13"/>
    <mergeCell ref="H13:K13"/>
    <mergeCell ref="L13:O13"/>
    <mergeCell ref="P13:S13"/>
    <mergeCell ref="T13:W13"/>
    <mergeCell ref="AB13:AC13"/>
    <mergeCell ref="AD13:AI13"/>
    <mergeCell ref="X11:AA25"/>
    <mergeCell ref="AB11:AC11"/>
    <mergeCell ref="AD11:AI11"/>
    <mergeCell ref="B12:D12"/>
    <mergeCell ref="E12:G12"/>
    <mergeCell ref="H12:K12"/>
    <mergeCell ref="L12:O12"/>
    <mergeCell ref="P12:S12"/>
    <mergeCell ref="T12:W12"/>
    <mergeCell ref="AB12:AC12"/>
    <mergeCell ref="B11:D11"/>
    <mergeCell ref="E11:G11"/>
    <mergeCell ref="H11:K11"/>
    <mergeCell ref="L11:O11"/>
    <mergeCell ref="P11:S11"/>
    <mergeCell ref="T11:W11"/>
    <mergeCell ref="H9:S9"/>
    <mergeCell ref="T9:W9"/>
    <mergeCell ref="H10:K10"/>
    <mergeCell ref="L10:O10"/>
    <mergeCell ref="P10:S10"/>
    <mergeCell ref="T10:W10"/>
    <mergeCell ref="A2:AJ2"/>
    <mergeCell ref="A3:AJ4"/>
    <mergeCell ref="B5:AI6"/>
    <mergeCell ref="A7:AJ7"/>
    <mergeCell ref="B8:D10"/>
    <mergeCell ref="E8:G10"/>
    <mergeCell ref="H8:W8"/>
    <mergeCell ref="X8:AA10"/>
    <mergeCell ref="AB8:AC10"/>
    <mergeCell ref="AD8:AI10"/>
  </mergeCells>
  <phoneticPr fontId="9"/>
  <conditionalFormatting sqref="S29:AI38 S41:AI42">
    <cfRule type="containsText" dxfId="95" priority="4" operator="containsText" text="要修正">
      <formula>NOT(ISERROR(SEARCH("要修正",S29)))</formula>
    </cfRule>
  </conditionalFormatting>
  <conditionalFormatting sqref="AD11:AI25">
    <cfRule type="containsText" dxfId="94" priority="3" operator="containsText" text="要修正">
      <formula>NOT(ISERROR(SEARCH("要修正",AD11)))</formula>
    </cfRule>
  </conditionalFormatting>
  <conditionalFormatting sqref="A7:AJ7 A27:AJ27 S29:AI38 S41:AI42 A44:AJ44">
    <cfRule type="containsText" dxfId="93" priority="2" operator="containsText" text="要修正">
      <formula>NOT(ISERROR(SEARCH("要修正",A7)))</formula>
    </cfRule>
  </conditionalFormatting>
  <conditionalFormatting sqref="Q29:R38 Q41:R42 AB11:AC25">
    <cfRule type="containsText" dxfId="92" priority="1" operator="containsText" text="×">
      <formula>NOT(ISERROR(SEARCH("×",Q11)))</formula>
    </cfRule>
  </conditionalFormatting>
  <dataValidations count="1">
    <dataValidation type="list" allowBlank="1" showInputMessage="1" showErrorMessage="1" sqref="E11:G25" xr:uid="{C0217689-363C-4090-BFFF-B49351E2FE30}">
      <formula1>$A$56:$A$57</formula1>
    </dataValidation>
  </dataValidations>
  <pageMargins left="0.7" right="0.7" top="0.75" bottom="0.75" header="0.3" footer="0.3"/>
  <pageSetup paperSize="9" scale="61" orientation="portrait" r:id="rId1"/>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99F92C-F838-4B18-ABFD-FCA306EB7BDF}">
  <sheetPr>
    <tabColor rgb="FFFFC000"/>
    <pageSetUpPr fitToPage="1"/>
  </sheetPr>
  <dimension ref="B1:BK74"/>
  <sheetViews>
    <sheetView showGridLines="0" view="pageBreakPreview" topLeftCell="A13" zoomScale="30" zoomScaleNormal="100" zoomScaleSheetLayoutView="30" workbookViewId="0">
      <selection activeCell="J39" sqref="J39:K39"/>
    </sheetView>
  </sheetViews>
  <sheetFormatPr defaultColWidth="8.625" defaultRowHeight="24"/>
  <cols>
    <col min="1" max="1" width="5.625" style="683" customWidth="1"/>
    <col min="2" max="37" width="3.625" style="683" customWidth="1"/>
    <col min="38" max="38" width="5.625" style="683" customWidth="1"/>
    <col min="39" max="57" width="10.625" style="683" customWidth="1"/>
    <col min="58" max="59" width="8.625" style="683"/>
    <col min="60" max="60" width="100.625" style="680" customWidth="1"/>
    <col min="61" max="16384" width="8.625" style="683"/>
  </cols>
  <sheetData>
    <row r="1" spans="2:63" s="679" customFormat="1" ht="20.100000000000001" customHeight="1">
      <c r="AB1" s="2156" t="str">
        <f xml:space="preserve">
IF(表紙!$X$2="事前協議","（10月１日～３月31日分）",
IF(表紙!$X$2="交付申請（２次）","（10月１日～３月31日分）",
IF(表紙!$X$2="変更申請","（10月１日～３月31日分）",
IF(表紙!$X$2="実績報告（１次）","（５月８日～10月31日分）",
IF(表紙!$X$2="実績報告（２次）","（10月１日～３月31日分）",
IF(表紙!$X$2="交付申請兼実績報告","（10月１日～３月31日分）"))))))</f>
        <v>（10月１日～３月31日分）</v>
      </c>
      <c r="AC1" s="2157"/>
      <c r="AD1" s="2157"/>
      <c r="AE1" s="2157"/>
      <c r="AF1" s="2157"/>
      <c r="AG1" s="2157"/>
      <c r="AH1" s="2157"/>
      <c r="AI1" s="2157"/>
      <c r="AJ1" s="2157"/>
      <c r="AK1" s="2157"/>
      <c r="AL1" s="683"/>
      <c r="AM1" s="683"/>
      <c r="AN1" s="683"/>
      <c r="AO1" s="683"/>
      <c r="BH1" s="532"/>
    </row>
    <row r="2" spans="2:63">
      <c r="B2" s="2158" t="s">
        <v>1114</v>
      </c>
      <c r="C2" s="2159"/>
      <c r="D2" s="2159"/>
      <c r="E2" s="2159"/>
      <c r="F2" s="2159"/>
      <c r="G2" s="2159"/>
      <c r="H2" s="2159"/>
      <c r="I2" s="2159"/>
      <c r="J2" s="2159"/>
      <c r="K2" s="2159"/>
      <c r="L2" s="2159"/>
      <c r="M2" s="2159"/>
      <c r="N2" s="2159"/>
      <c r="O2" s="2159"/>
      <c r="P2" s="2159"/>
      <c r="Q2" s="2159"/>
      <c r="R2" s="2159"/>
      <c r="S2" s="2159"/>
      <c r="T2" s="533"/>
      <c r="U2" s="533"/>
      <c r="V2" s="533"/>
      <c r="W2" s="2150" t="s">
        <v>1115</v>
      </c>
      <c r="X2" s="1554"/>
      <c r="Y2" s="1554"/>
      <c r="Z2" s="1554"/>
      <c r="AA2" s="1554"/>
      <c r="AB2" s="1554"/>
      <c r="AC2" s="1554"/>
      <c r="AD2" s="1554"/>
      <c r="AE2" s="2101" t="s">
        <v>1116</v>
      </c>
      <c r="AF2" s="2102"/>
      <c r="AG2" s="2153">
        <f>AG31</f>
        <v>0</v>
      </c>
      <c r="AH2" s="1554"/>
      <c r="AI2" s="1554"/>
      <c r="AJ2" s="1554"/>
      <c r="AK2" s="1554"/>
      <c r="BF2" s="678" t="s">
        <v>487</v>
      </c>
      <c r="BG2" s="678" t="s">
        <v>98</v>
      </c>
      <c r="BH2" s="676" t="s">
        <v>61</v>
      </c>
      <c r="BI2" s="606" t="s">
        <v>1365</v>
      </c>
      <c r="BJ2" s="606" t="s">
        <v>1366</v>
      </c>
      <c r="BK2" s="606" t="s">
        <v>1367</v>
      </c>
    </row>
    <row r="3" spans="2:63">
      <c r="B3" s="2159"/>
      <c r="C3" s="2159"/>
      <c r="D3" s="2159"/>
      <c r="E3" s="2159"/>
      <c r="F3" s="2159"/>
      <c r="G3" s="2159"/>
      <c r="H3" s="2159"/>
      <c r="I3" s="2159"/>
      <c r="J3" s="2159"/>
      <c r="K3" s="2159"/>
      <c r="L3" s="2159"/>
      <c r="M3" s="2159"/>
      <c r="N3" s="2159"/>
      <c r="O3" s="2159"/>
      <c r="P3" s="2159"/>
      <c r="Q3" s="2159"/>
      <c r="R3" s="2159"/>
      <c r="S3" s="2159"/>
      <c r="W3" s="2150" t="s">
        <v>1101</v>
      </c>
      <c r="X3" s="1554"/>
      <c r="Y3" s="1554"/>
      <c r="Z3" s="1554"/>
      <c r="AA3" s="1554"/>
      <c r="AB3" s="1554"/>
      <c r="AC3" s="1554"/>
      <c r="AD3" s="1554"/>
      <c r="AE3" s="2151">
        <f>P47</f>
        <v>0</v>
      </c>
      <c r="AF3" s="2152"/>
      <c r="AG3" s="2153">
        <f>AG48</f>
        <v>0</v>
      </c>
      <c r="AH3" s="1554"/>
      <c r="AI3" s="1554"/>
      <c r="AJ3" s="1554"/>
      <c r="AK3" s="1554"/>
      <c r="BF3" s="2147" t="str">
        <f xml:space="preserve">
IF(COUNTIF(BG3:BG5,"○")=3,"○",
IF(COUNTIF(BG3:BG5,"×")&gt;=1,"×",
IF(AND(COUNTIF(BG3:BG5,"◎")&gt;=1,COUNTIF(BG3:BG5,"×")=0),"◎",
)))</f>
        <v>○</v>
      </c>
      <c r="BG3" s="678" t="str">
        <f xml:space="preserve">
IF(COUNTIF(BI3:BK3,"○")=3,"○",
IF(COUNTIF(BI3:BK3,"◎")=3,"◎",
"×"
))</f>
        <v>○</v>
      </c>
      <c r="BH3" s="534" t="str">
        <f>"空気清浄機："&amp;
IF(COUNTIF(BI3:BK3,"○")=3,"申請しない場合は入力不要です。",
IF(COUNTIF(BI3:BK3,"◎")=3,"適切に入力がされました。",
"【要修正】（１）、（２）または（３）に入力が不十分な箇所があります。"
))</f>
        <v>空気清浄機：申請しない場合は入力不要です。</v>
      </c>
      <c r="BI3" s="678" t="str">
        <f>BG15</f>
        <v>○</v>
      </c>
      <c r="BJ3" s="678" t="str">
        <f>BG17</f>
        <v>○</v>
      </c>
      <c r="BK3" s="678" t="str">
        <f>BG26</f>
        <v>○</v>
      </c>
    </row>
    <row r="4" spans="2:63">
      <c r="W4" s="2150" t="s">
        <v>530</v>
      </c>
      <c r="X4" s="1554"/>
      <c r="Y4" s="1554"/>
      <c r="Z4" s="1554"/>
      <c r="AA4" s="1554"/>
      <c r="AB4" s="1554"/>
      <c r="AC4" s="1554"/>
      <c r="AD4" s="1554"/>
      <c r="AE4" s="2151">
        <f>P63</f>
        <v>0</v>
      </c>
      <c r="AF4" s="2152"/>
      <c r="AG4" s="2153">
        <f>AG63</f>
        <v>0</v>
      </c>
      <c r="AH4" s="1554"/>
      <c r="AI4" s="1554"/>
      <c r="AJ4" s="1554"/>
      <c r="AK4" s="1554"/>
      <c r="BF4" s="2148"/>
      <c r="BG4" s="678" t="str">
        <f xml:space="preserve">
IF(COUNTIF(BI4:BJ4,"○")=2,"○",
IF(COUNTIF(BI4:BJ4,"◎")=2,"◎",
"×"
))</f>
        <v>○</v>
      </c>
      <c r="BH4" s="534" t="str">
        <f>"パーテーション："&amp;
IF(COUNTIF(BI4:BJ4,"○")=2,"申請しない場合は入力不要です。",
IF(COUNTIF(BI4:BJ4,"◎")=2,"適切に入力がされました。",
"【要修正】（１）または（２）に入力不十分な箇所があります。"
))</f>
        <v>パーテーション：申請しない場合は入力不要です。</v>
      </c>
      <c r="BI4" s="678" t="str">
        <f>BG39</f>
        <v>○</v>
      </c>
      <c r="BJ4" s="678" t="str">
        <f>BG47</f>
        <v>○</v>
      </c>
      <c r="BK4" s="678" t="s">
        <v>1369</v>
      </c>
    </row>
    <row r="5" spans="2:63" ht="24.95" customHeight="1">
      <c r="B5" s="2154" t="s">
        <v>1117</v>
      </c>
      <c r="C5" s="2155"/>
      <c r="D5" s="2155"/>
      <c r="E5" s="2155"/>
      <c r="F5" s="2155"/>
      <c r="G5" s="2155"/>
      <c r="H5" s="2155"/>
      <c r="I5" s="2155"/>
      <c r="J5" s="2155"/>
      <c r="K5" s="2155"/>
      <c r="L5" s="2155"/>
      <c r="M5" s="2155"/>
      <c r="N5" s="2155"/>
      <c r="O5" s="2155"/>
      <c r="P5" s="2155"/>
      <c r="Q5" s="2155"/>
      <c r="R5" s="2155"/>
      <c r="S5" s="2155"/>
      <c r="T5" s="2155"/>
      <c r="U5" s="2155"/>
      <c r="V5" s="2155"/>
      <c r="W5" s="2155"/>
      <c r="X5" s="2155"/>
      <c r="Y5" s="2155"/>
      <c r="Z5" s="2155"/>
      <c r="AA5" s="2155"/>
      <c r="AB5" s="2155"/>
      <c r="AC5" s="2155"/>
      <c r="AD5" s="2155"/>
      <c r="AE5" s="2155"/>
      <c r="AF5" s="2155"/>
      <c r="AG5" s="2155"/>
      <c r="AH5" s="2155"/>
      <c r="AI5" s="2155"/>
      <c r="AJ5" s="2155"/>
      <c r="AK5" s="2155"/>
      <c r="BF5" s="2149"/>
      <c r="BG5" s="678" t="str">
        <f xml:space="preserve">
IF(COUNTIF(BI5:BJ5,"○")=2,"○",
IF(COUNTIF(BI5:BJ5,"◎")=2,"◎",
"×"
))</f>
        <v>○</v>
      </c>
      <c r="BH5" s="534" t="str">
        <f>"簡易ベッド："&amp;
IF(COUNTIF(BI5:BJ5,"○")=2,"申請しない場合は入力不要です。",
IF(COUNTIF(BI5:BJ5,"◎")=2,"適切に入力がされました。",
"【要修正】（１）または（２）に入力不十分な箇所があります。"
))</f>
        <v>簡易ベッド：申請しない場合は入力不要です。</v>
      </c>
      <c r="BI5" s="678" t="str">
        <f>BG55</f>
        <v>○</v>
      </c>
      <c r="BJ5" s="678" t="str">
        <f>BG63</f>
        <v>○</v>
      </c>
      <c r="BK5" s="678" t="s">
        <v>1369</v>
      </c>
    </row>
    <row r="6" spans="2:63">
      <c r="B6" s="535" t="s">
        <v>1118</v>
      </c>
      <c r="C6" s="535"/>
      <c r="D6" s="535"/>
      <c r="E6" s="535"/>
      <c r="F6" s="535"/>
      <c r="G6" s="535"/>
      <c r="H6" s="535"/>
      <c r="I6" s="535"/>
      <c r="J6" s="535"/>
      <c r="K6" s="535"/>
      <c r="L6" s="535"/>
      <c r="M6" s="535"/>
      <c r="N6" s="535"/>
      <c r="O6" s="535"/>
      <c r="P6" s="535"/>
      <c r="Q6" s="535"/>
      <c r="R6" s="535"/>
      <c r="S6" s="535"/>
      <c r="T6" s="535"/>
      <c r="U6" s="535"/>
      <c r="V6" s="535"/>
      <c r="W6" s="535"/>
      <c r="X6" s="535"/>
      <c r="Y6" s="535"/>
      <c r="Z6" s="535"/>
      <c r="AA6" s="535"/>
      <c r="AB6" s="535"/>
      <c r="AC6" s="535"/>
      <c r="AD6" s="535"/>
      <c r="AE6" s="535"/>
      <c r="AF6" s="535"/>
      <c r="AG6" s="535"/>
      <c r="AH6" s="535"/>
      <c r="AI6" s="535"/>
      <c r="AJ6" s="535"/>
      <c r="AK6" s="535"/>
    </row>
    <row r="7" spans="2:63">
      <c r="B7" s="683" t="s">
        <v>1119</v>
      </c>
    </row>
    <row r="8" spans="2:63">
      <c r="B8" s="536" t="s">
        <v>1021</v>
      </c>
      <c r="C8" s="2120" t="s">
        <v>1120</v>
      </c>
      <c r="D8" s="2121"/>
      <c r="E8" s="2121"/>
      <c r="F8" s="2121"/>
      <c r="G8" s="2121"/>
      <c r="H8" s="2121"/>
      <c r="I8" s="2121"/>
      <c r="J8" s="2121"/>
      <c r="K8" s="2121"/>
      <c r="L8" s="2121"/>
      <c r="M8" s="2121"/>
      <c r="N8" s="2121"/>
      <c r="O8" s="2121"/>
      <c r="P8" s="2121"/>
      <c r="Q8" s="2121"/>
      <c r="R8" s="2121"/>
      <c r="S8" s="2121"/>
      <c r="T8" s="2121"/>
      <c r="U8" s="2121"/>
      <c r="V8" s="2121"/>
      <c r="W8" s="2121"/>
      <c r="X8" s="2121"/>
      <c r="Y8" s="2121"/>
      <c r="Z8" s="2121"/>
      <c r="AA8" s="2121"/>
      <c r="AB8" s="2121"/>
      <c r="AC8" s="2121"/>
      <c r="AD8" s="2121"/>
      <c r="AE8" s="2121"/>
      <c r="AF8" s="2121"/>
      <c r="AG8" s="2121"/>
      <c r="AH8" s="2121"/>
      <c r="AI8" s="2121"/>
      <c r="AJ8" s="2121"/>
      <c r="AK8" s="2122"/>
    </row>
    <row r="9" spans="2:63">
      <c r="B9" s="537" t="s">
        <v>1022</v>
      </c>
      <c r="C9" s="2141" t="s">
        <v>1255</v>
      </c>
      <c r="D9" s="2142"/>
      <c r="E9" s="2142"/>
      <c r="F9" s="2142"/>
      <c r="G9" s="2142"/>
      <c r="H9" s="2142"/>
      <c r="I9" s="2142"/>
      <c r="J9" s="2142"/>
      <c r="K9" s="2142"/>
      <c r="L9" s="2142"/>
      <c r="M9" s="2142"/>
      <c r="N9" s="2142"/>
      <c r="O9" s="2142"/>
      <c r="P9" s="2142"/>
      <c r="Q9" s="2142"/>
      <c r="R9" s="2142"/>
      <c r="S9" s="2142"/>
      <c r="T9" s="2142"/>
      <c r="U9" s="2142"/>
      <c r="V9" s="2142"/>
      <c r="W9" s="2142"/>
      <c r="X9" s="2142"/>
      <c r="Y9" s="2142"/>
      <c r="Z9" s="2142"/>
      <c r="AA9" s="2142"/>
      <c r="AB9" s="2142"/>
      <c r="AC9" s="2142"/>
      <c r="AD9" s="2142"/>
      <c r="AE9" s="2142"/>
      <c r="AF9" s="2142"/>
      <c r="AG9" s="2142"/>
      <c r="AH9" s="2142"/>
      <c r="AI9" s="2142"/>
      <c r="AJ9" s="2142"/>
      <c r="AK9" s="2143"/>
    </row>
    <row r="10" spans="2:63">
      <c r="B10" s="537" t="s">
        <v>1023</v>
      </c>
      <c r="C10" s="2141" t="s">
        <v>1256</v>
      </c>
      <c r="D10" s="2142"/>
      <c r="E10" s="2142"/>
      <c r="F10" s="2142"/>
      <c r="G10" s="2142"/>
      <c r="H10" s="2142"/>
      <c r="I10" s="2142"/>
      <c r="J10" s="2142"/>
      <c r="K10" s="2142"/>
      <c r="L10" s="2142"/>
      <c r="M10" s="2142"/>
      <c r="N10" s="2142"/>
      <c r="O10" s="2142"/>
      <c r="P10" s="2142"/>
      <c r="Q10" s="2142"/>
      <c r="R10" s="2142"/>
      <c r="S10" s="2142"/>
      <c r="T10" s="2142"/>
      <c r="U10" s="2142"/>
      <c r="V10" s="2142"/>
      <c r="W10" s="2142"/>
      <c r="X10" s="2142"/>
      <c r="Y10" s="2142"/>
      <c r="Z10" s="2142"/>
      <c r="AA10" s="2142"/>
      <c r="AB10" s="2142"/>
      <c r="AC10" s="2142"/>
      <c r="AD10" s="2142"/>
      <c r="AE10" s="2142"/>
      <c r="AF10" s="2142"/>
      <c r="AG10" s="2142"/>
      <c r="AH10" s="2142"/>
      <c r="AI10" s="2142"/>
      <c r="AJ10" s="2142"/>
      <c r="AK10" s="2143"/>
    </row>
    <row r="11" spans="2:63">
      <c r="B11" s="538" t="s">
        <v>1121</v>
      </c>
      <c r="C11" s="2144" t="s">
        <v>1257</v>
      </c>
      <c r="D11" s="2145"/>
      <c r="E11" s="2145"/>
      <c r="F11" s="2145"/>
      <c r="G11" s="2145"/>
      <c r="H11" s="2145"/>
      <c r="I11" s="2145"/>
      <c r="J11" s="2145"/>
      <c r="K11" s="2145"/>
      <c r="L11" s="2145"/>
      <c r="M11" s="2145"/>
      <c r="N11" s="2145"/>
      <c r="O11" s="2145"/>
      <c r="P11" s="2145"/>
      <c r="Q11" s="2145"/>
      <c r="R11" s="2145"/>
      <c r="S11" s="2145"/>
      <c r="T11" s="2145"/>
      <c r="U11" s="2145"/>
      <c r="V11" s="2145"/>
      <c r="W11" s="2145"/>
      <c r="X11" s="2145"/>
      <c r="Y11" s="2145"/>
      <c r="Z11" s="2145"/>
      <c r="AA11" s="2145"/>
      <c r="AB11" s="2145"/>
      <c r="AC11" s="2145"/>
      <c r="AD11" s="2145"/>
      <c r="AE11" s="2145"/>
      <c r="AF11" s="2145"/>
      <c r="AG11" s="2145"/>
      <c r="AH11" s="2145"/>
      <c r="AI11" s="2145"/>
      <c r="AJ11" s="2145"/>
      <c r="AK11" s="2146"/>
    </row>
    <row r="12" spans="2:63">
      <c r="B12" s="683" t="s">
        <v>1122</v>
      </c>
      <c r="BG12" s="678" t="s">
        <v>98</v>
      </c>
      <c r="BH12" s="676" t="s">
        <v>61</v>
      </c>
    </row>
    <row r="13" spans="2:63">
      <c r="B13" s="2101" t="s">
        <v>1123</v>
      </c>
      <c r="C13" s="1554"/>
      <c r="D13" s="1554"/>
      <c r="E13" s="1554"/>
      <c r="F13" s="1554"/>
      <c r="G13" s="1554"/>
      <c r="H13" s="1554"/>
      <c r="I13" s="1554"/>
      <c r="J13" s="2139"/>
      <c r="K13" s="2140"/>
      <c r="L13" s="2140"/>
      <c r="M13" s="2140"/>
      <c r="N13" s="2140"/>
      <c r="O13" s="2140"/>
      <c r="P13" s="2140"/>
      <c r="Q13" s="2140"/>
      <c r="R13" s="2140"/>
      <c r="S13" s="2140"/>
      <c r="T13" s="2140"/>
      <c r="U13" s="2140"/>
      <c r="V13" s="2140"/>
      <c r="W13" s="2140"/>
      <c r="X13" s="2140"/>
      <c r="Y13" s="2140"/>
      <c r="Z13" s="2140"/>
      <c r="AA13" s="2140"/>
      <c r="AB13" s="2140"/>
      <c r="AC13" s="2140"/>
      <c r="AD13" s="2140"/>
      <c r="AE13" s="2140"/>
      <c r="AF13" s="2140"/>
      <c r="AG13" s="2140"/>
      <c r="AH13" s="2140"/>
      <c r="AI13" s="2140"/>
      <c r="AJ13" s="2140"/>
      <c r="AK13" s="2140"/>
      <c r="BG13" s="678" t="str">
        <f>IF(COUNTA(J13)=1,"◎","○")</f>
        <v>○</v>
      </c>
      <c r="BH13" s="534" t="str">
        <f>IF(COUNTA(J13)=1,"適切に入力がされました","申請しない場合は入力不要です。")</f>
        <v>申請しない場合は入力不要です。</v>
      </c>
    </row>
    <row r="14" spans="2:63" ht="24.75" thickBot="1">
      <c r="B14" s="2101" t="s">
        <v>1124</v>
      </c>
      <c r="C14" s="1554"/>
      <c r="D14" s="1554"/>
      <c r="E14" s="1554"/>
      <c r="F14" s="1554"/>
      <c r="G14" s="1554"/>
      <c r="H14" s="1554"/>
      <c r="I14" s="1554"/>
      <c r="J14" s="2139"/>
      <c r="K14" s="2140"/>
      <c r="L14" s="2140"/>
      <c r="M14" s="2140"/>
      <c r="N14" s="2140"/>
      <c r="O14" s="2140"/>
      <c r="P14" s="2140"/>
      <c r="Q14" s="2140"/>
      <c r="R14" s="2140"/>
      <c r="S14" s="2140"/>
      <c r="T14" s="2140"/>
      <c r="U14" s="2140"/>
      <c r="V14" s="2140"/>
      <c r="W14" s="2140"/>
      <c r="X14" s="2140"/>
      <c r="Y14" s="2140"/>
      <c r="Z14" s="2140"/>
      <c r="AA14" s="2140"/>
      <c r="AB14" s="2140"/>
      <c r="AC14" s="2140"/>
      <c r="AD14" s="2140"/>
      <c r="AE14" s="2140"/>
      <c r="AF14" s="2140"/>
      <c r="AG14" s="2140"/>
      <c r="AH14" s="2140"/>
      <c r="AI14" s="2140"/>
      <c r="AJ14" s="2140"/>
      <c r="AK14" s="2140"/>
      <c r="BG14" s="678" t="str">
        <f>IF(COUNTA(J14)=1,"◎","○")</f>
        <v>○</v>
      </c>
      <c r="BH14" s="534" t="str">
        <f>IF(COUNTA(J14)=1,"適切に入力がされました","申請しない場合は入力不要です。")</f>
        <v>申請しない場合は入力不要です。</v>
      </c>
    </row>
    <row r="15" spans="2:63" ht="24.75" thickTop="1">
      <c r="B15" s="597"/>
      <c r="C15" s="335"/>
      <c r="D15" s="335"/>
      <c r="E15" s="335"/>
      <c r="F15" s="335"/>
      <c r="G15" s="335"/>
      <c r="H15" s="335"/>
      <c r="I15" s="335"/>
      <c r="J15" s="335"/>
      <c r="K15" s="335"/>
      <c r="L15" s="335"/>
      <c r="M15" s="335"/>
      <c r="N15" s="335"/>
      <c r="O15" s="335"/>
      <c r="P15" s="335"/>
      <c r="Q15" s="335"/>
      <c r="R15" s="335"/>
      <c r="S15" s="335"/>
      <c r="T15" s="335"/>
      <c r="U15" s="335"/>
      <c r="V15" s="335"/>
      <c r="W15" s="335"/>
      <c r="X15" s="335"/>
      <c r="Y15" s="335"/>
      <c r="Z15" s="335"/>
      <c r="AA15" s="335"/>
      <c r="AB15" s="335"/>
      <c r="AC15" s="335"/>
      <c r="AD15" s="335"/>
      <c r="AE15" s="335"/>
      <c r="AF15" s="335"/>
      <c r="AG15" s="335"/>
      <c r="AH15" s="335"/>
      <c r="AI15" s="335"/>
      <c r="AJ15" s="335"/>
      <c r="AK15" s="335"/>
      <c r="BG15" s="540" t="str">
        <f xml:space="preserve">
IF(COUNTIF(BG13:BG14,"◎")=2,"◎",
IF(COUNTIF(BG13:BG14,"◎")=1,"×",
IF(COUNTIF(BG13:BG14,"◎")=0,"○",)))</f>
        <v>○</v>
      </c>
      <c r="BH15" s="541" t="str">
        <f xml:space="preserve">
IF(COUNTIF(BG13:BG14,"◎")=2,"適切に入力がされました。",
IF(COUNTIF(BG13:BG14,"◎")=1,"【要修正】未入力の箇所があります。",
IF(COUNTIF(BG13:BG14,"◎")=0,"申請しない場合は入力不要です。",)))</f>
        <v>申請しない場合は入力不要です。</v>
      </c>
    </row>
    <row r="16" spans="2:63">
      <c r="B16" s="602" t="str">
        <f xml:space="preserve">
IF(表紙!$X$2="事前協議","（２）納品予定日",
IF(表紙!$X$2="交付申請（２次）","（２）納品予定日",
IF(表紙!$X$2="変更申請","（２）納品予定日",
IF(表紙!$X$2="実績報告（１次）","（２）最終納品日",
IF(表紙!$X$2="実績報告（２次）","（２）最終納品日",
IF(表紙!$X$2="交付申請兼実績報告","（２）最終納品日"))))))</f>
        <v>（２）最終納品日</v>
      </c>
      <c r="C16" s="335"/>
      <c r="D16" s="335"/>
      <c r="E16" s="335"/>
      <c r="F16" s="335"/>
      <c r="G16" s="335"/>
      <c r="H16" s="335"/>
      <c r="I16" s="335"/>
      <c r="J16" s="335"/>
      <c r="K16" s="335"/>
      <c r="L16" s="335"/>
      <c r="M16" s="335"/>
      <c r="N16" s="335"/>
      <c r="O16" s="335"/>
      <c r="P16" s="335"/>
      <c r="Q16" s="335"/>
      <c r="R16" s="335"/>
      <c r="S16" s="335"/>
      <c r="T16" s="335"/>
      <c r="U16" s="335"/>
      <c r="V16" s="335"/>
      <c r="W16" s="335"/>
      <c r="X16" s="335"/>
      <c r="Y16" s="335"/>
      <c r="Z16" s="335"/>
      <c r="AA16" s="335"/>
      <c r="AB16" s="335"/>
      <c r="AC16" s="335"/>
      <c r="AD16" s="335"/>
      <c r="AE16" s="335"/>
      <c r="AF16" s="335"/>
      <c r="AG16" s="335"/>
      <c r="AH16" s="335"/>
      <c r="AI16" s="335"/>
      <c r="AJ16" s="335"/>
      <c r="AK16" s="335"/>
      <c r="BG16" s="684"/>
      <c r="BH16" s="603"/>
    </row>
    <row r="17" spans="2:61">
      <c r="B17" s="2101" t="s">
        <v>1360</v>
      </c>
      <c r="C17" s="884"/>
      <c r="D17" s="2160"/>
      <c r="E17" s="2161"/>
      <c r="F17" s="677" t="s">
        <v>1361</v>
      </c>
      <c r="G17" s="2160"/>
      <c r="H17" s="2161"/>
      <c r="I17" s="677" t="s">
        <v>1362</v>
      </c>
      <c r="J17" s="2160"/>
      <c r="K17" s="2161"/>
      <c r="L17" s="677" t="s">
        <v>1363</v>
      </c>
      <c r="M17" s="335"/>
      <c r="N17" s="335"/>
      <c r="O17" s="335"/>
      <c r="P17" s="335"/>
      <c r="Q17" s="335"/>
      <c r="R17" s="335"/>
      <c r="S17" s="335"/>
      <c r="T17" s="335"/>
      <c r="U17" s="335"/>
      <c r="V17" s="335"/>
      <c r="W17" s="335"/>
      <c r="X17" s="335"/>
      <c r="Y17" s="335"/>
      <c r="Z17" s="335"/>
      <c r="AA17" s="335"/>
      <c r="AB17" s="335"/>
      <c r="AC17" s="335"/>
      <c r="AD17" s="335"/>
      <c r="AE17" s="335"/>
      <c r="AF17" s="335"/>
      <c r="AG17" s="335"/>
      <c r="AH17" s="335"/>
      <c r="AI17" s="335"/>
      <c r="AJ17" s="335"/>
      <c r="AK17" s="335"/>
      <c r="BG17" s="678" t="str">
        <f xml:space="preserve">
IF(COUNTA(D17,G17,J17)=0,"○",
IF(AND(COUNTA(D17,G17,J17)&gt;=1,COUNTA(D17,G17,J17)&lt;3),"×",
IF(COUNTA(D17,G17,J17)=3,"◎")))</f>
        <v>○</v>
      </c>
      <c r="BH17" s="534" t="str">
        <f xml:space="preserve">
IF(COUNTA(D17,G17,J17)=0,"申請しない場合は入力不要です。",
IF(AND(COUNTA(D17,G17,J17)&gt;=1,COUNTA(D17,G17,J17)&lt;3),"【要修正】未入力の箇所があります。",
IF(COUNTA(D17,G17,J17)=3,"適切に入力がされました。")))</f>
        <v>申請しない場合は入力不要です。</v>
      </c>
    </row>
    <row r="18" spans="2:61">
      <c r="B18" s="597"/>
      <c r="C18" s="335"/>
      <c r="D18" s="335"/>
      <c r="E18" s="335"/>
      <c r="F18" s="335"/>
      <c r="G18" s="335"/>
      <c r="H18" s="335"/>
      <c r="I18" s="335"/>
      <c r="J18" s="335"/>
      <c r="K18" s="335"/>
      <c r="L18" s="335"/>
      <c r="M18" s="335"/>
      <c r="N18" s="335"/>
      <c r="O18" s="335"/>
      <c r="P18" s="335"/>
      <c r="Q18" s="335"/>
      <c r="R18" s="335"/>
      <c r="S18" s="335"/>
      <c r="T18" s="335"/>
      <c r="U18" s="335"/>
      <c r="V18" s="335"/>
      <c r="W18" s="335"/>
      <c r="X18" s="335"/>
      <c r="Y18" s="335"/>
      <c r="Z18" s="335"/>
      <c r="AA18" s="335"/>
      <c r="AB18" s="335"/>
      <c r="AC18" s="335"/>
      <c r="AD18" s="335"/>
      <c r="AE18" s="335"/>
      <c r="AF18" s="335"/>
      <c r="AG18" s="335"/>
      <c r="AH18" s="335"/>
      <c r="AI18" s="335"/>
      <c r="AJ18" s="335"/>
      <c r="AK18" s="335"/>
      <c r="BH18" s="683"/>
    </row>
    <row r="19" spans="2:61">
      <c r="B19" s="683" t="s">
        <v>1364</v>
      </c>
      <c r="BH19" s="683"/>
    </row>
    <row r="20" spans="2:61">
      <c r="B20" s="2101" t="s">
        <v>461</v>
      </c>
      <c r="C20" s="2102"/>
      <c r="D20" s="2102"/>
      <c r="E20" s="2102"/>
      <c r="F20" s="2102"/>
      <c r="G20" s="2102"/>
      <c r="H20" s="2102"/>
      <c r="I20" s="2102"/>
      <c r="J20" s="2101" t="s">
        <v>54</v>
      </c>
      <c r="K20" s="2102"/>
      <c r="L20" s="2102"/>
      <c r="M20" s="2102"/>
      <c r="N20" s="2102"/>
      <c r="O20" s="2102"/>
      <c r="P20" s="2102"/>
      <c r="Q20" s="2102"/>
      <c r="R20" s="1554"/>
      <c r="S20" s="1554"/>
      <c r="T20" s="1554"/>
      <c r="U20" s="2101" t="s">
        <v>49</v>
      </c>
      <c r="V20" s="2102"/>
      <c r="W20" s="1249" t="s">
        <v>50</v>
      </c>
      <c r="X20" s="2096"/>
      <c r="Y20" s="2096"/>
      <c r="Z20" s="2096"/>
      <c r="AA20" s="2096"/>
      <c r="AB20" s="1249" t="s">
        <v>1126</v>
      </c>
      <c r="AC20" s="2096"/>
      <c r="AD20" s="2096"/>
      <c r="AE20" s="2096"/>
      <c r="AF20" s="2096"/>
      <c r="AG20" s="1249" t="s">
        <v>1127</v>
      </c>
      <c r="AH20" s="2096"/>
      <c r="AI20" s="2096"/>
      <c r="AJ20" s="2096"/>
      <c r="AK20" s="2096"/>
      <c r="BH20" s="683"/>
    </row>
    <row r="21" spans="2:61">
      <c r="B21" s="2137"/>
      <c r="C21" s="2138"/>
      <c r="D21" s="2138"/>
      <c r="E21" s="2138"/>
      <c r="F21" s="2138"/>
      <c r="G21" s="2138"/>
      <c r="H21" s="2138"/>
      <c r="I21" s="2138"/>
      <c r="J21" s="2139"/>
      <c r="K21" s="2140"/>
      <c r="L21" s="2140"/>
      <c r="M21" s="2140"/>
      <c r="N21" s="2140"/>
      <c r="O21" s="2140"/>
      <c r="P21" s="2140"/>
      <c r="Q21" s="2140"/>
      <c r="R21" s="2140"/>
      <c r="S21" s="2140"/>
      <c r="T21" s="2140"/>
      <c r="U21" s="2092"/>
      <c r="V21" s="2093"/>
      <c r="W21" s="2094"/>
      <c r="X21" s="2095"/>
      <c r="Y21" s="2095"/>
      <c r="Z21" s="2095"/>
      <c r="AA21" s="2095"/>
      <c r="AB21" s="2067">
        <f>ROUNDDOWN(W21*1.1,0)</f>
        <v>0</v>
      </c>
      <c r="AC21" s="2068"/>
      <c r="AD21" s="2068"/>
      <c r="AE21" s="2068"/>
      <c r="AF21" s="2068"/>
      <c r="AG21" s="2067">
        <f xml:space="preserve">
IF(COUNTA(B21:AA21)=4,U21*AB21,
IF(AND(COUNTA(B21:AA21)&gt;=1,COUNTA(B21:AA21)&lt;4),0,
IF(COUNTA(B21:AA21)=0,0)))</f>
        <v>0</v>
      </c>
      <c r="AH21" s="2068"/>
      <c r="AI21" s="2068"/>
      <c r="AJ21" s="2068"/>
      <c r="AK21" s="2068"/>
      <c r="BG21" s="678" t="str">
        <f xml:space="preserve">
IF(COUNTA(B21:AA21)=4,"◎",
IF(AND(COUNTA(B21:AA21)&gt;=1,COUNTA(B21:AA21)&lt;4),"×",
IF(COUNTA(B21:AA21)=0,"○")))</f>
        <v>○</v>
      </c>
      <c r="BH21" s="534" t="str">
        <f xml:space="preserve">
IF(COUNTA(B21:AA21)=4,"適切に入力がされました。",
IF(AND(COUNTA(B21:AA21)&gt;=1,COUNTA(B21:AA21)&lt;4),"【要修正】未入力の箇所があります。",
IF(COUNTA(B21:AA21)=0,"申請しない場合は入力不要です。")))</f>
        <v>申請しない場合は入力不要です。</v>
      </c>
    </row>
    <row r="22" spans="2:61">
      <c r="B22" s="2137"/>
      <c r="C22" s="2138"/>
      <c r="D22" s="2138"/>
      <c r="E22" s="2138"/>
      <c r="F22" s="2138"/>
      <c r="G22" s="2138"/>
      <c r="H22" s="2138"/>
      <c r="I22" s="2138"/>
      <c r="J22" s="2139"/>
      <c r="K22" s="2140"/>
      <c r="L22" s="2140"/>
      <c r="M22" s="2140"/>
      <c r="N22" s="2140"/>
      <c r="O22" s="2140"/>
      <c r="P22" s="2140"/>
      <c r="Q22" s="2140"/>
      <c r="R22" s="2140"/>
      <c r="S22" s="2140"/>
      <c r="T22" s="2140"/>
      <c r="U22" s="2092"/>
      <c r="V22" s="2093"/>
      <c r="W22" s="2094"/>
      <c r="X22" s="2095"/>
      <c r="Y22" s="2095"/>
      <c r="Z22" s="2095"/>
      <c r="AA22" s="2095"/>
      <c r="AB22" s="2067">
        <f>ROUNDDOWN(W22*1.1,0)</f>
        <v>0</v>
      </c>
      <c r="AC22" s="2068"/>
      <c r="AD22" s="2068"/>
      <c r="AE22" s="2068"/>
      <c r="AF22" s="2068"/>
      <c r="AG22" s="2067">
        <f xml:space="preserve">
IF(COUNTA(B22:AA22)=4,U22*AB22,
IF(AND(COUNTA(B22:AA22)&gt;=1,COUNTA(B22:AA22)&lt;4),0,
IF(COUNTA(B22:AA22)=0,0)))</f>
        <v>0</v>
      </c>
      <c r="AH22" s="2068"/>
      <c r="AI22" s="2068"/>
      <c r="AJ22" s="2068"/>
      <c r="AK22" s="2068"/>
      <c r="BG22" s="678" t="str">
        <f xml:space="preserve">
IF(COUNTA(B22:AA22)=4,"◎",
IF(AND(COUNTA(B22:AA22)&gt;=1,COUNTA(B22:AA22)&lt;4),"×",
IF(COUNTA(B22:AA22)=0,"○")))</f>
        <v>○</v>
      </c>
      <c r="BH22" s="534" t="str">
        <f xml:space="preserve">
IF(COUNTA(B22:AA22)=4,"適切に入力がされました。",
IF(AND(COUNTA(B22:AA22)&gt;=1,COUNTA(B22:AA22)&lt;4),"【要修正】未入力の箇所があります。",
IF(COUNTA(B22:AA22)=0,"申請しない場合は入力不要です。")))</f>
        <v>申請しない場合は入力不要です。</v>
      </c>
    </row>
    <row r="23" spans="2:61">
      <c r="B23" s="2137"/>
      <c r="C23" s="2138"/>
      <c r="D23" s="2138"/>
      <c r="E23" s="2138"/>
      <c r="F23" s="2138"/>
      <c r="G23" s="2138"/>
      <c r="H23" s="2138"/>
      <c r="I23" s="2138"/>
      <c r="J23" s="2139"/>
      <c r="K23" s="2140"/>
      <c r="L23" s="2140"/>
      <c r="M23" s="2140"/>
      <c r="N23" s="2140"/>
      <c r="O23" s="2140"/>
      <c r="P23" s="2140"/>
      <c r="Q23" s="2140"/>
      <c r="R23" s="2140"/>
      <c r="S23" s="2140"/>
      <c r="T23" s="2140"/>
      <c r="U23" s="2092"/>
      <c r="V23" s="2093"/>
      <c r="W23" s="2094"/>
      <c r="X23" s="2095"/>
      <c r="Y23" s="2095"/>
      <c r="Z23" s="2095"/>
      <c r="AA23" s="2095"/>
      <c r="AB23" s="2067">
        <f>ROUNDDOWN(W23*1.1,0)</f>
        <v>0</v>
      </c>
      <c r="AC23" s="2068"/>
      <c r="AD23" s="2068"/>
      <c r="AE23" s="2068"/>
      <c r="AF23" s="2068"/>
      <c r="AG23" s="2067">
        <f xml:space="preserve">
IF(COUNTA(B23:AA23)=4,U23*AB23,
IF(AND(COUNTA(B23:AA23)&gt;=1,COUNTA(B23:AA23)&lt;4),0,
IF(COUNTA(B23:AA23)=0,0)))</f>
        <v>0</v>
      </c>
      <c r="AH23" s="2068"/>
      <c r="AI23" s="2068"/>
      <c r="AJ23" s="2068"/>
      <c r="AK23" s="2068"/>
      <c r="BG23" s="678" t="str">
        <f xml:space="preserve">
IF(COUNTA(B23:AA23)=4,"◎",
IF(AND(COUNTA(B23:AA23)&gt;=1,COUNTA(B23:AA23)&lt;4),"×",
IF(COUNTA(B23:AA23)=0,"○")))</f>
        <v>○</v>
      </c>
      <c r="BH23" s="534" t="str">
        <f xml:space="preserve">
IF(COUNTA(B23:AA23)=4,"適切に入力がされました。",
IF(AND(COUNTA(B23:AA23)&gt;=1,COUNTA(B23:AA23)&lt;4),"【要修正】未入力の箇所があります。",
IF(COUNTA(B23:AA23)=0,"申請しない場合は入力不要です。")))</f>
        <v>申請しない場合は入力不要です。</v>
      </c>
    </row>
    <row r="24" spans="2:61">
      <c r="B24" s="2137"/>
      <c r="C24" s="2138"/>
      <c r="D24" s="2138"/>
      <c r="E24" s="2138"/>
      <c r="F24" s="2138"/>
      <c r="G24" s="2138"/>
      <c r="H24" s="2138"/>
      <c r="I24" s="2138"/>
      <c r="J24" s="2139"/>
      <c r="K24" s="2140"/>
      <c r="L24" s="2140"/>
      <c r="M24" s="2140"/>
      <c r="N24" s="2140"/>
      <c r="O24" s="2140"/>
      <c r="P24" s="2140"/>
      <c r="Q24" s="2140"/>
      <c r="R24" s="2140"/>
      <c r="S24" s="2140"/>
      <c r="T24" s="2140"/>
      <c r="U24" s="2082"/>
      <c r="V24" s="2083"/>
      <c r="W24" s="2084"/>
      <c r="X24" s="2085"/>
      <c r="Y24" s="2085"/>
      <c r="Z24" s="2085"/>
      <c r="AA24" s="2085"/>
      <c r="AB24" s="2067">
        <f>ROUNDDOWN(W24*1.1,0)</f>
        <v>0</v>
      </c>
      <c r="AC24" s="2068"/>
      <c r="AD24" s="2068"/>
      <c r="AE24" s="2068"/>
      <c r="AF24" s="2068"/>
      <c r="AG24" s="2067">
        <f xml:space="preserve">
IF(COUNTA(B24:AA24)=4,U24*AB24,
IF(AND(COUNTA(B24:AA24)&gt;=1,COUNTA(B24:AA24)&lt;4),0,
IF(COUNTA(B24:AA24)=0,0)))</f>
        <v>0</v>
      </c>
      <c r="AH24" s="2068"/>
      <c r="AI24" s="2068"/>
      <c r="AJ24" s="2068"/>
      <c r="AK24" s="2068"/>
      <c r="BG24" s="678" t="str">
        <f xml:space="preserve">
IF(COUNTA(B24:AA24)=4,"◎",
IF(AND(COUNTA(B24:AA24)&gt;=1,COUNTA(B24:AA24)&lt;4),"×",
IF(COUNTA(B24:AA24)=0,"○")))</f>
        <v>○</v>
      </c>
      <c r="BH24" s="534" t="str">
        <f xml:space="preserve">
IF(COUNTA(B24:AA24)=4,"適切に入力がされました。",
IF(AND(COUNTA(B24:AA24)&gt;=1,COUNTA(B24:AA24)&lt;4),"【要修正】未入力の箇所があります。",
IF(COUNTA(B24:AA24)=0,"申請しない場合は入力不要です。")))</f>
        <v>申請しない場合は入力不要です。</v>
      </c>
    </row>
    <row r="25" spans="2:61" ht="24.75" thickBot="1">
      <c r="B25" s="2162"/>
      <c r="C25" s="2163"/>
      <c r="D25" s="2163"/>
      <c r="E25" s="2163"/>
      <c r="F25" s="2163"/>
      <c r="G25" s="2163"/>
      <c r="H25" s="2163"/>
      <c r="I25" s="2163"/>
      <c r="J25" s="2164"/>
      <c r="K25" s="2165"/>
      <c r="L25" s="2165"/>
      <c r="M25" s="2165"/>
      <c r="N25" s="2165"/>
      <c r="O25" s="2165"/>
      <c r="P25" s="2165"/>
      <c r="Q25" s="2165"/>
      <c r="R25" s="2165"/>
      <c r="S25" s="2165"/>
      <c r="T25" s="2165"/>
      <c r="U25" s="2082"/>
      <c r="V25" s="2083"/>
      <c r="W25" s="2084"/>
      <c r="X25" s="2085"/>
      <c r="Y25" s="2085"/>
      <c r="Z25" s="2085"/>
      <c r="AA25" s="2085"/>
      <c r="AB25" s="2107">
        <f>ROUNDDOWN(W25*1.1,0)</f>
        <v>0</v>
      </c>
      <c r="AC25" s="2108"/>
      <c r="AD25" s="2108"/>
      <c r="AE25" s="2108"/>
      <c r="AF25" s="2108"/>
      <c r="AG25" s="2067">
        <f xml:space="preserve">
IF(COUNTA(B25:AA25)=4,U25*AB25,
IF(AND(COUNTA(B25:AA25)&gt;=1,COUNTA(B25:AA25)&lt;4),0,
IF(COUNTA(B25:AA25)=0,0)))</f>
        <v>0</v>
      </c>
      <c r="AH25" s="2068"/>
      <c r="AI25" s="2068"/>
      <c r="AJ25" s="2068"/>
      <c r="AK25" s="2068"/>
      <c r="BG25" s="682" t="str">
        <f xml:space="preserve">
IF(COUNTA(B25:AA25)=4,"◎",
IF(AND(COUNTA(B25:AA25)&gt;=1,COUNTA(B25:AA25)&lt;4),"×",
IF(COUNTA(B25:AA25)=0,"○")))</f>
        <v>○</v>
      </c>
      <c r="BH25" s="539" t="str">
        <f xml:space="preserve">
IF(COUNTA(B25:AA25)=4,"適切に入力がされました。",
IF(AND(COUNTA(B25:AA25)&gt;=1,COUNTA(B25:AA25)&lt;4),"【要修正】未入力の箇所があります。",
IF(COUNTA(B25:AA25)=0,"申請しない場合は入力不要です。")))</f>
        <v>申請しない場合は入力不要です。</v>
      </c>
    </row>
    <row r="26" spans="2:61" ht="24.75" thickTop="1">
      <c r="B26" s="2069"/>
      <c r="C26" s="2070"/>
      <c r="D26" s="2070"/>
      <c r="E26" s="2070"/>
      <c r="F26" s="2070"/>
      <c r="G26" s="2070"/>
      <c r="H26" s="2070"/>
      <c r="I26" s="2070"/>
      <c r="J26" s="2070"/>
      <c r="K26" s="2070"/>
      <c r="L26" s="2070"/>
      <c r="M26" s="2070"/>
      <c r="N26" s="2070"/>
      <c r="O26" s="2070"/>
      <c r="P26" s="2070"/>
      <c r="Q26" s="2070"/>
      <c r="R26" s="2070"/>
      <c r="S26" s="2070"/>
      <c r="T26" s="2070"/>
      <c r="U26" s="2070"/>
      <c r="V26" s="2070"/>
      <c r="W26" s="2133" t="s">
        <v>1128</v>
      </c>
      <c r="X26" s="2133"/>
      <c r="Y26" s="2133"/>
      <c r="Z26" s="2133"/>
      <c r="AA26" s="2133"/>
      <c r="AB26" s="2133"/>
      <c r="AC26" s="2133"/>
      <c r="AD26" s="2133"/>
      <c r="AE26" s="2133"/>
      <c r="AF26" s="2134"/>
      <c r="AG26" s="2135">
        <f xml:space="preserve">
IF(SUM(COUNTIF(BG13:BG14,"○"),COUNTIF(BG21:BG25,"○"))=7,0,
IF(SUM(COUNTIF(BG13:BG14,"×"),COUNTIF(BG21:BG25,"×"))&gt;=1,0,
IF(AND(SUM(COUNTIF(BG13:BG14,"×"),COUNTIF(BG21:BG25,"×"))=0,SUM(COUNTIF(BG13:BG14,"◎"),COUNTIF(BG21:BG25,"◎"))&gt;=1),SUM(AG21:AK25))))</f>
        <v>0</v>
      </c>
      <c r="AH26" s="2136"/>
      <c r="AI26" s="2136"/>
      <c r="AJ26" s="2136"/>
      <c r="AK26" s="2136"/>
      <c r="BG26" s="540" t="str">
        <f xml:space="preserve">
IF(COUNTIF(BG21:BG25,"○")=5,"○",
IF(COUNTIF(BG21:BG25,"×")&gt;=1,"×",
IF(AND(COUNTIF(BG21:BG25,"×")=0,COUNTIF(BG21:BG25,"◎")&gt;=1),"◎",
)))</f>
        <v>○</v>
      </c>
      <c r="BH26" s="541" t="str">
        <f xml:space="preserve">
IF(COUNTIF(BG21:BG25,"○")=5,"申請しない場合は入力不要です。",
IF(COUNTIF(BG21:BG25,"×")&gt;=1,"【要修正】入力が不十分な箇所があります。",
IF(AND(COUNTIF(BG21:BG25,"×")=0,COUNTIF(BG21:BG25,"◎")&gt;=1),"適切に入力がされました。",
)))</f>
        <v>申請しない場合は入力不要です。</v>
      </c>
    </row>
    <row r="27" spans="2:61">
      <c r="B27" s="2129"/>
      <c r="C27" s="2130"/>
      <c r="D27" s="2130"/>
      <c r="E27" s="2130"/>
      <c r="F27" s="2130"/>
      <c r="G27" s="2130"/>
      <c r="H27" s="2130"/>
      <c r="I27" s="2130"/>
      <c r="J27" s="2130"/>
      <c r="K27" s="2130"/>
      <c r="L27" s="2130"/>
      <c r="M27" s="2130"/>
      <c r="N27" s="2130"/>
      <c r="O27" s="2130"/>
      <c r="P27" s="2130"/>
      <c r="Q27" s="2130"/>
      <c r="R27" s="2130"/>
      <c r="S27" s="2130"/>
      <c r="T27" s="2130"/>
      <c r="U27" s="2130"/>
      <c r="V27" s="2130"/>
      <c r="W27" s="2131" t="s">
        <v>1129</v>
      </c>
      <c r="X27" s="2131"/>
      <c r="Y27" s="2131"/>
      <c r="Z27" s="2131"/>
      <c r="AA27" s="2131"/>
      <c r="AB27" s="2131"/>
      <c r="AC27" s="2131"/>
      <c r="AD27" s="2131"/>
      <c r="AE27" s="2131"/>
      <c r="AF27" s="2132"/>
      <c r="AG27" s="2118">
        <v>905000</v>
      </c>
      <c r="AH27" s="2119"/>
      <c r="AI27" s="2119"/>
      <c r="AJ27" s="2119"/>
      <c r="AK27" s="2119"/>
    </row>
    <row r="28" spans="2:61" ht="22.5" customHeight="1">
      <c r="B28" s="2129" t="s">
        <v>1130</v>
      </c>
      <c r="C28" s="2130"/>
      <c r="D28" s="2130"/>
      <c r="E28" s="2130"/>
      <c r="F28" s="2130"/>
      <c r="G28" s="2130"/>
      <c r="H28" s="2130"/>
      <c r="I28" s="2130"/>
      <c r="J28" s="2130"/>
      <c r="K28" s="2130"/>
      <c r="L28" s="2130"/>
      <c r="M28" s="2130"/>
      <c r="N28" s="2130"/>
      <c r="O28" s="2130"/>
      <c r="P28" s="2130"/>
      <c r="Q28" s="2130"/>
      <c r="R28" s="2130"/>
      <c r="S28" s="2130"/>
      <c r="T28" s="2130"/>
      <c r="U28" s="2130"/>
      <c r="V28" s="2130"/>
      <c r="W28" s="2130"/>
      <c r="X28" s="2130"/>
      <c r="Y28" s="2130"/>
      <c r="Z28" s="2130"/>
      <c r="AA28" s="2130"/>
      <c r="AB28" s="2130"/>
      <c r="AC28" s="2130"/>
      <c r="AD28" s="2130"/>
      <c r="AE28" s="2130"/>
      <c r="AF28" s="2166"/>
      <c r="AG28" s="2125"/>
      <c r="AH28" s="2126"/>
      <c r="AI28" s="2126"/>
      <c r="AJ28" s="2126"/>
      <c r="AK28" s="2126"/>
      <c r="BF28" s="2127" t="s">
        <v>1301</v>
      </c>
      <c r="BG28" s="2128"/>
      <c r="BH28" s="2128"/>
      <c r="BI28" s="1552"/>
    </row>
    <row r="29" spans="2:61">
      <c r="B29" s="2129"/>
      <c r="C29" s="2130"/>
      <c r="D29" s="2130"/>
      <c r="E29" s="2130"/>
      <c r="F29" s="2130"/>
      <c r="G29" s="2130"/>
      <c r="H29" s="2130"/>
      <c r="I29" s="2130"/>
      <c r="J29" s="2130"/>
      <c r="K29" s="2130"/>
      <c r="L29" s="2130"/>
      <c r="M29" s="2130"/>
      <c r="N29" s="2130"/>
      <c r="O29" s="2130"/>
      <c r="P29" s="2130"/>
      <c r="Q29" s="2130"/>
      <c r="R29" s="2130"/>
      <c r="S29" s="2130"/>
      <c r="T29" s="2130"/>
      <c r="U29" s="2130"/>
      <c r="V29" s="2130"/>
      <c r="W29" s="2131" t="s">
        <v>1131</v>
      </c>
      <c r="X29" s="2131"/>
      <c r="Y29" s="2131"/>
      <c r="Z29" s="2131"/>
      <c r="AA29" s="2131"/>
      <c r="AB29" s="2131"/>
      <c r="AC29" s="2131"/>
      <c r="AD29" s="2131"/>
      <c r="AE29" s="2131"/>
      <c r="AF29" s="2132"/>
      <c r="AG29" s="2118">
        <f>AG27-AG28</f>
        <v>905000</v>
      </c>
      <c r="AH29" s="2119"/>
      <c r="AI29" s="2119"/>
      <c r="AJ29" s="2119"/>
      <c r="AK29" s="2119"/>
      <c r="BF29" s="2128"/>
      <c r="BG29" s="2128"/>
      <c r="BH29" s="2128"/>
      <c r="BI29" s="1552"/>
    </row>
    <row r="30" spans="2:61">
      <c r="B30" s="2129"/>
      <c r="C30" s="2130"/>
      <c r="D30" s="2130"/>
      <c r="E30" s="2130"/>
      <c r="F30" s="2130"/>
      <c r="G30" s="2130"/>
      <c r="H30" s="2130"/>
      <c r="I30" s="2130"/>
      <c r="J30" s="2130"/>
      <c r="K30" s="2130"/>
      <c r="L30" s="2130"/>
      <c r="M30" s="2130"/>
      <c r="N30" s="2130"/>
      <c r="O30" s="2130"/>
      <c r="P30" s="2130"/>
      <c r="Q30" s="2130"/>
      <c r="R30" s="2130"/>
      <c r="S30" s="2130"/>
      <c r="T30" s="2130"/>
      <c r="U30" s="2130"/>
      <c r="V30" s="2130"/>
      <c r="W30" s="2131" t="s">
        <v>1132</v>
      </c>
      <c r="X30" s="2131"/>
      <c r="Y30" s="2131"/>
      <c r="Z30" s="2131"/>
      <c r="AA30" s="2131"/>
      <c r="AB30" s="2131"/>
      <c r="AC30" s="2131"/>
      <c r="AD30" s="2131"/>
      <c r="AE30" s="2131"/>
      <c r="AF30" s="2132"/>
      <c r="AG30" s="2118">
        <f>MIN(AG26,AG29)</f>
        <v>0</v>
      </c>
      <c r="AH30" s="2119"/>
      <c r="AI30" s="2119"/>
      <c r="AJ30" s="2119"/>
      <c r="AK30" s="2119"/>
    </row>
    <row r="31" spans="2:61">
      <c r="AB31" s="2063" t="s">
        <v>1289</v>
      </c>
      <c r="AC31" s="2064"/>
      <c r="AD31" s="2064"/>
      <c r="AE31" s="2064"/>
      <c r="AF31" s="2064"/>
      <c r="AG31" s="2065">
        <f>SUM(U21*AB21,U22*AB22,U23*AB23,U24*AB24,U25*AB25)</f>
        <v>0</v>
      </c>
      <c r="AH31" s="2066"/>
      <c r="AI31" s="2066"/>
      <c r="AJ31" s="2066"/>
      <c r="AK31" s="2066"/>
    </row>
    <row r="32" spans="2:61">
      <c r="B32" s="535" t="s">
        <v>1133</v>
      </c>
      <c r="C32" s="535"/>
      <c r="D32" s="535"/>
      <c r="E32" s="535"/>
      <c r="F32" s="535"/>
      <c r="G32" s="535"/>
      <c r="H32" s="535"/>
      <c r="I32" s="535"/>
      <c r="J32" s="535"/>
      <c r="K32" s="535"/>
      <c r="L32" s="535"/>
      <c r="M32" s="535"/>
      <c r="N32" s="535"/>
      <c r="O32" s="535"/>
      <c r="P32" s="535"/>
      <c r="Q32" s="535"/>
      <c r="R32" s="535"/>
      <c r="S32" s="535"/>
      <c r="T32" s="535"/>
      <c r="U32" s="535"/>
      <c r="V32" s="535"/>
      <c r="W32" s="535"/>
      <c r="X32" s="535"/>
      <c r="Y32" s="535"/>
      <c r="Z32" s="535"/>
      <c r="AA32" s="535"/>
      <c r="AB32" s="535"/>
      <c r="AC32" s="535"/>
      <c r="AD32" s="535"/>
      <c r="AE32" s="535"/>
      <c r="AF32" s="535"/>
      <c r="AG32" s="535"/>
      <c r="AH32" s="535"/>
      <c r="AI32" s="535"/>
      <c r="AJ32" s="535"/>
      <c r="AK32" s="535"/>
    </row>
    <row r="33" spans="2:60">
      <c r="B33" s="683" t="s">
        <v>1119</v>
      </c>
    </row>
    <row r="34" spans="2:60">
      <c r="B34" s="536" t="s">
        <v>1021</v>
      </c>
      <c r="C34" s="2120" t="str">
        <f>C8</f>
        <v>HEPAフィルター式であること。（これ以外の規格は補助対象外）</v>
      </c>
      <c r="D34" s="2121"/>
      <c r="E34" s="2121"/>
      <c r="F34" s="2121"/>
      <c r="G34" s="2121"/>
      <c r="H34" s="2121"/>
      <c r="I34" s="2121"/>
      <c r="J34" s="2121"/>
      <c r="K34" s="2121"/>
      <c r="L34" s="2121"/>
      <c r="M34" s="2121"/>
      <c r="N34" s="2121"/>
      <c r="O34" s="2121"/>
      <c r="P34" s="2121"/>
      <c r="Q34" s="2121"/>
      <c r="R34" s="2121"/>
      <c r="S34" s="2121"/>
      <c r="T34" s="2121"/>
      <c r="U34" s="2121"/>
      <c r="V34" s="2121"/>
      <c r="W34" s="2121"/>
      <c r="X34" s="2121"/>
      <c r="Y34" s="2121"/>
      <c r="Z34" s="2121"/>
      <c r="AA34" s="2121"/>
      <c r="AB34" s="2121"/>
      <c r="AC34" s="2121"/>
      <c r="AD34" s="2121"/>
      <c r="AE34" s="2121"/>
      <c r="AF34" s="2121"/>
      <c r="AG34" s="2121"/>
      <c r="AH34" s="2121"/>
      <c r="AI34" s="2121"/>
      <c r="AJ34" s="2121"/>
      <c r="AK34" s="2122"/>
    </row>
    <row r="35" spans="2:60">
      <c r="B35" s="537" t="s">
        <v>1022</v>
      </c>
      <c r="C35" s="2123" t="str">
        <f>C9</f>
        <v>新型コロナウイルス感染症入院患者への入院医療の提供を行うために整備するものであること。</v>
      </c>
      <c r="D35" s="1228"/>
      <c r="E35" s="1228"/>
      <c r="F35" s="1228"/>
      <c r="G35" s="1228"/>
      <c r="H35" s="1228"/>
      <c r="I35" s="1228"/>
      <c r="J35" s="1228"/>
      <c r="K35" s="1228"/>
      <c r="L35" s="1228"/>
      <c r="M35" s="1228"/>
      <c r="N35" s="1228"/>
      <c r="O35" s="1228"/>
      <c r="P35" s="1228"/>
      <c r="Q35" s="1228"/>
      <c r="R35" s="1228"/>
      <c r="S35" s="1228"/>
      <c r="T35" s="1228"/>
      <c r="U35" s="1228"/>
      <c r="V35" s="1228"/>
      <c r="W35" s="1228"/>
      <c r="X35" s="1228"/>
      <c r="Y35" s="1228"/>
      <c r="Z35" s="1228"/>
      <c r="AA35" s="1228"/>
      <c r="AB35" s="1228"/>
      <c r="AC35" s="1228"/>
      <c r="AD35" s="1228"/>
      <c r="AE35" s="1228"/>
      <c r="AF35" s="1228"/>
      <c r="AG35" s="1228"/>
      <c r="AH35" s="1228"/>
      <c r="AI35" s="1228"/>
      <c r="AJ35" s="1228"/>
      <c r="AK35" s="2124"/>
    </row>
    <row r="36" spans="2:60">
      <c r="B36" s="538" t="s">
        <v>1023</v>
      </c>
      <c r="C36" s="542" t="s">
        <v>1134</v>
      </c>
      <c r="D36" s="542"/>
      <c r="E36" s="542"/>
      <c r="F36" s="542"/>
      <c r="G36" s="542"/>
      <c r="H36" s="542"/>
      <c r="I36" s="542"/>
      <c r="J36" s="542"/>
      <c r="K36" s="542"/>
      <c r="L36" s="542"/>
      <c r="M36" s="542"/>
      <c r="N36" s="542"/>
      <c r="O36" s="542"/>
      <c r="P36" s="542"/>
      <c r="Q36" s="542"/>
      <c r="R36" s="542"/>
      <c r="S36" s="542"/>
      <c r="T36" s="542"/>
      <c r="U36" s="542"/>
      <c r="V36" s="542"/>
      <c r="W36" s="542"/>
      <c r="X36" s="542"/>
      <c r="Y36" s="542"/>
      <c r="Z36" s="542"/>
      <c r="AA36" s="542"/>
      <c r="AB36" s="542"/>
      <c r="AC36" s="542"/>
      <c r="AD36" s="542"/>
      <c r="AE36" s="542"/>
      <c r="AF36" s="542"/>
      <c r="AG36" s="542"/>
      <c r="AH36" s="542"/>
      <c r="AI36" s="542"/>
      <c r="AJ36" s="542"/>
      <c r="AK36" s="543"/>
    </row>
    <row r="37" spans="2:60">
      <c r="B37" s="597"/>
      <c r="C37" s="335"/>
      <c r="D37" s="335"/>
      <c r="E37" s="335"/>
      <c r="F37" s="335"/>
      <c r="G37" s="335"/>
      <c r="H37" s="335"/>
      <c r="I37" s="335"/>
      <c r="J37" s="335"/>
      <c r="K37" s="335"/>
      <c r="L37" s="335"/>
      <c r="M37" s="335"/>
      <c r="N37" s="335"/>
      <c r="O37" s="335"/>
      <c r="P37" s="335"/>
      <c r="Q37" s="335"/>
      <c r="R37" s="335"/>
      <c r="S37" s="335"/>
      <c r="T37" s="335"/>
      <c r="U37" s="335"/>
      <c r="V37" s="335"/>
      <c r="W37" s="335"/>
      <c r="X37" s="335"/>
      <c r="Y37" s="335"/>
      <c r="Z37" s="335"/>
      <c r="AA37" s="335"/>
      <c r="AB37" s="335"/>
      <c r="AC37" s="335"/>
      <c r="AD37" s="335"/>
      <c r="AE37" s="335"/>
      <c r="AF37" s="335"/>
      <c r="AG37" s="335"/>
      <c r="AH37" s="335"/>
      <c r="AI37" s="335"/>
      <c r="AJ37" s="335"/>
      <c r="AK37" s="335"/>
      <c r="BG37" s="604"/>
      <c r="BH37" s="605"/>
    </row>
    <row r="38" spans="2:60">
      <c r="B38" s="602" t="str">
        <f xml:space="preserve">
IF(表紙!$X$2="事前協議","（１）納品予定日",
IF(表紙!$X$2="交付申請（２次）","（１）納品予定日",
IF(表紙!$X$2="変更申請","（２）納品予定日",
IF(表紙!$X$2="実績報告（１次）","（１）最終納品日",
IF(表紙!$X$2="実績報告（２次）","（１）最終納品日",
IF(表紙!$X$2="交付申請兼実績報告","（１）最終納品日"))))))</f>
        <v>（１）最終納品日</v>
      </c>
      <c r="C38" s="335"/>
      <c r="D38" s="335"/>
      <c r="E38" s="335"/>
      <c r="F38" s="335"/>
      <c r="G38" s="335"/>
      <c r="H38" s="335"/>
      <c r="I38" s="335"/>
      <c r="J38" s="335"/>
      <c r="K38" s="335"/>
      <c r="L38" s="335"/>
      <c r="M38" s="335"/>
      <c r="N38" s="335"/>
      <c r="O38" s="335"/>
      <c r="P38" s="335"/>
      <c r="Q38" s="335"/>
      <c r="R38" s="335"/>
      <c r="S38" s="335"/>
      <c r="T38" s="335"/>
      <c r="U38" s="335"/>
      <c r="V38" s="335"/>
      <c r="W38" s="335"/>
      <c r="X38" s="335"/>
      <c r="Y38" s="335"/>
      <c r="Z38" s="335"/>
      <c r="AA38" s="335"/>
      <c r="AB38" s="335"/>
      <c r="AC38" s="335"/>
      <c r="AD38" s="335"/>
      <c r="AE38" s="335"/>
      <c r="AF38" s="335"/>
      <c r="AG38" s="335"/>
      <c r="AH38" s="335"/>
      <c r="AI38" s="335"/>
      <c r="AJ38" s="335"/>
      <c r="AK38" s="335"/>
      <c r="BG38" s="678" t="s">
        <v>98</v>
      </c>
      <c r="BH38" s="676" t="s">
        <v>61</v>
      </c>
    </row>
    <row r="39" spans="2:60">
      <c r="B39" s="2101" t="s">
        <v>1360</v>
      </c>
      <c r="C39" s="884"/>
      <c r="D39" s="2160"/>
      <c r="E39" s="2161"/>
      <c r="F39" s="677" t="s">
        <v>1361</v>
      </c>
      <c r="G39" s="2160"/>
      <c r="H39" s="2161"/>
      <c r="I39" s="677" t="s">
        <v>1362</v>
      </c>
      <c r="J39" s="2160"/>
      <c r="K39" s="2161"/>
      <c r="L39" s="677" t="s">
        <v>1363</v>
      </c>
      <c r="M39" s="335"/>
      <c r="N39" s="335"/>
      <c r="O39" s="335"/>
      <c r="P39" s="335"/>
      <c r="Q39" s="335"/>
      <c r="R39" s="335"/>
      <c r="S39" s="335"/>
      <c r="T39" s="335"/>
      <c r="U39" s="335"/>
      <c r="V39" s="335"/>
      <c r="W39" s="335"/>
      <c r="X39" s="335"/>
      <c r="Y39" s="335"/>
      <c r="Z39" s="335"/>
      <c r="AA39" s="335"/>
      <c r="AB39" s="335"/>
      <c r="AC39" s="335"/>
      <c r="AD39" s="335"/>
      <c r="AE39" s="335"/>
      <c r="AF39" s="335"/>
      <c r="AG39" s="335"/>
      <c r="AH39" s="335"/>
      <c r="AI39" s="335"/>
      <c r="AJ39" s="335"/>
      <c r="AK39" s="335"/>
      <c r="BG39" s="678" t="str">
        <f xml:space="preserve">
IF(COUNTA(D39,G39,J39)=0,"○",
IF(AND(COUNTA(D39,G39,J39)&gt;=1,COUNTA(D39,G39,J39)&lt;3),"×",
IF(COUNTA(D39,G39,J39)=3,"◎")))</f>
        <v>○</v>
      </c>
      <c r="BH39" s="534" t="str">
        <f xml:space="preserve">
IF(COUNTA(D39,G39,J39)=0,"申請しない場合は入力不要です。",
IF(AND(COUNTA(D39,G39,J39)&gt;=1,COUNTA(D39,G39,J39)&lt;3),"【要修正】未入力の箇所があります。",
IF(COUNTA(D39,G39,J39)=3,"適切に入力がされました。")))</f>
        <v>申請しない場合は入力不要です。</v>
      </c>
    </row>
    <row r="40" spans="2:60">
      <c r="B40" s="597"/>
      <c r="C40" s="335"/>
      <c r="D40" s="335"/>
      <c r="E40" s="335"/>
      <c r="F40" s="335"/>
      <c r="G40" s="335"/>
      <c r="H40" s="335"/>
      <c r="I40" s="335"/>
      <c r="J40" s="335"/>
      <c r="K40" s="335"/>
      <c r="L40" s="335"/>
      <c r="M40" s="335"/>
      <c r="N40" s="335"/>
      <c r="O40" s="335"/>
      <c r="P40" s="335"/>
      <c r="Q40" s="335"/>
      <c r="R40" s="335"/>
      <c r="S40" s="335"/>
      <c r="T40" s="335"/>
      <c r="U40" s="335"/>
      <c r="V40" s="335"/>
      <c r="W40" s="335"/>
      <c r="X40" s="335"/>
      <c r="Y40" s="335"/>
      <c r="Z40" s="335"/>
      <c r="AA40" s="335"/>
      <c r="AB40" s="335"/>
      <c r="AC40" s="335"/>
      <c r="AD40" s="335"/>
      <c r="AE40" s="335"/>
      <c r="AF40" s="335"/>
      <c r="AG40" s="335"/>
      <c r="AH40" s="335"/>
      <c r="AI40" s="335"/>
      <c r="AJ40" s="335"/>
      <c r="AK40" s="335"/>
      <c r="BH40" s="683"/>
    </row>
    <row r="41" spans="2:60">
      <c r="B41" s="683" t="s">
        <v>1125</v>
      </c>
    </row>
    <row r="42" spans="2:60">
      <c r="B42" s="2097" t="s">
        <v>54</v>
      </c>
      <c r="C42" s="2098"/>
      <c r="D42" s="2098"/>
      <c r="E42" s="2098"/>
      <c r="F42" s="2098"/>
      <c r="G42" s="2098"/>
      <c r="H42" s="2098"/>
      <c r="I42" s="2098"/>
      <c r="J42" s="2097" t="s">
        <v>1123</v>
      </c>
      <c r="K42" s="2099"/>
      <c r="L42" s="2099"/>
      <c r="M42" s="2099"/>
      <c r="N42" s="2099"/>
      <c r="O42" s="2100"/>
      <c r="P42" s="2101" t="s">
        <v>49</v>
      </c>
      <c r="Q42" s="2102"/>
      <c r="R42" s="1249" t="s">
        <v>50</v>
      </c>
      <c r="S42" s="2096"/>
      <c r="T42" s="2096"/>
      <c r="U42" s="2096"/>
      <c r="V42" s="2096"/>
      <c r="W42" s="1249" t="s">
        <v>1126</v>
      </c>
      <c r="X42" s="2096"/>
      <c r="Y42" s="2096"/>
      <c r="Z42" s="2096"/>
      <c r="AA42" s="2096"/>
      <c r="AB42" s="2101" t="s">
        <v>1135</v>
      </c>
      <c r="AC42" s="2102"/>
      <c r="AD42" s="2102"/>
      <c r="AE42" s="2102"/>
      <c r="AF42" s="2102"/>
      <c r="AG42" s="1249" t="s">
        <v>1127</v>
      </c>
      <c r="AH42" s="2096"/>
      <c r="AI42" s="2096"/>
      <c r="AJ42" s="2096"/>
      <c r="AK42" s="2096"/>
    </row>
    <row r="43" spans="2:60">
      <c r="B43" s="2089"/>
      <c r="C43" s="2114"/>
      <c r="D43" s="2114"/>
      <c r="E43" s="2114"/>
      <c r="F43" s="2114"/>
      <c r="G43" s="2114"/>
      <c r="H43" s="2114"/>
      <c r="I43" s="2114"/>
      <c r="J43" s="2089"/>
      <c r="K43" s="2090"/>
      <c r="L43" s="2090"/>
      <c r="M43" s="2090"/>
      <c r="N43" s="2090"/>
      <c r="O43" s="2091"/>
      <c r="P43" s="2092"/>
      <c r="Q43" s="2093"/>
      <c r="R43" s="2094"/>
      <c r="S43" s="2095"/>
      <c r="T43" s="2095"/>
      <c r="U43" s="2095"/>
      <c r="V43" s="2095"/>
      <c r="W43" s="2067">
        <f>ROUNDDOWN(R43*1.1,0)</f>
        <v>0</v>
      </c>
      <c r="X43" s="2068"/>
      <c r="Y43" s="2068"/>
      <c r="Z43" s="2068"/>
      <c r="AA43" s="2068"/>
      <c r="AB43" s="2067">
        <f>MIN(W43,205000)</f>
        <v>0</v>
      </c>
      <c r="AC43" s="2086"/>
      <c r="AD43" s="2086"/>
      <c r="AE43" s="2086"/>
      <c r="AF43" s="2086"/>
      <c r="AG43" s="2067">
        <f xml:space="preserve">
IF(COUNTA(B43:V43)=4,P43*AB43,
IF(AND(COUNTA(B43:V43)&gt;=1,COUNTA(B43:V43)&lt;4),0,
IF(COUNTA(B43:V43)=0,0)))</f>
        <v>0</v>
      </c>
      <c r="AH43" s="2068"/>
      <c r="AI43" s="2068"/>
      <c r="AJ43" s="2068"/>
      <c r="AK43" s="2068"/>
      <c r="BG43" s="678" t="str">
        <f xml:space="preserve">
IF(COUNTA(B43:V43)=4,"◎",
IF(AND(COUNTA(B43:V43)&gt;=1,COUNTA(B43:V43)&lt;4),"×",
IF(COUNTA(B43:V43)=0,"○")))</f>
        <v>○</v>
      </c>
      <c r="BH43" s="534" t="str">
        <f xml:space="preserve">
IF(COUNTA(B43:V43)=4,"適切に入力がされました。",
IF(AND(COUNTA(B43:V43)&gt;=1,COUNTA(B43:V43)&lt;4),"【要修正】未入力の箇所があります。",
IF(COUNTA(B43:V43)=0,"申請しない場合は入力不要です。")))</f>
        <v>申請しない場合は入力不要です。</v>
      </c>
    </row>
    <row r="44" spans="2:60">
      <c r="B44" s="2089"/>
      <c r="C44" s="2114"/>
      <c r="D44" s="2114"/>
      <c r="E44" s="2114"/>
      <c r="F44" s="2114"/>
      <c r="G44" s="2114"/>
      <c r="H44" s="2114"/>
      <c r="I44" s="2114"/>
      <c r="J44" s="2089"/>
      <c r="K44" s="2090"/>
      <c r="L44" s="2090"/>
      <c r="M44" s="2090"/>
      <c r="N44" s="2090"/>
      <c r="O44" s="2091"/>
      <c r="P44" s="2092"/>
      <c r="Q44" s="2093"/>
      <c r="R44" s="2094"/>
      <c r="S44" s="2095"/>
      <c r="T44" s="2095"/>
      <c r="U44" s="2095"/>
      <c r="V44" s="2095"/>
      <c r="W44" s="2067">
        <f>ROUNDDOWN(R44*1.1,0)</f>
        <v>0</v>
      </c>
      <c r="X44" s="2068"/>
      <c r="Y44" s="2068"/>
      <c r="Z44" s="2068"/>
      <c r="AA44" s="2068"/>
      <c r="AB44" s="2115">
        <f>MIN(W44,205000)</f>
        <v>0</v>
      </c>
      <c r="AC44" s="2116"/>
      <c r="AD44" s="2116"/>
      <c r="AE44" s="2116"/>
      <c r="AF44" s="2117"/>
      <c r="AG44" s="2067">
        <f xml:space="preserve">
IF(COUNTA(B44:V44)=4,P44*AB44,
IF(AND(COUNTA(B44:V44)&gt;=1,COUNTA(B44:V44)&lt;4),0,
IF(COUNTA(B44:V44)=0,0)))</f>
        <v>0</v>
      </c>
      <c r="AH44" s="2068"/>
      <c r="AI44" s="2068"/>
      <c r="AJ44" s="2068"/>
      <c r="AK44" s="2068"/>
      <c r="BG44" s="678" t="str">
        <f xml:space="preserve">
IF(COUNTA(B44:V44)=4,"◎",
IF(AND(COUNTA(B44:V44)&gt;=1,COUNTA(B44:V44)&lt;4),"×",
IF(COUNTA(B44:V44)=0,"○")))</f>
        <v>○</v>
      </c>
      <c r="BH44" s="534" t="str">
        <f xml:space="preserve">
IF(COUNTA(B44:V44)=4,"適切に入力がされました。",
IF(AND(COUNTA(B44:V44)&gt;=1,COUNTA(B44:V44)&lt;4),"【要修正】未入力の箇所があります。",
IF(COUNTA(B44:V44)=0,"申請しない場合は入力不要です。")))</f>
        <v>申請しない場合は入力不要です。</v>
      </c>
    </row>
    <row r="45" spans="2:60">
      <c r="B45" s="2089"/>
      <c r="C45" s="2114"/>
      <c r="D45" s="2114"/>
      <c r="E45" s="2114"/>
      <c r="F45" s="2114"/>
      <c r="G45" s="2114"/>
      <c r="H45" s="2114"/>
      <c r="I45" s="2114"/>
      <c r="J45" s="2089"/>
      <c r="K45" s="2090"/>
      <c r="L45" s="2090"/>
      <c r="M45" s="2090"/>
      <c r="N45" s="2090"/>
      <c r="O45" s="2091"/>
      <c r="P45" s="2092"/>
      <c r="Q45" s="2093"/>
      <c r="R45" s="2094"/>
      <c r="S45" s="2095"/>
      <c r="T45" s="2095"/>
      <c r="U45" s="2095"/>
      <c r="V45" s="2095"/>
      <c r="W45" s="2067">
        <f>ROUNDDOWN(R45*1.1,0)</f>
        <v>0</v>
      </c>
      <c r="X45" s="2068"/>
      <c r="Y45" s="2068"/>
      <c r="Z45" s="2068"/>
      <c r="AA45" s="2068"/>
      <c r="AB45" s="2115">
        <f>MIN(W45,205000)</f>
        <v>0</v>
      </c>
      <c r="AC45" s="2116"/>
      <c r="AD45" s="2116"/>
      <c r="AE45" s="2116"/>
      <c r="AF45" s="2117"/>
      <c r="AG45" s="2067">
        <f xml:space="preserve">
IF(COUNTA(B45:V45)=4,P45*AB45,
IF(AND(COUNTA(B45:V45)&gt;=1,COUNTA(B45:V45)&lt;4),0,
IF(COUNTA(B45:V45)=0,0)))</f>
        <v>0</v>
      </c>
      <c r="AH45" s="2068"/>
      <c r="AI45" s="2068"/>
      <c r="AJ45" s="2068"/>
      <c r="AK45" s="2068"/>
      <c r="BG45" s="678" t="str">
        <f xml:space="preserve">
IF(COUNTA(B45:V45)=4,"◎",
IF(AND(COUNTA(B45:V45)&gt;=1,COUNTA(B45:V45)&lt;4),"×",
IF(COUNTA(B45:V45)=0,"○")))</f>
        <v>○</v>
      </c>
      <c r="BH45" s="534" t="str">
        <f xml:space="preserve">
IF(COUNTA(B45:V45)=4,"適切に入力がされました。",
IF(AND(COUNTA(B45:V45)&gt;=1,COUNTA(B45:V45)&lt;4),"【要修正】未入力の箇所があります。",
IF(COUNTA(B45:V45)=0,"申請しない場合は入力不要です。")))</f>
        <v>申請しない場合は入力不要です。</v>
      </c>
    </row>
    <row r="46" spans="2:60" ht="24.75" thickBot="1">
      <c r="B46" s="2079"/>
      <c r="C46" s="2106"/>
      <c r="D46" s="2106"/>
      <c r="E46" s="2106"/>
      <c r="F46" s="2106"/>
      <c r="G46" s="2106"/>
      <c r="H46" s="2106"/>
      <c r="I46" s="2106"/>
      <c r="J46" s="2079"/>
      <c r="K46" s="2080"/>
      <c r="L46" s="2080"/>
      <c r="M46" s="2080"/>
      <c r="N46" s="2080"/>
      <c r="O46" s="2081"/>
      <c r="P46" s="2082"/>
      <c r="Q46" s="2083"/>
      <c r="R46" s="2084"/>
      <c r="S46" s="2085"/>
      <c r="T46" s="2085"/>
      <c r="U46" s="2085"/>
      <c r="V46" s="2085"/>
      <c r="W46" s="2107">
        <f>ROUNDDOWN(R46*1.1,0)</f>
        <v>0</v>
      </c>
      <c r="X46" s="2108"/>
      <c r="Y46" s="2108"/>
      <c r="Z46" s="2108"/>
      <c r="AA46" s="2108"/>
      <c r="AB46" s="2109">
        <f>MIN(W46,205000)</f>
        <v>0</v>
      </c>
      <c r="AC46" s="2110"/>
      <c r="AD46" s="2110"/>
      <c r="AE46" s="2110"/>
      <c r="AF46" s="2111"/>
      <c r="AG46" s="2067">
        <f xml:space="preserve">
IF(COUNTA(B46:V46)=4,P46*AB46,
IF(AND(COUNTA(B46:V46)&gt;=1,COUNTA(B46:V46)&lt;4),0,
IF(COUNTA(B46:V46)=0,0)))</f>
        <v>0</v>
      </c>
      <c r="AH46" s="2068"/>
      <c r="AI46" s="2068"/>
      <c r="AJ46" s="2068"/>
      <c r="AK46" s="2068"/>
      <c r="BG46" s="682" t="str">
        <f xml:space="preserve">
IF(COUNTA(B46:V46)=4,"◎",
IF(AND(COUNTA(B46:V46)&gt;=1,COUNTA(B46:V46)&lt;4),"×",
IF(COUNTA(B46:V46)=0,"○")))</f>
        <v>○</v>
      </c>
      <c r="BH46" s="539" t="str">
        <f xml:space="preserve">
IF(COUNTA(B46:V46)=4,"適切に入力がされました。",
IF(AND(COUNTA(B46:V46)&gt;=1,COUNTA(B46:V46)&lt;4),"【要修正】未入力の箇所があります。",
IF(COUNTA(B46:V46)=0,"申請しない場合は入力不要です。")))</f>
        <v>申請しない場合は入力不要です。</v>
      </c>
    </row>
    <row r="47" spans="2:60" ht="24.75" thickTop="1">
      <c r="B47" s="2069" t="s">
        <v>512</v>
      </c>
      <c r="C47" s="2070"/>
      <c r="D47" s="2070"/>
      <c r="E47" s="2070"/>
      <c r="F47" s="2070"/>
      <c r="G47" s="2070"/>
      <c r="H47" s="2070"/>
      <c r="I47" s="2070"/>
      <c r="J47" s="2070"/>
      <c r="K47" s="2070"/>
      <c r="L47" s="2070"/>
      <c r="M47" s="2070"/>
      <c r="N47" s="2070"/>
      <c r="O47" s="2070"/>
      <c r="P47" s="2071">
        <f>SUM(P43:Q46)</f>
        <v>0</v>
      </c>
      <c r="Q47" s="2072"/>
      <c r="R47" s="687"/>
      <c r="S47" s="685"/>
      <c r="T47" s="685"/>
      <c r="U47" s="685"/>
      <c r="V47" s="685"/>
      <c r="W47" s="2076"/>
      <c r="X47" s="2112"/>
      <c r="Y47" s="2112"/>
      <c r="Z47" s="2112"/>
      <c r="AA47" s="2113"/>
      <c r="AB47" s="685"/>
      <c r="AC47" s="685"/>
      <c r="AD47" s="685"/>
      <c r="AE47" s="685"/>
      <c r="AF47" s="686"/>
      <c r="AG47" s="2076">
        <f xml:space="preserve">
IF(COUNTIF(BG43:BG46,"○")=4,0,
IF(COUNTIF(BG43:BG46,"×")&gt;=1,0,
IF(AND(COUNTIF(BG43:BG46,"×")=0,COUNTIF(BG43:BG46,"◎")&gt;=1),SUM(AG43:AK46))))</f>
        <v>0</v>
      </c>
      <c r="AH47" s="2074"/>
      <c r="AI47" s="2074"/>
      <c r="AJ47" s="2074"/>
      <c r="AK47" s="2075"/>
      <c r="BG47" s="540" t="str">
        <f xml:space="preserve">
IF(COUNTIF(BG43:BG46,"○")=4,"○",
IF(COUNTIF(BG43:BG46,"×")&gt;=1,"×",
IF(AND(COUNTIF(BG43:BG46,"×")=0,COUNTIF(BG43:BG46,"◎")&gt;=1),"◎")))</f>
        <v>○</v>
      </c>
      <c r="BH47" s="541" t="str">
        <f xml:space="preserve">
IF(COUNTIF(BG43:BG46,"○")=4,"申請しない場合は入力不要です。",
IF(COUNTIF(BG43:BG46,"×")&gt;=1,"【要修正】入力不十分の箇所があるため金額が表示できません。",
IF(AND(COUNTIF(BG43:BG46,"×")=0,COUNTIF(BG43:BG46,"◎")&gt;=1),"適切に入力がされました。")))</f>
        <v>申請しない場合は入力不要です。</v>
      </c>
    </row>
    <row r="48" spans="2:60">
      <c r="B48" s="546"/>
      <c r="C48" s="547"/>
      <c r="D48" s="547"/>
      <c r="E48" s="547"/>
      <c r="F48" s="547"/>
      <c r="G48" s="547"/>
      <c r="H48" s="547"/>
      <c r="I48" s="547"/>
      <c r="J48" s="547"/>
      <c r="K48" s="547"/>
      <c r="L48" s="547"/>
      <c r="M48" s="547"/>
      <c r="N48" s="547"/>
      <c r="O48" s="547"/>
      <c r="P48" s="547"/>
      <c r="Q48" s="547"/>
      <c r="R48" s="547"/>
      <c r="S48" s="547"/>
      <c r="T48" s="547"/>
      <c r="U48" s="680"/>
      <c r="V48" s="681"/>
      <c r="W48" s="680"/>
      <c r="X48" s="681"/>
      <c r="Y48" s="681"/>
      <c r="Z48" s="681"/>
      <c r="AA48" s="681"/>
      <c r="AB48" s="2063" t="s">
        <v>1289</v>
      </c>
      <c r="AC48" s="2064"/>
      <c r="AD48" s="2064"/>
      <c r="AE48" s="2064"/>
      <c r="AF48" s="2064"/>
      <c r="AG48" s="2065">
        <f>SUM(P43*W43,P44*W44,P45*W45,P46*W46)</f>
        <v>0</v>
      </c>
      <c r="AH48" s="2066"/>
      <c r="AI48" s="2066"/>
      <c r="AJ48" s="2066"/>
      <c r="AK48" s="2066"/>
    </row>
    <row r="49" spans="2:60">
      <c r="B49" s="535" t="s">
        <v>1136</v>
      </c>
      <c r="C49" s="535"/>
      <c r="D49" s="535"/>
      <c r="E49" s="535"/>
      <c r="F49" s="535"/>
      <c r="G49" s="535"/>
      <c r="H49" s="535"/>
      <c r="I49" s="535"/>
      <c r="J49" s="535"/>
      <c r="K49" s="535"/>
      <c r="L49" s="535"/>
      <c r="M49" s="535"/>
      <c r="N49" s="535"/>
      <c r="O49" s="535"/>
      <c r="P49" s="535"/>
      <c r="Q49" s="535"/>
      <c r="R49" s="535"/>
      <c r="S49" s="535"/>
      <c r="T49" s="535"/>
      <c r="U49" s="535"/>
      <c r="V49" s="535"/>
      <c r="W49" s="535"/>
      <c r="X49" s="535"/>
      <c r="Y49" s="535"/>
      <c r="Z49" s="535"/>
      <c r="AA49" s="535"/>
      <c r="AB49" s="535"/>
      <c r="AC49" s="535"/>
      <c r="AD49" s="535"/>
      <c r="AE49" s="535"/>
      <c r="AF49" s="535"/>
      <c r="AG49" s="535"/>
      <c r="AH49" s="535"/>
      <c r="AI49" s="535"/>
      <c r="AJ49" s="535"/>
      <c r="AK49" s="535"/>
    </row>
    <row r="50" spans="2:60">
      <c r="B50" s="683" t="s">
        <v>1119</v>
      </c>
    </row>
    <row r="51" spans="2:60" ht="48" customHeight="1">
      <c r="B51" s="544" t="s">
        <v>1021</v>
      </c>
      <c r="C51" s="2103" t="s">
        <v>1262</v>
      </c>
      <c r="D51" s="2104"/>
      <c r="E51" s="2104"/>
      <c r="F51" s="2104"/>
      <c r="G51" s="2104"/>
      <c r="H51" s="2104"/>
      <c r="I51" s="2104"/>
      <c r="J51" s="2104"/>
      <c r="K51" s="2104"/>
      <c r="L51" s="2104"/>
      <c r="M51" s="2104"/>
      <c r="N51" s="2104"/>
      <c r="O51" s="2104"/>
      <c r="P51" s="2104"/>
      <c r="Q51" s="2104"/>
      <c r="R51" s="2104"/>
      <c r="S51" s="2104"/>
      <c r="T51" s="2104"/>
      <c r="U51" s="2104"/>
      <c r="V51" s="2104"/>
      <c r="W51" s="2104"/>
      <c r="X51" s="2104"/>
      <c r="Y51" s="2104"/>
      <c r="Z51" s="2104"/>
      <c r="AA51" s="2104"/>
      <c r="AB51" s="2104"/>
      <c r="AC51" s="2104"/>
      <c r="AD51" s="2104"/>
      <c r="AE51" s="2104"/>
      <c r="AF51" s="2104"/>
      <c r="AG51" s="2104"/>
      <c r="AH51" s="2104"/>
      <c r="AI51" s="2104"/>
      <c r="AJ51" s="2104"/>
      <c r="AK51" s="2105"/>
    </row>
    <row r="52" spans="2:60">
      <c r="B52" s="538" t="s">
        <v>1022</v>
      </c>
      <c r="C52" s="542" t="s">
        <v>1137</v>
      </c>
      <c r="D52" s="542"/>
      <c r="E52" s="542"/>
      <c r="F52" s="542"/>
      <c r="G52" s="542"/>
      <c r="H52" s="542"/>
      <c r="I52" s="542"/>
      <c r="J52" s="542"/>
      <c r="K52" s="542"/>
      <c r="L52" s="542"/>
      <c r="M52" s="542"/>
      <c r="N52" s="542"/>
      <c r="O52" s="542"/>
      <c r="P52" s="542"/>
      <c r="Q52" s="542"/>
      <c r="R52" s="542"/>
      <c r="S52" s="542"/>
      <c r="T52" s="542"/>
      <c r="U52" s="542"/>
      <c r="V52" s="542"/>
      <c r="W52" s="542"/>
      <c r="X52" s="542"/>
      <c r="Y52" s="542"/>
      <c r="Z52" s="542"/>
      <c r="AA52" s="542"/>
      <c r="AB52" s="542"/>
      <c r="AC52" s="542"/>
      <c r="AD52" s="542"/>
      <c r="AE52" s="542"/>
      <c r="AF52" s="542"/>
      <c r="AG52" s="542"/>
      <c r="AH52" s="542"/>
      <c r="AI52" s="542"/>
      <c r="AJ52" s="542"/>
      <c r="AK52" s="543"/>
    </row>
    <row r="53" spans="2:60">
      <c r="B53" s="597"/>
      <c r="C53" s="335"/>
      <c r="D53" s="335"/>
      <c r="E53" s="335"/>
      <c r="F53" s="335"/>
      <c r="G53" s="335"/>
      <c r="H53" s="335"/>
      <c r="I53" s="335"/>
      <c r="J53" s="335"/>
      <c r="K53" s="335"/>
      <c r="L53" s="335"/>
      <c r="M53" s="335"/>
      <c r="N53" s="335"/>
      <c r="O53" s="335"/>
      <c r="P53" s="335"/>
      <c r="Q53" s="335"/>
      <c r="R53" s="335"/>
      <c r="S53" s="335"/>
      <c r="T53" s="335"/>
      <c r="U53" s="335"/>
      <c r="V53" s="335"/>
      <c r="W53" s="335"/>
      <c r="X53" s="335"/>
      <c r="Y53" s="335"/>
      <c r="Z53" s="335"/>
      <c r="AA53" s="335"/>
      <c r="AB53" s="335"/>
      <c r="AC53" s="335"/>
      <c r="AD53" s="335"/>
      <c r="AE53" s="335"/>
      <c r="AF53" s="335"/>
      <c r="AG53" s="335"/>
      <c r="AH53" s="335"/>
      <c r="AI53" s="335"/>
      <c r="AJ53" s="335"/>
      <c r="AK53" s="335"/>
      <c r="BG53" s="604"/>
      <c r="BH53" s="605"/>
    </row>
    <row r="54" spans="2:60">
      <c r="B54" s="602" t="str">
        <f xml:space="preserve">
IF(表紙!$X$2="事前協議","（１）納品予定日",
IF(表紙!$X$2="交付申請（２次）","（１）納品予定日",
IF(表紙!$X$2="変更申請","（２）納品予定日",
IF(表紙!$X$2="実績報告（１次）","（１）最終納品日",
IF(表紙!$X$2="実績報告（２次）","（１）最終納品日",
IF(表紙!$X$2="交付申請兼実績報告","（１）最終納品日"))))))</f>
        <v>（１）最終納品日</v>
      </c>
      <c r="C54" s="335"/>
      <c r="D54" s="335"/>
      <c r="E54" s="335"/>
      <c r="F54" s="335"/>
      <c r="G54" s="335"/>
      <c r="H54" s="335"/>
      <c r="I54" s="335"/>
      <c r="J54" s="335"/>
      <c r="K54" s="335"/>
      <c r="L54" s="335"/>
      <c r="M54" s="335"/>
      <c r="N54" s="335"/>
      <c r="O54" s="335"/>
      <c r="P54" s="335"/>
      <c r="Q54" s="335"/>
      <c r="R54" s="335"/>
      <c r="S54" s="335"/>
      <c r="T54" s="335"/>
      <c r="U54" s="335"/>
      <c r="V54" s="335"/>
      <c r="W54" s="335"/>
      <c r="X54" s="335"/>
      <c r="Y54" s="335"/>
      <c r="Z54" s="335"/>
      <c r="AA54" s="335"/>
      <c r="AB54" s="335"/>
      <c r="AC54" s="335"/>
      <c r="AD54" s="335"/>
      <c r="AE54" s="335"/>
      <c r="AF54" s="335"/>
      <c r="AG54" s="335"/>
      <c r="AH54" s="335"/>
      <c r="AI54" s="335"/>
      <c r="AJ54" s="335"/>
      <c r="AK54" s="335"/>
      <c r="BG54" s="678" t="s">
        <v>98</v>
      </c>
      <c r="BH54" s="676" t="s">
        <v>61</v>
      </c>
    </row>
    <row r="55" spans="2:60">
      <c r="B55" s="2101" t="s">
        <v>1360</v>
      </c>
      <c r="C55" s="884"/>
      <c r="D55" s="2160"/>
      <c r="E55" s="2161"/>
      <c r="F55" s="677" t="s">
        <v>1361</v>
      </c>
      <c r="G55" s="2160"/>
      <c r="H55" s="2161"/>
      <c r="I55" s="677" t="s">
        <v>1362</v>
      </c>
      <c r="J55" s="2160"/>
      <c r="K55" s="2161"/>
      <c r="L55" s="677" t="s">
        <v>1363</v>
      </c>
      <c r="M55" s="335"/>
      <c r="N55" s="335"/>
      <c r="O55" s="335"/>
      <c r="P55" s="335"/>
      <c r="Q55" s="335"/>
      <c r="R55" s="335"/>
      <c r="S55" s="335"/>
      <c r="T55" s="335"/>
      <c r="U55" s="335"/>
      <c r="V55" s="335"/>
      <c r="W55" s="335"/>
      <c r="X55" s="335"/>
      <c r="Y55" s="335"/>
      <c r="Z55" s="335"/>
      <c r="AA55" s="335"/>
      <c r="AB55" s="335"/>
      <c r="AC55" s="335"/>
      <c r="AD55" s="335"/>
      <c r="AE55" s="335"/>
      <c r="AF55" s="335"/>
      <c r="AG55" s="335"/>
      <c r="AH55" s="335"/>
      <c r="AI55" s="335"/>
      <c r="AJ55" s="335"/>
      <c r="AK55" s="335"/>
      <c r="BG55" s="678" t="str">
        <f xml:space="preserve">
IF(COUNTA(D55,G55,J55)=0,"○",
IF(AND(COUNTA(D55,G55,J55)&gt;=1,COUNTA(D55,G55,J55)&lt;3),"×",
IF(COUNTA(D55,G55,J55)=3,"◎")))</f>
        <v>○</v>
      </c>
      <c r="BH55" s="534" t="str">
        <f xml:space="preserve">
IF(COUNTA(D55,G55,J55)=0,"申請しない場合は入力不要です。",
IF(AND(COUNTA(D55,G55,J55)&gt;=1,COUNTA(D55,G55,J55)&lt;3),"【要修正】未入力の箇所があります。",
IF(COUNTA(D55,G55,J55)=3,"適切に入力がされました。")))</f>
        <v>申請しない場合は入力不要です。</v>
      </c>
    </row>
    <row r="56" spans="2:60">
      <c r="B56" s="597"/>
      <c r="C56" s="335"/>
      <c r="D56" s="335"/>
      <c r="E56" s="335"/>
      <c r="F56" s="335"/>
      <c r="G56" s="335"/>
      <c r="H56" s="335"/>
      <c r="I56" s="335"/>
      <c r="J56" s="335"/>
      <c r="K56" s="335"/>
      <c r="L56" s="335"/>
      <c r="M56" s="335"/>
      <c r="N56" s="335"/>
      <c r="O56" s="335"/>
      <c r="P56" s="335"/>
      <c r="Q56" s="335"/>
      <c r="R56" s="335"/>
      <c r="S56" s="335"/>
      <c r="T56" s="335"/>
      <c r="U56" s="335"/>
      <c r="V56" s="335"/>
      <c r="W56" s="335"/>
      <c r="X56" s="335"/>
      <c r="Y56" s="335"/>
      <c r="Z56" s="335"/>
      <c r="AA56" s="335"/>
      <c r="AB56" s="335"/>
      <c r="AC56" s="335"/>
      <c r="AD56" s="335"/>
      <c r="AE56" s="335"/>
      <c r="AF56" s="335"/>
      <c r="AG56" s="335"/>
      <c r="AH56" s="335"/>
      <c r="AI56" s="335"/>
      <c r="AJ56" s="335"/>
      <c r="AK56" s="335"/>
      <c r="BH56" s="683"/>
    </row>
    <row r="57" spans="2:60">
      <c r="B57" s="683" t="s">
        <v>1368</v>
      </c>
    </row>
    <row r="58" spans="2:60">
      <c r="B58" s="2097" t="s">
        <v>54</v>
      </c>
      <c r="C58" s="2098"/>
      <c r="D58" s="2098"/>
      <c r="E58" s="2098"/>
      <c r="F58" s="2098"/>
      <c r="G58" s="2098"/>
      <c r="H58" s="2098"/>
      <c r="I58" s="2098"/>
      <c r="J58" s="2097" t="s">
        <v>1123</v>
      </c>
      <c r="K58" s="2099"/>
      <c r="L58" s="2099"/>
      <c r="M58" s="2099"/>
      <c r="N58" s="2099"/>
      <c r="O58" s="2100"/>
      <c r="P58" s="2101" t="s">
        <v>49</v>
      </c>
      <c r="Q58" s="2102"/>
      <c r="R58" s="1249" t="s">
        <v>50</v>
      </c>
      <c r="S58" s="2096"/>
      <c r="T58" s="2096"/>
      <c r="U58" s="2096"/>
      <c r="V58" s="2096"/>
      <c r="W58" s="1249" t="s">
        <v>1126</v>
      </c>
      <c r="X58" s="2096"/>
      <c r="Y58" s="2096"/>
      <c r="Z58" s="2096"/>
      <c r="AA58" s="2096"/>
      <c r="AB58" s="2101" t="s">
        <v>1135</v>
      </c>
      <c r="AC58" s="2102"/>
      <c r="AD58" s="2102"/>
      <c r="AE58" s="2102"/>
      <c r="AF58" s="2102"/>
      <c r="AG58" s="1249" t="s">
        <v>1127</v>
      </c>
      <c r="AH58" s="2096"/>
      <c r="AI58" s="2096"/>
      <c r="AJ58" s="2096"/>
      <c r="AK58" s="2096"/>
    </row>
    <row r="59" spans="2:60">
      <c r="B59" s="2087"/>
      <c r="C59" s="2088"/>
      <c r="D59" s="2088"/>
      <c r="E59" s="2088"/>
      <c r="F59" s="2088"/>
      <c r="G59" s="2088"/>
      <c r="H59" s="2088"/>
      <c r="I59" s="2088"/>
      <c r="J59" s="2089"/>
      <c r="K59" s="2090"/>
      <c r="L59" s="2090"/>
      <c r="M59" s="2090"/>
      <c r="N59" s="2090"/>
      <c r="O59" s="2091"/>
      <c r="P59" s="2092"/>
      <c r="Q59" s="2093"/>
      <c r="R59" s="2094"/>
      <c r="S59" s="2095"/>
      <c r="T59" s="2095"/>
      <c r="U59" s="2095"/>
      <c r="V59" s="2095"/>
      <c r="W59" s="2067">
        <f>ROUNDDOWN(R59*1.1,0)</f>
        <v>0</v>
      </c>
      <c r="X59" s="2068"/>
      <c r="Y59" s="2068"/>
      <c r="Z59" s="2068"/>
      <c r="AA59" s="2068"/>
      <c r="AB59" s="2067">
        <f>MIN(W59,51400)</f>
        <v>0</v>
      </c>
      <c r="AC59" s="2086"/>
      <c r="AD59" s="2086"/>
      <c r="AE59" s="2086"/>
      <c r="AF59" s="2086"/>
      <c r="AG59" s="2067">
        <f xml:space="preserve">
IF(COUNTA(B59:V59)=4,P59*AB59,
IF(AND(COUNTA(B59:V59)&gt;=1,COUNTA(B59:V59)&lt;4),0,
IF(COUNTA(B59:V59)=0,0)))</f>
        <v>0</v>
      </c>
      <c r="AH59" s="2068"/>
      <c r="AI59" s="2068"/>
      <c r="AJ59" s="2068"/>
      <c r="AK59" s="2068"/>
      <c r="BG59" s="678" t="str">
        <f xml:space="preserve">
IF(COUNTA(B59:V59)=4,"◎",
IF(AND(COUNTA(B59:V59)&gt;=1,COUNTA(B59:V59)&lt;4),"×",
IF(COUNTA(B59:V59)=0,"○")))</f>
        <v>○</v>
      </c>
      <c r="BH59" s="534" t="str">
        <f xml:space="preserve">
IF(COUNTA(B59:V59)=4,"適切に入力がされました。",
IF(AND(COUNTA(B59:V59)&gt;=1,COUNTA(B59:V59)&lt;4),"【要修正】未入力の箇所があります。",
IF(COUNTA(B59:V59)=0,"申請しない場合は入力不要です。")))</f>
        <v>申請しない場合は入力不要です。</v>
      </c>
    </row>
    <row r="60" spans="2:60">
      <c r="B60" s="2087"/>
      <c r="C60" s="2088"/>
      <c r="D60" s="2088"/>
      <c r="E60" s="2088"/>
      <c r="F60" s="2088"/>
      <c r="G60" s="2088"/>
      <c r="H60" s="2088"/>
      <c r="I60" s="2088"/>
      <c r="J60" s="2089"/>
      <c r="K60" s="2090"/>
      <c r="L60" s="2090"/>
      <c r="M60" s="2090"/>
      <c r="N60" s="2090"/>
      <c r="O60" s="2091"/>
      <c r="P60" s="2092"/>
      <c r="Q60" s="2093"/>
      <c r="R60" s="2094"/>
      <c r="S60" s="2095"/>
      <c r="T60" s="2095"/>
      <c r="U60" s="2095"/>
      <c r="V60" s="2095"/>
      <c r="W60" s="2067">
        <f>ROUNDDOWN(R60*1.1,0)</f>
        <v>0</v>
      </c>
      <c r="X60" s="2068"/>
      <c r="Y60" s="2068"/>
      <c r="Z60" s="2068"/>
      <c r="AA60" s="2068"/>
      <c r="AB60" s="2067">
        <f>MIN(W60,51400)</f>
        <v>0</v>
      </c>
      <c r="AC60" s="2086"/>
      <c r="AD60" s="2086"/>
      <c r="AE60" s="2086"/>
      <c r="AF60" s="2086"/>
      <c r="AG60" s="2067">
        <f xml:space="preserve">
IF(COUNTA(B60:V60)=4,P60*AB60,
IF(AND(COUNTA(B60:V60)&gt;=1,COUNTA(B60:V60)&lt;4),0,
IF(COUNTA(B60:V60)=0,0)))</f>
        <v>0</v>
      </c>
      <c r="AH60" s="2068"/>
      <c r="AI60" s="2068"/>
      <c r="AJ60" s="2068"/>
      <c r="AK60" s="2068"/>
      <c r="BG60" s="678" t="str">
        <f xml:space="preserve">
IF(COUNTA(B60:V60)=4,"◎",
IF(AND(COUNTA(B60:V60)&gt;=1,COUNTA(B60:V60)&lt;4),"×",
IF(COUNTA(B60:V60)=0,"○")))</f>
        <v>○</v>
      </c>
      <c r="BH60" s="534" t="str">
        <f xml:space="preserve">
IF(COUNTA(B60:V60)=4,"適切に入力がされました。",
IF(AND(COUNTA(B60:V60)&gt;=1,COUNTA(B60:V60)&lt;4),"【要修正】未入力の箇所があります。",
IF(COUNTA(B60:V60)=0,"申請しない場合は入力不要です。")))</f>
        <v>申請しない場合は入力不要です。</v>
      </c>
    </row>
    <row r="61" spans="2:60">
      <c r="B61" s="2087"/>
      <c r="C61" s="2088"/>
      <c r="D61" s="2088"/>
      <c r="E61" s="2088"/>
      <c r="F61" s="2088"/>
      <c r="G61" s="2088"/>
      <c r="H61" s="2088"/>
      <c r="I61" s="2088"/>
      <c r="J61" s="2089"/>
      <c r="K61" s="2090"/>
      <c r="L61" s="2090"/>
      <c r="M61" s="2090"/>
      <c r="N61" s="2090"/>
      <c r="O61" s="2091"/>
      <c r="P61" s="2092"/>
      <c r="Q61" s="2093"/>
      <c r="R61" s="2094"/>
      <c r="S61" s="2095"/>
      <c r="T61" s="2095"/>
      <c r="U61" s="2095"/>
      <c r="V61" s="2095"/>
      <c r="W61" s="2067">
        <f>ROUNDDOWN(R61*1.1,0)</f>
        <v>0</v>
      </c>
      <c r="X61" s="2068"/>
      <c r="Y61" s="2068"/>
      <c r="Z61" s="2068"/>
      <c r="AA61" s="2068"/>
      <c r="AB61" s="2067">
        <f>MIN(W61,51400)</f>
        <v>0</v>
      </c>
      <c r="AC61" s="2086"/>
      <c r="AD61" s="2086"/>
      <c r="AE61" s="2086"/>
      <c r="AF61" s="2086"/>
      <c r="AG61" s="2067">
        <f xml:space="preserve">
IF(COUNTA(B61:V61)=4,P61*AB61,
IF(AND(COUNTA(B61:V61)&gt;=1,COUNTA(B61:V61)&lt;4),0,
IF(COUNTA(B61:V61)=0,0)))</f>
        <v>0</v>
      </c>
      <c r="AH61" s="2068"/>
      <c r="AI61" s="2068"/>
      <c r="AJ61" s="2068"/>
      <c r="AK61" s="2068"/>
      <c r="BG61" s="678" t="str">
        <f xml:space="preserve">
IF(COUNTA(B61:V61)=4,"◎",
IF(AND(COUNTA(B61:V61)&gt;=1,COUNTA(B61:V61)&lt;4),"×",
IF(COUNTA(B61:V61)=0,"○")))</f>
        <v>○</v>
      </c>
      <c r="BH61" s="534" t="str">
        <f xml:space="preserve">
IF(COUNTA(B61:V61)=4,"適切に入力がされました。",
IF(AND(COUNTA(B61:V61)&gt;=1,COUNTA(B61:V61)&lt;4),"【要修正】未入力の箇所があります。",
IF(COUNTA(B61:V61)=0,"申請しない場合は入力不要です。")))</f>
        <v>申請しない場合は入力不要です。</v>
      </c>
    </row>
    <row r="62" spans="2:60" ht="24.75" thickBot="1">
      <c r="B62" s="2077"/>
      <c r="C62" s="2078"/>
      <c r="D62" s="2078"/>
      <c r="E62" s="2078"/>
      <c r="F62" s="2078"/>
      <c r="G62" s="2078"/>
      <c r="H62" s="2078"/>
      <c r="I62" s="2078"/>
      <c r="J62" s="2079"/>
      <c r="K62" s="2080"/>
      <c r="L62" s="2080"/>
      <c r="M62" s="2080"/>
      <c r="N62" s="2080"/>
      <c r="O62" s="2081"/>
      <c r="P62" s="2082"/>
      <c r="Q62" s="2083"/>
      <c r="R62" s="2084"/>
      <c r="S62" s="2085"/>
      <c r="T62" s="2085"/>
      <c r="U62" s="2085"/>
      <c r="V62" s="2085"/>
      <c r="W62" s="2067">
        <f>ROUNDDOWN(R62*1.1,0)</f>
        <v>0</v>
      </c>
      <c r="X62" s="2068"/>
      <c r="Y62" s="2068"/>
      <c r="Z62" s="2068"/>
      <c r="AA62" s="2068"/>
      <c r="AB62" s="2067">
        <f>MIN(W62,51400)</f>
        <v>0</v>
      </c>
      <c r="AC62" s="2086"/>
      <c r="AD62" s="2086"/>
      <c r="AE62" s="2086"/>
      <c r="AF62" s="2086"/>
      <c r="AG62" s="2067">
        <f xml:space="preserve">
IF(COUNTA(B62:V62)=4,P62*AB62,
IF(AND(COUNTA(B62:V62)&gt;=1,COUNTA(B62:V62)&lt;4),0,
IF(COUNTA(B62:V62)=0,0)))</f>
        <v>0</v>
      </c>
      <c r="AH62" s="2068"/>
      <c r="AI62" s="2068"/>
      <c r="AJ62" s="2068"/>
      <c r="AK62" s="2068"/>
      <c r="BG62" s="682" t="str">
        <f xml:space="preserve">
IF(COUNTA(B62:V62)=4,"◎",
IF(AND(COUNTA(B62:V62)&gt;=1,COUNTA(B62:V62)&lt;4),"×",
IF(COUNTA(B62:V62)=0,"○")))</f>
        <v>○</v>
      </c>
      <c r="BH62" s="539" t="str">
        <f xml:space="preserve">
IF(COUNTA(B62:V62)=4,"適切に入力がされました。",
IF(AND(COUNTA(B62:V62)&gt;=1,COUNTA(B62:V62)&lt;4),"【要修正】未入力の箇所があります。",
IF(COUNTA(B62:V62)=0,"申請しない場合は入力不要です。")))</f>
        <v>申請しない場合は入力不要です。</v>
      </c>
    </row>
    <row r="63" spans="2:60" ht="24.75" thickTop="1">
      <c r="B63" s="2069" t="s">
        <v>512</v>
      </c>
      <c r="C63" s="2070"/>
      <c r="D63" s="2070"/>
      <c r="E63" s="2070"/>
      <c r="F63" s="2070"/>
      <c r="G63" s="2070"/>
      <c r="H63" s="2070"/>
      <c r="I63" s="2070"/>
      <c r="J63" s="2070"/>
      <c r="K63" s="2070"/>
      <c r="L63" s="2070"/>
      <c r="M63" s="2070"/>
      <c r="N63" s="2070"/>
      <c r="O63" s="2070"/>
      <c r="P63" s="2071">
        <f>SUM(P59:Q62)</f>
        <v>0</v>
      </c>
      <c r="Q63" s="2072"/>
      <c r="R63" s="2073"/>
      <c r="S63" s="2074"/>
      <c r="T63" s="2074"/>
      <c r="U63" s="2074"/>
      <c r="V63" s="2074"/>
      <c r="W63" s="2074"/>
      <c r="X63" s="2074"/>
      <c r="Y63" s="2074"/>
      <c r="Z63" s="2074"/>
      <c r="AA63" s="2074"/>
      <c r="AB63" s="2074"/>
      <c r="AC63" s="2074"/>
      <c r="AD63" s="2074"/>
      <c r="AE63" s="2074"/>
      <c r="AF63" s="2075"/>
      <c r="AG63" s="2076">
        <f xml:space="preserve">
IF(COUNTIF(BG59:BG62,"○")=4,0,
IF(COUNTIF(BG59:BG62,"×")&gt;=1,0,
IF(AND(COUNTIF(BG59:BG62,"×")=0,COUNTIF(BG59:BG62,"◎")&gt;=1),SUM(AG59:AK62))))</f>
        <v>0</v>
      </c>
      <c r="AH63" s="2074"/>
      <c r="AI63" s="2074"/>
      <c r="AJ63" s="2074"/>
      <c r="AK63" s="2075"/>
      <c r="BG63" s="540" t="str">
        <f xml:space="preserve">
IF(COUNTIF(BG59:BG62,"○")=4,"○",
IF(COUNTIF(BG59:BG62,"×")&gt;=1,"×",
IF(AND(COUNTIF(BG59:BG62,"×")=0,COUNTIF(BG59:BG62,"◎")&gt;=1),"◎")))</f>
        <v>○</v>
      </c>
      <c r="BH63" s="541" t="str">
        <f xml:space="preserve">
IF(COUNTIF(BG59:BG62,"○")=4,"申請しない場合は入力不要です。",
IF(COUNTIF(BG59:BG62,"×")&gt;=1,"【要修正】入力不十分の箇所があるため金額が表示できません。",
IF(AND(COUNTIF(BG59:BG62,"×")=0,COUNTIF(BG59:BG62,"◎")&gt;=1),"適切に入力がされました。")))</f>
        <v>申請しない場合は入力不要です。</v>
      </c>
    </row>
    <row r="64" spans="2:60">
      <c r="AB64" s="2063" t="s">
        <v>1289</v>
      </c>
      <c r="AC64" s="2064"/>
      <c r="AD64" s="2064"/>
      <c r="AE64" s="2064"/>
      <c r="AF64" s="2064"/>
      <c r="AG64" s="2065">
        <f>SUM(P59*W59,P60*W60,P61*W61,P62*W62)</f>
        <v>0</v>
      </c>
      <c r="AH64" s="2066"/>
      <c r="AI64" s="2066"/>
      <c r="AJ64" s="2066"/>
      <c r="AK64" s="2066"/>
      <c r="BG64" s="683" t="s">
        <v>46</v>
      </c>
    </row>
    <row r="65" spans="59:59">
      <c r="BG65" s="683" t="s">
        <v>1258</v>
      </c>
    </row>
    <row r="66" spans="59:59">
      <c r="BG66" s="683" t="s">
        <v>1259</v>
      </c>
    </row>
    <row r="67" spans="59:59">
      <c r="BG67" s="683" t="s">
        <v>1138</v>
      </c>
    </row>
    <row r="68" spans="59:59">
      <c r="BG68" s="683" t="s">
        <v>1139</v>
      </c>
    </row>
    <row r="69" spans="59:59">
      <c r="BG69" s="683" t="s">
        <v>1140</v>
      </c>
    </row>
    <row r="70" spans="59:59">
      <c r="BG70" s="683" t="s">
        <v>1261</v>
      </c>
    </row>
    <row r="71" spans="59:59">
      <c r="BG71" s="683" t="s">
        <v>1260</v>
      </c>
    </row>
    <row r="72" spans="59:59">
      <c r="BG72" s="683" t="s">
        <v>46</v>
      </c>
    </row>
    <row r="73" spans="59:59">
      <c r="BG73" s="683" t="s">
        <v>1258</v>
      </c>
    </row>
    <row r="74" spans="59:59">
      <c r="BG74" s="683" t="s">
        <v>1259</v>
      </c>
    </row>
  </sheetData>
  <mergeCells count="171">
    <mergeCell ref="B17:C17"/>
    <mergeCell ref="J17:K17"/>
    <mergeCell ref="G17:H17"/>
    <mergeCell ref="D17:E17"/>
    <mergeCell ref="B39:C39"/>
    <mergeCell ref="D39:E39"/>
    <mergeCell ref="G39:H39"/>
    <mergeCell ref="J39:K39"/>
    <mergeCell ref="B55:C55"/>
    <mergeCell ref="D55:E55"/>
    <mergeCell ref="G55:H55"/>
    <mergeCell ref="J55:K55"/>
    <mergeCell ref="B21:I21"/>
    <mergeCell ref="J21:T21"/>
    <mergeCell ref="B23:I23"/>
    <mergeCell ref="J23:T23"/>
    <mergeCell ref="B25:I25"/>
    <mergeCell ref="J25:T25"/>
    <mergeCell ref="B28:AF28"/>
    <mergeCell ref="B30:V30"/>
    <mergeCell ref="W30:AF30"/>
    <mergeCell ref="B43:I43"/>
    <mergeCell ref="J43:O43"/>
    <mergeCell ref="P43:Q43"/>
    <mergeCell ref="AB1:AK1"/>
    <mergeCell ref="B2:S3"/>
    <mergeCell ref="W2:AD2"/>
    <mergeCell ref="AE2:AF2"/>
    <mergeCell ref="AG2:AK2"/>
    <mergeCell ref="W3:AD3"/>
    <mergeCell ref="AE3:AF3"/>
    <mergeCell ref="AG3:AK3"/>
    <mergeCell ref="C9:AK9"/>
    <mergeCell ref="C10:AK10"/>
    <mergeCell ref="C11:AK11"/>
    <mergeCell ref="B13:I13"/>
    <mergeCell ref="J13:AK13"/>
    <mergeCell ref="B14:I14"/>
    <mergeCell ref="J14:AK14"/>
    <mergeCell ref="BF3:BF5"/>
    <mergeCell ref="W4:AD4"/>
    <mergeCell ref="AE4:AF4"/>
    <mergeCell ref="AG4:AK4"/>
    <mergeCell ref="B5:AK5"/>
    <mergeCell ref="C8:AK8"/>
    <mergeCell ref="U21:V21"/>
    <mergeCell ref="W21:AA21"/>
    <mergeCell ref="AB21:AF21"/>
    <mergeCell ref="AG21:AK21"/>
    <mergeCell ref="B20:I20"/>
    <mergeCell ref="J20:T20"/>
    <mergeCell ref="U20:V20"/>
    <mergeCell ref="W20:AA20"/>
    <mergeCell ref="AB20:AF20"/>
    <mergeCell ref="AG20:AK20"/>
    <mergeCell ref="U23:V23"/>
    <mergeCell ref="W23:AA23"/>
    <mergeCell ref="AB23:AF23"/>
    <mergeCell ref="AG23:AK23"/>
    <mergeCell ref="B22:I22"/>
    <mergeCell ref="J22:T22"/>
    <mergeCell ref="U22:V22"/>
    <mergeCell ref="W22:AA22"/>
    <mergeCell ref="AB22:AF22"/>
    <mergeCell ref="AG22:AK22"/>
    <mergeCell ref="U25:V25"/>
    <mergeCell ref="W25:AA25"/>
    <mergeCell ref="AB25:AF25"/>
    <mergeCell ref="AG25:AK25"/>
    <mergeCell ref="B24:I24"/>
    <mergeCell ref="J24:T24"/>
    <mergeCell ref="U24:V24"/>
    <mergeCell ref="W24:AA24"/>
    <mergeCell ref="AB24:AF24"/>
    <mergeCell ref="AG24:AK24"/>
    <mergeCell ref="AG28:AK28"/>
    <mergeCell ref="BF28:BI29"/>
    <mergeCell ref="B29:V29"/>
    <mergeCell ref="W29:AF29"/>
    <mergeCell ref="AG29:AK29"/>
    <mergeCell ref="B26:V26"/>
    <mergeCell ref="W26:AF26"/>
    <mergeCell ref="AG26:AK26"/>
    <mergeCell ref="B27:V27"/>
    <mergeCell ref="W27:AF27"/>
    <mergeCell ref="AG27:AK27"/>
    <mergeCell ref="AG30:AK30"/>
    <mergeCell ref="C34:AK34"/>
    <mergeCell ref="C35:AK35"/>
    <mergeCell ref="B42:I42"/>
    <mergeCell ref="J42:O42"/>
    <mergeCell ref="P42:Q42"/>
    <mergeCell ref="R42:V42"/>
    <mergeCell ref="W42:AA42"/>
    <mergeCell ref="AB42:AF42"/>
    <mergeCell ref="AG42:AK42"/>
    <mergeCell ref="R43:V43"/>
    <mergeCell ref="W43:AA43"/>
    <mergeCell ref="AB43:AF43"/>
    <mergeCell ref="AG43:AK43"/>
    <mergeCell ref="AG44:AK44"/>
    <mergeCell ref="B45:I45"/>
    <mergeCell ref="J45:O45"/>
    <mergeCell ref="P45:Q45"/>
    <mergeCell ref="R45:V45"/>
    <mergeCell ref="W45:AA45"/>
    <mergeCell ref="AB45:AF45"/>
    <mergeCell ref="AG45:AK45"/>
    <mergeCell ref="B44:I44"/>
    <mergeCell ref="J44:O44"/>
    <mergeCell ref="P44:Q44"/>
    <mergeCell ref="R44:V44"/>
    <mergeCell ref="W44:AA44"/>
    <mergeCell ref="AB44:AF44"/>
    <mergeCell ref="AG46:AK46"/>
    <mergeCell ref="B47:O47"/>
    <mergeCell ref="P47:Q47"/>
    <mergeCell ref="AG47:AK47"/>
    <mergeCell ref="C51:AK51"/>
    <mergeCell ref="B46:I46"/>
    <mergeCell ref="J46:O46"/>
    <mergeCell ref="P46:Q46"/>
    <mergeCell ref="R46:V46"/>
    <mergeCell ref="W46:AA46"/>
    <mergeCell ref="AB46:AF46"/>
    <mergeCell ref="W47:AA47"/>
    <mergeCell ref="AB48:AF48"/>
    <mergeCell ref="AG48:AK48"/>
    <mergeCell ref="J60:O60"/>
    <mergeCell ref="P60:Q60"/>
    <mergeCell ref="R60:V60"/>
    <mergeCell ref="W60:AA60"/>
    <mergeCell ref="AB60:AF60"/>
    <mergeCell ref="AG58:AK58"/>
    <mergeCell ref="B59:I59"/>
    <mergeCell ref="J59:O59"/>
    <mergeCell ref="P59:Q59"/>
    <mergeCell ref="R59:V59"/>
    <mergeCell ref="W59:AA59"/>
    <mergeCell ref="AB59:AF59"/>
    <mergeCell ref="AG59:AK59"/>
    <mergeCell ref="B58:I58"/>
    <mergeCell ref="J58:O58"/>
    <mergeCell ref="P58:Q58"/>
    <mergeCell ref="R58:V58"/>
    <mergeCell ref="W58:AA58"/>
    <mergeCell ref="AB58:AF58"/>
    <mergeCell ref="AB64:AF64"/>
    <mergeCell ref="AG64:AK64"/>
    <mergeCell ref="AB31:AF31"/>
    <mergeCell ref="AG31:AK31"/>
    <mergeCell ref="AG62:AK62"/>
    <mergeCell ref="B63:O63"/>
    <mergeCell ref="P63:Q63"/>
    <mergeCell ref="R63:AF63"/>
    <mergeCell ref="AG63:AK63"/>
    <mergeCell ref="B62:I62"/>
    <mergeCell ref="J62:O62"/>
    <mergeCell ref="P62:Q62"/>
    <mergeCell ref="R62:V62"/>
    <mergeCell ref="W62:AA62"/>
    <mergeCell ref="AB62:AF62"/>
    <mergeCell ref="AG60:AK60"/>
    <mergeCell ref="B61:I61"/>
    <mergeCell ref="J61:O61"/>
    <mergeCell ref="P61:Q61"/>
    <mergeCell ref="R61:V61"/>
    <mergeCell ref="W61:AA61"/>
    <mergeCell ref="AB61:AF61"/>
    <mergeCell ref="AG61:AK61"/>
    <mergeCell ref="B60:I60"/>
  </mergeCells>
  <phoneticPr fontId="9"/>
  <conditionalFormatting sqref="BG21:BG26 BG43:BG47 BG59:BG63 BG13:BG17 BG3:BG5">
    <cfRule type="containsText" dxfId="91" priority="10" operator="containsText" text="×">
      <formula>NOT(ISERROR(SEARCH("×",BG3)))</formula>
    </cfRule>
  </conditionalFormatting>
  <conditionalFormatting sqref="BH59:BH63 BH43:BH47 BH21:BH26 BH13:BH17 BH3:BH5">
    <cfRule type="containsText" dxfId="90" priority="9" operator="containsText" text="要修正">
      <formula>NOT(ISERROR(SEARCH("要修正",BH3)))</formula>
    </cfRule>
  </conditionalFormatting>
  <conditionalFormatting sqref="BF3:BF5">
    <cfRule type="containsText" dxfId="89" priority="8" operator="containsText" text="×">
      <formula>NOT(ISERROR(SEARCH("×",BF3)))</formula>
    </cfRule>
  </conditionalFormatting>
  <conditionalFormatting sqref="BH15">
    <cfRule type="containsText" dxfId="88" priority="6" operator="containsText" text="要修正">
      <formula>NOT(ISERROR(SEARCH("要修正",BH15)))</formula>
    </cfRule>
  </conditionalFormatting>
  <conditionalFormatting sqref="BG38:BG39">
    <cfRule type="containsText" dxfId="87" priority="5" operator="containsText" text="×">
      <formula>NOT(ISERROR(SEARCH("×",BG38)))</formula>
    </cfRule>
  </conditionalFormatting>
  <conditionalFormatting sqref="BH38:BH39">
    <cfRule type="containsText" dxfId="86" priority="4" operator="containsText" text="要修正">
      <formula>NOT(ISERROR(SEARCH("要修正",BH38)))</formula>
    </cfRule>
  </conditionalFormatting>
  <conditionalFormatting sqref="BG54:BG55">
    <cfRule type="containsText" dxfId="85" priority="2" operator="containsText" text="×">
      <formula>NOT(ISERROR(SEARCH("×",BG54)))</formula>
    </cfRule>
  </conditionalFormatting>
  <conditionalFormatting sqref="BH54:BH55">
    <cfRule type="containsText" dxfId="84" priority="1" operator="containsText" text="要修正">
      <formula>NOT(ISERROR(SEARCH("要修正",BH54)))</formula>
    </cfRule>
  </conditionalFormatting>
  <dataValidations count="9">
    <dataValidation type="decimal" operator="greaterThanOrEqual" allowBlank="1" showInputMessage="1" showErrorMessage="1" errorTitle="金額の値のみ入力" error="数値のみ入力し、「円」は入力しないでください。" sqref="R43:V46 W21:AA25" xr:uid="{DFFFD67A-32C7-428C-B0AE-8C8690886953}">
      <formula1>0</formula1>
    </dataValidation>
    <dataValidation type="whole" operator="greaterThanOrEqual" allowBlank="1" showInputMessage="1" showErrorMessage="1" errorTitle="整数値を入力" error="数値のみを入力し、「台」等の単位入力はしないでください。" sqref="P59:Q62 U21:V25 P43:Q46" xr:uid="{8EBDDFFF-EF75-4617-9F88-CC102B84BA24}">
      <formula1>0</formula1>
    </dataValidation>
    <dataValidation allowBlank="1" showInputMessage="1" showErrorMessage="1" promptTitle="品名の入力" prompt="購入予定である個人防護具の品名を入力してください。（型番のみの入力の場合、購入内容が不明のため修正を依頼させていただきますのでご注意ください。）" sqref="B59:I62 B43:I46 J21:T25" xr:uid="{3C153B17-EA18-46A2-9C27-76B9107B5578}"/>
    <dataValidation type="list" allowBlank="1" showInputMessage="1" showErrorMessage="1" sqref="J14:AK14" xr:uid="{83F0A398-C73B-4880-990C-4787AD591BF1}">
      <formula1>$BG$67:$BG$68</formula1>
    </dataValidation>
    <dataValidation type="list" allowBlank="1" showInputMessage="1" showErrorMessage="1" sqref="J57 J41" xr:uid="{B3F36336-C22A-4808-8672-48CEFADE0498}">
      <formula1>$BG$64:$BG$65</formula1>
    </dataValidation>
    <dataValidation type="list" allowBlank="1" showInputMessage="1" showErrorMessage="1" sqref="J13:AK13" xr:uid="{95B47839-2FEE-4910-BAB7-E681FE4A230B}">
      <formula1>$BG$64:$BG$66</formula1>
    </dataValidation>
    <dataValidation type="list" allowBlank="1" showInputMessage="1" showErrorMessage="1" sqref="J59:O62 J43:O46" xr:uid="{FC596CE0-041E-444B-BF61-87C0D73A2366}">
      <formula1>$BG$72:$BG$74</formula1>
    </dataValidation>
    <dataValidation type="list" allowBlank="1" showInputMessage="1" showErrorMessage="1" sqref="B21:I25" xr:uid="{917B837E-A82A-47A1-A730-5C58747F35F9}">
      <formula1>$BG$69:$BG$71</formula1>
    </dataValidation>
    <dataValidation type="whole" operator="greaterThanOrEqual" allowBlank="1" showInputMessage="1" showErrorMessage="1" sqref="R59:V62" xr:uid="{E4A78048-BDD9-410A-B2BC-E0A31B6D855F}">
      <formula1>0</formula1>
    </dataValidation>
  </dataValidations>
  <pageMargins left="0.7" right="0.7" top="0.75" bottom="0.75" header="0.3" footer="0.3"/>
  <pageSetup paperSize="9" scale="47" orientation="portrait" r:id="rId1"/>
  <colBreaks count="1" manualBreakCount="1">
    <brk id="37" max="1048575" man="1"/>
  </col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8D6F2FD-4D08-4DF0-88E4-28C39016DCBF}">
          <x14:formula1>
            <xm:f>テーブル!$I$2:$I$3</xm:f>
          </x14:formula1>
          <xm:sqref>D17:E17 D39:E39 D55:E55</xm:sqref>
        </x14:dataValidation>
        <x14:dataValidation type="list" allowBlank="1" showInputMessage="1" showErrorMessage="1" xr:uid="{27FAA987-1BBD-4D80-8AB3-889620788AC7}">
          <x14:formula1>
            <xm:f>テーブル!$J$2:$J$7</xm:f>
          </x14:formula1>
          <xm:sqref>G17:H17 G39:H39 G55:H55</xm:sqref>
        </x14:dataValidation>
        <x14:dataValidation type="list" allowBlank="1" showInputMessage="1" showErrorMessage="1" xr:uid="{FC218210-D810-48A5-A82E-67D7038830DD}">
          <x14:formula1>
            <xm:f>テーブル!$K$2:$K$32</xm:f>
          </x14:formula1>
          <xm:sqref>J17:K17 J39:K39 J55:K55</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tabColor rgb="FFFFC000"/>
    <pageSetUpPr fitToPage="1"/>
  </sheetPr>
  <dimension ref="A1:AI74"/>
  <sheetViews>
    <sheetView showGridLines="0" view="pageBreakPreview" zoomScale="60" zoomScaleNormal="100" workbookViewId="0">
      <selection activeCell="J30" activeCellId="4" sqref="I3 B15:O15 B22:O22 B30:G43 J30:M43"/>
    </sheetView>
  </sheetViews>
  <sheetFormatPr defaultColWidth="8.625" defaultRowHeight="18"/>
  <cols>
    <col min="1" max="1" width="3.625" style="12" customWidth="1"/>
    <col min="2" max="4" width="8.625" style="19"/>
    <col min="5" max="5" width="30.625" style="19" customWidth="1"/>
    <col min="6" max="6" width="8.625" style="19"/>
    <col min="7" max="10" width="12.625" style="19" customWidth="1"/>
    <col min="11" max="13" width="3.625" style="19" customWidth="1"/>
    <col min="14" max="14" width="12.625" style="19" customWidth="1"/>
    <col min="15" max="15" width="8.625" style="19"/>
    <col min="16" max="16" width="3.625" style="19" customWidth="1"/>
    <col min="17" max="17" width="12.625" style="19" customWidth="1"/>
    <col min="18" max="20" width="3.625" style="19" customWidth="1"/>
    <col min="21" max="26" width="8.625" style="19"/>
    <col min="27" max="27" width="8.625" style="19" customWidth="1"/>
    <col min="28" max="28" width="3.625" style="12" customWidth="1"/>
    <col min="29" max="29" width="8.625" style="19"/>
    <col min="30" max="30" width="40.625" style="19" customWidth="1"/>
    <col min="31" max="31" width="3.625" style="19" customWidth="1"/>
    <col min="32" max="35" width="8.625" style="19"/>
    <col min="36" max="36" width="30.625" style="19" customWidth="1"/>
    <col min="37" max="16384" width="8.625" style="19"/>
  </cols>
  <sheetData>
    <row r="1" spans="1:35" ht="20.100000000000001" customHeight="1">
      <c r="N1" s="1859" t="str">
        <f xml:space="preserve">
IF(表紙!$X$2="事前協議","（10月１日～３月31日分）",
IF(表紙!$X$2="交付申請（２次）","（10月１日～３月31日分）",
IF(表紙!$X$2="変更申請","（10月１日～３月31日分）",
IF(表紙!$X$2="実績報告（１次）","（５月８日～10月31日分）",
IF(表紙!$X$2="実績報告（２次）","（10月１日～３月31日分）",
IF(表紙!$X$2="交付申請兼実績報告","（10月１日～３月31日分）"))))))</f>
        <v>（10月１日～３月31日分）</v>
      </c>
      <c r="O1" s="1385"/>
      <c r="P1" s="1385"/>
    </row>
    <row r="2" spans="1:35" ht="20.100000000000001" customHeight="1">
      <c r="B2" s="1847" t="s">
        <v>425</v>
      </c>
      <c r="C2" s="1848"/>
      <c r="D2" s="1849"/>
      <c r="H2" s="5" t="s">
        <v>536</v>
      </c>
      <c r="I2" s="648" t="s">
        <v>537</v>
      </c>
      <c r="J2" s="5" t="s">
        <v>44</v>
      </c>
      <c r="K2" s="586"/>
      <c r="L2" s="586"/>
      <c r="M2" s="586"/>
      <c r="AC2" s="648" t="s">
        <v>417</v>
      </c>
      <c r="AD2" s="648" t="s">
        <v>415</v>
      </c>
      <c r="AF2" s="648" t="str">
        <f>AC9</f>
        <v>×</v>
      </c>
      <c r="AG2" s="648" t="str">
        <f>AC15</f>
        <v>○</v>
      </c>
      <c r="AH2" s="648" t="str">
        <f>AC22</f>
        <v>○</v>
      </c>
      <c r="AI2" s="648" t="str">
        <f>AC26</f>
        <v>○</v>
      </c>
    </row>
    <row r="3" spans="1:35" ht="20.100000000000001" customHeight="1">
      <c r="B3" s="1850"/>
      <c r="C3" s="1851"/>
      <c r="D3" s="1852"/>
      <c r="H3" s="351">
        <f>SUM(I30:I74)</f>
        <v>0</v>
      </c>
      <c r="I3" s="8"/>
      <c r="J3" s="351">
        <f>IFERROR(ROUNDUP(SUM(N30:N74)*((H3-I3)/H3),0),0)</f>
        <v>0</v>
      </c>
      <c r="K3" s="587"/>
      <c r="L3" s="587"/>
      <c r="M3" s="587"/>
      <c r="AC3" s="884" t="str">
        <f xml:space="preserve">
IF(COUNTIF(AG2:AI2,"○")=3,"○",
IF(COUNTIF(AG2:AI2,"◎")=3,"◎","×"
))</f>
        <v>○</v>
      </c>
      <c r="AD3" s="1842" t="str">
        <f xml:space="preserve">
IF(AC3="○","整備しない場合は入力不要です。",
IF(AC3="×","【要修正】入力が不十分な箇所があります。",
IF(AC3="◎","適切に入力がされました。")))</f>
        <v>整備しない場合は入力不要です。</v>
      </c>
    </row>
    <row r="4" spans="1:35" ht="9.9499999999999993" customHeight="1">
      <c r="AC4" s="884"/>
      <c r="AD4" s="1842"/>
    </row>
    <row r="5" spans="1:35" ht="20.100000000000001" customHeight="1">
      <c r="B5" s="652" t="s">
        <v>55</v>
      </c>
      <c r="C5" s="652"/>
      <c r="D5" s="652"/>
      <c r="E5" s="652"/>
      <c r="F5" s="652"/>
      <c r="G5" s="652"/>
      <c r="H5" s="652"/>
      <c r="I5" s="652"/>
      <c r="J5" s="652"/>
      <c r="K5" s="652"/>
      <c r="L5" s="652"/>
      <c r="M5" s="652"/>
      <c r="N5" s="652"/>
      <c r="O5" s="652"/>
      <c r="AC5" s="857"/>
      <c r="AD5" s="858"/>
    </row>
    <row r="6" spans="1:35" ht="9.9499999999999993" customHeight="1"/>
    <row r="7" spans="1:35" ht="20.100000000000001" customHeight="1">
      <c r="B7" s="1863" t="str">
        <f xml:space="preserve">
IF(OR(表紙!X2="事前協議",表紙!X2="交付申請"),"（１）整備を行う対象の新規で指定を受けた確保病床数あるいは、確保病床を有しない場合は整備を行う病床の数",
IF(表紙!X2="交付申請兼実績報告","（１）整備を行う対象の新規で指定を受けた確保病床数"))</f>
        <v>（１）整備を行う対象の新規で指定を受けた確保病床数</v>
      </c>
      <c r="C7" s="953"/>
      <c r="D7" s="953"/>
      <c r="E7" s="953"/>
      <c r="F7" s="953"/>
      <c r="G7" s="953"/>
      <c r="H7" s="953"/>
      <c r="I7" s="953"/>
      <c r="J7" s="953"/>
      <c r="K7" s="953"/>
      <c r="L7" s="953"/>
      <c r="M7" s="953"/>
      <c r="N7" s="953"/>
      <c r="O7" s="953"/>
      <c r="AC7" s="1838" t="s">
        <v>413</v>
      </c>
      <c r="AD7" s="1838" t="s">
        <v>415</v>
      </c>
    </row>
    <row r="8" spans="1:35" ht="9.9499999999999993" customHeight="1">
      <c r="AC8" s="1839"/>
      <c r="AD8" s="1839"/>
    </row>
    <row r="9" spans="1:35" ht="35.1" customHeight="1">
      <c r="B9" s="1864" t="s">
        <v>56</v>
      </c>
      <c r="C9" s="1865"/>
      <c r="D9" s="204" t="str">
        <f>IF(はじめに入力してください!K50="","",はじめに入力してください!K50)</f>
        <v/>
      </c>
      <c r="E9" s="352"/>
      <c r="F9" s="353"/>
      <c r="G9" s="353"/>
      <c r="H9" s="353"/>
      <c r="I9" s="353"/>
      <c r="J9" s="354"/>
      <c r="K9" s="354"/>
      <c r="L9" s="354"/>
      <c r="M9" s="354"/>
      <c r="N9" s="354"/>
      <c r="O9" s="354"/>
      <c r="AC9" s="648" t="str">
        <f xml:space="preserve">
IF(D9="","×",
IF(D9=0,"○",
IF(D9&gt;=1,"◎",
)))</f>
        <v>×</v>
      </c>
      <c r="AD9" s="649" t="str">
        <f xml:space="preserve">
IF(D9="","【要修正】「はじめに入力してください」シートに整備を行う病床の数を入力してください。",
IF(D9=0,"申請しない場合は以下入力不要です。",
IF(D9&gt;=1,"適切に入力されました。",
)))</f>
        <v>【要修正】「はじめに入力してください」シートに整備を行う病床の数を入力してください。</v>
      </c>
    </row>
    <row r="10" spans="1:35" ht="20.100000000000001" customHeight="1">
      <c r="B10" s="1860"/>
      <c r="C10" s="1861"/>
      <c r="D10" s="1862"/>
      <c r="E10" s="1862"/>
      <c r="F10" s="1862"/>
      <c r="G10" s="1862"/>
      <c r="H10" s="1862"/>
      <c r="I10" s="1862"/>
      <c r="J10" s="1862"/>
      <c r="K10" s="1862"/>
      <c r="L10" s="1862"/>
      <c r="M10" s="1862"/>
      <c r="N10" s="1862"/>
      <c r="O10" s="1862"/>
    </row>
    <row r="11" spans="1:35" ht="20.100000000000001" hidden="1" customHeight="1"/>
    <row r="12" spans="1:35" ht="20.100000000000001" customHeight="1">
      <c r="B12" s="1863" t="str">
        <f>初度設備!B12</f>
        <v>（２）この度、新たに整備を行う必要が生じた理由（フロア毎の対応から病室毎の対応への移行の計画内容）を詳しく記入してください。</v>
      </c>
      <c r="C12" s="953"/>
      <c r="D12" s="953"/>
      <c r="E12" s="953"/>
      <c r="F12" s="953"/>
      <c r="G12" s="953"/>
      <c r="H12" s="953"/>
      <c r="I12" s="953"/>
      <c r="J12" s="953"/>
      <c r="K12" s="953"/>
      <c r="L12" s="953"/>
      <c r="M12" s="953"/>
      <c r="N12" s="953"/>
      <c r="O12" s="953"/>
    </row>
    <row r="13" spans="1:35" ht="39.950000000000003" customHeight="1">
      <c r="B13" s="1843" t="s">
        <v>538</v>
      </c>
      <c r="C13" s="952"/>
      <c r="D13" s="952"/>
      <c r="E13" s="952"/>
      <c r="F13" s="952"/>
      <c r="G13" s="952"/>
      <c r="H13" s="952"/>
      <c r="I13" s="952"/>
      <c r="J13" s="952"/>
      <c r="K13" s="952"/>
      <c r="L13" s="952"/>
      <c r="M13" s="952"/>
      <c r="N13" s="952"/>
      <c r="O13" s="952"/>
    </row>
    <row r="14" spans="1:35" s="650" customFormat="1" ht="120" customHeight="1">
      <c r="A14" s="13"/>
      <c r="B14" s="1843" t="str">
        <f>VLOOKUP(B2,テーブル!M37:N51,2,FALSE)</f>
        <v>（例）当院は主として特に重篤な呼吸器不全等の症状を呈する患者の受け入れを行っている。
　　　現行株は毒性が過去のものに比較し弱まっているとはいえ、当院に搬送される患者の多くが高齢者及びコロナ感染が重態化を引き起こしかねない
　　　ステージ○以上のがん患者等で占められている。
　　　当院の近傍にはに受入可能な入院医療機関がなく、既存のECMOでは台数が足りず、遠隔地の入院医療機関への搬送の最中に死亡するケースも生じた。
　　　（該当ケースの日付はじめ経緯については別紙のとおり。）
　　　ついてはこれまで生じた受け入れを断らざるを得なかったケース実績を踏まえ、○台を新たに未整備の確保病床に整備することとしたい。</v>
      </c>
      <c r="C14" s="1675"/>
      <c r="D14" s="1675"/>
      <c r="E14" s="1675"/>
      <c r="F14" s="1675"/>
      <c r="G14" s="1675"/>
      <c r="H14" s="1675"/>
      <c r="I14" s="1675"/>
      <c r="J14" s="1675"/>
      <c r="K14" s="1675"/>
      <c r="L14" s="1675"/>
      <c r="M14" s="1675"/>
      <c r="N14" s="1675"/>
      <c r="O14" s="1675"/>
      <c r="AB14" s="13"/>
      <c r="AC14" s="548" t="s">
        <v>413</v>
      </c>
      <c r="AD14" s="548" t="s">
        <v>414</v>
      </c>
    </row>
    <row r="15" spans="1:35" ht="120" customHeight="1">
      <c r="B15" s="1844"/>
      <c r="C15" s="1845"/>
      <c r="D15" s="1845"/>
      <c r="E15" s="1845"/>
      <c r="F15" s="1845"/>
      <c r="G15" s="1845"/>
      <c r="H15" s="1845"/>
      <c r="I15" s="1845"/>
      <c r="J15" s="1845"/>
      <c r="K15" s="1845"/>
      <c r="L15" s="1845"/>
      <c r="M15" s="1845"/>
      <c r="N15" s="1845"/>
      <c r="O15" s="1846"/>
      <c r="AC15" s="648" t="str">
        <f xml:space="preserve">
IF(COUNTA(B15)=0,"○",
IF(COUNTA(B15)=1,"◎"))</f>
        <v>○</v>
      </c>
      <c r="AD15" s="649" t="str">
        <f xml:space="preserve">
IF(COUNTA(B15)=0,"整備しない場合は入力不要です。",
IF(COUNTA(B15)=1,"入力された状態になりました。"))</f>
        <v>整備しない場合は入力不要です。</v>
      </c>
    </row>
    <row r="16" spans="1:35" ht="20.100000000000001" customHeight="1"/>
    <row r="17" spans="1:30" ht="20.100000000000001" customHeight="1">
      <c r="B17" s="652" t="s">
        <v>452</v>
      </c>
      <c r="C17" s="652"/>
      <c r="D17" s="652"/>
      <c r="E17" s="652"/>
      <c r="F17" s="652"/>
      <c r="G17" s="652"/>
      <c r="H17" s="652"/>
      <c r="I17" s="652"/>
      <c r="J17" s="652"/>
      <c r="K17" s="652"/>
      <c r="L17" s="652"/>
      <c r="M17" s="652"/>
      <c r="N17" s="652"/>
      <c r="O17" s="652"/>
    </row>
    <row r="18" spans="1:30" ht="20.100000000000001" customHeight="1">
      <c r="B18" s="1843" t="s">
        <v>480</v>
      </c>
      <c r="C18" s="952"/>
      <c r="D18" s="952"/>
      <c r="E18" s="952"/>
      <c r="F18" s="952"/>
      <c r="G18" s="952"/>
      <c r="H18" s="952"/>
      <c r="I18" s="952"/>
      <c r="J18" s="952"/>
      <c r="K18" s="952"/>
      <c r="L18" s="952"/>
      <c r="M18" s="952"/>
      <c r="N18" s="952"/>
      <c r="O18" s="952"/>
    </row>
    <row r="19" spans="1:30" ht="20.100000000000001" customHeight="1">
      <c r="B19" s="1843"/>
      <c r="C19" s="952"/>
      <c r="D19" s="952"/>
      <c r="E19" s="952"/>
      <c r="F19" s="952"/>
      <c r="G19" s="952"/>
      <c r="H19" s="952"/>
      <c r="I19" s="952"/>
      <c r="J19" s="952"/>
      <c r="K19" s="952"/>
      <c r="L19" s="952"/>
      <c r="M19" s="952"/>
      <c r="N19" s="952"/>
      <c r="O19" s="952"/>
    </row>
    <row r="20" spans="1:30" ht="20.100000000000001" customHeight="1">
      <c r="B20" s="1843"/>
      <c r="C20" s="952"/>
      <c r="D20" s="952"/>
      <c r="E20" s="952"/>
      <c r="F20" s="952"/>
      <c r="G20" s="952"/>
      <c r="H20" s="952"/>
      <c r="I20" s="952"/>
      <c r="J20" s="952"/>
      <c r="K20" s="952"/>
      <c r="L20" s="952"/>
      <c r="M20" s="952"/>
      <c r="N20" s="952"/>
      <c r="O20" s="952"/>
    </row>
    <row r="21" spans="1:30" ht="20.100000000000001" customHeight="1">
      <c r="B21" s="952"/>
      <c r="C21" s="952"/>
      <c r="D21" s="952"/>
      <c r="E21" s="952"/>
      <c r="F21" s="952"/>
      <c r="G21" s="952"/>
      <c r="H21" s="952"/>
      <c r="I21" s="952"/>
      <c r="J21" s="952"/>
      <c r="K21" s="952"/>
      <c r="L21" s="952"/>
      <c r="M21" s="952"/>
      <c r="N21" s="952"/>
      <c r="O21" s="952"/>
    </row>
    <row r="22" spans="1:30" ht="120" customHeight="1">
      <c r="B22" s="1844"/>
      <c r="C22" s="1845"/>
      <c r="D22" s="1845"/>
      <c r="E22" s="1845"/>
      <c r="F22" s="1845"/>
      <c r="G22" s="1845"/>
      <c r="H22" s="1845"/>
      <c r="I22" s="1845"/>
      <c r="J22" s="1845"/>
      <c r="K22" s="1845"/>
      <c r="L22" s="1845"/>
      <c r="M22" s="1845"/>
      <c r="N22" s="1845"/>
      <c r="O22" s="1846"/>
      <c r="AC22" s="648" t="str">
        <f xml:space="preserve">
IF(COUNTA(B22)=0,"○",
IF(COUNTA(B22)=1,"◎"))</f>
        <v>○</v>
      </c>
      <c r="AD22" s="649" t="str">
        <f xml:space="preserve">
IF(COUNTA(B22)=0,"整備しない場合は入力不要です。",
IF(COUNTA(B22)=1,"入力された状態になりました。"))</f>
        <v>整備しない場合は入力不要です。</v>
      </c>
    </row>
    <row r="23" spans="1:30" ht="20.100000000000001" customHeight="1"/>
    <row r="24" spans="1:30" ht="20.100000000000001" customHeight="1">
      <c r="B24" s="652" t="s">
        <v>451</v>
      </c>
      <c r="C24" s="652"/>
      <c r="D24" s="652"/>
      <c r="E24" s="652"/>
      <c r="F24" s="652"/>
      <c r="G24" s="652"/>
      <c r="H24" s="652"/>
      <c r="I24" s="652"/>
      <c r="J24" s="652"/>
      <c r="K24" s="652"/>
      <c r="L24" s="652"/>
      <c r="M24" s="652"/>
      <c r="N24" s="652"/>
      <c r="O24" s="652"/>
      <c r="AC24" s="14"/>
    </row>
    <row r="25" spans="1:30" ht="9.9499999999999993" customHeight="1"/>
    <row r="26" spans="1:30" ht="60" customHeight="1">
      <c r="B26" s="1843" t="s">
        <v>559</v>
      </c>
      <c r="C26" s="953"/>
      <c r="D26" s="953"/>
      <c r="E26" s="953"/>
      <c r="F26" s="953"/>
      <c r="G26" s="953"/>
      <c r="H26" s="953"/>
      <c r="I26" s="953"/>
      <c r="J26" s="953"/>
      <c r="K26" s="953"/>
      <c r="L26" s="953"/>
      <c r="M26" s="953"/>
      <c r="N26" s="953"/>
      <c r="O26" s="953"/>
      <c r="AC26" s="648" t="str">
        <f xml:space="preserve">
IF(COUNTIF(AC30:AC74,"○")=45,"○",
IF(COUNTIF(AC30:AC74,"×")&gt;=1,"×",
IF(AND(COUNTIF(AC30:AC74,"◎")&gt;=1,COUNTIF(AC30:AC74,"×")=0),"◎")))</f>
        <v>○</v>
      </c>
      <c r="AD26" s="649" t="str">
        <f xml:space="preserve">
IF(COUNTIF(AC30:AC74,"○")=45,"整備しない場合は入力不要です。",
IF(COUNTIF(AC30:AC74,"×")&gt;=1,"【要修正】入力が不十分な箇所があります。",
IF(AND(COUNTIF(AC30:AC74,"◎")&gt;=1,COUNTIF(AC30:AC74,"×")=0),"適切に入力がされました。")))</f>
        <v>整備しない場合は入力不要です。</v>
      </c>
    </row>
    <row r="27" spans="1:30" ht="9.9499999999999993" customHeight="1">
      <c r="AC27" s="1837" t="s">
        <v>416</v>
      </c>
      <c r="AD27" s="1840" t="s">
        <v>418</v>
      </c>
    </row>
    <row r="28" spans="1:30" ht="18.75">
      <c r="B28" s="1853" t="s">
        <v>41</v>
      </c>
      <c r="C28" s="1854"/>
      <c r="D28" s="1855"/>
      <c r="E28" s="1853" t="s">
        <v>42</v>
      </c>
      <c r="F28" s="1855"/>
      <c r="G28" s="1853" t="s">
        <v>43</v>
      </c>
      <c r="H28" s="1854"/>
      <c r="I28" s="1854"/>
      <c r="J28" s="1855"/>
      <c r="K28" s="1858" t="str">
        <f xml:space="preserve">
IF(表紙!$X$2="事前協議","納品予定日",
IF(表紙!$X$2="交付申請（２次）","納品予定日",
IF(表紙!$X$2="変更申請","納品予定日",
IF(表紙!$X$2="実績報告（１次）","納品日",
IF(表紙!$X$2="実績報告（２次）","納品日",
IF(表紙!$X$2="交付申請兼実績報告","納品日"))))))</f>
        <v>納品日</v>
      </c>
      <c r="L28" s="1390"/>
      <c r="M28" s="1390"/>
      <c r="N28" s="1856" t="s">
        <v>44</v>
      </c>
      <c r="O28" s="1856" t="s">
        <v>45</v>
      </c>
      <c r="Q28" s="1835" t="str">
        <f>K28</f>
        <v>納品日</v>
      </c>
      <c r="R28" s="589"/>
      <c r="S28" s="589"/>
      <c r="T28" s="588"/>
      <c r="AC28" s="1105"/>
      <c r="AD28" s="1841"/>
    </row>
    <row r="29" spans="1:30">
      <c r="B29" s="651" t="s">
        <v>46</v>
      </c>
      <c r="C29" s="651" t="s">
        <v>47</v>
      </c>
      <c r="D29" s="651" t="s">
        <v>48</v>
      </c>
      <c r="E29" s="651" t="s">
        <v>54</v>
      </c>
      <c r="F29" s="651" t="s">
        <v>49</v>
      </c>
      <c r="G29" s="651" t="s">
        <v>50</v>
      </c>
      <c r="H29" s="651" t="s">
        <v>51</v>
      </c>
      <c r="I29" s="651" t="s">
        <v>52</v>
      </c>
      <c r="J29" s="651" t="s">
        <v>53</v>
      </c>
      <c r="K29" s="651" t="s">
        <v>1352</v>
      </c>
      <c r="L29" s="651" t="s">
        <v>1353</v>
      </c>
      <c r="M29" s="651" t="s">
        <v>1354</v>
      </c>
      <c r="N29" s="1857"/>
      <c r="O29" s="1857"/>
      <c r="Q29" s="1836"/>
      <c r="R29" s="648" t="s">
        <v>1352</v>
      </c>
      <c r="S29" s="648" t="s">
        <v>1353</v>
      </c>
      <c r="T29" s="648" t="s">
        <v>1354</v>
      </c>
      <c r="AC29" s="648" t="s">
        <v>413</v>
      </c>
      <c r="AD29" s="648" t="s">
        <v>415</v>
      </c>
    </row>
    <row r="30" spans="1:30">
      <c r="A30" s="12">
        <v>1</v>
      </c>
      <c r="B30" s="6"/>
      <c r="C30" s="6"/>
      <c r="D30" s="6"/>
      <c r="E30" s="10"/>
      <c r="F30" s="7"/>
      <c r="G30" s="531"/>
      <c r="H30" s="15">
        <f>ROUNDDOWN(G30*1.1,0)</f>
        <v>0</v>
      </c>
      <c r="I30" s="4">
        <f>F30*H30</f>
        <v>0</v>
      </c>
      <c r="J30" s="9"/>
      <c r="K30" s="595"/>
      <c r="L30" s="595"/>
      <c r="M30" s="595"/>
      <c r="N30" s="4">
        <f>IF(J30="補助対象",I30,IF(J30="補助対象外",0,0))</f>
        <v>0</v>
      </c>
      <c r="O30" s="5" t="str">
        <f>IF(AC30="◎",COUNTIF($AC$30:AC30,"◎"),"")</f>
        <v/>
      </c>
      <c r="Q30" s="596" t="str">
        <f>IF(AND(AC30="◎",J30="補助対象"),DATE(IF(K30=5,2023,IF(K30=6,2024)),L30,M30),"")</f>
        <v/>
      </c>
      <c r="R30" s="648" t="str">
        <f>IF(Q30=MAX($Q$30:$Q$74),K30,"")</f>
        <v/>
      </c>
      <c r="S30" s="648" t="str">
        <f>IF(Q30=MAX($Q$30:$Q$74),L30,"")</f>
        <v/>
      </c>
      <c r="T30" s="648" t="str">
        <f>IF(Q30=MAX($Q$30:$Q$74),M30,"")</f>
        <v/>
      </c>
      <c r="Z30" s="649" t="str">
        <f>IF(B30="個別病床",はじめに入力してください!$K$50,IF(B30="共通使用",はじめに入力してください!$K$52,""))</f>
        <v/>
      </c>
      <c r="AB30" s="12">
        <v>1</v>
      </c>
      <c r="AC30" s="648" t="str">
        <f xml:space="preserve">
IF(SUM(COUNTA(B30:G30),COUNTA(J30:M30))=0,"○",
IF(AND(SUM(COUNTA(B30:G30),COUNTA(J30:M30))&gt;0,SUM(COUNTA(B30:G30),COUNTA(J30:M30))&lt;10),"×",
IF(SUM(COUNTA(B30:G30),COUNTA(J30:M30))=10,"◎")))</f>
        <v>○</v>
      </c>
      <c r="AD30" s="649" t="str">
        <f xml:space="preserve">
IF(SUM(COUNTA(B30:G30),COUNTA(J30))=0,"整備しない場合は入力不要です。",
IF(AND(SUM(COUNTA(B30:G30),COUNTA(J30))&gt;0,SUM(COUNTA(B30:G30),COUNTA(J30))&lt;7),"【要修正】未入力の箇所があります。",
IF(SUM(COUNTA(B30:G30),COUNTA(J30))=7,"適切に入力がされました。")))</f>
        <v>整備しない場合は入力不要です。</v>
      </c>
    </row>
    <row r="31" spans="1:30">
      <c r="A31" s="12">
        <v>2</v>
      </c>
      <c r="B31" s="6"/>
      <c r="C31" s="6"/>
      <c r="D31" s="6"/>
      <c r="E31" s="10"/>
      <c r="F31" s="7"/>
      <c r="G31" s="531"/>
      <c r="H31" s="15">
        <f t="shared" ref="H31:H74" si="0">ROUNDDOWN(G31*1.1,0)</f>
        <v>0</v>
      </c>
      <c r="I31" s="4">
        <f t="shared" ref="I31:I74" si="1">F31*H31</f>
        <v>0</v>
      </c>
      <c r="J31" s="9"/>
      <c r="K31" s="595"/>
      <c r="L31" s="595"/>
      <c r="M31" s="595"/>
      <c r="N31" s="4">
        <f t="shared" ref="N31:N74" si="2">IF(J31="補助対象",I31,IF(J31="補助対象外",0,0))</f>
        <v>0</v>
      </c>
      <c r="O31" s="5" t="str">
        <f>IF(AC31="◎",COUNTIF($AC$30:AC31,"◎"),"")</f>
        <v/>
      </c>
      <c r="Q31" s="596" t="str">
        <f t="shared" ref="Q31:Q74" si="3">IF(AND(AC31="◎",J31="補助対象"),DATE(IF(K31=5,2023,IF(K31=6,2024)),L31,M31),"")</f>
        <v/>
      </c>
      <c r="R31" s="648" t="str">
        <f t="shared" ref="R31:R74" si="4">IF(Q31=MAX($Q$30:$Q$74),K31,"")</f>
        <v/>
      </c>
      <c r="S31" s="648" t="str">
        <f t="shared" ref="S31:S74" si="5">IF(Q31=MAX($Q$30:$Q$74),L31,"")</f>
        <v/>
      </c>
      <c r="T31" s="648" t="str">
        <f t="shared" ref="T31:T74" si="6">IF(Q31=MAX($Q$30:$Q$74),M31,"")</f>
        <v/>
      </c>
      <c r="Z31" s="649" t="str">
        <f>IF(B31="個別病床",はじめに入力してください!$K$50,IF(B31="共通使用",はじめに入力してください!$K$52,""))</f>
        <v/>
      </c>
      <c r="AB31" s="12">
        <v>2</v>
      </c>
      <c r="AC31" s="648" t="str">
        <f t="shared" ref="AC31:AC74" si="7" xml:space="preserve">
IF(SUM(COUNTA(B31:G31),COUNTA(J31:M31))=0,"○",
IF(AND(SUM(COUNTA(B31:G31),COUNTA(J31:M31))&gt;0,SUM(COUNTA(B31:G31),COUNTA(J31:M31))&lt;10),"×",
IF(SUM(COUNTA(B31:G31),COUNTA(J31:M31))=10,"◎")))</f>
        <v>○</v>
      </c>
      <c r="AD31" s="649" t="str">
        <f t="shared" ref="AD31:AD74" si="8" xml:space="preserve">
IF(SUM(COUNTA(B31:G31),COUNTA(J31))=0,"整備しない場合は入力不要です。",
IF(AND(SUM(COUNTA(B31:G31),COUNTA(J31))&gt;0,SUM(COUNTA(B31:G31),COUNTA(J31))&lt;7),"【要修正】未入力の箇所があります。",
IF(SUM(COUNTA(B31:G31),COUNTA(J31))=7,"適切に入力がされました。")))</f>
        <v>整備しない場合は入力不要です。</v>
      </c>
    </row>
    <row r="32" spans="1:30">
      <c r="A32" s="12">
        <v>3</v>
      </c>
      <c r="B32" s="6"/>
      <c r="C32" s="6"/>
      <c r="D32" s="6"/>
      <c r="E32" s="10"/>
      <c r="F32" s="7"/>
      <c r="G32" s="531"/>
      <c r="H32" s="15">
        <f t="shared" si="0"/>
        <v>0</v>
      </c>
      <c r="I32" s="4">
        <f t="shared" si="1"/>
        <v>0</v>
      </c>
      <c r="J32" s="9"/>
      <c r="K32" s="595"/>
      <c r="L32" s="595"/>
      <c r="M32" s="595"/>
      <c r="N32" s="4">
        <f t="shared" si="2"/>
        <v>0</v>
      </c>
      <c r="O32" s="5" t="str">
        <f>IF(AC32="◎",COUNTIF($AC$30:AC32,"◎"),"")</f>
        <v/>
      </c>
      <c r="Q32" s="596" t="str">
        <f t="shared" si="3"/>
        <v/>
      </c>
      <c r="R32" s="648" t="str">
        <f t="shared" si="4"/>
        <v/>
      </c>
      <c r="S32" s="648" t="str">
        <f t="shared" si="5"/>
        <v/>
      </c>
      <c r="T32" s="648" t="str">
        <f t="shared" si="6"/>
        <v/>
      </c>
      <c r="Z32" s="649" t="str">
        <f>IF(B32="個別病床",はじめに入力してください!$K$50,IF(B32="共通使用",はじめに入力してください!$K$52,""))</f>
        <v/>
      </c>
      <c r="AB32" s="12">
        <v>3</v>
      </c>
      <c r="AC32" s="648" t="str">
        <f t="shared" si="7"/>
        <v>○</v>
      </c>
      <c r="AD32" s="649" t="str">
        <f t="shared" si="8"/>
        <v>整備しない場合は入力不要です。</v>
      </c>
    </row>
    <row r="33" spans="1:30">
      <c r="A33" s="12">
        <v>4</v>
      </c>
      <c r="B33" s="6"/>
      <c r="C33" s="6"/>
      <c r="D33" s="6"/>
      <c r="E33" s="10"/>
      <c r="F33" s="7"/>
      <c r="G33" s="531"/>
      <c r="H33" s="15">
        <f t="shared" si="0"/>
        <v>0</v>
      </c>
      <c r="I33" s="4">
        <f t="shared" si="1"/>
        <v>0</v>
      </c>
      <c r="J33" s="9"/>
      <c r="K33" s="595"/>
      <c r="L33" s="595"/>
      <c r="M33" s="595"/>
      <c r="N33" s="4">
        <f t="shared" si="2"/>
        <v>0</v>
      </c>
      <c r="O33" s="5" t="str">
        <f>IF(AC33="◎",COUNTIF($AC$30:AC33,"◎"),"")</f>
        <v/>
      </c>
      <c r="Q33" s="596" t="str">
        <f t="shared" si="3"/>
        <v/>
      </c>
      <c r="R33" s="648" t="str">
        <f t="shared" si="4"/>
        <v/>
      </c>
      <c r="S33" s="648" t="str">
        <f t="shared" si="5"/>
        <v/>
      </c>
      <c r="T33" s="648" t="str">
        <f t="shared" si="6"/>
        <v/>
      </c>
      <c r="Z33" s="649" t="str">
        <f>IF(B33="個別病床",はじめに入力してください!$K$50,IF(B33="共通使用",はじめに入力してください!$K$52,""))</f>
        <v/>
      </c>
      <c r="AB33" s="12">
        <v>4</v>
      </c>
      <c r="AC33" s="648" t="str">
        <f t="shared" si="7"/>
        <v>○</v>
      </c>
      <c r="AD33" s="649" t="str">
        <f t="shared" si="8"/>
        <v>整備しない場合は入力不要です。</v>
      </c>
    </row>
    <row r="34" spans="1:30">
      <c r="A34" s="12">
        <v>5</v>
      </c>
      <c r="B34" s="6"/>
      <c r="C34" s="6"/>
      <c r="D34" s="6"/>
      <c r="E34" s="10"/>
      <c r="F34" s="7"/>
      <c r="G34" s="531"/>
      <c r="H34" s="15">
        <f t="shared" si="0"/>
        <v>0</v>
      </c>
      <c r="I34" s="4">
        <f t="shared" si="1"/>
        <v>0</v>
      </c>
      <c r="J34" s="9"/>
      <c r="K34" s="595"/>
      <c r="L34" s="595"/>
      <c r="M34" s="595"/>
      <c r="N34" s="4">
        <f t="shared" si="2"/>
        <v>0</v>
      </c>
      <c r="O34" s="5" t="str">
        <f>IF(AC34="◎",COUNTIF($AC$30:AC34,"◎"),"")</f>
        <v/>
      </c>
      <c r="Q34" s="596" t="str">
        <f t="shared" si="3"/>
        <v/>
      </c>
      <c r="R34" s="648" t="str">
        <f t="shared" si="4"/>
        <v/>
      </c>
      <c r="S34" s="648" t="str">
        <f t="shared" si="5"/>
        <v/>
      </c>
      <c r="T34" s="648" t="str">
        <f t="shared" si="6"/>
        <v/>
      </c>
      <c r="Z34" s="649" t="str">
        <f>IF(B34="個別病床",はじめに入力してください!$K$50,IF(B34="共通使用",はじめに入力してください!$K$52,""))</f>
        <v/>
      </c>
      <c r="AB34" s="12">
        <v>5</v>
      </c>
      <c r="AC34" s="648" t="str">
        <f t="shared" si="7"/>
        <v>○</v>
      </c>
      <c r="AD34" s="649" t="str">
        <f t="shared" si="8"/>
        <v>整備しない場合は入力不要です。</v>
      </c>
    </row>
    <row r="35" spans="1:30">
      <c r="A35" s="12">
        <v>6</v>
      </c>
      <c r="B35" s="6"/>
      <c r="C35" s="6"/>
      <c r="D35" s="6"/>
      <c r="E35" s="10"/>
      <c r="F35" s="7"/>
      <c r="G35" s="531"/>
      <c r="H35" s="15">
        <f t="shared" si="0"/>
        <v>0</v>
      </c>
      <c r="I35" s="4">
        <f t="shared" si="1"/>
        <v>0</v>
      </c>
      <c r="J35" s="9"/>
      <c r="K35" s="595"/>
      <c r="L35" s="595"/>
      <c r="M35" s="595"/>
      <c r="N35" s="4">
        <f t="shared" si="2"/>
        <v>0</v>
      </c>
      <c r="O35" s="5" t="str">
        <f>IF(AC35="◎",COUNTIF($AC$30:AC35,"◎"),"")</f>
        <v/>
      </c>
      <c r="Q35" s="596" t="str">
        <f t="shared" si="3"/>
        <v/>
      </c>
      <c r="R35" s="648" t="str">
        <f t="shared" si="4"/>
        <v/>
      </c>
      <c r="S35" s="648" t="str">
        <f t="shared" si="5"/>
        <v/>
      </c>
      <c r="T35" s="648" t="str">
        <f t="shared" si="6"/>
        <v/>
      </c>
      <c r="Z35" s="649" t="str">
        <f>IF(B35="個別病床",はじめに入力してください!$K$50,IF(B35="共通使用",はじめに入力してください!$K$52,""))</f>
        <v/>
      </c>
      <c r="AB35" s="12">
        <v>6</v>
      </c>
      <c r="AC35" s="648" t="str">
        <f t="shared" si="7"/>
        <v>○</v>
      </c>
      <c r="AD35" s="649" t="str">
        <f t="shared" si="8"/>
        <v>整備しない場合は入力不要です。</v>
      </c>
    </row>
    <row r="36" spans="1:30">
      <c r="A36" s="12">
        <v>7</v>
      </c>
      <c r="B36" s="6"/>
      <c r="C36" s="6"/>
      <c r="D36" s="6"/>
      <c r="E36" s="10"/>
      <c r="F36" s="7"/>
      <c r="G36" s="531"/>
      <c r="H36" s="15">
        <f t="shared" si="0"/>
        <v>0</v>
      </c>
      <c r="I36" s="4">
        <f t="shared" si="1"/>
        <v>0</v>
      </c>
      <c r="J36" s="9"/>
      <c r="K36" s="595"/>
      <c r="L36" s="595"/>
      <c r="M36" s="595"/>
      <c r="N36" s="4">
        <f t="shared" si="2"/>
        <v>0</v>
      </c>
      <c r="O36" s="5" t="str">
        <f>IF(AC36="◎",COUNTIF($AC$30:AC36,"◎"),"")</f>
        <v/>
      </c>
      <c r="Q36" s="596" t="str">
        <f t="shared" si="3"/>
        <v/>
      </c>
      <c r="R36" s="648" t="str">
        <f t="shared" si="4"/>
        <v/>
      </c>
      <c r="S36" s="648" t="str">
        <f t="shared" si="5"/>
        <v/>
      </c>
      <c r="T36" s="648" t="str">
        <f t="shared" si="6"/>
        <v/>
      </c>
      <c r="Z36" s="649" t="str">
        <f>IF(B36="個別病床",はじめに入力してください!$K$50,IF(B36="共通使用",はじめに入力してください!$K$52,""))</f>
        <v/>
      </c>
      <c r="AB36" s="12">
        <v>7</v>
      </c>
      <c r="AC36" s="648" t="str">
        <f t="shared" si="7"/>
        <v>○</v>
      </c>
      <c r="AD36" s="649" t="str">
        <f t="shared" si="8"/>
        <v>整備しない場合は入力不要です。</v>
      </c>
    </row>
    <row r="37" spans="1:30">
      <c r="A37" s="12">
        <v>8</v>
      </c>
      <c r="B37" s="6"/>
      <c r="C37" s="6"/>
      <c r="D37" s="6"/>
      <c r="E37" s="10"/>
      <c r="F37" s="7"/>
      <c r="G37" s="531"/>
      <c r="H37" s="15">
        <f t="shared" si="0"/>
        <v>0</v>
      </c>
      <c r="I37" s="4">
        <f t="shared" si="1"/>
        <v>0</v>
      </c>
      <c r="J37" s="9"/>
      <c r="K37" s="595"/>
      <c r="L37" s="595"/>
      <c r="M37" s="595"/>
      <c r="N37" s="4">
        <f t="shared" si="2"/>
        <v>0</v>
      </c>
      <c r="O37" s="5" t="str">
        <f>IF(AC37="◎",COUNTIF($AC$30:AC37,"◎"),"")</f>
        <v/>
      </c>
      <c r="Q37" s="596" t="str">
        <f t="shared" si="3"/>
        <v/>
      </c>
      <c r="R37" s="648" t="str">
        <f t="shared" si="4"/>
        <v/>
      </c>
      <c r="S37" s="648" t="str">
        <f t="shared" si="5"/>
        <v/>
      </c>
      <c r="T37" s="648" t="str">
        <f t="shared" si="6"/>
        <v/>
      </c>
      <c r="Z37" s="649" t="str">
        <f>IF(B37="個別病床",はじめに入力してください!$K$50,IF(B37="共通使用",はじめに入力してください!$K$52,""))</f>
        <v/>
      </c>
      <c r="AB37" s="12">
        <v>8</v>
      </c>
      <c r="AC37" s="648" t="str">
        <f t="shared" si="7"/>
        <v>○</v>
      </c>
      <c r="AD37" s="649" t="str">
        <f t="shared" si="8"/>
        <v>整備しない場合は入力不要です。</v>
      </c>
    </row>
    <row r="38" spans="1:30">
      <c r="A38" s="12">
        <v>9</v>
      </c>
      <c r="B38" s="6"/>
      <c r="C38" s="6"/>
      <c r="D38" s="6"/>
      <c r="E38" s="10"/>
      <c r="F38" s="7"/>
      <c r="G38" s="531"/>
      <c r="H38" s="15">
        <f t="shared" si="0"/>
        <v>0</v>
      </c>
      <c r="I38" s="4">
        <f t="shared" si="1"/>
        <v>0</v>
      </c>
      <c r="J38" s="9"/>
      <c r="K38" s="595"/>
      <c r="L38" s="595"/>
      <c r="M38" s="595"/>
      <c r="N38" s="4">
        <f t="shared" si="2"/>
        <v>0</v>
      </c>
      <c r="O38" s="5" t="str">
        <f>IF(AC38="◎",COUNTIF($AC$30:AC38,"◎"),"")</f>
        <v/>
      </c>
      <c r="Q38" s="596" t="str">
        <f t="shared" si="3"/>
        <v/>
      </c>
      <c r="R38" s="648" t="str">
        <f t="shared" si="4"/>
        <v/>
      </c>
      <c r="S38" s="648" t="str">
        <f t="shared" si="5"/>
        <v/>
      </c>
      <c r="T38" s="648" t="str">
        <f t="shared" si="6"/>
        <v/>
      </c>
      <c r="Z38" s="649" t="str">
        <f>IF(B38="個別病床",はじめに入力してください!$K$50,IF(B38="共通使用",はじめに入力してください!$K$52,""))</f>
        <v/>
      </c>
      <c r="AB38" s="12">
        <v>9</v>
      </c>
      <c r="AC38" s="648" t="str">
        <f t="shared" si="7"/>
        <v>○</v>
      </c>
      <c r="AD38" s="649" t="str">
        <f t="shared" si="8"/>
        <v>整備しない場合は入力不要です。</v>
      </c>
    </row>
    <row r="39" spans="1:30">
      <c r="A39" s="12">
        <v>10</v>
      </c>
      <c r="B39" s="6"/>
      <c r="C39" s="6"/>
      <c r="D39" s="6"/>
      <c r="E39" s="10"/>
      <c r="F39" s="7"/>
      <c r="G39" s="531"/>
      <c r="H39" s="15">
        <f t="shared" si="0"/>
        <v>0</v>
      </c>
      <c r="I39" s="4">
        <f t="shared" si="1"/>
        <v>0</v>
      </c>
      <c r="J39" s="9"/>
      <c r="K39" s="595"/>
      <c r="L39" s="595"/>
      <c r="M39" s="595"/>
      <c r="N39" s="4">
        <f t="shared" si="2"/>
        <v>0</v>
      </c>
      <c r="O39" s="5" t="str">
        <f>IF(AC39="◎",COUNTIF($AC$30:AC39,"◎"),"")</f>
        <v/>
      </c>
      <c r="Q39" s="596" t="str">
        <f t="shared" si="3"/>
        <v/>
      </c>
      <c r="R39" s="648" t="str">
        <f t="shared" si="4"/>
        <v/>
      </c>
      <c r="S39" s="648" t="str">
        <f t="shared" si="5"/>
        <v/>
      </c>
      <c r="T39" s="648" t="str">
        <f t="shared" si="6"/>
        <v/>
      </c>
      <c r="Z39" s="649" t="str">
        <f>IF(B39="個別病床",はじめに入力してください!$K$50,IF(B39="共通使用",はじめに入力してください!$K$52,""))</f>
        <v/>
      </c>
      <c r="AB39" s="12">
        <v>10</v>
      </c>
      <c r="AC39" s="648" t="str">
        <f t="shared" si="7"/>
        <v>○</v>
      </c>
      <c r="AD39" s="649" t="str">
        <f t="shared" si="8"/>
        <v>整備しない場合は入力不要です。</v>
      </c>
    </row>
    <row r="40" spans="1:30">
      <c r="A40" s="12">
        <v>11</v>
      </c>
      <c r="B40" s="6"/>
      <c r="C40" s="6"/>
      <c r="D40" s="6"/>
      <c r="E40" s="10"/>
      <c r="F40" s="7"/>
      <c r="G40" s="531"/>
      <c r="H40" s="15">
        <f t="shared" si="0"/>
        <v>0</v>
      </c>
      <c r="I40" s="4">
        <f t="shared" si="1"/>
        <v>0</v>
      </c>
      <c r="J40" s="9"/>
      <c r="K40" s="595"/>
      <c r="L40" s="595"/>
      <c r="M40" s="595"/>
      <c r="N40" s="4">
        <f t="shared" si="2"/>
        <v>0</v>
      </c>
      <c r="O40" s="5" t="str">
        <f>IF(AC40="◎",COUNTIF($AC$30:AC40,"◎"),"")</f>
        <v/>
      </c>
      <c r="Q40" s="596" t="str">
        <f t="shared" si="3"/>
        <v/>
      </c>
      <c r="R40" s="648" t="str">
        <f t="shared" si="4"/>
        <v/>
      </c>
      <c r="S40" s="648" t="str">
        <f t="shared" si="5"/>
        <v/>
      </c>
      <c r="T40" s="648" t="str">
        <f t="shared" si="6"/>
        <v/>
      </c>
      <c r="Z40" s="649" t="str">
        <f>IF(B40="個別病床",はじめに入力してください!$K$50,IF(B40="共通使用",はじめに入力してください!$K$52,""))</f>
        <v/>
      </c>
      <c r="AB40" s="12">
        <v>11</v>
      </c>
      <c r="AC40" s="648" t="str">
        <f t="shared" si="7"/>
        <v>○</v>
      </c>
      <c r="AD40" s="649" t="str">
        <f t="shared" si="8"/>
        <v>整備しない場合は入力不要です。</v>
      </c>
    </row>
    <row r="41" spans="1:30">
      <c r="A41" s="12">
        <v>12</v>
      </c>
      <c r="B41" s="6"/>
      <c r="C41" s="6"/>
      <c r="D41" s="6"/>
      <c r="E41" s="10"/>
      <c r="F41" s="7"/>
      <c r="G41" s="531"/>
      <c r="H41" s="15">
        <f t="shared" si="0"/>
        <v>0</v>
      </c>
      <c r="I41" s="4">
        <f t="shared" si="1"/>
        <v>0</v>
      </c>
      <c r="J41" s="9"/>
      <c r="K41" s="595"/>
      <c r="L41" s="595"/>
      <c r="M41" s="595"/>
      <c r="N41" s="4">
        <f t="shared" si="2"/>
        <v>0</v>
      </c>
      <c r="O41" s="5" t="str">
        <f>IF(AC41="◎",COUNTIF($AC$30:AC41,"◎"),"")</f>
        <v/>
      </c>
      <c r="Q41" s="596" t="str">
        <f t="shared" si="3"/>
        <v/>
      </c>
      <c r="R41" s="648" t="str">
        <f t="shared" si="4"/>
        <v/>
      </c>
      <c r="S41" s="648" t="str">
        <f t="shared" si="5"/>
        <v/>
      </c>
      <c r="T41" s="648" t="str">
        <f t="shared" si="6"/>
        <v/>
      </c>
      <c r="Z41" s="649" t="str">
        <f>IF(B41="個別病床",はじめに入力してください!$K$50,IF(B41="共通使用",はじめに入力してください!$K$52,""))</f>
        <v/>
      </c>
      <c r="AB41" s="12">
        <v>12</v>
      </c>
      <c r="AC41" s="648" t="str">
        <f t="shared" si="7"/>
        <v>○</v>
      </c>
      <c r="AD41" s="649" t="str">
        <f t="shared" si="8"/>
        <v>整備しない場合は入力不要です。</v>
      </c>
    </row>
    <row r="42" spans="1:30">
      <c r="A42" s="12">
        <v>13</v>
      </c>
      <c r="B42" s="6"/>
      <c r="C42" s="6"/>
      <c r="D42" s="6"/>
      <c r="E42" s="10"/>
      <c r="F42" s="7"/>
      <c r="G42" s="531"/>
      <c r="H42" s="15">
        <f t="shared" si="0"/>
        <v>0</v>
      </c>
      <c r="I42" s="4">
        <f t="shared" si="1"/>
        <v>0</v>
      </c>
      <c r="J42" s="9"/>
      <c r="K42" s="595"/>
      <c r="L42" s="595"/>
      <c r="M42" s="595"/>
      <c r="N42" s="4">
        <f t="shared" si="2"/>
        <v>0</v>
      </c>
      <c r="O42" s="5" t="str">
        <f>IF(AC42="◎",COUNTIF($AC$30:AC42,"◎"),"")</f>
        <v/>
      </c>
      <c r="Q42" s="596" t="str">
        <f t="shared" si="3"/>
        <v/>
      </c>
      <c r="R42" s="648" t="str">
        <f t="shared" si="4"/>
        <v/>
      </c>
      <c r="S42" s="648" t="str">
        <f t="shared" si="5"/>
        <v/>
      </c>
      <c r="T42" s="648" t="str">
        <f t="shared" si="6"/>
        <v/>
      </c>
      <c r="Z42" s="649" t="str">
        <f>IF(B42="個別病床",はじめに入力してください!$K$50,IF(B42="共通使用",はじめに入力してください!$K$52,""))</f>
        <v/>
      </c>
      <c r="AB42" s="12">
        <v>13</v>
      </c>
      <c r="AC42" s="648" t="str">
        <f t="shared" si="7"/>
        <v>○</v>
      </c>
      <c r="AD42" s="649" t="str">
        <f t="shared" si="8"/>
        <v>整備しない場合は入力不要です。</v>
      </c>
    </row>
    <row r="43" spans="1:30">
      <c r="A43" s="12">
        <v>14</v>
      </c>
      <c r="B43" s="6"/>
      <c r="C43" s="6"/>
      <c r="D43" s="6"/>
      <c r="E43" s="10"/>
      <c r="F43" s="7"/>
      <c r="G43" s="531"/>
      <c r="H43" s="15">
        <f t="shared" si="0"/>
        <v>0</v>
      </c>
      <c r="I43" s="4">
        <f t="shared" si="1"/>
        <v>0</v>
      </c>
      <c r="J43" s="9"/>
      <c r="K43" s="595"/>
      <c r="L43" s="595"/>
      <c r="M43" s="595"/>
      <c r="N43" s="4">
        <f t="shared" si="2"/>
        <v>0</v>
      </c>
      <c r="O43" s="5" t="str">
        <f>IF(AC43="◎",COUNTIF($AC$30:AC43,"◎"),"")</f>
        <v/>
      </c>
      <c r="Q43" s="596" t="str">
        <f t="shared" si="3"/>
        <v/>
      </c>
      <c r="R43" s="648" t="str">
        <f t="shared" si="4"/>
        <v/>
      </c>
      <c r="S43" s="648" t="str">
        <f t="shared" si="5"/>
        <v/>
      </c>
      <c r="T43" s="648" t="str">
        <f t="shared" si="6"/>
        <v/>
      </c>
      <c r="Z43" s="649" t="str">
        <f>IF(B43="個別病床",はじめに入力してください!$K$50,IF(B43="共通使用",はじめに入力してください!$K$52,""))</f>
        <v/>
      </c>
      <c r="AB43" s="12">
        <v>14</v>
      </c>
      <c r="AC43" s="648" t="str">
        <f t="shared" si="7"/>
        <v>○</v>
      </c>
      <c r="AD43" s="649" t="str">
        <f t="shared" si="8"/>
        <v>整備しない場合は入力不要です。</v>
      </c>
    </row>
    <row r="44" spans="1:30">
      <c r="A44" s="12">
        <v>15</v>
      </c>
      <c r="B44" s="6"/>
      <c r="C44" s="6"/>
      <c r="D44" s="6"/>
      <c r="E44" s="10"/>
      <c r="F44" s="7"/>
      <c r="G44" s="531"/>
      <c r="H44" s="15">
        <f t="shared" si="0"/>
        <v>0</v>
      </c>
      <c r="I44" s="4">
        <f t="shared" si="1"/>
        <v>0</v>
      </c>
      <c r="J44" s="9"/>
      <c r="K44" s="595"/>
      <c r="L44" s="595"/>
      <c r="M44" s="595"/>
      <c r="N44" s="4">
        <f t="shared" si="2"/>
        <v>0</v>
      </c>
      <c r="O44" s="5" t="str">
        <f>IF(AC44="◎",COUNTIF($AC$30:AC44,"◎"),"")</f>
        <v/>
      </c>
      <c r="Q44" s="596" t="str">
        <f t="shared" si="3"/>
        <v/>
      </c>
      <c r="R44" s="648" t="str">
        <f t="shared" si="4"/>
        <v/>
      </c>
      <c r="S44" s="648" t="str">
        <f t="shared" si="5"/>
        <v/>
      </c>
      <c r="T44" s="648" t="str">
        <f t="shared" si="6"/>
        <v/>
      </c>
      <c r="Z44" s="649" t="str">
        <f>IF(B44="個別病床",はじめに入力してください!$K$50,IF(B44="共通使用",はじめに入力してください!$K$52,""))</f>
        <v/>
      </c>
      <c r="AB44" s="12">
        <v>15</v>
      </c>
      <c r="AC44" s="648" t="str">
        <f t="shared" si="7"/>
        <v>○</v>
      </c>
      <c r="AD44" s="649" t="str">
        <f t="shared" si="8"/>
        <v>整備しない場合は入力不要です。</v>
      </c>
    </row>
    <row r="45" spans="1:30">
      <c r="A45" s="12">
        <v>16</v>
      </c>
      <c r="B45" s="6"/>
      <c r="C45" s="6"/>
      <c r="D45" s="6"/>
      <c r="E45" s="10"/>
      <c r="F45" s="7"/>
      <c r="G45" s="531"/>
      <c r="H45" s="15">
        <f t="shared" si="0"/>
        <v>0</v>
      </c>
      <c r="I45" s="4">
        <f t="shared" si="1"/>
        <v>0</v>
      </c>
      <c r="J45" s="9"/>
      <c r="K45" s="595"/>
      <c r="L45" s="595"/>
      <c r="M45" s="595"/>
      <c r="N45" s="4">
        <f t="shared" si="2"/>
        <v>0</v>
      </c>
      <c r="O45" s="5" t="str">
        <f>IF(AC45="◎",COUNTIF($AC$30:AC45,"◎"),"")</f>
        <v/>
      </c>
      <c r="Q45" s="596" t="str">
        <f t="shared" si="3"/>
        <v/>
      </c>
      <c r="R45" s="648" t="str">
        <f t="shared" si="4"/>
        <v/>
      </c>
      <c r="S45" s="648" t="str">
        <f t="shared" si="5"/>
        <v/>
      </c>
      <c r="T45" s="648" t="str">
        <f t="shared" si="6"/>
        <v/>
      </c>
      <c r="Z45" s="649" t="str">
        <f>IF(B45="個別病床",はじめに入力してください!$K$50,IF(B45="共通使用",はじめに入力してください!$K$52,""))</f>
        <v/>
      </c>
      <c r="AB45" s="12">
        <v>16</v>
      </c>
      <c r="AC45" s="648" t="str">
        <f t="shared" si="7"/>
        <v>○</v>
      </c>
      <c r="AD45" s="649" t="str">
        <f t="shared" si="8"/>
        <v>整備しない場合は入力不要です。</v>
      </c>
    </row>
    <row r="46" spans="1:30">
      <c r="A46" s="12">
        <v>17</v>
      </c>
      <c r="B46" s="6"/>
      <c r="C46" s="6"/>
      <c r="D46" s="6"/>
      <c r="E46" s="10"/>
      <c r="F46" s="7"/>
      <c r="G46" s="531"/>
      <c r="H46" s="15">
        <f t="shared" si="0"/>
        <v>0</v>
      </c>
      <c r="I46" s="4">
        <f t="shared" si="1"/>
        <v>0</v>
      </c>
      <c r="J46" s="9"/>
      <c r="K46" s="595"/>
      <c r="L46" s="595"/>
      <c r="M46" s="595"/>
      <c r="N46" s="4">
        <f t="shared" si="2"/>
        <v>0</v>
      </c>
      <c r="O46" s="5" t="str">
        <f>IF(AC46="◎",COUNTIF($AC$30:AC46,"◎"),"")</f>
        <v/>
      </c>
      <c r="Q46" s="596" t="str">
        <f t="shared" si="3"/>
        <v/>
      </c>
      <c r="R46" s="648" t="str">
        <f t="shared" si="4"/>
        <v/>
      </c>
      <c r="S46" s="648" t="str">
        <f t="shared" si="5"/>
        <v/>
      </c>
      <c r="T46" s="648" t="str">
        <f t="shared" si="6"/>
        <v/>
      </c>
      <c r="Z46" s="649" t="str">
        <f>IF(B46="個別病床",はじめに入力してください!$K$50,IF(B46="共通使用",はじめに入力してください!$K$52,""))</f>
        <v/>
      </c>
      <c r="AB46" s="12">
        <v>17</v>
      </c>
      <c r="AC46" s="648" t="str">
        <f t="shared" si="7"/>
        <v>○</v>
      </c>
      <c r="AD46" s="649" t="str">
        <f t="shared" si="8"/>
        <v>整備しない場合は入力不要です。</v>
      </c>
    </row>
    <row r="47" spans="1:30">
      <c r="A47" s="12">
        <v>18</v>
      </c>
      <c r="B47" s="6"/>
      <c r="C47" s="6"/>
      <c r="D47" s="6"/>
      <c r="E47" s="10"/>
      <c r="F47" s="7"/>
      <c r="G47" s="531"/>
      <c r="H47" s="15">
        <f t="shared" si="0"/>
        <v>0</v>
      </c>
      <c r="I47" s="4">
        <f t="shared" si="1"/>
        <v>0</v>
      </c>
      <c r="J47" s="9"/>
      <c r="K47" s="595"/>
      <c r="L47" s="595"/>
      <c r="M47" s="595"/>
      <c r="N47" s="4">
        <f t="shared" si="2"/>
        <v>0</v>
      </c>
      <c r="O47" s="5" t="str">
        <f>IF(AC47="◎",COUNTIF($AC$30:AC47,"◎"),"")</f>
        <v/>
      </c>
      <c r="Q47" s="596" t="str">
        <f t="shared" si="3"/>
        <v/>
      </c>
      <c r="R47" s="648" t="str">
        <f t="shared" si="4"/>
        <v/>
      </c>
      <c r="S47" s="648" t="str">
        <f t="shared" si="5"/>
        <v/>
      </c>
      <c r="T47" s="648" t="str">
        <f t="shared" si="6"/>
        <v/>
      </c>
      <c r="Z47" s="649" t="str">
        <f>IF(B47="個別病床",はじめに入力してください!$K$50,IF(B47="共通使用",はじめに入力してください!$K$52,""))</f>
        <v/>
      </c>
      <c r="AB47" s="12">
        <v>18</v>
      </c>
      <c r="AC47" s="648" t="str">
        <f t="shared" si="7"/>
        <v>○</v>
      </c>
      <c r="AD47" s="649" t="str">
        <f t="shared" si="8"/>
        <v>整備しない場合は入力不要です。</v>
      </c>
    </row>
    <row r="48" spans="1:30">
      <c r="A48" s="12">
        <v>19</v>
      </c>
      <c r="B48" s="6"/>
      <c r="C48" s="6"/>
      <c r="D48" s="6"/>
      <c r="E48" s="10"/>
      <c r="F48" s="7"/>
      <c r="G48" s="531"/>
      <c r="H48" s="15">
        <f t="shared" si="0"/>
        <v>0</v>
      </c>
      <c r="I48" s="4">
        <f t="shared" si="1"/>
        <v>0</v>
      </c>
      <c r="J48" s="9"/>
      <c r="K48" s="595"/>
      <c r="L48" s="595"/>
      <c r="M48" s="595"/>
      <c r="N48" s="4">
        <f t="shared" si="2"/>
        <v>0</v>
      </c>
      <c r="O48" s="5" t="str">
        <f>IF(AC48="◎",COUNTIF($AC$30:AC48,"◎"),"")</f>
        <v/>
      </c>
      <c r="Q48" s="596" t="str">
        <f t="shared" si="3"/>
        <v/>
      </c>
      <c r="R48" s="648" t="str">
        <f t="shared" si="4"/>
        <v/>
      </c>
      <c r="S48" s="648" t="str">
        <f t="shared" si="5"/>
        <v/>
      </c>
      <c r="T48" s="648" t="str">
        <f t="shared" si="6"/>
        <v/>
      </c>
      <c r="Z48" s="649" t="str">
        <f>IF(B48="個別病床",はじめに入力してください!$K$50,IF(B48="共通使用",はじめに入力してください!$K$52,""))</f>
        <v/>
      </c>
      <c r="AB48" s="12">
        <v>19</v>
      </c>
      <c r="AC48" s="648" t="str">
        <f t="shared" si="7"/>
        <v>○</v>
      </c>
      <c r="AD48" s="649" t="str">
        <f t="shared" si="8"/>
        <v>整備しない場合は入力不要です。</v>
      </c>
    </row>
    <row r="49" spans="1:30">
      <c r="A49" s="12">
        <v>20</v>
      </c>
      <c r="B49" s="6"/>
      <c r="C49" s="6"/>
      <c r="D49" s="6"/>
      <c r="E49" s="10"/>
      <c r="F49" s="7"/>
      <c r="G49" s="531"/>
      <c r="H49" s="15">
        <f t="shared" si="0"/>
        <v>0</v>
      </c>
      <c r="I49" s="4">
        <f t="shared" si="1"/>
        <v>0</v>
      </c>
      <c r="J49" s="9"/>
      <c r="K49" s="595"/>
      <c r="L49" s="595"/>
      <c r="M49" s="595"/>
      <c r="N49" s="4">
        <f t="shared" si="2"/>
        <v>0</v>
      </c>
      <c r="O49" s="5" t="str">
        <f>IF(AC49="◎",COUNTIF($AC$30:AC49,"◎"),"")</f>
        <v/>
      </c>
      <c r="Q49" s="596" t="str">
        <f t="shared" si="3"/>
        <v/>
      </c>
      <c r="R49" s="648" t="str">
        <f t="shared" si="4"/>
        <v/>
      </c>
      <c r="S49" s="648" t="str">
        <f t="shared" si="5"/>
        <v/>
      </c>
      <c r="T49" s="648" t="str">
        <f t="shared" si="6"/>
        <v/>
      </c>
      <c r="Z49" s="649" t="str">
        <f>IF(B49="個別病床",はじめに入力してください!$K$50,IF(B49="共通使用",はじめに入力してください!$K$52,""))</f>
        <v/>
      </c>
      <c r="AB49" s="12">
        <v>20</v>
      </c>
      <c r="AC49" s="648" t="str">
        <f t="shared" si="7"/>
        <v>○</v>
      </c>
      <c r="AD49" s="649" t="str">
        <f t="shared" si="8"/>
        <v>整備しない場合は入力不要です。</v>
      </c>
    </row>
    <row r="50" spans="1:30">
      <c r="A50" s="12">
        <v>21</v>
      </c>
      <c r="B50" s="6"/>
      <c r="C50" s="6"/>
      <c r="D50" s="6"/>
      <c r="E50" s="10"/>
      <c r="F50" s="7"/>
      <c r="G50" s="531"/>
      <c r="H50" s="15">
        <f t="shared" si="0"/>
        <v>0</v>
      </c>
      <c r="I50" s="4">
        <f t="shared" si="1"/>
        <v>0</v>
      </c>
      <c r="J50" s="9"/>
      <c r="K50" s="595"/>
      <c r="L50" s="595"/>
      <c r="M50" s="595"/>
      <c r="N50" s="4">
        <f t="shared" si="2"/>
        <v>0</v>
      </c>
      <c r="O50" s="5" t="str">
        <f>IF(AC50="◎",COUNTIF($AC$30:AC50,"◎"),"")</f>
        <v/>
      </c>
      <c r="Q50" s="596" t="str">
        <f t="shared" si="3"/>
        <v/>
      </c>
      <c r="R50" s="648" t="str">
        <f t="shared" si="4"/>
        <v/>
      </c>
      <c r="S50" s="648" t="str">
        <f t="shared" si="5"/>
        <v/>
      </c>
      <c r="T50" s="648" t="str">
        <f t="shared" si="6"/>
        <v/>
      </c>
      <c r="Z50" s="649" t="str">
        <f>IF(B50="個別病床",はじめに入力してください!$K$50,IF(B50="共通使用",はじめに入力してください!$K$52,""))</f>
        <v/>
      </c>
      <c r="AB50" s="12">
        <v>21</v>
      </c>
      <c r="AC50" s="648" t="str">
        <f t="shared" si="7"/>
        <v>○</v>
      </c>
      <c r="AD50" s="649" t="str">
        <f t="shared" si="8"/>
        <v>整備しない場合は入力不要です。</v>
      </c>
    </row>
    <row r="51" spans="1:30">
      <c r="A51" s="12">
        <v>22</v>
      </c>
      <c r="B51" s="6"/>
      <c r="C51" s="6"/>
      <c r="D51" s="6"/>
      <c r="E51" s="10"/>
      <c r="F51" s="7"/>
      <c r="G51" s="531"/>
      <c r="H51" s="15">
        <f t="shared" si="0"/>
        <v>0</v>
      </c>
      <c r="I51" s="4">
        <f t="shared" si="1"/>
        <v>0</v>
      </c>
      <c r="J51" s="9"/>
      <c r="K51" s="595"/>
      <c r="L51" s="595"/>
      <c r="M51" s="595"/>
      <c r="N51" s="4">
        <f t="shared" si="2"/>
        <v>0</v>
      </c>
      <c r="O51" s="5" t="str">
        <f>IF(AC51="◎",COUNTIF($AC$30:AC51,"◎"),"")</f>
        <v/>
      </c>
      <c r="Q51" s="596" t="str">
        <f t="shared" si="3"/>
        <v/>
      </c>
      <c r="R51" s="648" t="str">
        <f t="shared" si="4"/>
        <v/>
      </c>
      <c r="S51" s="648" t="str">
        <f t="shared" si="5"/>
        <v/>
      </c>
      <c r="T51" s="648" t="str">
        <f t="shared" si="6"/>
        <v/>
      </c>
      <c r="Z51" s="649" t="str">
        <f>IF(B51="個別病床",はじめに入力してください!$K$50,IF(B51="共通使用",はじめに入力してください!$K$52,""))</f>
        <v/>
      </c>
      <c r="AB51" s="12">
        <v>22</v>
      </c>
      <c r="AC51" s="648" t="str">
        <f t="shared" si="7"/>
        <v>○</v>
      </c>
      <c r="AD51" s="649" t="str">
        <f t="shared" si="8"/>
        <v>整備しない場合は入力不要です。</v>
      </c>
    </row>
    <row r="52" spans="1:30">
      <c r="A52" s="12">
        <v>23</v>
      </c>
      <c r="B52" s="6"/>
      <c r="C52" s="6"/>
      <c r="D52" s="6"/>
      <c r="E52" s="10"/>
      <c r="F52" s="7"/>
      <c r="G52" s="531"/>
      <c r="H52" s="15">
        <f t="shared" si="0"/>
        <v>0</v>
      </c>
      <c r="I52" s="4">
        <f t="shared" si="1"/>
        <v>0</v>
      </c>
      <c r="J52" s="9"/>
      <c r="K52" s="595"/>
      <c r="L52" s="595"/>
      <c r="M52" s="595"/>
      <c r="N52" s="4">
        <f t="shared" si="2"/>
        <v>0</v>
      </c>
      <c r="O52" s="5" t="str">
        <f>IF(AC52="◎",COUNTIF($AC$30:AC52,"◎"),"")</f>
        <v/>
      </c>
      <c r="Q52" s="596" t="str">
        <f t="shared" si="3"/>
        <v/>
      </c>
      <c r="R52" s="648" t="str">
        <f t="shared" si="4"/>
        <v/>
      </c>
      <c r="S52" s="648" t="str">
        <f t="shared" si="5"/>
        <v/>
      </c>
      <c r="T52" s="648" t="str">
        <f t="shared" si="6"/>
        <v/>
      </c>
      <c r="Z52" s="649" t="str">
        <f>IF(B52="個別病床",はじめに入力してください!$K$50,IF(B52="共通使用",はじめに入力してください!$K$52,""))</f>
        <v/>
      </c>
      <c r="AB52" s="12">
        <v>23</v>
      </c>
      <c r="AC52" s="648" t="str">
        <f t="shared" si="7"/>
        <v>○</v>
      </c>
      <c r="AD52" s="649" t="str">
        <f t="shared" si="8"/>
        <v>整備しない場合は入力不要です。</v>
      </c>
    </row>
    <row r="53" spans="1:30">
      <c r="A53" s="12">
        <v>24</v>
      </c>
      <c r="B53" s="6"/>
      <c r="C53" s="6"/>
      <c r="D53" s="6"/>
      <c r="E53" s="10"/>
      <c r="F53" s="7"/>
      <c r="G53" s="531"/>
      <c r="H53" s="15">
        <f t="shared" si="0"/>
        <v>0</v>
      </c>
      <c r="I53" s="4">
        <f t="shared" si="1"/>
        <v>0</v>
      </c>
      <c r="J53" s="9"/>
      <c r="K53" s="595"/>
      <c r="L53" s="595"/>
      <c r="M53" s="595"/>
      <c r="N53" s="4">
        <f t="shared" si="2"/>
        <v>0</v>
      </c>
      <c r="O53" s="5" t="str">
        <f>IF(AC53="◎",COUNTIF($AC$30:AC53,"◎"),"")</f>
        <v/>
      </c>
      <c r="Q53" s="596" t="str">
        <f t="shared" si="3"/>
        <v/>
      </c>
      <c r="R53" s="648" t="str">
        <f t="shared" si="4"/>
        <v/>
      </c>
      <c r="S53" s="648" t="str">
        <f t="shared" si="5"/>
        <v/>
      </c>
      <c r="T53" s="648" t="str">
        <f t="shared" si="6"/>
        <v/>
      </c>
      <c r="Z53" s="649" t="str">
        <f>IF(B53="個別病床",はじめに入力してください!$K$50,IF(B53="共通使用",はじめに入力してください!$K$52,""))</f>
        <v/>
      </c>
      <c r="AB53" s="12">
        <v>24</v>
      </c>
      <c r="AC53" s="648" t="str">
        <f t="shared" si="7"/>
        <v>○</v>
      </c>
      <c r="AD53" s="649" t="str">
        <f t="shared" si="8"/>
        <v>整備しない場合は入力不要です。</v>
      </c>
    </row>
    <row r="54" spans="1:30">
      <c r="A54" s="12">
        <v>25</v>
      </c>
      <c r="B54" s="6"/>
      <c r="C54" s="6"/>
      <c r="D54" s="6"/>
      <c r="E54" s="10"/>
      <c r="F54" s="7"/>
      <c r="G54" s="531"/>
      <c r="H54" s="15">
        <f t="shared" si="0"/>
        <v>0</v>
      </c>
      <c r="I54" s="4">
        <f t="shared" si="1"/>
        <v>0</v>
      </c>
      <c r="J54" s="9"/>
      <c r="K54" s="595"/>
      <c r="L54" s="595"/>
      <c r="M54" s="595"/>
      <c r="N54" s="4">
        <f t="shared" si="2"/>
        <v>0</v>
      </c>
      <c r="O54" s="5" t="str">
        <f>IF(AC54="◎",COUNTIF($AC$30:AC54,"◎"),"")</f>
        <v/>
      </c>
      <c r="Q54" s="596" t="str">
        <f t="shared" si="3"/>
        <v/>
      </c>
      <c r="R54" s="648" t="str">
        <f t="shared" si="4"/>
        <v/>
      </c>
      <c r="S54" s="648" t="str">
        <f t="shared" si="5"/>
        <v/>
      </c>
      <c r="T54" s="648" t="str">
        <f t="shared" si="6"/>
        <v/>
      </c>
      <c r="Z54" s="649" t="str">
        <f>IF(B54="個別病床",はじめに入力してください!$K$50,IF(B54="共通使用",はじめに入力してください!$K$52,""))</f>
        <v/>
      </c>
      <c r="AB54" s="12">
        <v>25</v>
      </c>
      <c r="AC54" s="648" t="str">
        <f t="shared" si="7"/>
        <v>○</v>
      </c>
      <c r="AD54" s="649" t="str">
        <f t="shared" si="8"/>
        <v>整備しない場合は入力不要です。</v>
      </c>
    </row>
    <row r="55" spans="1:30">
      <c r="A55" s="12">
        <v>26</v>
      </c>
      <c r="B55" s="6"/>
      <c r="C55" s="6"/>
      <c r="D55" s="6"/>
      <c r="E55" s="10"/>
      <c r="F55" s="7"/>
      <c r="G55" s="531"/>
      <c r="H55" s="15">
        <f t="shared" si="0"/>
        <v>0</v>
      </c>
      <c r="I55" s="4">
        <f t="shared" si="1"/>
        <v>0</v>
      </c>
      <c r="J55" s="9"/>
      <c r="K55" s="595"/>
      <c r="L55" s="595"/>
      <c r="M55" s="595"/>
      <c r="N55" s="4">
        <f t="shared" si="2"/>
        <v>0</v>
      </c>
      <c r="O55" s="5" t="str">
        <f>IF(AC55="◎",COUNTIF($AC$30:AC55,"◎"),"")</f>
        <v/>
      </c>
      <c r="Q55" s="596" t="str">
        <f t="shared" si="3"/>
        <v/>
      </c>
      <c r="R55" s="648" t="str">
        <f t="shared" si="4"/>
        <v/>
      </c>
      <c r="S55" s="648" t="str">
        <f t="shared" si="5"/>
        <v/>
      </c>
      <c r="T55" s="648" t="str">
        <f t="shared" si="6"/>
        <v/>
      </c>
      <c r="Z55" s="649" t="str">
        <f>IF(B55="個別病床",はじめに入力してください!$K$50,IF(B55="共通使用",はじめに入力してください!$K$52,""))</f>
        <v/>
      </c>
      <c r="AB55" s="12">
        <v>26</v>
      </c>
      <c r="AC55" s="648" t="str">
        <f t="shared" si="7"/>
        <v>○</v>
      </c>
      <c r="AD55" s="649" t="str">
        <f t="shared" si="8"/>
        <v>整備しない場合は入力不要です。</v>
      </c>
    </row>
    <row r="56" spans="1:30">
      <c r="A56" s="12">
        <v>27</v>
      </c>
      <c r="B56" s="6"/>
      <c r="C56" s="6"/>
      <c r="D56" s="6"/>
      <c r="E56" s="10"/>
      <c r="F56" s="7"/>
      <c r="G56" s="531"/>
      <c r="H56" s="15">
        <f t="shared" si="0"/>
        <v>0</v>
      </c>
      <c r="I56" s="4">
        <f t="shared" si="1"/>
        <v>0</v>
      </c>
      <c r="J56" s="9"/>
      <c r="K56" s="595"/>
      <c r="L56" s="595"/>
      <c r="M56" s="595"/>
      <c r="N56" s="4">
        <f t="shared" si="2"/>
        <v>0</v>
      </c>
      <c r="O56" s="5" t="str">
        <f>IF(AC56="◎",COUNTIF($AC$30:AC56,"◎"),"")</f>
        <v/>
      </c>
      <c r="Q56" s="596" t="str">
        <f t="shared" si="3"/>
        <v/>
      </c>
      <c r="R56" s="648" t="str">
        <f t="shared" si="4"/>
        <v/>
      </c>
      <c r="S56" s="648" t="str">
        <f t="shared" si="5"/>
        <v/>
      </c>
      <c r="T56" s="648" t="str">
        <f t="shared" si="6"/>
        <v/>
      </c>
      <c r="Z56" s="649" t="str">
        <f>IF(B56="個別病床",はじめに入力してください!$K$50,IF(B56="共通使用",はじめに入力してください!$K$52,""))</f>
        <v/>
      </c>
      <c r="AB56" s="12">
        <v>27</v>
      </c>
      <c r="AC56" s="648" t="str">
        <f t="shared" si="7"/>
        <v>○</v>
      </c>
      <c r="AD56" s="649" t="str">
        <f t="shared" si="8"/>
        <v>整備しない場合は入力不要です。</v>
      </c>
    </row>
    <row r="57" spans="1:30">
      <c r="A57" s="12">
        <v>28</v>
      </c>
      <c r="B57" s="6"/>
      <c r="C57" s="6"/>
      <c r="D57" s="6"/>
      <c r="E57" s="10"/>
      <c r="F57" s="7"/>
      <c r="G57" s="531"/>
      <c r="H57" s="15">
        <f t="shared" si="0"/>
        <v>0</v>
      </c>
      <c r="I57" s="4">
        <f t="shared" si="1"/>
        <v>0</v>
      </c>
      <c r="J57" s="9"/>
      <c r="K57" s="595"/>
      <c r="L57" s="595"/>
      <c r="M57" s="595"/>
      <c r="N57" s="4">
        <f t="shared" si="2"/>
        <v>0</v>
      </c>
      <c r="O57" s="5" t="str">
        <f>IF(AC57="◎",COUNTIF($AC$30:AC57,"◎"),"")</f>
        <v/>
      </c>
      <c r="Q57" s="596" t="str">
        <f t="shared" si="3"/>
        <v/>
      </c>
      <c r="R57" s="648" t="str">
        <f t="shared" si="4"/>
        <v/>
      </c>
      <c r="S57" s="648" t="str">
        <f t="shared" si="5"/>
        <v/>
      </c>
      <c r="T57" s="648" t="str">
        <f t="shared" si="6"/>
        <v/>
      </c>
      <c r="Z57" s="649" t="str">
        <f>IF(B57="個別病床",はじめに入力してください!$K$50,IF(B57="共通使用",はじめに入力してください!$K$52,""))</f>
        <v/>
      </c>
      <c r="AB57" s="12">
        <v>28</v>
      </c>
      <c r="AC57" s="648" t="str">
        <f t="shared" si="7"/>
        <v>○</v>
      </c>
      <c r="AD57" s="649" t="str">
        <f t="shared" si="8"/>
        <v>整備しない場合は入力不要です。</v>
      </c>
    </row>
    <row r="58" spans="1:30">
      <c r="A58" s="12">
        <v>29</v>
      </c>
      <c r="B58" s="6"/>
      <c r="C58" s="6"/>
      <c r="D58" s="6"/>
      <c r="E58" s="10"/>
      <c r="F58" s="7"/>
      <c r="G58" s="531"/>
      <c r="H58" s="15">
        <f t="shared" si="0"/>
        <v>0</v>
      </c>
      <c r="I58" s="4">
        <f t="shared" si="1"/>
        <v>0</v>
      </c>
      <c r="J58" s="9"/>
      <c r="K58" s="595"/>
      <c r="L58" s="595"/>
      <c r="M58" s="595"/>
      <c r="N58" s="4">
        <f t="shared" si="2"/>
        <v>0</v>
      </c>
      <c r="O58" s="5" t="str">
        <f>IF(AC58="◎",COUNTIF($AC$30:AC58,"◎"),"")</f>
        <v/>
      </c>
      <c r="Q58" s="596" t="str">
        <f t="shared" si="3"/>
        <v/>
      </c>
      <c r="R58" s="648" t="str">
        <f t="shared" si="4"/>
        <v/>
      </c>
      <c r="S58" s="648" t="str">
        <f t="shared" si="5"/>
        <v/>
      </c>
      <c r="T58" s="648" t="str">
        <f t="shared" si="6"/>
        <v/>
      </c>
      <c r="Z58" s="649" t="str">
        <f>IF(B58="個別病床",はじめに入力してください!$K$50,IF(B58="共通使用",はじめに入力してください!$K$52,""))</f>
        <v/>
      </c>
      <c r="AB58" s="12">
        <v>29</v>
      </c>
      <c r="AC58" s="648" t="str">
        <f t="shared" si="7"/>
        <v>○</v>
      </c>
      <c r="AD58" s="649" t="str">
        <f t="shared" si="8"/>
        <v>整備しない場合は入力不要です。</v>
      </c>
    </row>
    <row r="59" spans="1:30">
      <c r="A59" s="12">
        <v>30</v>
      </c>
      <c r="B59" s="6"/>
      <c r="C59" s="6"/>
      <c r="D59" s="6"/>
      <c r="E59" s="10"/>
      <c r="F59" s="7"/>
      <c r="G59" s="531"/>
      <c r="H59" s="15">
        <f t="shared" si="0"/>
        <v>0</v>
      </c>
      <c r="I59" s="4">
        <f t="shared" si="1"/>
        <v>0</v>
      </c>
      <c r="J59" s="9"/>
      <c r="K59" s="595"/>
      <c r="L59" s="595"/>
      <c r="M59" s="595"/>
      <c r="N59" s="4">
        <f t="shared" si="2"/>
        <v>0</v>
      </c>
      <c r="O59" s="5" t="str">
        <f>IF(AC59="◎",COUNTIF($AC$30:AC59,"◎"),"")</f>
        <v/>
      </c>
      <c r="Q59" s="596" t="str">
        <f t="shared" si="3"/>
        <v/>
      </c>
      <c r="R59" s="648" t="str">
        <f t="shared" si="4"/>
        <v/>
      </c>
      <c r="S59" s="648" t="str">
        <f t="shared" si="5"/>
        <v/>
      </c>
      <c r="T59" s="648" t="str">
        <f t="shared" si="6"/>
        <v/>
      </c>
      <c r="Z59" s="649" t="str">
        <f>IF(B59="個別病床",はじめに入力してください!$K$50,IF(B59="共通使用",はじめに入力してください!$K$52,""))</f>
        <v/>
      </c>
      <c r="AB59" s="12">
        <v>30</v>
      </c>
      <c r="AC59" s="648" t="str">
        <f t="shared" si="7"/>
        <v>○</v>
      </c>
      <c r="AD59" s="649" t="str">
        <f t="shared" si="8"/>
        <v>整備しない場合は入力不要です。</v>
      </c>
    </row>
    <row r="60" spans="1:30">
      <c r="A60" s="12">
        <v>31</v>
      </c>
      <c r="B60" s="6"/>
      <c r="C60" s="6"/>
      <c r="D60" s="6"/>
      <c r="E60" s="10"/>
      <c r="F60" s="7"/>
      <c r="G60" s="531"/>
      <c r="H60" s="15">
        <f t="shared" si="0"/>
        <v>0</v>
      </c>
      <c r="I60" s="4">
        <f t="shared" si="1"/>
        <v>0</v>
      </c>
      <c r="J60" s="9"/>
      <c r="K60" s="595"/>
      <c r="L60" s="595"/>
      <c r="M60" s="595"/>
      <c r="N60" s="4">
        <f t="shared" si="2"/>
        <v>0</v>
      </c>
      <c r="O60" s="5" t="str">
        <f>IF(AC60="◎",COUNTIF($AC$30:AC60,"◎"),"")</f>
        <v/>
      </c>
      <c r="Q60" s="596" t="str">
        <f t="shared" si="3"/>
        <v/>
      </c>
      <c r="R60" s="648" t="str">
        <f t="shared" si="4"/>
        <v/>
      </c>
      <c r="S60" s="648" t="str">
        <f t="shared" si="5"/>
        <v/>
      </c>
      <c r="T60" s="648" t="str">
        <f t="shared" si="6"/>
        <v/>
      </c>
      <c r="Z60" s="649" t="str">
        <f>IF(B60="個別病床",はじめに入力してください!$K$50,IF(B60="共通使用",はじめに入力してください!$K$52,""))</f>
        <v/>
      </c>
      <c r="AB60" s="12">
        <v>31</v>
      </c>
      <c r="AC60" s="648" t="str">
        <f t="shared" si="7"/>
        <v>○</v>
      </c>
      <c r="AD60" s="649" t="str">
        <f t="shared" si="8"/>
        <v>整備しない場合は入力不要です。</v>
      </c>
    </row>
    <row r="61" spans="1:30">
      <c r="A61" s="12">
        <v>32</v>
      </c>
      <c r="B61" s="6"/>
      <c r="C61" s="6"/>
      <c r="D61" s="6"/>
      <c r="E61" s="10"/>
      <c r="F61" s="7"/>
      <c r="G61" s="531"/>
      <c r="H61" s="15">
        <f t="shared" si="0"/>
        <v>0</v>
      </c>
      <c r="I61" s="4">
        <f t="shared" si="1"/>
        <v>0</v>
      </c>
      <c r="J61" s="9"/>
      <c r="K61" s="595"/>
      <c r="L61" s="595"/>
      <c r="M61" s="595"/>
      <c r="N61" s="4">
        <f t="shared" si="2"/>
        <v>0</v>
      </c>
      <c r="O61" s="5" t="str">
        <f>IF(AC61="◎",COUNTIF($AC$30:AC61,"◎"),"")</f>
        <v/>
      </c>
      <c r="Q61" s="596" t="str">
        <f t="shared" si="3"/>
        <v/>
      </c>
      <c r="R61" s="648" t="str">
        <f t="shared" si="4"/>
        <v/>
      </c>
      <c r="S61" s="648" t="str">
        <f t="shared" si="5"/>
        <v/>
      </c>
      <c r="T61" s="648" t="str">
        <f t="shared" si="6"/>
        <v/>
      </c>
      <c r="Z61" s="649" t="str">
        <f>IF(B61="個別病床",はじめに入力してください!$K$50,IF(B61="共通使用",はじめに入力してください!$K$52,""))</f>
        <v/>
      </c>
      <c r="AB61" s="12">
        <v>32</v>
      </c>
      <c r="AC61" s="648" t="str">
        <f t="shared" si="7"/>
        <v>○</v>
      </c>
      <c r="AD61" s="649" t="str">
        <f t="shared" si="8"/>
        <v>整備しない場合は入力不要です。</v>
      </c>
    </row>
    <row r="62" spans="1:30">
      <c r="A62" s="12">
        <v>33</v>
      </c>
      <c r="B62" s="6"/>
      <c r="C62" s="6"/>
      <c r="D62" s="6"/>
      <c r="E62" s="10"/>
      <c r="F62" s="7"/>
      <c r="G62" s="531"/>
      <c r="H62" s="15">
        <f t="shared" si="0"/>
        <v>0</v>
      </c>
      <c r="I62" s="4">
        <f t="shared" si="1"/>
        <v>0</v>
      </c>
      <c r="J62" s="9"/>
      <c r="K62" s="595"/>
      <c r="L62" s="595"/>
      <c r="M62" s="595"/>
      <c r="N62" s="4">
        <f t="shared" si="2"/>
        <v>0</v>
      </c>
      <c r="O62" s="5" t="str">
        <f>IF(AC62="◎",COUNTIF($AC$30:AC62,"◎"),"")</f>
        <v/>
      </c>
      <c r="Q62" s="596" t="str">
        <f t="shared" si="3"/>
        <v/>
      </c>
      <c r="R62" s="648" t="str">
        <f t="shared" si="4"/>
        <v/>
      </c>
      <c r="S62" s="648" t="str">
        <f t="shared" si="5"/>
        <v/>
      </c>
      <c r="T62" s="648" t="str">
        <f t="shared" si="6"/>
        <v/>
      </c>
      <c r="Z62" s="649" t="str">
        <f>IF(B62="個別病床",はじめに入力してください!$K$50,IF(B62="共通使用",はじめに入力してください!$K$52,""))</f>
        <v/>
      </c>
      <c r="AB62" s="12">
        <v>33</v>
      </c>
      <c r="AC62" s="648" t="str">
        <f t="shared" si="7"/>
        <v>○</v>
      </c>
      <c r="AD62" s="649" t="str">
        <f t="shared" si="8"/>
        <v>整備しない場合は入力不要です。</v>
      </c>
    </row>
    <row r="63" spans="1:30">
      <c r="A63" s="12">
        <v>34</v>
      </c>
      <c r="B63" s="6"/>
      <c r="C63" s="6"/>
      <c r="D63" s="6"/>
      <c r="E63" s="10"/>
      <c r="F63" s="7"/>
      <c r="G63" s="531"/>
      <c r="H63" s="15">
        <f t="shared" si="0"/>
        <v>0</v>
      </c>
      <c r="I63" s="4">
        <f t="shared" si="1"/>
        <v>0</v>
      </c>
      <c r="J63" s="9"/>
      <c r="K63" s="595"/>
      <c r="L63" s="595"/>
      <c r="M63" s="595"/>
      <c r="N63" s="4">
        <f t="shared" si="2"/>
        <v>0</v>
      </c>
      <c r="O63" s="5" t="str">
        <f>IF(AC63="◎",COUNTIF($AC$30:AC63,"◎"),"")</f>
        <v/>
      </c>
      <c r="Q63" s="596" t="str">
        <f t="shared" si="3"/>
        <v/>
      </c>
      <c r="R63" s="648" t="str">
        <f t="shared" si="4"/>
        <v/>
      </c>
      <c r="S63" s="648" t="str">
        <f t="shared" si="5"/>
        <v/>
      </c>
      <c r="T63" s="648" t="str">
        <f t="shared" si="6"/>
        <v/>
      </c>
      <c r="Z63" s="649" t="str">
        <f>IF(B63="個別病床",はじめに入力してください!$K$50,IF(B63="共通使用",はじめに入力してください!$K$52,""))</f>
        <v/>
      </c>
      <c r="AB63" s="12">
        <v>34</v>
      </c>
      <c r="AC63" s="648" t="str">
        <f t="shared" si="7"/>
        <v>○</v>
      </c>
      <c r="AD63" s="649" t="str">
        <f t="shared" si="8"/>
        <v>整備しない場合は入力不要です。</v>
      </c>
    </row>
    <row r="64" spans="1:30">
      <c r="A64" s="12">
        <v>35</v>
      </c>
      <c r="B64" s="6"/>
      <c r="C64" s="6"/>
      <c r="D64" s="6"/>
      <c r="E64" s="10"/>
      <c r="F64" s="7"/>
      <c r="G64" s="531"/>
      <c r="H64" s="15">
        <f t="shared" si="0"/>
        <v>0</v>
      </c>
      <c r="I64" s="4">
        <f t="shared" si="1"/>
        <v>0</v>
      </c>
      <c r="J64" s="9"/>
      <c r="K64" s="595"/>
      <c r="L64" s="595"/>
      <c r="M64" s="595"/>
      <c r="N64" s="4">
        <f t="shared" si="2"/>
        <v>0</v>
      </c>
      <c r="O64" s="5" t="str">
        <f>IF(AC64="◎",COUNTIF($AC$30:AC64,"◎"),"")</f>
        <v/>
      </c>
      <c r="Q64" s="596" t="str">
        <f t="shared" si="3"/>
        <v/>
      </c>
      <c r="R64" s="648" t="str">
        <f t="shared" si="4"/>
        <v/>
      </c>
      <c r="S64" s="648" t="str">
        <f t="shared" si="5"/>
        <v/>
      </c>
      <c r="T64" s="648" t="str">
        <f t="shared" si="6"/>
        <v/>
      </c>
      <c r="Z64" s="649" t="str">
        <f>IF(B64="個別病床",はじめに入力してください!$K$50,IF(B64="共通使用",はじめに入力してください!$K$52,""))</f>
        <v/>
      </c>
      <c r="AB64" s="12">
        <v>35</v>
      </c>
      <c r="AC64" s="648" t="str">
        <f t="shared" si="7"/>
        <v>○</v>
      </c>
      <c r="AD64" s="649" t="str">
        <f t="shared" si="8"/>
        <v>整備しない場合は入力不要です。</v>
      </c>
    </row>
    <row r="65" spans="1:30">
      <c r="A65" s="12">
        <v>36</v>
      </c>
      <c r="B65" s="6"/>
      <c r="C65" s="6"/>
      <c r="D65" s="6"/>
      <c r="E65" s="10"/>
      <c r="F65" s="7"/>
      <c r="G65" s="531"/>
      <c r="H65" s="15">
        <f t="shared" si="0"/>
        <v>0</v>
      </c>
      <c r="I65" s="4">
        <f t="shared" si="1"/>
        <v>0</v>
      </c>
      <c r="J65" s="9"/>
      <c r="K65" s="595"/>
      <c r="L65" s="595"/>
      <c r="M65" s="595"/>
      <c r="N65" s="4">
        <f t="shared" si="2"/>
        <v>0</v>
      </c>
      <c r="O65" s="5" t="str">
        <f>IF(AC65="◎",COUNTIF($AC$30:AC65,"◎"),"")</f>
        <v/>
      </c>
      <c r="Q65" s="596" t="str">
        <f t="shared" si="3"/>
        <v/>
      </c>
      <c r="R65" s="648" t="str">
        <f t="shared" si="4"/>
        <v/>
      </c>
      <c r="S65" s="648" t="str">
        <f t="shared" si="5"/>
        <v/>
      </c>
      <c r="T65" s="648" t="str">
        <f t="shared" si="6"/>
        <v/>
      </c>
      <c r="Z65" s="649" t="str">
        <f>IF(B65="個別病床",はじめに入力してください!$K$50,IF(B65="共通使用",はじめに入力してください!$K$52,""))</f>
        <v/>
      </c>
      <c r="AB65" s="12">
        <v>36</v>
      </c>
      <c r="AC65" s="648" t="str">
        <f t="shared" si="7"/>
        <v>○</v>
      </c>
      <c r="AD65" s="649" t="str">
        <f t="shared" si="8"/>
        <v>整備しない場合は入力不要です。</v>
      </c>
    </row>
    <row r="66" spans="1:30">
      <c r="A66" s="12">
        <v>37</v>
      </c>
      <c r="B66" s="6"/>
      <c r="C66" s="6"/>
      <c r="D66" s="6"/>
      <c r="E66" s="10"/>
      <c r="F66" s="7"/>
      <c r="G66" s="531"/>
      <c r="H66" s="15">
        <f t="shared" si="0"/>
        <v>0</v>
      </c>
      <c r="I66" s="4">
        <f t="shared" si="1"/>
        <v>0</v>
      </c>
      <c r="J66" s="9"/>
      <c r="K66" s="595"/>
      <c r="L66" s="595"/>
      <c r="M66" s="595"/>
      <c r="N66" s="4">
        <f t="shared" si="2"/>
        <v>0</v>
      </c>
      <c r="O66" s="5" t="str">
        <f>IF(AC66="◎",COUNTIF($AC$30:AC66,"◎"),"")</f>
        <v/>
      </c>
      <c r="Q66" s="596" t="str">
        <f t="shared" si="3"/>
        <v/>
      </c>
      <c r="R66" s="648" t="str">
        <f t="shared" si="4"/>
        <v/>
      </c>
      <c r="S66" s="648" t="str">
        <f t="shared" si="5"/>
        <v/>
      </c>
      <c r="T66" s="648" t="str">
        <f t="shared" si="6"/>
        <v/>
      </c>
      <c r="Z66" s="649" t="str">
        <f>IF(B66="個別病床",はじめに入力してください!$K$50,IF(B66="共通使用",はじめに入力してください!$K$52,""))</f>
        <v/>
      </c>
      <c r="AB66" s="12">
        <v>37</v>
      </c>
      <c r="AC66" s="648" t="str">
        <f t="shared" si="7"/>
        <v>○</v>
      </c>
      <c r="AD66" s="649" t="str">
        <f t="shared" si="8"/>
        <v>整備しない場合は入力不要です。</v>
      </c>
    </row>
    <row r="67" spans="1:30">
      <c r="A67" s="12">
        <v>38</v>
      </c>
      <c r="B67" s="6"/>
      <c r="C67" s="6"/>
      <c r="D67" s="6"/>
      <c r="E67" s="10"/>
      <c r="F67" s="7"/>
      <c r="G67" s="531"/>
      <c r="H67" s="15">
        <f t="shared" si="0"/>
        <v>0</v>
      </c>
      <c r="I67" s="4">
        <f t="shared" si="1"/>
        <v>0</v>
      </c>
      <c r="J67" s="9"/>
      <c r="K67" s="595"/>
      <c r="L67" s="595"/>
      <c r="M67" s="595"/>
      <c r="N67" s="4">
        <f t="shared" si="2"/>
        <v>0</v>
      </c>
      <c r="O67" s="5" t="str">
        <f>IF(AC67="◎",COUNTIF($AC$30:AC67,"◎"),"")</f>
        <v/>
      </c>
      <c r="Q67" s="596" t="str">
        <f t="shared" si="3"/>
        <v/>
      </c>
      <c r="R67" s="648" t="str">
        <f t="shared" si="4"/>
        <v/>
      </c>
      <c r="S67" s="648" t="str">
        <f t="shared" si="5"/>
        <v/>
      </c>
      <c r="T67" s="648" t="str">
        <f t="shared" si="6"/>
        <v/>
      </c>
      <c r="Z67" s="649" t="str">
        <f>IF(B67="個別病床",はじめに入力してください!$K$50,IF(B67="共通使用",はじめに入力してください!$K$52,""))</f>
        <v/>
      </c>
      <c r="AB67" s="12">
        <v>38</v>
      </c>
      <c r="AC67" s="648" t="str">
        <f t="shared" si="7"/>
        <v>○</v>
      </c>
      <c r="AD67" s="649" t="str">
        <f t="shared" si="8"/>
        <v>整備しない場合は入力不要です。</v>
      </c>
    </row>
    <row r="68" spans="1:30">
      <c r="A68" s="12">
        <v>39</v>
      </c>
      <c r="B68" s="6"/>
      <c r="C68" s="6"/>
      <c r="D68" s="6"/>
      <c r="E68" s="10"/>
      <c r="F68" s="7"/>
      <c r="G68" s="531"/>
      <c r="H68" s="15">
        <f t="shared" si="0"/>
        <v>0</v>
      </c>
      <c r="I68" s="4">
        <f t="shared" si="1"/>
        <v>0</v>
      </c>
      <c r="J68" s="9"/>
      <c r="K68" s="595"/>
      <c r="L68" s="595"/>
      <c r="M68" s="595"/>
      <c r="N68" s="4">
        <f t="shared" si="2"/>
        <v>0</v>
      </c>
      <c r="O68" s="5" t="str">
        <f>IF(AC68="◎",COUNTIF($AC$30:AC68,"◎"),"")</f>
        <v/>
      </c>
      <c r="Q68" s="596" t="str">
        <f t="shared" si="3"/>
        <v/>
      </c>
      <c r="R68" s="648" t="str">
        <f t="shared" si="4"/>
        <v/>
      </c>
      <c r="S68" s="648" t="str">
        <f t="shared" si="5"/>
        <v/>
      </c>
      <c r="T68" s="648" t="str">
        <f t="shared" si="6"/>
        <v/>
      </c>
      <c r="Z68" s="649" t="str">
        <f>IF(B68="個別病床",はじめに入力してください!$K$50,IF(B68="共通使用",はじめに入力してください!$K$52,""))</f>
        <v/>
      </c>
      <c r="AB68" s="12">
        <v>39</v>
      </c>
      <c r="AC68" s="648" t="str">
        <f t="shared" si="7"/>
        <v>○</v>
      </c>
      <c r="AD68" s="649" t="str">
        <f t="shared" si="8"/>
        <v>整備しない場合は入力不要です。</v>
      </c>
    </row>
    <row r="69" spans="1:30">
      <c r="A69" s="12">
        <v>40</v>
      </c>
      <c r="B69" s="6"/>
      <c r="C69" s="6"/>
      <c r="D69" s="6"/>
      <c r="E69" s="10"/>
      <c r="F69" s="7"/>
      <c r="G69" s="531"/>
      <c r="H69" s="15">
        <f t="shared" si="0"/>
        <v>0</v>
      </c>
      <c r="I69" s="4">
        <f t="shared" si="1"/>
        <v>0</v>
      </c>
      <c r="J69" s="9"/>
      <c r="K69" s="595"/>
      <c r="L69" s="595"/>
      <c r="M69" s="595"/>
      <c r="N69" s="4">
        <f t="shared" si="2"/>
        <v>0</v>
      </c>
      <c r="O69" s="5" t="str">
        <f>IF(AC69="◎",COUNTIF($AC$30:AC69,"◎"),"")</f>
        <v/>
      </c>
      <c r="Q69" s="596" t="str">
        <f t="shared" si="3"/>
        <v/>
      </c>
      <c r="R69" s="648" t="str">
        <f t="shared" si="4"/>
        <v/>
      </c>
      <c r="S69" s="648" t="str">
        <f t="shared" si="5"/>
        <v/>
      </c>
      <c r="T69" s="648" t="str">
        <f t="shared" si="6"/>
        <v/>
      </c>
      <c r="Z69" s="649" t="str">
        <f>IF(B69="個別病床",はじめに入力してください!$K$50,IF(B69="共通使用",はじめに入力してください!$K$52,""))</f>
        <v/>
      </c>
      <c r="AB69" s="12">
        <v>40</v>
      </c>
      <c r="AC69" s="648" t="str">
        <f t="shared" si="7"/>
        <v>○</v>
      </c>
      <c r="AD69" s="649" t="str">
        <f t="shared" si="8"/>
        <v>整備しない場合は入力不要です。</v>
      </c>
    </row>
    <row r="70" spans="1:30">
      <c r="A70" s="12">
        <v>41</v>
      </c>
      <c r="B70" s="6"/>
      <c r="C70" s="6"/>
      <c r="D70" s="6"/>
      <c r="E70" s="10"/>
      <c r="F70" s="7"/>
      <c r="G70" s="531"/>
      <c r="H70" s="15">
        <f t="shared" si="0"/>
        <v>0</v>
      </c>
      <c r="I70" s="4">
        <f t="shared" si="1"/>
        <v>0</v>
      </c>
      <c r="J70" s="9"/>
      <c r="K70" s="595"/>
      <c r="L70" s="595"/>
      <c r="M70" s="595"/>
      <c r="N70" s="4">
        <f t="shared" si="2"/>
        <v>0</v>
      </c>
      <c r="O70" s="5" t="str">
        <f>IF(AC70="◎",COUNTIF($AC$30:AC70,"◎"),"")</f>
        <v/>
      </c>
      <c r="Q70" s="596" t="str">
        <f t="shared" si="3"/>
        <v/>
      </c>
      <c r="R70" s="648" t="str">
        <f t="shared" si="4"/>
        <v/>
      </c>
      <c r="S70" s="648" t="str">
        <f t="shared" si="5"/>
        <v/>
      </c>
      <c r="T70" s="648" t="str">
        <f t="shared" si="6"/>
        <v/>
      </c>
      <c r="Z70" s="649" t="str">
        <f>IF(B70="個別病床",はじめに入力してください!$K$50,IF(B70="共通使用",はじめに入力してください!$K$52,""))</f>
        <v/>
      </c>
      <c r="AB70" s="12">
        <v>41</v>
      </c>
      <c r="AC70" s="648" t="str">
        <f t="shared" si="7"/>
        <v>○</v>
      </c>
      <c r="AD70" s="649" t="str">
        <f t="shared" si="8"/>
        <v>整備しない場合は入力不要です。</v>
      </c>
    </row>
    <row r="71" spans="1:30">
      <c r="A71" s="12">
        <v>42</v>
      </c>
      <c r="B71" s="6"/>
      <c r="C71" s="6"/>
      <c r="D71" s="6"/>
      <c r="E71" s="10"/>
      <c r="F71" s="7"/>
      <c r="G71" s="531"/>
      <c r="H71" s="15">
        <f t="shared" si="0"/>
        <v>0</v>
      </c>
      <c r="I71" s="4">
        <f t="shared" si="1"/>
        <v>0</v>
      </c>
      <c r="J71" s="9"/>
      <c r="K71" s="595"/>
      <c r="L71" s="595"/>
      <c r="M71" s="595"/>
      <c r="N71" s="4">
        <f t="shared" si="2"/>
        <v>0</v>
      </c>
      <c r="O71" s="5" t="str">
        <f>IF(AC71="◎",COUNTIF($AC$30:AC71,"◎"),"")</f>
        <v/>
      </c>
      <c r="Q71" s="596" t="str">
        <f t="shared" si="3"/>
        <v/>
      </c>
      <c r="R71" s="648" t="str">
        <f t="shared" si="4"/>
        <v/>
      </c>
      <c r="S71" s="648" t="str">
        <f t="shared" si="5"/>
        <v/>
      </c>
      <c r="T71" s="648" t="str">
        <f t="shared" si="6"/>
        <v/>
      </c>
      <c r="Z71" s="649" t="str">
        <f>IF(B71="個別病床",はじめに入力してください!$K$50,IF(B71="共通使用",はじめに入力してください!$K$52,""))</f>
        <v/>
      </c>
      <c r="AB71" s="12">
        <v>42</v>
      </c>
      <c r="AC71" s="648" t="str">
        <f t="shared" si="7"/>
        <v>○</v>
      </c>
      <c r="AD71" s="649" t="str">
        <f t="shared" si="8"/>
        <v>整備しない場合は入力不要です。</v>
      </c>
    </row>
    <row r="72" spans="1:30">
      <c r="A72" s="12">
        <v>43</v>
      </c>
      <c r="B72" s="6"/>
      <c r="C72" s="6"/>
      <c r="D72" s="6"/>
      <c r="E72" s="10"/>
      <c r="F72" s="7"/>
      <c r="G72" s="531"/>
      <c r="H72" s="15">
        <f t="shared" si="0"/>
        <v>0</v>
      </c>
      <c r="I72" s="4">
        <f t="shared" si="1"/>
        <v>0</v>
      </c>
      <c r="J72" s="9"/>
      <c r="K72" s="595"/>
      <c r="L72" s="595"/>
      <c r="M72" s="595"/>
      <c r="N72" s="4">
        <f t="shared" si="2"/>
        <v>0</v>
      </c>
      <c r="O72" s="5" t="str">
        <f>IF(AC72="◎",COUNTIF($AC$30:AC72,"◎"),"")</f>
        <v/>
      </c>
      <c r="Q72" s="596" t="str">
        <f t="shared" si="3"/>
        <v/>
      </c>
      <c r="R72" s="648" t="str">
        <f t="shared" si="4"/>
        <v/>
      </c>
      <c r="S72" s="648" t="str">
        <f t="shared" si="5"/>
        <v/>
      </c>
      <c r="T72" s="648" t="str">
        <f t="shared" si="6"/>
        <v/>
      </c>
      <c r="Z72" s="649" t="str">
        <f>IF(B72="個別病床",はじめに入力してください!$K$50,IF(B72="共通使用",はじめに入力してください!$K$52,""))</f>
        <v/>
      </c>
      <c r="AB72" s="12">
        <v>43</v>
      </c>
      <c r="AC72" s="648" t="str">
        <f t="shared" si="7"/>
        <v>○</v>
      </c>
      <c r="AD72" s="649" t="str">
        <f t="shared" si="8"/>
        <v>整備しない場合は入力不要です。</v>
      </c>
    </row>
    <row r="73" spans="1:30">
      <c r="A73" s="12">
        <v>44</v>
      </c>
      <c r="B73" s="6"/>
      <c r="C73" s="6"/>
      <c r="D73" s="6"/>
      <c r="E73" s="10"/>
      <c r="F73" s="7"/>
      <c r="G73" s="531"/>
      <c r="H73" s="15">
        <f t="shared" si="0"/>
        <v>0</v>
      </c>
      <c r="I73" s="4">
        <f t="shared" si="1"/>
        <v>0</v>
      </c>
      <c r="J73" s="9"/>
      <c r="K73" s="595"/>
      <c r="L73" s="595"/>
      <c r="M73" s="595"/>
      <c r="N73" s="4">
        <f t="shared" si="2"/>
        <v>0</v>
      </c>
      <c r="O73" s="5" t="str">
        <f>IF(AC73="◎",COUNTIF($AC$30:AC73,"◎"),"")</f>
        <v/>
      </c>
      <c r="Q73" s="596" t="str">
        <f t="shared" si="3"/>
        <v/>
      </c>
      <c r="R73" s="648" t="str">
        <f t="shared" si="4"/>
        <v/>
      </c>
      <c r="S73" s="648" t="str">
        <f t="shared" si="5"/>
        <v/>
      </c>
      <c r="T73" s="648" t="str">
        <f t="shared" si="6"/>
        <v/>
      </c>
      <c r="Z73" s="649" t="str">
        <f>IF(B73="個別病床",はじめに入力してください!$K$50,IF(B73="共通使用",はじめに入力してください!$K$52,""))</f>
        <v/>
      </c>
      <c r="AB73" s="12">
        <v>44</v>
      </c>
      <c r="AC73" s="648" t="str">
        <f t="shared" si="7"/>
        <v>○</v>
      </c>
      <c r="AD73" s="649" t="str">
        <f t="shared" si="8"/>
        <v>整備しない場合は入力不要です。</v>
      </c>
    </row>
    <row r="74" spans="1:30">
      <c r="A74" s="12">
        <v>45</v>
      </c>
      <c r="B74" s="6"/>
      <c r="C74" s="6"/>
      <c r="D74" s="6"/>
      <c r="E74" s="10"/>
      <c r="F74" s="7"/>
      <c r="G74" s="531"/>
      <c r="H74" s="15">
        <f t="shared" si="0"/>
        <v>0</v>
      </c>
      <c r="I74" s="4">
        <f t="shared" si="1"/>
        <v>0</v>
      </c>
      <c r="J74" s="9"/>
      <c r="K74" s="595"/>
      <c r="L74" s="595"/>
      <c r="M74" s="595"/>
      <c r="N74" s="4">
        <f t="shared" si="2"/>
        <v>0</v>
      </c>
      <c r="O74" s="5" t="str">
        <f>IF(AC74="◎",COUNTIF($AC$30:AC74,"◎"),"")</f>
        <v/>
      </c>
      <c r="Q74" s="596" t="str">
        <f t="shared" si="3"/>
        <v/>
      </c>
      <c r="R74" s="648" t="str">
        <f t="shared" si="4"/>
        <v/>
      </c>
      <c r="S74" s="648" t="str">
        <f t="shared" si="5"/>
        <v/>
      </c>
      <c r="T74" s="648" t="str">
        <f t="shared" si="6"/>
        <v/>
      </c>
      <c r="Z74" s="649" t="str">
        <f>IF(B74="個別病床",はじめに入力してください!$K$50,IF(B74="共通使用",はじめに入力してください!$K$52,""))</f>
        <v/>
      </c>
      <c r="AB74" s="12">
        <v>45</v>
      </c>
      <c r="AC74" s="648" t="str">
        <f t="shared" si="7"/>
        <v>○</v>
      </c>
      <c r="AD74" s="649" t="str">
        <f t="shared" si="8"/>
        <v>整備しない場合は入力不要です。</v>
      </c>
    </row>
  </sheetData>
  <sheetProtection algorithmName="SHA-512" hashValue="9NAw4c6JYnnfwBvakCcmsIsmJQTjcE3zHB9JSl742GFWuIsGSe1xvyvhUCaVd4+9yjHwJGw5nNaFbG/SHkHvrw==" saltValue="neDRDVO1hcxfCSx1ZBN0Ew==" spinCount="100000" sheet="1" objects="1" scenarios="1"/>
  <mergeCells count="25">
    <mergeCell ref="N1:P1"/>
    <mergeCell ref="B22:O22"/>
    <mergeCell ref="B2:D3"/>
    <mergeCell ref="AC3:AC5"/>
    <mergeCell ref="AD3:AD5"/>
    <mergeCell ref="AC7:AC8"/>
    <mergeCell ref="AD7:AD8"/>
    <mergeCell ref="B10:O10"/>
    <mergeCell ref="B13:O13"/>
    <mergeCell ref="B14:O14"/>
    <mergeCell ref="B15:O15"/>
    <mergeCell ref="B18:O21"/>
    <mergeCell ref="B7:O7"/>
    <mergeCell ref="B9:C9"/>
    <mergeCell ref="B12:O12"/>
    <mergeCell ref="B26:O26"/>
    <mergeCell ref="AC27:AC28"/>
    <mergeCell ref="AD27:AD28"/>
    <mergeCell ref="B28:D28"/>
    <mergeCell ref="E28:F28"/>
    <mergeCell ref="G28:J28"/>
    <mergeCell ref="N28:N29"/>
    <mergeCell ref="O28:O29"/>
    <mergeCell ref="K28:M28"/>
    <mergeCell ref="Q28:Q29"/>
  </mergeCells>
  <phoneticPr fontId="9"/>
  <conditionalFormatting sqref="AC29 AC1:AC2 AC11:AC21 AC6 AC23:AC27 AC75:AC1048576">
    <cfRule type="containsText" dxfId="83" priority="9" operator="containsText" text="×">
      <formula>NOT(ISERROR(SEARCH("×",AC1)))</formula>
    </cfRule>
  </conditionalFormatting>
  <conditionalFormatting sqref="AD1:AD2 AD11:AD21 AD29:AD1048576 AD6 AD23:AD27">
    <cfRule type="containsText" dxfId="82" priority="8" operator="containsText" text="要修正">
      <formula>NOT(ISERROR(SEARCH("要修正",AD1)))</formula>
    </cfRule>
  </conditionalFormatting>
  <conditionalFormatting sqref="AC22">
    <cfRule type="containsText" dxfId="81" priority="7" operator="containsText" text="×">
      <formula>NOT(ISERROR(SEARCH("×",AC22)))</formula>
    </cfRule>
  </conditionalFormatting>
  <conditionalFormatting sqref="AD22">
    <cfRule type="containsText" dxfId="80" priority="6" operator="containsText" text="要修正">
      <formula>NOT(ISERROR(SEARCH("要修正",AD22)))</formula>
    </cfRule>
  </conditionalFormatting>
  <conditionalFormatting sqref="AC9:AC10 AC7">
    <cfRule type="containsText" dxfId="79" priority="5" operator="containsText" text="×">
      <formula>NOT(ISERROR(SEARCH("×",AC7)))</formula>
    </cfRule>
  </conditionalFormatting>
  <conditionalFormatting sqref="AD9:AD10 AD7">
    <cfRule type="containsText" dxfId="78" priority="4" operator="containsText" text="要修正">
      <formula>NOT(ISERROR(SEARCH("要修正",AD7)))</formula>
    </cfRule>
  </conditionalFormatting>
  <conditionalFormatting sqref="AC3:AC4">
    <cfRule type="containsText" dxfId="77" priority="3" operator="containsText" text="×">
      <formula>NOT(ISERROR(SEARCH("×",AC3)))</formula>
    </cfRule>
  </conditionalFormatting>
  <conditionalFormatting sqref="AD3:AD4">
    <cfRule type="containsText" dxfId="76" priority="2" operator="containsText" text="要修正">
      <formula>NOT(ISERROR(SEARCH("要修正",AD3)))</formula>
    </cfRule>
  </conditionalFormatting>
  <conditionalFormatting sqref="AC30:AC74">
    <cfRule type="containsText" dxfId="75" priority="1" operator="containsText" text="×">
      <formula>NOT(ISERROR(SEARCH("×",AC30)))</formula>
    </cfRule>
  </conditionalFormatting>
  <dataValidations xWindow="956" yWindow="506" count="10">
    <dataValidation allowBlank="1" showInputMessage="1" showErrorMessage="1" promptTitle="割引額がある場合は入力" prompt="割引がない場合は「0円」のままとしてください。" sqref="I3" xr:uid="{00000000-0002-0000-1300-000000000000}"/>
    <dataValidation allowBlank="1" showInputMessage="1" showErrorMessage="1" promptTitle="補助対象金額" prompt="補助対象額×（見積書金額-割引額）/見積書金額_x000a_で算出されます。" sqref="J3:M3" xr:uid="{00000000-0002-0000-1300-000001000000}"/>
    <dataValidation allowBlank="1" showInputMessage="1" showErrorMessage="1" promptTitle="規格及び数量の入力" prompt="補助対象経費を計上する際、いずれも入力してください。" sqref="E30:E74" xr:uid="{B334552B-381A-4527-B4B1-043BEB8F1CE7}"/>
    <dataValidation allowBlank="1" showInputMessage="1" showErrorMessage="1" promptTitle="単価の入力" prompt="税抜額または税込額のいずれかを入力してください。_x000a_入力しない方は「0」は入力せず、空欄としてください。" sqref="H30:H74" xr:uid="{3EC06916-2B59-46F3-BDB3-07CEDBC4ABD2}"/>
    <dataValidation allowBlank="1" showInputMessage="1" showErrorMessage="1" promptTitle="添付書類番号" prompt="種類、規格、数量、単価が全て適切に入力され、右の「判定」が「◎」と表示されると自動で番号が表示されます。" sqref="O30:O74" xr:uid="{AAD052DB-6758-4EA4-8727-FA1D9911FB26}"/>
    <dataValidation allowBlank="1" showInputMessage="1" showErrorMessage="1" promptTitle="金額の表示" prompt="数式が入力されているため、自動計算されます。" sqref="N30:N74 I30:I74" xr:uid="{6F9D2F71-11B4-4CC7-B3E7-FA59DDE519EA}"/>
    <dataValidation type="list" allowBlank="1" showInputMessage="1" showErrorMessage="1" promptTitle="補助対象の該当非該当" prompt="コロナ対応病床の初度設備に係る経費が対象となります。_x000a_共用部分の設備、備品や医療用消耗品等は補助対象外なので「対象外」を選択してください。_x000a_審査において確認、対象外と認めたものについては対象外として補正をお願いする場合があります。" sqref="J30:J74" xr:uid="{1BD57EB3-7444-4445-B1CE-7E1A193D7ED9}">
      <formula1>"補助対象,補助対象外"</formula1>
    </dataValidation>
    <dataValidation type="list" allowBlank="1" showInputMessage="1" showErrorMessage="1" promptTitle="設備、備品、その他の別を選択" prompt="当該行に記載する品目が_x000a_・「設備」（設備本体）_x000a_・備品（本体設備と別の構成をなすもの）_x000a_・その他（上記の該当しないもの）_x000a_の別をプルダウンから選択してください。" sqref="D30:D74" xr:uid="{3038E27C-FE0E-41DB-9002-468B07F4A82E}">
      <formula1>"設備,備品,その他"</formula1>
    </dataValidation>
    <dataValidation type="decimal" operator="greaterThanOrEqual" allowBlank="1" showInputMessage="1" showErrorMessage="1" promptTitle="単価の入力" prompt="税抜額または税込額のいずれかを入力してください。_x000a_入力しない方は「0」は入力せず、空欄としてください。" sqref="G30:G74" xr:uid="{AD317A56-873C-4E78-801D-9E3099474AA3}">
      <formula1>0</formula1>
    </dataValidation>
    <dataValidation type="whole" operator="greaterThanOrEqual" allowBlank="1" showInputMessage="1" showErrorMessage="1" errorTitle="数値のみを入力してください。" error="「個」、「枚」等の単位入力は不要です。" promptTitle="規格及び数量の入力" prompt="補助対象経費を計上する際、いずれも入力してください。" sqref="F30:F74" xr:uid="{6B84574F-BF53-4C2C-AFF1-E698D44ED270}">
      <formula1>0</formula1>
    </dataValidation>
  </dataValidations>
  <pageMargins left="0.7" right="0.7" top="0.75" bottom="0.75" header="0.3" footer="0.3"/>
  <pageSetup paperSize="9" scale="43" orientation="portrait" r:id="rId1"/>
  <drawing r:id="rId2"/>
  <legacyDrawing r:id="rId3"/>
  <extLst>
    <ext xmlns:x14="http://schemas.microsoft.com/office/spreadsheetml/2009/9/main" uri="{CCE6A557-97BC-4b89-ADB6-D9C93CAAB3DF}">
      <x14:dataValidations xmlns:xm="http://schemas.microsoft.com/office/excel/2006/main" xWindow="956" yWindow="506" count="6">
        <x14:dataValidation type="list" allowBlank="1" showInputMessage="1" showErrorMessage="1" promptTitle="配備先の別を選択" prompt="確保病床の共通使用のものか、個別のベッドに配備するものか選択してください。" xr:uid="{29ECD920-91E9-4287-8DA8-C6699D227E5D}">
          <x14:formula1>
            <xm:f>テーブル!$X$48:$X$49</xm:f>
          </x14:formula1>
          <xm:sqref>B30:B74</xm:sqref>
        </x14:dataValidation>
        <x14:dataValidation type="list" allowBlank="1" showInputMessage="1" showErrorMessage="1" promptTitle="「用途先」病床の選択（左の「病床」を選択しないと表示されません。" prompt="ベッドに必ずしも紐付けるものではありませんが、１病床１台で紐付けした場合、整備する病床に番号付けをした場合の番号を選択してください。" xr:uid="{391D1FD0-D05D-4D03-A5C8-131F121E2B75}">
          <x14:formula1>
            <xm:f>OFFSET(テーブル!$X$48, 0, MATCH(B30,テーブル!$Y$47:$Z$47,0), COUNTA(OFFSET(テーブル!$X$48,0,MATCH(B30,テーブル!$Y$47:$Z$47,0),$Z$30,1)),1)</xm:f>
          </x14:formula1>
          <xm:sqref>C30:C74</xm:sqref>
        </x14:dataValidation>
        <x14:dataValidation type="list" allowBlank="1" showInputMessage="1" showErrorMessage="1" xr:uid="{00000000-0002-0000-1300-00000A000000}">
          <x14:formula1>
            <xm:f>テーブル!$M$37:$M$51</xm:f>
          </x14:formula1>
          <xm:sqref>B2:D2</xm:sqref>
        </x14:dataValidation>
        <x14:dataValidation type="list" allowBlank="1" showInputMessage="1" showErrorMessage="1" xr:uid="{92239981-ACE4-48C8-891A-2EA440F56D20}">
          <x14:formula1>
            <xm:f>テーブル!$K$2:$K$32</xm:f>
          </x14:formula1>
          <xm:sqref>M30:M74</xm:sqref>
        </x14:dataValidation>
        <x14:dataValidation type="list" allowBlank="1" showInputMessage="1" showErrorMessage="1" xr:uid="{B5866156-493C-449A-85E4-3A05842DF2FF}">
          <x14:formula1>
            <xm:f>テーブル!$J$2:$J$7</xm:f>
          </x14:formula1>
          <xm:sqref>L30:L74</xm:sqref>
        </x14:dataValidation>
        <x14:dataValidation type="list" allowBlank="1" showInputMessage="1" showErrorMessage="1" xr:uid="{9EF81962-22D7-4FBA-B4AD-B7B1B76DFDEB}">
          <x14:formula1>
            <xm:f>テーブル!$I$2:$I$3</xm:f>
          </x14:formula1>
          <xm:sqref>K30:K74</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tabColor rgb="FFFFC000"/>
    <pageSetUpPr fitToPage="1"/>
  </sheetPr>
  <dimension ref="A1:AI74"/>
  <sheetViews>
    <sheetView showGridLines="0" view="pageBreakPreview" zoomScale="60" zoomScaleNormal="100" workbookViewId="0">
      <selection activeCell="M3" sqref="M3"/>
    </sheetView>
  </sheetViews>
  <sheetFormatPr defaultColWidth="8.625" defaultRowHeight="18"/>
  <cols>
    <col min="1" max="1" width="3.625" style="12" customWidth="1"/>
    <col min="2" max="4" width="8.625" style="19"/>
    <col min="5" max="5" width="30.625" style="19" customWidth="1"/>
    <col min="6" max="6" width="8.625" style="19"/>
    <col min="7" max="10" width="12.625" style="19" customWidth="1"/>
    <col min="11" max="13" width="3.625" style="19" customWidth="1"/>
    <col min="14" max="14" width="12.625" style="19" customWidth="1"/>
    <col min="15" max="15" width="8.625" style="19"/>
    <col min="16" max="16" width="3.625" style="19" customWidth="1"/>
    <col min="17" max="17" width="12.625" style="19" customWidth="1"/>
    <col min="18" max="20" width="3.625" style="19" customWidth="1"/>
    <col min="21" max="26" width="8.625" style="19"/>
    <col min="27" max="27" width="8.625" style="19" customWidth="1"/>
    <col min="28" max="28" width="3.625" style="12" customWidth="1"/>
    <col min="29" max="29" width="8.625" style="19"/>
    <col min="30" max="30" width="40.625" style="19" customWidth="1"/>
    <col min="31" max="31" width="3.625" style="19" customWidth="1"/>
    <col min="32" max="35" width="8.625" style="19"/>
    <col min="36" max="36" width="30.625" style="19" customWidth="1"/>
    <col min="37" max="16384" width="8.625" style="19"/>
  </cols>
  <sheetData>
    <row r="1" spans="1:35" ht="20.100000000000001" customHeight="1">
      <c r="N1" s="1859" t="str">
        <f xml:space="preserve">
IF(表紙!$X$2="事前協議","（10月１日～３月31日分）",
IF(表紙!$X$2="交付申請（２次）","（10月１日～３月31日分）",
IF(表紙!$X$2="変更申請","（10月１日～３月31日分）",
IF(表紙!$X$2="実績報告（１次）","（５月８日～10月31日分）",
IF(表紙!$X$2="実績報告（２次）","（10月１日～３月31日分）",
IF(表紙!$X$2="交付申請兼実績報告","（10月１日～３月31日分）"))))))</f>
        <v>（10月１日～３月31日分）</v>
      </c>
      <c r="O1" s="1385"/>
      <c r="P1" s="1385"/>
    </row>
    <row r="2" spans="1:35" ht="20.100000000000001" customHeight="1">
      <c r="B2" s="1847" t="s">
        <v>426</v>
      </c>
      <c r="C2" s="1848"/>
      <c r="D2" s="1849"/>
      <c r="H2" s="5" t="s">
        <v>536</v>
      </c>
      <c r="I2" s="648" t="s">
        <v>537</v>
      </c>
      <c r="J2" s="5" t="s">
        <v>44</v>
      </c>
      <c r="K2" s="586"/>
      <c r="L2" s="586"/>
      <c r="M2" s="586"/>
      <c r="AC2" s="648" t="s">
        <v>417</v>
      </c>
      <c r="AD2" s="648" t="s">
        <v>415</v>
      </c>
      <c r="AF2" s="648" t="str">
        <f>AC9</f>
        <v>×</v>
      </c>
      <c r="AG2" s="648" t="str">
        <f>AC15</f>
        <v>○</v>
      </c>
      <c r="AH2" s="648" t="str">
        <f>AC22</f>
        <v>○</v>
      </c>
      <c r="AI2" s="648" t="str">
        <f>AC26</f>
        <v>○</v>
      </c>
    </row>
    <row r="3" spans="1:35" ht="20.100000000000001" customHeight="1">
      <c r="B3" s="1850"/>
      <c r="C3" s="1851"/>
      <c r="D3" s="1852"/>
      <c r="H3" s="351">
        <f>SUM(I30:I74)</f>
        <v>0</v>
      </c>
      <c r="I3" s="8"/>
      <c r="J3" s="351">
        <f>IFERROR(ROUNDUP(SUM(N30:N74)*((H3-I3)/H3),0),0)</f>
        <v>0</v>
      </c>
      <c r="K3" s="587"/>
      <c r="L3" s="587"/>
      <c r="M3" s="587"/>
      <c r="AC3" s="884" t="str">
        <f xml:space="preserve">
IF(COUNTIF(AG2:AI2,"○")=3,"○",
IF(COUNTIF(AG2:AI2,"◎")=3,"◎","×"
))</f>
        <v>○</v>
      </c>
      <c r="AD3" s="1842" t="str">
        <f xml:space="preserve">
IF(AC3="○","整備しない場合は入力不要です。",
IF(AC3="×","【要修正】入力が不十分な箇所があります。",
IF(AC3="◎","適切に入力がされました。")))</f>
        <v>整備しない場合は入力不要です。</v>
      </c>
    </row>
    <row r="4" spans="1:35" ht="9.9499999999999993" customHeight="1">
      <c r="AC4" s="884"/>
      <c r="AD4" s="1842"/>
    </row>
    <row r="5" spans="1:35" ht="20.100000000000001" customHeight="1">
      <c r="B5" s="652" t="s">
        <v>55</v>
      </c>
      <c r="C5" s="652"/>
      <c r="D5" s="652"/>
      <c r="E5" s="652"/>
      <c r="F5" s="652"/>
      <c r="G5" s="652"/>
      <c r="H5" s="652"/>
      <c r="I5" s="652"/>
      <c r="J5" s="652"/>
      <c r="K5" s="652"/>
      <c r="L5" s="652"/>
      <c r="M5" s="652"/>
      <c r="N5" s="652"/>
      <c r="O5" s="652"/>
      <c r="AC5" s="857"/>
      <c r="AD5" s="858"/>
    </row>
    <row r="6" spans="1:35" ht="9.9499999999999993" customHeight="1"/>
    <row r="7" spans="1:35" ht="20.100000000000001" customHeight="1">
      <c r="B7" s="1863" t="str">
        <f xml:space="preserve">
IF(OR(表紙!X2="事前協議",表紙!X2="交付申請"),"（１）整備を行う対象の新規で指定を受けた確保病床数あるいは、確保病床を有しない場合は整備を行う病床の数",
IF(表紙!X2="交付申請兼実績報告","（１）整備を行う対象の新規で指定を受けた確保病床数"))</f>
        <v>（１）整備を行う対象の新規で指定を受けた確保病床数</v>
      </c>
      <c r="C7" s="953"/>
      <c r="D7" s="953"/>
      <c r="E7" s="953"/>
      <c r="F7" s="953"/>
      <c r="G7" s="953"/>
      <c r="H7" s="953"/>
      <c r="I7" s="953"/>
      <c r="J7" s="953"/>
      <c r="K7" s="953"/>
      <c r="L7" s="953"/>
      <c r="M7" s="953"/>
      <c r="N7" s="953"/>
      <c r="O7" s="953"/>
      <c r="AC7" s="1838" t="s">
        <v>413</v>
      </c>
      <c r="AD7" s="1838" t="s">
        <v>415</v>
      </c>
    </row>
    <row r="8" spans="1:35" ht="9.9499999999999993" customHeight="1">
      <c r="AC8" s="1839"/>
      <c r="AD8" s="1839"/>
    </row>
    <row r="9" spans="1:35" ht="35.1" customHeight="1">
      <c r="B9" s="1864" t="s">
        <v>56</v>
      </c>
      <c r="C9" s="1865"/>
      <c r="D9" s="204" t="str">
        <f>IF(はじめに入力してください!K50="","",はじめに入力してください!K50)</f>
        <v/>
      </c>
      <c r="E9" s="352"/>
      <c r="F9" s="353"/>
      <c r="G9" s="353"/>
      <c r="H9" s="353"/>
      <c r="I9" s="353"/>
      <c r="J9" s="354"/>
      <c r="K9" s="354"/>
      <c r="L9" s="354"/>
      <c r="M9" s="354"/>
      <c r="N9" s="354"/>
      <c r="O9" s="354"/>
      <c r="AC9" s="648" t="str">
        <f xml:space="preserve">
IF(D9="","×",
IF(D9=0,"○",
IF(D9&gt;=1,"◎",
)))</f>
        <v>×</v>
      </c>
      <c r="AD9" s="649" t="str">
        <f xml:space="preserve">
IF(D9="","【要修正】「はじめに入力してください」シートに整備を行う病床の数を入力してください。",
IF(D9=0,"申請しない場合は以下入力不要です。",
IF(D9&gt;=1,"適切に入力されました。",
)))</f>
        <v>【要修正】「はじめに入力してください」シートに整備を行う病床の数を入力してください。</v>
      </c>
    </row>
    <row r="10" spans="1:35" ht="20.100000000000001" customHeight="1">
      <c r="B10" s="1860"/>
      <c r="C10" s="1861"/>
      <c r="D10" s="1862"/>
      <c r="E10" s="1862"/>
      <c r="F10" s="1862"/>
      <c r="G10" s="1862"/>
      <c r="H10" s="1862"/>
      <c r="I10" s="1862"/>
      <c r="J10" s="1862"/>
      <c r="K10" s="1862"/>
      <c r="L10" s="1862"/>
      <c r="M10" s="1862"/>
      <c r="N10" s="1862"/>
      <c r="O10" s="1862"/>
    </row>
    <row r="11" spans="1:35" ht="20.100000000000001" hidden="1" customHeight="1"/>
    <row r="12" spans="1:35" ht="20.100000000000001" customHeight="1">
      <c r="B12" s="1863" t="str">
        <f>初度設備!B12</f>
        <v>（２）この度、新たに整備を行う必要が生じた理由（フロア毎の対応から病室毎の対応への移行の計画内容）を詳しく記入してください。</v>
      </c>
      <c r="C12" s="953"/>
      <c r="D12" s="953"/>
      <c r="E12" s="953"/>
      <c r="F12" s="953"/>
      <c r="G12" s="953"/>
      <c r="H12" s="953"/>
      <c r="I12" s="953"/>
      <c r="J12" s="953"/>
      <c r="K12" s="953"/>
      <c r="L12" s="953"/>
      <c r="M12" s="953"/>
      <c r="N12" s="953"/>
      <c r="O12" s="953"/>
    </row>
    <row r="13" spans="1:35" ht="39.950000000000003" customHeight="1">
      <c r="B13" s="1843" t="s">
        <v>538</v>
      </c>
      <c r="C13" s="952"/>
      <c r="D13" s="952"/>
      <c r="E13" s="952"/>
      <c r="F13" s="952"/>
      <c r="G13" s="952"/>
      <c r="H13" s="952"/>
      <c r="I13" s="952"/>
      <c r="J13" s="952"/>
      <c r="K13" s="952"/>
      <c r="L13" s="952"/>
      <c r="M13" s="952"/>
      <c r="N13" s="952"/>
      <c r="O13" s="952"/>
    </row>
    <row r="14" spans="1:35" s="650" customFormat="1" ht="99.95" customHeight="1">
      <c r="A14" s="13"/>
      <c r="B14" s="1843" t="str">
        <f>VLOOKUP(B2,テーブル!M37:N51,2,FALSE)</f>
        <v>（例）本院が所在する医療圏は確保病床自体が少なく、都市部から遠隔地であることから、受入対応が難しい際の隣接圏域への搬送に時間を要する事態が生じた
　　　ケースがある。
　　　感染ピークの度に圏域内の確保病床の逼迫が生じたことから、受入可能数を増やす必要性について圏域内の関係医療機関の間で問題共有されていたところ
　　　である。
　　　このことから、本院として今後人員体制を拡充し、入院要請を断ることがないよう○床分の病床を追加で確保するための整備を行うこととしたい。</v>
      </c>
      <c r="C14" s="1675"/>
      <c r="D14" s="1675"/>
      <c r="E14" s="1675"/>
      <c r="F14" s="1675"/>
      <c r="G14" s="1675"/>
      <c r="H14" s="1675"/>
      <c r="I14" s="1675"/>
      <c r="J14" s="1675"/>
      <c r="K14" s="1675"/>
      <c r="L14" s="1675"/>
      <c r="M14" s="1675"/>
      <c r="N14" s="1675"/>
      <c r="O14" s="1675"/>
      <c r="AB14" s="13"/>
      <c r="AC14" s="548" t="s">
        <v>413</v>
      </c>
      <c r="AD14" s="548" t="s">
        <v>414</v>
      </c>
    </row>
    <row r="15" spans="1:35" ht="120" customHeight="1">
      <c r="B15" s="1844"/>
      <c r="C15" s="1845"/>
      <c r="D15" s="1845"/>
      <c r="E15" s="1845"/>
      <c r="F15" s="1845"/>
      <c r="G15" s="1845"/>
      <c r="H15" s="1845"/>
      <c r="I15" s="1845"/>
      <c r="J15" s="1845"/>
      <c r="K15" s="1845"/>
      <c r="L15" s="1845"/>
      <c r="M15" s="1845"/>
      <c r="N15" s="1845"/>
      <c r="O15" s="1846"/>
      <c r="AC15" s="648" t="str">
        <f xml:space="preserve">
IF(COUNTA(B15)=0,"○",
IF(COUNTA(B15)=1,"◎"))</f>
        <v>○</v>
      </c>
      <c r="AD15" s="649" t="str">
        <f xml:space="preserve">
IF(COUNTA(B15)=0,"整備しない場合は入力不要です。",
IF(COUNTA(B15)=1,"入力された状態になりました。"))</f>
        <v>整備しない場合は入力不要です。</v>
      </c>
    </row>
    <row r="16" spans="1:35" ht="20.100000000000001" customHeight="1"/>
    <row r="17" spans="1:30" ht="20.100000000000001" customHeight="1">
      <c r="B17" s="652" t="s">
        <v>452</v>
      </c>
      <c r="C17" s="652"/>
      <c r="D17" s="652"/>
      <c r="E17" s="652"/>
      <c r="F17" s="652"/>
      <c r="G17" s="652"/>
      <c r="H17" s="652"/>
      <c r="I17" s="652"/>
      <c r="J17" s="652"/>
      <c r="K17" s="652"/>
      <c r="L17" s="652"/>
      <c r="M17" s="652"/>
      <c r="N17" s="652"/>
      <c r="O17" s="652"/>
    </row>
    <row r="18" spans="1:30" ht="20.100000000000001" customHeight="1">
      <c r="B18" s="1843" t="s">
        <v>480</v>
      </c>
      <c r="C18" s="952"/>
      <c r="D18" s="952"/>
      <c r="E18" s="952"/>
      <c r="F18" s="952"/>
      <c r="G18" s="952"/>
      <c r="H18" s="952"/>
      <c r="I18" s="952"/>
      <c r="J18" s="952"/>
      <c r="K18" s="952"/>
      <c r="L18" s="952"/>
      <c r="M18" s="952"/>
      <c r="N18" s="952"/>
      <c r="O18" s="952"/>
    </row>
    <row r="19" spans="1:30" ht="20.100000000000001" customHeight="1">
      <c r="B19" s="1843"/>
      <c r="C19" s="952"/>
      <c r="D19" s="952"/>
      <c r="E19" s="952"/>
      <c r="F19" s="952"/>
      <c r="G19" s="952"/>
      <c r="H19" s="952"/>
      <c r="I19" s="952"/>
      <c r="J19" s="952"/>
      <c r="K19" s="952"/>
      <c r="L19" s="952"/>
      <c r="M19" s="952"/>
      <c r="N19" s="952"/>
      <c r="O19" s="952"/>
    </row>
    <row r="20" spans="1:30" ht="20.100000000000001" customHeight="1">
      <c r="B20" s="1843"/>
      <c r="C20" s="952"/>
      <c r="D20" s="952"/>
      <c r="E20" s="952"/>
      <c r="F20" s="952"/>
      <c r="G20" s="952"/>
      <c r="H20" s="952"/>
      <c r="I20" s="952"/>
      <c r="J20" s="952"/>
      <c r="K20" s="952"/>
      <c r="L20" s="952"/>
      <c r="M20" s="952"/>
      <c r="N20" s="952"/>
      <c r="O20" s="952"/>
    </row>
    <row r="21" spans="1:30" ht="20.100000000000001" customHeight="1">
      <c r="B21" s="952"/>
      <c r="C21" s="952"/>
      <c r="D21" s="952"/>
      <c r="E21" s="952"/>
      <c r="F21" s="952"/>
      <c r="G21" s="952"/>
      <c r="H21" s="952"/>
      <c r="I21" s="952"/>
      <c r="J21" s="952"/>
      <c r="K21" s="952"/>
      <c r="L21" s="952"/>
      <c r="M21" s="952"/>
      <c r="N21" s="952"/>
      <c r="O21" s="952"/>
    </row>
    <row r="22" spans="1:30" ht="120" customHeight="1">
      <c r="B22" s="1844"/>
      <c r="C22" s="1845"/>
      <c r="D22" s="1845"/>
      <c r="E22" s="1845"/>
      <c r="F22" s="1845"/>
      <c r="G22" s="1845"/>
      <c r="H22" s="1845"/>
      <c r="I22" s="1845"/>
      <c r="J22" s="1845"/>
      <c r="K22" s="1845"/>
      <c r="L22" s="1845"/>
      <c r="M22" s="1845"/>
      <c r="N22" s="1845"/>
      <c r="O22" s="1846"/>
      <c r="AC22" s="648" t="str">
        <f xml:space="preserve">
IF(COUNTA(B22)=0,"○",
IF(COUNTA(B22)=1,"◎"))</f>
        <v>○</v>
      </c>
      <c r="AD22" s="649" t="str">
        <f xml:space="preserve">
IF(COUNTA(B22)=0,"整備しない場合は入力不要です。",
IF(COUNTA(B22)=1,"入力された状態になりました。"))</f>
        <v>整備しない場合は入力不要です。</v>
      </c>
    </row>
    <row r="23" spans="1:30" ht="20.100000000000001" customHeight="1"/>
    <row r="24" spans="1:30" ht="20.100000000000001" customHeight="1">
      <c r="B24" s="652" t="s">
        <v>451</v>
      </c>
      <c r="C24" s="652"/>
      <c r="D24" s="652"/>
      <c r="E24" s="652"/>
      <c r="F24" s="652"/>
      <c r="G24" s="652"/>
      <c r="H24" s="652"/>
      <c r="I24" s="652"/>
      <c r="J24" s="652"/>
      <c r="K24" s="652"/>
      <c r="L24" s="652"/>
      <c r="M24" s="652"/>
      <c r="N24" s="652"/>
      <c r="O24" s="652"/>
      <c r="AC24" s="14"/>
    </row>
    <row r="25" spans="1:30" ht="9.9499999999999993" customHeight="1"/>
    <row r="26" spans="1:30" ht="60" customHeight="1">
      <c r="B26" s="1843" t="s">
        <v>559</v>
      </c>
      <c r="C26" s="953"/>
      <c r="D26" s="953"/>
      <c r="E26" s="953"/>
      <c r="F26" s="953"/>
      <c r="G26" s="953"/>
      <c r="H26" s="953"/>
      <c r="I26" s="953"/>
      <c r="J26" s="953"/>
      <c r="K26" s="953"/>
      <c r="L26" s="953"/>
      <c r="M26" s="953"/>
      <c r="N26" s="953"/>
      <c r="O26" s="953"/>
      <c r="AC26" s="648" t="str">
        <f xml:space="preserve">
IF(COUNTIF(AC30:AC74,"○")=45,"○",
IF(COUNTIF(AC30:AC74,"×")&gt;=1,"×",
IF(AND(COUNTIF(AC30:AC74,"◎")&gt;=1,COUNTIF(AC30:AC74,"×")=0),"◎")))</f>
        <v>○</v>
      </c>
      <c r="AD26" s="649" t="str">
        <f xml:space="preserve">
IF(COUNTIF(AC30:AC74,"○")=45,"整備しない場合は入力不要です。",
IF(COUNTIF(AC30:AC74,"×")&gt;=1,"【要修正】入力が不十分な箇所があります。",
IF(AND(COUNTIF(AC30:AC74,"◎")&gt;=1,COUNTIF(AC30:AC74,"×")=0),"適切に入力がされました。")))</f>
        <v>整備しない場合は入力不要です。</v>
      </c>
    </row>
    <row r="27" spans="1:30" ht="9.9499999999999993" customHeight="1">
      <c r="AC27" s="1837" t="s">
        <v>416</v>
      </c>
      <c r="AD27" s="1840" t="s">
        <v>418</v>
      </c>
    </row>
    <row r="28" spans="1:30" ht="18.75">
      <c r="B28" s="1853" t="s">
        <v>41</v>
      </c>
      <c r="C28" s="1854"/>
      <c r="D28" s="1855"/>
      <c r="E28" s="1853" t="s">
        <v>42</v>
      </c>
      <c r="F28" s="1855"/>
      <c r="G28" s="1853" t="s">
        <v>43</v>
      </c>
      <c r="H28" s="1854"/>
      <c r="I28" s="1854"/>
      <c r="J28" s="1855"/>
      <c r="K28" s="1858" t="str">
        <f xml:space="preserve">
IF(表紙!$X$2="事前協議","納品予定日",
IF(表紙!$X$2="交付申請（２次）","納品予定日",
IF(表紙!$X$2="変更申請","納品予定日",
IF(表紙!$X$2="実績報告（１次）","納品日",
IF(表紙!$X$2="実績報告（２次）","納品日",
IF(表紙!$X$2="交付申請兼実績報告","納品日"))))))</f>
        <v>納品日</v>
      </c>
      <c r="L28" s="1390"/>
      <c r="M28" s="1390"/>
      <c r="N28" s="1856" t="s">
        <v>44</v>
      </c>
      <c r="O28" s="1856" t="s">
        <v>45</v>
      </c>
      <c r="Q28" s="1835" t="str">
        <f>K28</f>
        <v>納品日</v>
      </c>
      <c r="R28" s="589"/>
      <c r="S28" s="589"/>
      <c r="T28" s="588"/>
      <c r="AC28" s="1105"/>
      <c r="AD28" s="1841"/>
    </row>
    <row r="29" spans="1:30">
      <c r="B29" s="651" t="s">
        <v>46</v>
      </c>
      <c r="C29" s="651" t="s">
        <v>47</v>
      </c>
      <c r="D29" s="651" t="s">
        <v>48</v>
      </c>
      <c r="E29" s="651" t="s">
        <v>54</v>
      </c>
      <c r="F29" s="651" t="s">
        <v>49</v>
      </c>
      <c r="G29" s="651" t="s">
        <v>50</v>
      </c>
      <c r="H29" s="651" t="s">
        <v>51</v>
      </c>
      <c r="I29" s="651" t="s">
        <v>52</v>
      </c>
      <c r="J29" s="651" t="s">
        <v>53</v>
      </c>
      <c r="K29" s="651" t="s">
        <v>1352</v>
      </c>
      <c r="L29" s="651" t="s">
        <v>1353</v>
      </c>
      <c r="M29" s="651" t="s">
        <v>1354</v>
      </c>
      <c r="N29" s="1857"/>
      <c r="O29" s="1857"/>
      <c r="Q29" s="1836"/>
      <c r="R29" s="648" t="s">
        <v>1352</v>
      </c>
      <c r="S29" s="648" t="s">
        <v>1353</v>
      </c>
      <c r="T29" s="648" t="s">
        <v>1354</v>
      </c>
      <c r="AC29" s="648" t="s">
        <v>413</v>
      </c>
      <c r="AD29" s="648" t="s">
        <v>415</v>
      </c>
    </row>
    <row r="30" spans="1:30">
      <c r="A30" s="12">
        <v>1</v>
      </c>
      <c r="B30" s="6"/>
      <c r="C30" s="6"/>
      <c r="D30" s="6"/>
      <c r="E30" s="10"/>
      <c r="F30" s="7"/>
      <c r="G30" s="531"/>
      <c r="H30" s="15">
        <f>ROUNDDOWN(G30*1.1,0)</f>
        <v>0</v>
      </c>
      <c r="I30" s="4">
        <f>F30*H30</f>
        <v>0</v>
      </c>
      <c r="J30" s="9"/>
      <c r="K30" s="595"/>
      <c r="L30" s="595"/>
      <c r="M30" s="595"/>
      <c r="N30" s="4">
        <f>IF(J30="補助対象",I30,IF(J30="補助対象外",0,0))</f>
        <v>0</v>
      </c>
      <c r="O30" s="5" t="str">
        <f>IF(AC30="◎",COUNTIF($AC$30:AC30,"◎"),"")</f>
        <v/>
      </c>
      <c r="Q30" s="596" t="str">
        <f>IF(AND(AC30="◎",J30="補助対象"),DATE(IF(K30=5,2023,IF(K30=6,2024)),L30,M30),"")</f>
        <v/>
      </c>
      <c r="R30" s="648" t="str">
        <f>IF(Q30=MAX($Q$30:$Q$74),K30,"")</f>
        <v/>
      </c>
      <c r="S30" s="648" t="str">
        <f>IF(Q30=MAX($Q$30:$Q$74),L30,"")</f>
        <v/>
      </c>
      <c r="T30" s="648" t="str">
        <f>IF(Q30=MAX($Q$30:$Q$74),M30,"")</f>
        <v/>
      </c>
      <c r="Z30" s="649" t="str">
        <f>IF(B30="個別病床",はじめに入力してください!$K$50,IF(B30="共通使用",はじめに入力してください!$K$52,""))</f>
        <v/>
      </c>
      <c r="AB30" s="12">
        <v>1</v>
      </c>
      <c r="AC30" s="648" t="str">
        <f xml:space="preserve">
IF(SUM(COUNTA(B30:G30),COUNTA(J30:M30))=0,"○",
IF(AND(SUM(COUNTA(B30:G30),COUNTA(J30:M30))&gt;0,SUM(COUNTA(B30:G30),COUNTA(J30:M30))&lt;10),"×",
IF(SUM(COUNTA(B30:G30),COUNTA(J30:M30))=10,"◎")))</f>
        <v>○</v>
      </c>
      <c r="AD30" s="649" t="str">
        <f xml:space="preserve">
IF(SUM(COUNTA(B30:G30),COUNTA(J30))=0,"整備しない場合は入力不要です。",
IF(AND(SUM(COUNTA(B30:G30),COUNTA(J30))&gt;0,SUM(COUNTA(B30:G30),COUNTA(J30))&lt;7),"【要修正】未入力の箇所があります。",
IF(SUM(COUNTA(B30:G30),COUNTA(J30))=7,"適切に入力がされました。")))</f>
        <v>整備しない場合は入力不要です。</v>
      </c>
    </row>
    <row r="31" spans="1:30">
      <c r="A31" s="12">
        <v>2</v>
      </c>
      <c r="B31" s="6"/>
      <c r="C31" s="6"/>
      <c r="D31" s="6"/>
      <c r="E31" s="10"/>
      <c r="F31" s="7"/>
      <c r="G31" s="531"/>
      <c r="H31" s="15">
        <f t="shared" ref="H31:H74" si="0">ROUNDDOWN(G31*1.1,0)</f>
        <v>0</v>
      </c>
      <c r="I31" s="4">
        <f t="shared" ref="I31:I74" si="1">F31*H31</f>
        <v>0</v>
      </c>
      <c r="J31" s="9"/>
      <c r="K31" s="595"/>
      <c r="L31" s="595"/>
      <c r="M31" s="595"/>
      <c r="N31" s="4">
        <f t="shared" ref="N31:N74" si="2">IF(J31="補助対象",I31,IF(J31="補助対象外",0,0))</f>
        <v>0</v>
      </c>
      <c r="O31" s="5" t="str">
        <f>IF(AC31="◎",COUNTIF($AC$30:AC31,"◎"),"")</f>
        <v/>
      </c>
      <c r="Q31" s="596" t="str">
        <f t="shared" ref="Q31:Q74" si="3">IF(AND(AC31="◎",J31="補助対象"),DATE(IF(K31=5,2023,IF(K31=6,2024)),L31,M31),"")</f>
        <v/>
      </c>
      <c r="R31" s="648" t="str">
        <f t="shared" ref="R31:R74" si="4">IF(Q31=MAX($Q$30:$Q$74),K31,"")</f>
        <v/>
      </c>
      <c r="S31" s="648" t="str">
        <f t="shared" ref="S31:S74" si="5">IF(Q31=MAX($Q$30:$Q$74),L31,"")</f>
        <v/>
      </c>
      <c r="T31" s="648" t="str">
        <f t="shared" ref="T31:T74" si="6">IF(Q31=MAX($Q$30:$Q$74),M31,"")</f>
        <v/>
      </c>
      <c r="Z31" s="649" t="str">
        <f>IF(B31="個別病床",はじめに入力してください!$K$50,IF(B31="共通使用",はじめに入力してください!$K$52,""))</f>
        <v/>
      </c>
      <c r="AB31" s="12">
        <v>2</v>
      </c>
      <c r="AC31" s="648" t="str">
        <f t="shared" ref="AC31:AC74" si="7" xml:space="preserve">
IF(SUM(COUNTA(B31:G31),COUNTA(J31:M31))=0,"○",
IF(AND(SUM(COUNTA(B31:G31),COUNTA(J31:M31))&gt;0,SUM(COUNTA(B31:G31),COUNTA(J31:M31))&lt;10),"×",
IF(SUM(COUNTA(B31:G31),COUNTA(J31:M31))=10,"◎")))</f>
        <v>○</v>
      </c>
      <c r="AD31" s="649" t="str">
        <f t="shared" ref="AD31:AD74" si="8" xml:space="preserve">
IF(SUM(COUNTA(B31:G31),COUNTA(J31))=0,"整備しない場合は入力不要です。",
IF(AND(SUM(COUNTA(B31:G31),COUNTA(J31))&gt;0,SUM(COUNTA(B31:G31),COUNTA(J31))&lt;7),"【要修正】未入力の箇所があります。",
IF(SUM(COUNTA(B31:G31),COUNTA(J31))=7,"適切に入力がされました。")))</f>
        <v>整備しない場合は入力不要です。</v>
      </c>
    </row>
    <row r="32" spans="1:30">
      <c r="A32" s="12">
        <v>3</v>
      </c>
      <c r="B32" s="6"/>
      <c r="C32" s="6"/>
      <c r="D32" s="6"/>
      <c r="E32" s="10"/>
      <c r="F32" s="7"/>
      <c r="G32" s="531"/>
      <c r="H32" s="15">
        <f t="shared" si="0"/>
        <v>0</v>
      </c>
      <c r="I32" s="4">
        <f t="shared" si="1"/>
        <v>0</v>
      </c>
      <c r="J32" s="9"/>
      <c r="K32" s="595"/>
      <c r="L32" s="595"/>
      <c r="M32" s="595"/>
      <c r="N32" s="4">
        <f t="shared" si="2"/>
        <v>0</v>
      </c>
      <c r="O32" s="5" t="str">
        <f>IF(AC32="◎",COUNTIF($AC$30:AC32,"◎"),"")</f>
        <v/>
      </c>
      <c r="Q32" s="596" t="str">
        <f t="shared" si="3"/>
        <v/>
      </c>
      <c r="R32" s="648" t="str">
        <f t="shared" si="4"/>
        <v/>
      </c>
      <c r="S32" s="648" t="str">
        <f t="shared" si="5"/>
        <v/>
      </c>
      <c r="T32" s="648" t="str">
        <f t="shared" si="6"/>
        <v/>
      </c>
      <c r="Z32" s="649" t="str">
        <f>IF(B32="個別病床",はじめに入力してください!$K$50,IF(B32="共通使用",はじめに入力してください!$K$52,""))</f>
        <v/>
      </c>
      <c r="AB32" s="12">
        <v>3</v>
      </c>
      <c r="AC32" s="648" t="str">
        <f t="shared" si="7"/>
        <v>○</v>
      </c>
      <c r="AD32" s="649" t="str">
        <f t="shared" si="8"/>
        <v>整備しない場合は入力不要です。</v>
      </c>
    </row>
    <row r="33" spans="1:30">
      <c r="A33" s="12">
        <v>4</v>
      </c>
      <c r="B33" s="6"/>
      <c r="C33" s="6"/>
      <c r="D33" s="6"/>
      <c r="E33" s="10"/>
      <c r="F33" s="7"/>
      <c r="G33" s="531"/>
      <c r="H33" s="15">
        <f t="shared" si="0"/>
        <v>0</v>
      </c>
      <c r="I33" s="4">
        <f t="shared" si="1"/>
        <v>0</v>
      </c>
      <c r="J33" s="9"/>
      <c r="K33" s="595"/>
      <c r="L33" s="595"/>
      <c r="M33" s="595"/>
      <c r="N33" s="4">
        <f t="shared" si="2"/>
        <v>0</v>
      </c>
      <c r="O33" s="5" t="str">
        <f>IF(AC33="◎",COUNTIF($AC$30:AC33,"◎"),"")</f>
        <v/>
      </c>
      <c r="Q33" s="596" t="str">
        <f t="shared" si="3"/>
        <v/>
      </c>
      <c r="R33" s="648" t="str">
        <f t="shared" si="4"/>
        <v/>
      </c>
      <c r="S33" s="648" t="str">
        <f t="shared" si="5"/>
        <v/>
      </c>
      <c r="T33" s="648" t="str">
        <f t="shared" si="6"/>
        <v/>
      </c>
      <c r="Z33" s="649" t="str">
        <f>IF(B33="個別病床",はじめに入力してください!$K$50,IF(B33="共通使用",はじめに入力してください!$K$52,""))</f>
        <v/>
      </c>
      <c r="AB33" s="12">
        <v>4</v>
      </c>
      <c r="AC33" s="648" t="str">
        <f t="shared" si="7"/>
        <v>○</v>
      </c>
      <c r="AD33" s="649" t="str">
        <f t="shared" si="8"/>
        <v>整備しない場合は入力不要です。</v>
      </c>
    </row>
    <row r="34" spans="1:30">
      <c r="A34" s="12">
        <v>5</v>
      </c>
      <c r="B34" s="6"/>
      <c r="C34" s="6"/>
      <c r="D34" s="6"/>
      <c r="E34" s="10"/>
      <c r="F34" s="7"/>
      <c r="G34" s="531"/>
      <c r="H34" s="15">
        <f t="shared" si="0"/>
        <v>0</v>
      </c>
      <c r="I34" s="4">
        <f t="shared" si="1"/>
        <v>0</v>
      </c>
      <c r="J34" s="9"/>
      <c r="K34" s="595"/>
      <c r="L34" s="595"/>
      <c r="M34" s="595"/>
      <c r="N34" s="4">
        <f t="shared" si="2"/>
        <v>0</v>
      </c>
      <c r="O34" s="5" t="str">
        <f>IF(AC34="◎",COUNTIF($AC$30:AC34,"◎"),"")</f>
        <v/>
      </c>
      <c r="Q34" s="596" t="str">
        <f t="shared" si="3"/>
        <v/>
      </c>
      <c r="R34" s="648" t="str">
        <f t="shared" si="4"/>
        <v/>
      </c>
      <c r="S34" s="648" t="str">
        <f t="shared" si="5"/>
        <v/>
      </c>
      <c r="T34" s="648" t="str">
        <f t="shared" si="6"/>
        <v/>
      </c>
      <c r="Z34" s="649" t="str">
        <f>IF(B34="個別病床",はじめに入力してください!$K$50,IF(B34="共通使用",はじめに入力してください!$K$52,""))</f>
        <v/>
      </c>
      <c r="AB34" s="12">
        <v>5</v>
      </c>
      <c r="AC34" s="648" t="str">
        <f t="shared" si="7"/>
        <v>○</v>
      </c>
      <c r="AD34" s="649" t="str">
        <f t="shared" si="8"/>
        <v>整備しない場合は入力不要です。</v>
      </c>
    </row>
    <row r="35" spans="1:30">
      <c r="A35" s="12">
        <v>6</v>
      </c>
      <c r="B35" s="6"/>
      <c r="C35" s="6"/>
      <c r="D35" s="6"/>
      <c r="E35" s="10"/>
      <c r="F35" s="7"/>
      <c r="G35" s="531"/>
      <c r="H35" s="15">
        <f t="shared" si="0"/>
        <v>0</v>
      </c>
      <c r="I35" s="4">
        <f t="shared" si="1"/>
        <v>0</v>
      </c>
      <c r="J35" s="9"/>
      <c r="K35" s="595"/>
      <c r="L35" s="595"/>
      <c r="M35" s="595"/>
      <c r="N35" s="4">
        <f t="shared" si="2"/>
        <v>0</v>
      </c>
      <c r="O35" s="5" t="str">
        <f>IF(AC35="◎",COUNTIF($AC$30:AC35,"◎"),"")</f>
        <v/>
      </c>
      <c r="Q35" s="596" t="str">
        <f t="shared" si="3"/>
        <v/>
      </c>
      <c r="R35" s="648" t="str">
        <f t="shared" si="4"/>
        <v/>
      </c>
      <c r="S35" s="648" t="str">
        <f t="shared" si="5"/>
        <v/>
      </c>
      <c r="T35" s="648" t="str">
        <f t="shared" si="6"/>
        <v/>
      </c>
      <c r="Z35" s="649" t="str">
        <f>IF(B35="個別病床",はじめに入力してください!$K$50,IF(B35="共通使用",はじめに入力してください!$K$52,""))</f>
        <v/>
      </c>
      <c r="AB35" s="12">
        <v>6</v>
      </c>
      <c r="AC35" s="648" t="str">
        <f t="shared" si="7"/>
        <v>○</v>
      </c>
      <c r="AD35" s="649" t="str">
        <f t="shared" si="8"/>
        <v>整備しない場合は入力不要です。</v>
      </c>
    </row>
    <row r="36" spans="1:30">
      <c r="A36" s="12">
        <v>7</v>
      </c>
      <c r="B36" s="6"/>
      <c r="C36" s="6"/>
      <c r="D36" s="6"/>
      <c r="E36" s="10"/>
      <c r="F36" s="7"/>
      <c r="G36" s="531"/>
      <c r="H36" s="15">
        <f t="shared" si="0"/>
        <v>0</v>
      </c>
      <c r="I36" s="4">
        <f t="shared" si="1"/>
        <v>0</v>
      </c>
      <c r="J36" s="9"/>
      <c r="K36" s="595"/>
      <c r="L36" s="595"/>
      <c r="M36" s="595"/>
      <c r="N36" s="4">
        <f t="shared" si="2"/>
        <v>0</v>
      </c>
      <c r="O36" s="5" t="str">
        <f>IF(AC36="◎",COUNTIF($AC$30:AC36,"◎"),"")</f>
        <v/>
      </c>
      <c r="Q36" s="596" t="str">
        <f t="shared" si="3"/>
        <v/>
      </c>
      <c r="R36" s="648" t="str">
        <f t="shared" si="4"/>
        <v/>
      </c>
      <c r="S36" s="648" t="str">
        <f t="shared" si="5"/>
        <v/>
      </c>
      <c r="T36" s="648" t="str">
        <f t="shared" si="6"/>
        <v/>
      </c>
      <c r="Z36" s="649" t="str">
        <f>IF(B36="個別病床",はじめに入力してください!$K$50,IF(B36="共通使用",はじめに入力してください!$K$52,""))</f>
        <v/>
      </c>
      <c r="AB36" s="12">
        <v>7</v>
      </c>
      <c r="AC36" s="648" t="str">
        <f t="shared" si="7"/>
        <v>○</v>
      </c>
      <c r="AD36" s="649" t="str">
        <f t="shared" si="8"/>
        <v>整備しない場合は入力不要です。</v>
      </c>
    </row>
    <row r="37" spans="1:30">
      <c r="A37" s="12">
        <v>8</v>
      </c>
      <c r="B37" s="6"/>
      <c r="C37" s="6"/>
      <c r="D37" s="6"/>
      <c r="E37" s="10"/>
      <c r="F37" s="7"/>
      <c r="G37" s="531"/>
      <c r="H37" s="15">
        <f t="shared" si="0"/>
        <v>0</v>
      </c>
      <c r="I37" s="4">
        <f t="shared" si="1"/>
        <v>0</v>
      </c>
      <c r="J37" s="9"/>
      <c r="K37" s="595"/>
      <c r="L37" s="595"/>
      <c r="M37" s="595"/>
      <c r="N37" s="4">
        <f t="shared" si="2"/>
        <v>0</v>
      </c>
      <c r="O37" s="5" t="str">
        <f>IF(AC37="◎",COUNTIF($AC$30:AC37,"◎"),"")</f>
        <v/>
      </c>
      <c r="Q37" s="596" t="str">
        <f t="shared" si="3"/>
        <v/>
      </c>
      <c r="R37" s="648" t="str">
        <f t="shared" si="4"/>
        <v/>
      </c>
      <c r="S37" s="648" t="str">
        <f t="shared" si="5"/>
        <v/>
      </c>
      <c r="T37" s="648" t="str">
        <f t="shared" si="6"/>
        <v/>
      </c>
      <c r="Z37" s="649" t="str">
        <f>IF(B37="個別病床",はじめに入力してください!$K$50,IF(B37="共通使用",はじめに入力してください!$K$52,""))</f>
        <v/>
      </c>
      <c r="AB37" s="12">
        <v>8</v>
      </c>
      <c r="AC37" s="648" t="str">
        <f t="shared" si="7"/>
        <v>○</v>
      </c>
      <c r="AD37" s="649" t="str">
        <f t="shared" si="8"/>
        <v>整備しない場合は入力不要です。</v>
      </c>
    </row>
    <row r="38" spans="1:30">
      <c r="A38" s="12">
        <v>9</v>
      </c>
      <c r="B38" s="6"/>
      <c r="C38" s="6"/>
      <c r="D38" s="6"/>
      <c r="E38" s="10"/>
      <c r="F38" s="7"/>
      <c r="G38" s="531"/>
      <c r="H38" s="15">
        <f t="shared" si="0"/>
        <v>0</v>
      </c>
      <c r="I38" s="4">
        <f t="shared" si="1"/>
        <v>0</v>
      </c>
      <c r="J38" s="9"/>
      <c r="K38" s="595"/>
      <c r="L38" s="595"/>
      <c r="M38" s="595"/>
      <c r="N38" s="4">
        <f t="shared" si="2"/>
        <v>0</v>
      </c>
      <c r="O38" s="5" t="str">
        <f>IF(AC38="◎",COUNTIF($AC$30:AC38,"◎"),"")</f>
        <v/>
      </c>
      <c r="Q38" s="596" t="str">
        <f t="shared" si="3"/>
        <v/>
      </c>
      <c r="R38" s="648" t="str">
        <f t="shared" si="4"/>
        <v/>
      </c>
      <c r="S38" s="648" t="str">
        <f t="shared" si="5"/>
        <v/>
      </c>
      <c r="T38" s="648" t="str">
        <f t="shared" si="6"/>
        <v/>
      </c>
      <c r="Z38" s="649" t="str">
        <f>IF(B38="個別病床",はじめに入力してください!$K$50,IF(B38="共通使用",はじめに入力してください!$K$52,""))</f>
        <v/>
      </c>
      <c r="AB38" s="12">
        <v>9</v>
      </c>
      <c r="AC38" s="648" t="str">
        <f t="shared" si="7"/>
        <v>○</v>
      </c>
      <c r="AD38" s="649" t="str">
        <f t="shared" si="8"/>
        <v>整備しない場合は入力不要です。</v>
      </c>
    </row>
    <row r="39" spans="1:30">
      <c r="A39" s="12">
        <v>10</v>
      </c>
      <c r="B39" s="6"/>
      <c r="C39" s="6"/>
      <c r="D39" s="6"/>
      <c r="E39" s="10"/>
      <c r="F39" s="7"/>
      <c r="G39" s="531"/>
      <c r="H39" s="15">
        <f t="shared" si="0"/>
        <v>0</v>
      </c>
      <c r="I39" s="4">
        <f t="shared" si="1"/>
        <v>0</v>
      </c>
      <c r="J39" s="9"/>
      <c r="K39" s="595"/>
      <c r="L39" s="595"/>
      <c r="M39" s="595"/>
      <c r="N39" s="4">
        <f t="shared" si="2"/>
        <v>0</v>
      </c>
      <c r="O39" s="5" t="str">
        <f>IF(AC39="◎",COUNTIF($AC$30:AC39,"◎"),"")</f>
        <v/>
      </c>
      <c r="Q39" s="596" t="str">
        <f t="shared" si="3"/>
        <v/>
      </c>
      <c r="R39" s="648" t="str">
        <f t="shared" si="4"/>
        <v/>
      </c>
      <c r="S39" s="648" t="str">
        <f t="shared" si="5"/>
        <v/>
      </c>
      <c r="T39" s="648" t="str">
        <f t="shared" si="6"/>
        <v/>
      </c>
      <c r="Z39" s="649" t="str">
        <f>IF(B39="個別病床",はじめに入力してください!$K$50,IF(B39="共通使用",はじめに入力してください!$K$52,""))</f>
        <v/>
      </c>
      <c r="AB39" s="12">
        <v>10</v>
      </c>
      <c r="AC39" s="648" t="str">
        <f t="shared" si="7"/>
        <v>○</v>
      </c>
      <c r="AD39" s="649" t="str">
        <f t="shared" si="8"/>
        <v>整備しない場合は入力不要です。</v>
      </c>
    </row>
    <row r="40" spans="1:30">
      <c r="A40" s="12">
        <v>11</v>
      </c>
      <c r="B40" s="6"/>
      <c r="C40" s="6"/>
      <c r="D40" s="6"/>
      <c r="E40" s="10"/>
      <c r="F40" s="7"/>
      <c r="G40" s="531"/>
      <c r="H40" s="15">
        <f t="shared" si="0"/>
        <v>0</v>
      </c>
      <c r="I40" s="4">
        <f t="shared" si="1"/>
        <v>0</v>
      </c>
      <c r="J40" s="9"/>
      <c r="K40" s="595"/>
      <c r="L40" s="595"/>
      <c r="M40" s="595"/>
      <c r="N40" s="4">
        <f t="shared" si="2"/>
        <v>0</v>
      </c>
      <c r="O40" s="5" t="str">
        <f>IF(AC40="◎",COUNTIF($AC$30:AC40,"◎"),"")</f>
        <v/>
      </c>
      <c r="Q40" s="596" t="str">
        <f t="shared" si="3"/>
        <v/>
      </c>
      <c r="R40" s="648" t="str">
        <f t="shared" si="4"/>
        <v/>
      </c>
      <c r="S40" s="648" t="str">
        <f t="shared" si="5"/>
        <v/>
      </c>
      <c r="T40" s="648" t="str">
        <f t="shared" si="6"/>
        <v/>
      </c>
      <c r="Z40" s="649" t="str">
        <f>IF(B40="個別病床",はじめに入力してください!$K$50,IF(B40="共通使用",はじめに入力してください!$K$52,""))</f>
        <v/>
      </c>
      <c r="AB40" s="12">
        <v>11</v>
      </c>
      <c r="AC40" s="648" t="str">
        <f t="shared" si="7"/>
        <v>○</v>
      </c>
      <c r="AD40" s="649" t="str">
        <f t="shared" si="8"/>
        <v>整備しない場合は入力不要です。</v>
      </c>
    </row>
    <row r="41" spans="1:30">
      <c r="A41" s="12">
        <v>12</v>
      </c>
      <c r="B41" s="6"/>
      <c r="C41" s="6"/>
      <c r="D41" s="6"/>
      <c r="E41" s="10"/>
      <c r="F41" s="7"/>
      <c r="G41" s="531"/>
      <c r="H41" s="15">
        <f t="shared" si="0"/>
        <v>0</v>
      </c>
      <c r="I41" s="4">
        <f t="shared" si="1"/>
        <v>0</v>
      </c>
      <c r="J41" s="9"/>
      <c r="K41" s="595"/>
      <c r="L41" s="595"/>
      <c r="M41" s="595"/>
      <c r="N41" s="4">
        <f t="shared" si="2"/>
        <v>0</v>
      </c>
      <c r="O41" s="5" t="str">
        <f>IF(AC41="◎",COUNTIF($AC$30:AC41,"◎"),"")</f>
        <v/>
      </c>
      <c r="Q41" s="596" t="str">
        <f t="shared" si="3"/>
        <v/>
      </c>
      <c r="R41" s="648" t="str">
        <f t="shared" si="4"/>
        <v/>
      </c>
      <c r="S41" s="648" t="str">
        <f t="shared" si="5"/>
        <v/>
      </c>
      <c r="T41" s="648" t="str">
        <f t="shared" si="6"/>
        <v/>
      </c>
      <c r="Z41" s="649" t="str">
        <f>IF(B41="個別病床",はじめに入力してください!$K$50,IF(B41="共通使用",はじめに入力してください!$K$52,""))</f>
        <v/>
      </c>
      <c r="AB41" s="12">
        <v>12</v>
      </c>
      <c r="AC41" s="648" t="str">
        <f t="shared" si="7"/>
        <v>○</v>
      </c>
      <c r="AD41" s="649" t="str">
        <f t="shared" si="8"/>
        <v>整備しない場合は入力不要です。</v>
      </c>
    </row>
    <row r="42" spans="1:30">
      <c r="A42" s="12">
        <v>13</v>
      </c>
      <c r="B42" s="6"/>
      <c r="C42" s="6"/>
      <c r="D42" s="6"/>
      <c r="E42" s="10"/>
      <c r="F42" s="7"/>
      <c r="G42" s="531"/>
      <c r="H42" s="15">
        <f t="shared" si="0"/>
        <v>0</v>
      </c>
      <c r="I42" s="4">
        <f t="shared" si="1"/>
        <v>0</v>
      </c>
      <c r="J42" s="9"/>
      <c r="K42" s="595"/>
      <c r="L42" s="595"/>
      <c r="M42" s="595"/>
      <c r="N42" s="4">
        <f t="shared" si="2"/>
        <v>0</v>
      </c>
      <c r="O42" s="5" t="str">
        <f>IF(AC42="◎",COUNTIF($AC$30:AC42,"◎"),"")</f>
        <v/>
      </c>
      <c r="Q42" s="596" t="str">
        <f t="shared" si="3"/>
        <v/>
      </c>
      <c r="R42" s="648" t="str">
        <f t="shared" si="4"/>
        <v/>
      </c>
      <c r="S42" s="648" t="str">
        <f t="shared" si="5"/>
        <v/>
      </c>
      <c r="T42" s="648" t="str">
        <f t="shared" si="6"/>
        <v/>
      </c>
      <c r="Z42" s="649" t="str">
        <f>IF(B42="個別病床",はじめに入力してください!$K$50,IF(B42="共通使用",はじめに入力してください!$K$52,""))</f>
        <v/>
      </c>
      <c r="AB42" s="12">
        <v>13</v>
      </c>
      <c r="AC42" s="648" t="str">
        <f t="shared" si="7"/>
        <v>○</v>
      </c>
      <c r="AD42" s="649" t="str">
        <f t="shared" si="8"/>
        <v>整備しない場合は入力不要です。</v>
      </c>
    </row>
    <row r="43" spans="1:30">
      <c r="A43" s="12">
        <v>14</v>
      </c>
      <c r="B43" s="6"/>
      <c r="C43" s="6"/>
      <c r="D43" s="6"/>
      <c r="E43" s="10"/>
      <c r="F43" s="7"/>
      <c r="G43" s="531"/>
      <c r="H43" s="15">
        <f t="shared" si="0"/>
        <v>0</v>
      </c>
      <c r="I43" s="4">
        <f t="shared" si="1"/>
        <v>0</v>
      </c>
      <c r="J43" s="9"/>
      <c r="K43" s="595"/>
      <c r="L43" s="595"/>
      <c r="M43" s="595"/>
      <c r="N43" s="4">
        <f t="shared" si="2"/>
        <v>0</v>
      </c>
      <c r="O43" s="5" t="str">
        <f>IF(AC43="◎",COUNTIF($AC$30:AC43,"◎"),"")</f>
        <v/>
      </c>
      <c r="Q43" s="596" t="str">
        <f t="shared" si="3"/>
        <v/>
      </c>
      <c r="R43" s="648" t="str">
        <f t="shared" si="4"/>
        <v/>
      </c>
      <c r="S43" s="648" t="str">
        <f t="shared" si="5"/>
        <v/>
      </c>
      <c r="T43" s="648" t="str">
        <f t="shared" si="6"/>
        <v/>
      </c>
      <c r="Z43" s="649" t="str">
        <f>IF(B43="個別病床",はじめに入力してください!$K$50,IF(B43="共通使用",はじめに入力してください!$K$52,""))</f>
        <v/>
      </c>
      <c r="AB43" s="12">
        <v>14</v>
      </c>
      <c r="AC43" s="648" t="str">
        <f t="shared" si="7"/>
        <v>○</v>
      </c>
      <c r="AD43" s="649" t="str">
        <f t="shared" si="8"/>
        <v>整備しない場合は入力不要です。</v>
      </c>
    </row>
    <row r="44" spans="1:30">
      <c r="A44" s="12">
        <v>15</v>
      </c>
      <c r="B44" s="6"/>
      <c r="C44" s="6"/>
      <c r="D44" s="6"/>
      <c r="E44" s="10"/>
      <c r="F44" s="7"/>
      <c r="G44" s="531"/>
      <c r="H44" s="15">
        <f t="shared" si="0"/>
        <v>0</v>
      </c>
      <c r="I44" s="4">
        <f t="shared" si="1"/>
        <v>0</v>
      </c>
      <c r="J44" s="9"/>
      <c r="K44" s="595"/>
      <c r="L44" s="595"/>
      <c r="M44" s="595"/>
      <c r="N44" s="4">
        <f t="shared" si="2"/>
        <v>0</v>
      </c>
      <c r="O44" s="5" t="str">
        <f>IF(AC44="◎",COUNTIF($AC$30:AC44,"◎"),"")</f>
        <v/>
      </c>
      <c r="Q44" s="596" t="str">
        <f t="shared" si="3"/>
        <v/>
      </c>
      <c r="R44" s="648" t="str">
        <f t="shared" si="4"/>
        <v/>
      </c>
      <c r="S44" s="648" t="str">
        <f t="shared" si="5"/>
        <v/>
      </c>
      <c r="T44" s="648" t="str">
        <f t="shared" si="6"/>
        <v/>
      </c>
      <c r="Z44" s="649" t="str">
        <f>IF(B44="個別病床",はじめに入力してください!$K$50,IF(B44="共通使用",はじめに入力してください!$K$52,""))</f>
        <v/>
      </c>
      <c r="AB44" s="12">
        <v>15</v>
      </c>
      <c r="AC44" s="648" t="str">
        <f t="shared" si="7"/>
        <v>○</v>
      </c>
      <c r="AD44" s="649" t="str">
        <f t="shared" si="8"/>
        <v>整備しない場合は入力不要です。</v>
      </c>
    </row>
    <row r="45" spans="1:30">
      <c r="A45" s="12">
        <v>16</v>
      </c>
      <c r="B45" s="6"/>
      <c r="C45" s="6"/>
      <c r="D45" s="6"/>
      <c r="E45" s="10"/>
      <c r="F45" s="7"/>
      <c r="G45" s="531"/>
      <c r="H45" s="15">
        <f t="shared" si="0"/>
        <v>0</v>
      </c>
      <c r="I45" s="4">
        <f t="shared" si="1"/>
        <v>0</v>
      </c>
      <c r="J45" s="9"/>
      <c r="K45" s="595"/>
      <c r="L45" s="595"/>
      <c r="M45" s="595"/>
      <c r="N45" s="4">
        <f t="shared" si="2"/>
        <v>0</v>
      </c>
      <c r="O45" s="5" t="str">
        <f>IF(AC45="◎",COUNTIF($AC$30:AC45,"◎"),"")</f>
        <v/>
      </c>
      <c r="Q45" s="596" t="str">
        <f t="shared" si="3"/>
        <v/>
      </c>
      <c r="R45" s="648" t="str">
        <f t="shared" si="4"/>
        <v/>
      </c>
      <c r="S45" s="648" t="str">
        <f t="shared" si="5"/>
        <v/>
      </c>
      <c r="T45" s="648" t="str">
        <f t="shared" si="6"/>
        <v/>
      </c>
      <c r="Z45" s="649" t="str">
        <f>IF(B45="個別病床",はじめに入力してください!$K$50,IF(B45="共通使用",はじめに入力してください!$K$52,""))</f>
        <v/>
      </c>
      <c r="AB45" s="12">
        <v>16</v>
      </c>
      <c r="AC45" s="648" t="str">
        <f t="shared" si="7"/>
        <v>○</v>
      </c>
      <c r="AD45" s="649" t="str">
        <f t="shared" si="8"/>
        <v>整備しない場合は入力不要です。</v>
      </c>
    </row>
    <row r="46" spans="1:30">
      <c r="A46" s="12">
        <v>17</v>
      </c>
      <c r="B46" s="6"/>
      <c r="C46" s="6"/>
      <c r="D46" s="6"/>
      <c r="E46" s="10"/>
      <c r="F46" s="7"/>
      <c r="G46" s="531"/>
      <c r="H46" s="15">
        <f t="shared" si="0"/>
        <v>0</v>
      </c>
      <c r="I46" s="4">
        <f t="shared" si="1"/>
        <v>0</v>
      </c>
      <c r="J46" s="9"/>
      <c r="K46" s="595"/>
      <c r="L46" s="595"/>
      <c r="M46" s="595"/>
      <c r="N46" s="4">
        <f t="shared" si="2"/>
        <v>0</v>
      </c>
      <c r="O46" s="5" t="str">
        <f>IF(AC46="◎",COUNTIF($AC$30:AC46,"◎"),"")</f>
        <v/>
      </c>
      <c r="Q46" s="596" t="str">
        <f t="shared" si="3"/>
        <v/>
      </c>
      <c r="R46" s="648" t="str">
        <f t="shared" si="4"/>
        <v/>
      </c>
      <c r="S46" s="648" t="str">
        <f t="shared" si="5"/>
        <v/>
      </c>
      <c r="T46" s="648" t="str">
        <f t="shared" si="6"/>
        <v/>
      </c>
      <c r="Z46" s="649" t="str">
        <f>IF(B46="個別病床",はじめに入力してください!$K$50,IF(B46="共通使用",はじめに入力してください!$K$52,""))</f>
        <v/>
      </c>
      <c r="AB46" s="12">
        <v>17</v>
      </c>
      <c r="AC46" s="648" t="str">
        <f t="shared" si="7"/>
        <v>○</v>
      </c>
      <c r="AD46" s="649" t="str">
        <f t="shared" si="8"/>
        <v>整備しない場合は入力不要です。</v>
      </c>
    </row>
    <row r="47" spans="1:30">
      <c r="A47" s="12">
        <v>18</v>
      </c>
      <c r="B47" s="6"/>
      <c r="C47" s="6"/>
      <c r="D47" s="6"/>
      <c r="E47" s="10"/>
      <c r="F47" s="7"/>
      <c r="G47" s="531"/>
      <c r="H47" s="15">
        <f t="shared" si="0"/>
        <v>0</v>
      </c>
      <c r="I47" s="4">
        <f t="shared" si="1"/>
        <v>0</v>
      </c>
      <c r="J47" s="9"/>
      <c r="K47" s="595"/>
      <c r="L47" s="595"/>
      <c r="M47" s="595"/>
      <c r="N47" s="4">
        <f t="shared" si="2"/>
        <v>0</v>
      </c>
      <c r="O47" s="5" t="str">
        <f>IF(AC47="◎",COUNTIF($AC$30:AC47,"◎"),"")</f>
        <v/>
      </c>
      <c r="Q47" s="596" t="str">
        <f t="shared" si="3"/>
        <v/>
      </c>
      <c r="R47" s="648" t="str">
        <f t="shared" si="4"/>
        <v/>
      </c>
      <c r="S47" s="648" t="str">
        <f t="shared" si="5"/>
        <v/>
      </c>
      <c r="T47" s="648" t="str">
        <f t="shared" si="6"/>
        <v/>
      </c>
      <c r="Z47" s="649" t="str">
        <f>IF(B47="個別病床",はじめに入力してください!$K$50,IF(B47="共通使用",はじめに入力してください!$K$52,""))</f>
        <v/>
      </c>
      <c r="AB47" s="12">
        <v>18</v>
      </c>
      <c r="AC47" s="648" t="str">
        <f t="shared" si="7"/>
        <v>○</v>
      </c>
      <c r="AD47" s="649" t="str">
        <f t="shared" si="8"/>
        <v>整備しない場合は入力不要です。</v>
      </c>
    </row>
    <row r="48" spans="1:30">
      <c r="A48" s="12">
        <v>19</v>
      </c>
      <c r="B48" s="6"/>
      <c r="C48" s="6"/>
      <c r="D48" s="6"/>
      <c r="E48" s="10"/>
      <c r="F48" s="7"/>
      <c r="G48" s="531"/>
      <c r="H48" s="15">
        <f t="shared" si="0"/>
        <v>0</v>
      </c>
      <c r="I48" s="4">
        <f t="shared" si="1"/>
        <v>0</v>
      </c>
      <c r="J48" s="9"/>
      <c r="K48" s="595"/>
      <c r="L48" s="595"/>
      <c r="M48" s="595"/>
      <c r="N48" s="4">
        <f t="shared" si="2"/>
        <v>0</v>
      </c>
      <c r="O48" s="5" t="str">
        <f>IF(AC48="◎",COUNTIF($AC$30:AC48,"◎"),"")</f>
        <v/>
      </c>
      <c r="Q48" s="596" t="str">
        <f t="shared" si="3"/>
        <v/>
      </c>
      <c r="R48" s="648" t="str">
        <f t="shared" si="4"/>
        <v/>
      </c>
      <c r="S48" s="648" t="str">
        <f t="shared" si="5"/>
        <v/>
      </c>
      <c r="T48" s="648" t="str">
        <f t="shared" si="6"/>
        <v/>
      </c>
      <c r="Z48" s="649" t="str">
        <f>IF(B48="個別病床",はじめに入力してください!$K$50,IF(B48="共通使用",はじめに入力してください!$K$52,""))</f>
        <v/>
      </c>
      <c r="AB48" s="12">
        <v>19</v>
      </c>
      <c r="AC48" s="648" t="str">
        <f t="shared" si="7"/>
        <v>○</v>
      </c>
      <c r="AD48" s="649" t="str">
        <f t="shared" si="8"/>
        <v>整備しない場合は入力不要です。</v>
      </c>
    </row>
    <row r="49" spans="1:30">
      <c r="A49" s="12">
        <v>20</v>
      </c>
      <c r="B49" s="6"/>
      <c r="C49" s="6"/>
      <c r="D49" s="6"/>
      <c r="E49" s="10"/>
      <c r="F49" s="7"/>
      <c r="G49" s="531"/>
      <c r="H49" s="15">
        <f t="shared" si="0"/>
        <v>0</v>
      </c>
      <c r="I49" s="4">
        <f t="shared" si="1"/>
        <v>0</v>
      </c>
      <c r="J49" s="9"/>
      <c r="K49" s="595"/>
      <c r="L49" s="595"/>
      <c r="M49" s="595"/>
      <c r="N49" s="4">
        <f t="shared" si="2"/>
        <v>0</v>
      </c>
      <c r="O49" s="5" t="str">
        <f>IF(AC49="◎",COUNTIF($AC$30:AC49,"◎"),"")</f>
        <v/>
      </c>
      <c r="Q49" s="596" t="str">
        <f t="shared" si="3"/>
        <v/>
      </c>
      <c r="R49" s="648" t="str">
        <f t="shared" si="4"/>
        <v/>
      </c>
      <c r="S49" s="648" t="str">
        <f t="shared" si="5"/>
        <v/>
      </c>
      <c r="T49" s="648" t="str">
        <f t="shared" si="6"/>
        <v/>
      </c>
      <c r="Z49" s="649" t="str">
        <f>IF(B49="個別病床",はじめに入力してください!$K$50,IF(B49="共通使用",はじめに入力してください!$K$52,""))</f>
        <v/>
      </c>
      <c r="AB49" s="12">
        <v>20</v>
      </c>
      <c r="AC49" s="648" t="str">
        <f t="shared" si="7"/>
        <v>○</v>
      </c>
      <c r="AD49" s="649" t="str">
        <f t="shared" si="8"/>
        <v>整備しない場合は入力不要です。</v>
      </c>
    </row>
    <row r="50" spans="1:30">
      <c r="A50" s="12">
        <v>21</v>
      </c>
      <c r="B50" s="6"/>
      <c r="C50" s="6"/>
      <c r="D50" s="6"/>
      <c r="E50" s="10"/>
      <c r="F50" s="7"/>
      <c r="G50" s="531"/>
      <c r="H50" s="15">
        <f t="shared" si="0"/>
        <v>0</v>
      </c>
      <c r="I50" s="4">
        <f t="shared" si="1"/>
        <v>0</v>
      </c>
      <c r="J50" s="9"/>
      <c r="K50" s="595"/>
      <c r="L50" s="595"/>
      <c r="M50" s="595"/>
      <c r="N50" s="4">
        <f t="shared" si="2"/>
        <v>0</v>
      </c>
      <c r="O50" s="5" t="str">
        <f>IF(AC50="◎",COUNTIF($AC$30:AC50,"◎"),"")</f>
        <v/>
      </c>
      <c r="Q50" s="596" t="str">
        <f t="shared" si="3"/>
        <v/>
      </c>
      <c r="R50" s="648" t="str">
        <f t="shared" si="4"/>
        <v/>
      </c>
      <c r="S50" s="648" t="str">
        <f t="shared" si="5"/>
        <v/>
      </c>
      <c r="T50" s="648" t="str">
        <f t="shared" si="6"/>
        <v/>
      </c>
      <c r="Z50" s="649" t="str">
        <f>IF(B50="個別病床",はじめに入力してください!$K$50,IF(B50="共通使用",はじめに入力してください!$K$52,""))</f>
        <v/>
      </c>
      <c r="AB50" s="12">
        <v>21</v>
      </c>
      <c r="AC50" s="648" t="str">
        <f t="shared" si="7"/>
        <v>○</v>
      </c>
      <c r="AD50" s="649" t="str">
        <f t="shared" si="8"/>
        <v>整備しない場合は入力不要です。</v>
      </c>
    </row>
    <row r="51" spans="1:30">
      <c r="A51" s="12">
        <v>22</v>
      </c>
      <c r="B51" s="6"/>
      <c r="C51" s="6"/>
      <c r="D51" s="6"/>
      <c r="E51" s="10"/>
      <c r="F51" s="7"/>
      <c r="G51" s="531"/>
      <c r="H51" s="15">
        <f t="shared" si="0"/>
        <v>0</v>
      </c>
      <c r="I51" s="4">
        <f t="shared" si="1"/>
        <v>0</v>
      </c>
      <c r="J51" s="9"/>
      <c r="K51" s="595"/>
      <c r="L51" s="595"/>
      <c r="M51" s="595"/>
      <c r="N51" s="4">
        <f t="shared" si="2"/>
        <v>0</v>
      </c>
      <c r="O51" s="5" t="str">
        <f>IF(AC51="◎",COUNTIF($AC$30:AC51,"◎"),"")</f>
        <v/>
      </c>
      <c r="Q51" s="596" t="str">
        <f t="shared" si="3"/>
        <v/>
      </c>
      <c r="R51" s="648" t="str">
        <f t="shared" si="4"/>
        <v/>
      </c>
      <c r="S51" s="648" t="str">
        <f t="shared" si="5"/>
        <v/>
      </c>
      <c r="T51" s="648" t="str">
        <f t="shared" si="6"/>
        <v/>
      </c>
      <c r="Z51" s="649" t="str">
        <f>IF(B51="個別病床",はじめに入力してください!$K$50,IF(B51="共通使用",はじめに入力してください!$K$52,""))</f>
        <v/>
      </c>
      <c r="AB51" s="12">
        <v>22</v>
      </c>
      <c r="AC51" s="648" t="str">
        <f t="shared" si="7"/>
        <v>○</v>
      </c>
      <c r="AD51" s="649" t="str">
        <f t="shared" si="8"/>
        <v>整備しない場合は入力不要です。</v>
      </c>
    </row>
    <row r="52" spans="1:30">
      <c r="A52" s="12">
        <v>23</v>
      </c>
      <c r="B52" s="6"/>
      <c r="C52" s="6"/>
      <c r="D52" s="6"/>
      <c r="E52" s="10"/>
      <c r="F52" s="7"/>
      <c r="G52" s="531"/>
      <c r="H52" s="15">
        <f t="shared" si="0"/>
        <v>0</v>
      </c>
      <c r="I52" s="4">
        <f t="shared" si="1"/>
        <v>0</v>
      </c>
      <c r="J52" s="9"/>
      <c r="K52" s="595"/>
      <c r="L52" s="595"/>
      <c r="M52" s="595"/>
      <c r="N52" s="4">
        <f t="shared" si="2"/>
        <v>0</v>
      </c>
      <c r="O52" s="5" t="str">
        <f>IF(AC52="◎",COUNTIF($AC$30:AC52,"◎"),"")</f>
        <v/>
      </c>
      <c r="Q52" s="596" t="str">
        <f t="shared" si="3"/>
        <v/>
      </c>
      <c r="R52" s="648" t="str">
        <f t="shared" si="4"/>
        <v/>
      </c>
      <c r="S52" s="648" t="str">
        <f t="shared" si="5"/>
        <v/>
      </c>
      <c r="T52" s="648" t="str">
        <f t="shared" si="6"/>
        <v/>
      </c>
      <c r="Z52" s="649" t="str">
        <f>IF(B52="個別病床",はじめに入力してください!$K$50,IF(B52="共通使用",はじめに入力してください!$K$52,""))</f>
        <v/>
      </c>
      <c r="AB52" s="12">
        <v>23</v>
      </c>
      <c r="AC52" s="648" t="str">
        <f t="shared" si="7"/>
        <v>○</v>
      </c>
      <c r="AD52" s="649" t="str">
        <f t="shared" si="8"/>
        <v>整備しない場合は入力不要です。</v>
      </c>
    </row>
    <row r="53" spans="1:30">
      <c r="A53" s="12">
        <v>24</v>
      </c>
      <c r="B53" s="6"/>
      <c r="C53" s="6"/>
      <c r="D53" s="6"/>
      <c r="E53" s="10"/>
      <c r="F53" s="7"/>
      <c r="G53" s="531"/>
      <c r="H53" s="15">
        <f t="shared" si="0"/>
        <v>0</v>
      </c>
      <c r="I53" s="4">
        <f t="shared" si="1"/>
        <v>0</v>
      </c>
      <c r="J53" s="9"/>
      <c r="K53" s="595"/>
      <c r="L53" s="595"/>
      <c r="M53" s="595"/>
      <c r="N53" s="4">
        <f t="shared" si="2"/>
        <v>0</v>
      </c>
      <c r="O53" s="5" t="str">
        <f>IF(AC53="◎",COUNTIF($AC$30:AC53,"◎"),"")</f>
        <v/>
      </c>
      <c r="Q53" s="596" t="str">
        <f t="shared" si="3"/>
        <v/>
      </c>
      <c r="R53" s="648" t="str">
        <f t="shared" si="4"/>
        <v/>
      </c>
      <c r="S53" s="648" t="str">
        <f t="shared" si="5"/>
        <v/>
      </c>
      <c r="T53" s="648" t="str">
        <f t="shared" si="6"/>
        <v/>
      </c>
      <c r="Z53" s="649" t="str">
        <f>IF(B53="個別病床",はじめに入力してください!$K$50,IF(B53="共通使用",はじめに入力してください!$K$52,""))</f>
        <v/>
      </c>
      <c r="AB53" s="12">
        <v>24</v>
      </c>
      <c r="AC53" s="648" t="str">
        <f t="shared" si="7"/>
        <v>○</v>
      </c>
      <c r="AD53" s="649" t="str">
        <f t="shared" si="8"/>
        <v>整備しない場合は入力不要です。</v>
      </c>
    </row>
    <row r="54" spans="1:30">
      <c r="A54" s="12">
        <v>25</v>
      </c>
      <c r="B54" s="6"/>
      <c r="C54" s="6"/>
      <c r="D54" s="6"/>
      <c r="E54" s="10"/>
      <c r="F54" s="7"/>
      <c r="G54" s="531"/>
      <c r="H54" s="15">
        <f t="shared" si="0"/>
        <v>0</v>
      </c>
      <c r="I54" s="4">
        <f t="shared" si="1"/>
        <v>0</v>
      </c>
      <c r="J54" s="9"/>
      <c r="K54" s="595"/>
      <c r="L54" s="595"/>
      <c r="M54" s="595"/>
      <c r="N54" s="4">
        <f t="shared" si="2"/>
        <v>0</v>
      </c>
      <c r="O54" s="5" t="str">
        <f>IF(AC54="◎",COUNTIF($AC$30:AC54,"◎"),"")</f>
        <v/>
      </c>
      <c r="Q54" s="596" t="str">
        <f t="shared" si="3"/>
        <v/>
      </c>
      <c r="R54" s="648" t="str">
        <f t="shared" si="4"/>
        <v/>
      </c>
      <c r="S54" s="648" t="str">
        <f t="shared" si="5"/>
        <v/>
      </c>
      <c r="T54" s="648" t="str">
        <f t="shared" si="6"/>
        <v/>
      </c>
      <c r="Z54" s="649" t="str">
        <f>IF(B54="個別病床",はじめに入力してください!$K$50,IF(B54="共通使用",はじめに入力してください!$K$52,""))</f>
        <v/>
      </c>
      <c r="AB54" s="12">
        <v>25</v>
      </c>
      <c r="AC54" s="648" t="str">
        <f t="shared" si="7"/>
        <v>○</v>
      </c>
      <c r="AD54" s="649" t="str">
        <f t="shared" si="8"/>
        <v>整備しない場合は入力不要です。</v>
      </c>
    </row>
    <row r="55" spans="1:30">
      <c r="A55" s="12">
        <v>26</v>
      </c>
      <c r="B55" s="6"/>
      <c r="C55" s="6"/>
      <c r="D55" s="6"/>
      <c r="E55" s="10"/>
      <c r="F55" s="7"/>
      <c r="G55" s="531"/>
      <c r="H55" s="15">
        <f t="shared" si="0"/>
        <v>0</v>
      </c>
      <c r="I55" s="4">
        <f t="shared" si="1"/>
        <v>0</v>
      </c>
      <c r="J55" s="9"/>
      <c r="K55" s="595"/>
      <c r="L55" s="595"/>
      <c r="M55" s="595"/>
      <c r="N55" s="4">
        <f t="shared" si="2"/>
        <v>0</v>
      </c>
      <c r="O55" s="5" t="str">
        <f>IF(AC55="◎",COUNTIF($AC$30:AC55,"◎"),"")</f>
        <v/>
      </c>
      <c r="Q55" s="596" t="str">
        <f t="shared" si="3"/>
        <v/>
      </c>
      <c r="R55" s="648" t="str">
        <f t="shared" si="4"/>
        <v/>
      </c>
      <c r="S55" s="648" t="str">
        <f t="shared" si="5"/>
        <v/>
      </c>
      <c r="T55" s="648" t="str">
        <f t="shared" si="6"/>
        <v/>
      </c>
      <c r="Z55" s="649" t="str">
        <f>IF(B55="個別病床",はじめに入力してください!$K$50,IF(B55="共通使用",はじめに入力してください!$K$52,""))</f>
        <v/>
      </c>
      <c r="AB55" s="12">
        <v>26</v>
      </c>
      <c r="AC55" s="648" t="str">
        <f t="shared" si="7"/>
        <v>○</v>
      </c>
      <c r="AD55" s="649" t="str">
        <f t="shared" si="8"/>
        <v>整備しない場合は入力不要です。</v>
      </c>
    </row>
    <row r="56" spans="1:30">
      <c r="A56" s="12">
        <v>27</v>
      </c>
      <c r="B56" s="6"/>
      <c r="C56" s="6"/>
      <c r="D56" s="6"/>
      <c r="E56" s="10"/>
      <c r="F56" s="7"/>
      <c r="G56" s="531"/>
      <c r="H56" s="15">
        <f t="shared" si="0"/>
        <v>0</v>
      </c>
      <c r="I56" s="4">
        <f t="shared" si="1"/>
        <v>0</v>
      </c>
      <c r="J56" s="9"/>
      <c r="K56" s="595"/>
      <c r="L56" s="595"/>
      <c r="M56" s="595"/>
      <c r="N56" s="4">
        <f t="shared" si="2"/>
        <v>0</v>
      </c>
      <c r="O56" s="5" t="str">
        <f>IF(AC56="◎",COUNTIF($AC$30:AC56,"◎"),"")</f>
        <v/>
      </c>
      <c r="Q56" s="596" t="str">
        <f t="shared" si="3"/>
        <v/>
      </c>
      <c r="R56" s="648" t="str">
        <f t="shared" si="4"/>
        <v/>
      </c>
      <c r="S56" s="648" t="str">
        <f t="shared" si="5"/>
        <v/>
      </c>
      <c r="T56" s="648" t="str">
        <f t="shared" si="6"/>
        <v/>
      </c>
      <c r="Z56" s="649" t="str">
        <f>IF(B56="個別病床",はじめに入力してください!$K$50,IF(B56="共通使用",はじめに入力してください!$K$52,""))</f>
        <v/>
      </c>
      <c r="AB56" s="12">
        <v>27</v>
      </c>
      <c r="AC56" s="648" t="str">
        <f t="shared" si="7"/>
        <v>○</v>
      </c>
      <c r="AD56" s="649" t="str">
        <f t="shared" si="8"/>
        <v>整備しない場合は入力不要です。</v>
      </c>
    </row>
    <row r="57" spans="1:30">
      <c r="A57" s="12">
        <v>28</v>
      </c>
      <c r="B57" s="6"/>
      <c r="C57" s="6"/>
      <c r="D57" s="6"/>
      <c r="E57" s="10"/>
      <c r="F57" s="7"/>
      <c r="G57" s="531"/>
      <c r="H57" s="15">
        <f t="shared" si="0"/>
        <v>0</v>
      </c>
      <c r="I57" s="4">
        <f t="shared" si="1"/>
        <v>0</v>
      </c>
      <c r="J57" s="9"/>
      <c r="K57" s="595"/>
      <c r="L57" s="595"/>
      <c r="M57" s="595"/>
      <c r="N57" s="4">
        <f t="shared" si="2"/>
        <v>0</v>
      </c>
      <c r="O57" s="5" t="str">
        <f>IF(AC57="◎",COUNTIF($AC$30:AC57,"◎"),"")</f>
        <v/>
      </c>
      <c r="Q57" s="596" t="str">
        <f t="shared" si="3"/>
        <v/>
      </c>
      <c r="R57" s="648" t="str">
        <f t="shared" si="4"/>
        <v/>
      </c>
      <c r="S57" s="648" t="str">
        <f t="shared" si="5"/>
        <v/>
      </c>
      <c r="T57" s="648" t="str">
        <f t="shared" si="6"/>
        <v/>
      </c>
      <c r="Z57" s="649" t="str">
        <f>IF(B57="個別病床",はじめに入力してください!$K$50,IF(B57="共通使用",はじめに入力してください!$K$52,""))</f>
        <v/>
      </c>
      <c r="AB57" s="12">
        <v>28</v>
      </c>
      <c r="AC57" s="648" t="str">
        <f t="shared" si="7"/>
        <v>○</v>
      </c>
      <c r="AD57" s="649" t="str">
        <f t="shared" si="8"/>
        <v>整備しない場合は入力不要です。</v>
      </c>
    </row>
    <row r="58" spans="1:30">
      <c r="A58" s="12">
        <v>29</v>
      </c>
      <c r="B58" s="6"/>
      <c r="C58" s="6"/>
      <c r="D58" s="6"/>
      <c r="E58" s="10"/>
      <c r="F58" s="7"/>
      <c r="G58" s="531"/>
      <c r="H58" s="15">
        <f t="shared" si="0"/>
        <v>0</v>
      </c>
      <c r="I58" s="4">
        <f t="shared" si="1"/>
        <v>0</v>
      </c>
      <c r="J58" s="9"/>
      <c r="K58" s="595"/>
      <c r="L58" s="595"/>
      <c r="M58" s="595"/>
      <c r="N58" s="4">
        <f t="shared" si="2"/>
        <v>0</v>
      </c>
      <c r="O58" s="5" t="str">
        <f>IF(AC58="◎",COUNTIF($AC$30:AC58,"◎"),"")</f>
        <v/>
      </c>
      <c r="Q58" s="596" t="str">
        <f t="shared" si="3"/>
        <v/>
      </c>
      <c r="R58" s="648" t="str">
        <f t="shared" si="4"/>
        <v/>
      </c>
      <c r="S58" s="648" t="str">
        <f t="shared" si="5"/>
        <v/>
      </c>
      <c r="T58" s="648" t="str">
        <f t="shared" si="6"/>
        <v/>
      </c>
      <c r="Z58" s="649" t="str">
        <f>IF(B58="個別病床",はじめに入力してください!$K$50,IF(B58="共通使用",はじめに入力してください!$K$52,""))</f>
        <v/>
      </c>
      <c r="AB58" s="12">
        <v>29</v>
      </c>
      <c r="AC58" s="648" t="str">
        <f t="shared" si="7"/>
        <v>○</v>
      </c>
      <c r="AD58" s="649" t="str">
        <f t="shared" si="8"/>
        <v>整備しない場合は入力不要です。</v>
      </c>
    </row>
    <row r="59" spans="1:30">
      <c r="A59" s="12">
        <v>30</v>
      </c>
      <c r="B59" s="6"/>
      <c r="C59" s="6"/>
      <c r="D59" s="6"/>
      <c r="E59" s="10"/>
      <c r="F59" s="7"/>
      <c r="G59" s="531"/>
      <c r="H59" s="15">
        <f t="shared" si="0"/>
        <v>0</v>
      </c>
      <c r="I59" s="4">
        <f t="shared" si="1"/>
        <v>0</v>
      </c>
      <c r="J59" s="9"/>
      <c r="K59" s="595"/>
      <c r="L59" s="595"/>
      <c r="M59" s="595"/>
      <c r="N59" s="4">
        <f t="shared" si="2"/>
        <v>0</v>
      </c>
      <c r="O59" s="5" t="str">
        <f>IF(AC59="◎",COUNTIF($AC$30:AC59,"◎"),"")</f>
        <v/>
      </c>
      <c r="Q59" s="596" t="str">
        <f t="shared" si="3"/>
        <v/>
      </c>
      <c r="R59" s="648" t="str">
        <f t="shared" si="4"/>
        <v/>
      </c>
      <c r="S59" s="648" t="str">
        <f t="shared" si="5"/>
        <v/>
      </c>
      <c r="T59" s="648" t="str">
        <f t="shared" si="6"/>
        <v/>
      </c>
      <c r="Z59" s="649" t="str">
        <f>IF(B59="個別病床",はじめに入力してください!$K$50,IF(B59="共通使用",はじめに入力してください!$K$52,""))</f>
        <v/>
      </c>
      <c r="AB59" s="12">
        <v>30</v>
      </c>
      <c r="AC59" s="648" t="str">
        <f t="shared" si="7"/>
        <v>○</v>
      </c>
      <c r="AD59" s="649" t="str">
        <f t="shared" si="8"/>
        <v>整備しない場合は入力不要です。</v>
      </c>
    </row>
    <row r="60" spans="1:30">
      <c r="A60" s="12">
        <v>31</v>
      </c>
      <c r="B60" s="6"/>
      <c r="C60" s="6"/>
      <c r="D60" s="6"/>
      <c r="E60" s="10"/>
      <c r="F60" s="7"/>
      <c r="G60" s="531"/>
      <c r="H60" s="15">
        <f t="shared" si="0"/>
        <v>0</v>
      </c>
      <c r="I60" s="4">
        <f t="shared" si="1"/>
        <v>0</v>
      </c>
      <c r="J60" s="9"/>
      <c r="K60" s="595"/>
      <c r="L60" s="595"/>
      <c r="M60" s="595"/>
      <c r="N60" s="4">
        <f t="shared" si="2"/>
        <v>0</v>
      </c>
      <c r="O60" s="5" t="str">
        <f>IF(AC60="◎",COUNTIF($AC$30:AC60,"◎"),"")</f>
        <v/>
      </c>
      <c r="Q60" s="596" t="str">
        <f t="shared" si="3"/>
        <v/>
      </c>
      <c r="R60" s="648" t="str">
        <f t="shared" si="4"/>
        <v/>
      </c>
      <c r="S60" s="648" t="str">
        <f t="shared" si="5"/>
        <v/>
      </c>
      <c r="T60" s="648" t="str">
        <f t="shared" si="6"/>
        <v/>
      </c>
      <c r="Z60" s="649" t="str">
        <f>IF(B60="個別病床",はじめに入力してください!$K$50,IF(B60="共通使用",はじめに入力してください!$K$52,""))</f>
        <v/>
      </c>
      <c r="AB60" s="12">
        <v>31</v>
      </c>
      <c r="AC60" s="648" t="str">
        <f t="shared" si="7"/>
        <v>○</v>
      </c>
      <c r="AD60" s="649" t="str">
        <f t="shared" si="8"/>
        <v>整備しない場合は入力不要です。</v>
      </c>
    </row>
    <row r="61" spans="1:30">
      <c r="A61" s="12">
        <v>32</v>
      </c>
      <c r="B61" s="6"/>
      <c r="C61" s="6"/>
      <c r="D61" s="6"/>
      <c r="E61" s="10"/>
      <c r="F61" s="7"/>
      <c r="G61" s="531"/>
      <c r="H61" s="15">
        <f t="shared" si="0"/>
        <v>0</v>
      </c>
      <c r="I61" s="4">
        <f t="shared" si="1"/>
        <v>0</v>
      </c>
      <c r="J61" s="9"/>
      <c r="K61" s="595"/>
      <c r="L61" s="595"/>
      <c r="M61" s="595"/>
      <c r="N61" s="4">
        <f t="shared" si="2"/>
        <v>0</v>
      </c>
      <c r="O61" s="5" t="str">
        <f>IF(AC61="◎",COUNTIF($AC$30:AC61,"◎"),"")</f>
        <v/>
      </c>
      <c r="Q61" s="596" t="str">
        <f t="shared" si="3"/>
        <v/>
      </c>
      <c r="R61" s="648" t="str">
        <f t="shared" si="4"/>
        <v/>
      </c>
      <c r="S61" s="648" t="str">
        <f t="shared" si="5"/>
        <v/>
      </c>
      <c r="T61" s="648" t="str">
        <f t="shared" si="6"/>
        <v/>
      </c>
      <c r="Z61" s="649" t="str">
        <f>IF(B61="個別病床",はじめに入力してください!$K$50,IF(B61="共通使用",はじめに入力してください!$K$52,""))</f>
        <v/>
      </c>
      <c r="AB61" s="12">
        <v>32</v>
      </c>
      <c r="AC61" s="648" t="str">
        <f t="shared" si="7"/>
        <v>○</v>
      </c>
      <c r="AD61" s="649" t="str">
        <f t="shared" si="8"/>
        <v>整備しない場合は入力不要です。</v>
      </c>
    </row>
    <row r="62" spans="1:30">
      <c r="A62" s="12">
        <v>33</v>
      </c>
      <c r="B62" s="6"/>
      <c r="C62" s="6"/>
      <c r="D62" s="6"/>
      <c r="E62" s="10"/>
      <c r="F62" s="7"/>
      <c r="G62" s="531"/>
      <c r="H62" s="15">
        <f t="shared" si="0"/>
        <v>0</v>
      </c>
      <c r="I62" s="4">
        <f t="shared" si="1"/>
        <v>0</v>
      </c>
      <c r="J62" s="9"/>
      <c r="K62" s="595"/>
      <c r="L62" s="595"/>
      <c r="M62" s="595"/>
      <c r="N62" s="4">
        <f t="shared" si="2"/>
        <v>0</v>
      </c>
      <c r="O62" s="5" t="str">
        <f>IF(AC62="◎",COUNTIF($AC$30:AC62,"◎"),"")</f>
        <v/>
      </c>
      <c r="Q62" s="596" t="str">
        <f t="shared" si="3"/>
        <v/>
      </c>
      <c r="R62" s="648" t="str">
        <f t="shared" si="4"/>
        <v/>
      </c>
      <c r="S62" s="648" t="str">
        <f t="shared" si="5"/>
        <v/>
      </c>
      <c r="T62" s="648" t="str">
        <f t="shared" si="6"/>
        <v/>
      </c>
      <c r="Z62" s="649" t="str">
        <f>IF(B62="個別病床",はじめに入力してください!$K$50,IF(B62="共通使用",はじめに入力してください!$K$52,""))</f>
        <v/>
      </c>
      <c r="AB62" s="12">
        <v>33</v>
      </c>
      <c r="AC62" s="648" t="str">
        <f t="shared" si="7"/>
        <v>○</v>
      </c>
      <c r="AD62" s="649" t="str">
        <f t="shared" si="8"/>
        <v>整備しない場合は入力不要です。</v>
      </c>
    </row>
    <row r="63" spans="1:30">
      <c r="A63" s="12">
        <v>34</v>
      </c>
      <c r="B63" s="6"/>
      <c r="C63" s="6"/>
      <c r="D63" s="6"/>
      <c r="E63" s="10"/>
      <c r="F63" s="7"/>
      <c r="G63" s="531"/>
      <c r="H63" s="15">
        <f t="shared" si="0"/>
        <v>0</v>
      </c>
      <c r="I63" s="4">
        <f t="shared" si="1"/>
        <v>0</v>
      </c>
      <c r="J63" s="9"/>
      <c r="K63" s="595"/>
      <c r="L63" s="595"/>
      <c r="M63" s="595"/>
      <c r="N63" s="4">
        <f t="shared" si="2"/>
        <v>0</v>
      </c>
      <c r="O63" s="5" t="str">
        <f>IF(AC63="◎",COUNTIF($AC$30:AC63,"◎"),"")</f>
        <v/>
      </c>
      <c r="Q63" s="596" t="str">
        <f t="shared" si="3"/>
        <v/>
      </c>
      <c r="R63" s="648" t="str">
        <f t="shared" si="4"/>
        <v/>
      </c>
      <c r="S63" s="648" t="str">
        <f t="shared" si="5"/>
        <v/>
      </c>
      <c r="T63" s="648" t="str">
        <f t="shared" si="6"/>
        <v/>
      </c>
      <c r="Z63" s="649" t="str">
        <f>IF(B63="個別病床",はじめに入力してください!$K$50,IF(B63="共通使用",はじめに入力してください!$K$52,""))</f>
        <v/>
      </c>
      <c r="AB63" s="12">
        <v>34</v>
      </c>
      <c r="AC63" s="648" t="str">
        <f t="shared" si="7"/>
        <v>○</v>
      </c>
      <c r="AD63" s="649" t="str">
        <f t="shared" si="8"/>
        <v>整備しない場合は入力不要です。</v>
      </c>
    </row>
    <row r="64" spans="1:30">
      <c r="A64" s="12">
        <v>35</v>
      </c>
      <c r="B64" s="6"/>
      <c r="C64" s="6"/>
      <c r="D64" s="6"/>
      <c r="E64" s="10"/>
      <c r="F64" s="7"/>
      <c r="G64" s="531"/>
      <c r="H64" s="15">
        <f t="shared" si="0"/>
        <v>0</v>
      </c>
      <c r="I64" s="4">
        <f t="shared" si="1"/>
        <v>0</v>
      </c>
      <c r="J64" s="9"/>
      <c r="K64" s="595"/>
      <c r="L64" s="595"/>
      <c r="M64" s="595"/>
      <c r="N64" s="4">
        <f t="shared" si="2"/>
        <v>0</v>
      </c>
      <c r="O64" s="5" t="str">
        <f>IF(AC64="◎",COUNTIF($AC$30:AC64,"◎"),"")</f>
        <v/>
      </c>
      <c r="Q64" s="596" t="str">
        <f t="shared" si="3"/>
        <v/>
      </c>
      <c r="R64" s="648" t="str">
        <f t="shared" si="4"/>
        <v/>
      </c>
      <c r="S64" s="648" t="str">
        <f t="shared" si="5"/>
        <v/>
      </c>
      <c r="T64" s="648" t="str">
        <f t="shared" si="6"/>
        <v/>
      </c>
      <c r="Z64" s="649" t="str">
        <f>IF(B64="個別病床",はじめに入力してください!$K$50,IF(B64="共通使用",はじめに入力してください!$K$52,""))</f>
        <v/>
      </c>
      <c r="AB64" s="12">
        <v>35</v>
      </c>
      <c r="AC64" s="648" t="str">
        <f t="shared" si="7"/>
        <v>○</v>
      </c>
      <c r="AD64" s="649" t="str">
        <f t="shared" si="8"/>
        <v>整備しない場合は入力不要です。</v>
      </c>
    </row>
    <row r="65" spans="1:30">
      <c r="A65" s="12">
        <v>36</v>
      </c>
      <c r="B65" s="6"/>
      <c r="C65" s="6"/>
      <c r="D65" s="6"/>
      <c r="E65" s="10"/>
      <c r="F65" s="7"/>
      <c r="G65" s="531"/>
      <c r="H65" s="15">
        <f t="shared" si="0"/>
        <v>0</v>
      </c>
      <c r="I65" s="4">
        <f t="shared" si="1"/>
        <v>0</v>
      </c>
      <c r="J65" s="9"/>
      <c r="K65" s="595"/>
      <c r="L65" s="595"/>
      <c r="M65" s="595"/>
      <c r="N65" s="4">
        <f t="shared" si="2"/>
        <v>0</v>
      </c>
      <c r="O65" s="5" t="str">
        <f>IF(AC65="◎",COUNTIF($AC$30:AC65,"◎"),"")</f>
        <v/>
      </c>
      <c r="Q65" s="596" t="str">
        <f t="shared" si="3"/>
        <v/>
      </c>
      <c r="R65" s="648" t="str">
        <f t="shared" si="4"/>
        <v/>
      </c>
      <c r="S65" s="648" t="str">
        <f t="shared" si="5"/>
        <v/>
      </c>
      <c r="T65" s="648" t="str">
        <f t="shared" si="6"/>
        <v/>
      </c>
      <c r="Z65" s="649" t="str">
        <f>IF(B65="個別病床",はじめに入力してください!$K$50,IF(B65="共通使用",はじめに入力してください!$K$52,""))</f>
        <v/>
      </c>
      <c r="AB65" s="12">
        <v>36</v>
      </c>
      <c r="AC65" s="648" t="str">
        <f t="shared" si="7"/>
        <v>○</v>
      </c>
      <c r="AD65" s="649" t="str">
        <f t="shared" si="8"/>
        <v>整備しない場合は入力不要です。</v>
      </c>
    </row>
    <row r="66" spans="1:30">
      <c r="A66" s="12">
        <v>37</v>
      </c>
      <c r="B66" s="6"/>
      <c r="C66" s="6"/>
      <c r="D66" s="6"/>
      <c r="E66" s="10"/>
      <c r="F66" s="7"/>
      <c r="G66" s="531"/>
      <c r="H66" s="15">
        <f t="shared" si="0"/>
        <v>0</v>
      </c>
      <c r="I66" s="4">
        <f t="shared" si="1"/>
        <v>0</v>
      </c>
      <c r="J66" s="9"/>
      <c r="K66" s="595"/>
      <c r="L66" s="595"/>
      <c r="M66" s="595"/>
      <c r="N66" s="4">
        <f t="shared" si="2"/>
        <v>0</v>
      </c>
      <c r="O66" s="5" t="str">
        <f>IF(AC66="◎",COUNTIF($AC$30:AC66,"◎"),"")</f>
        <v/>
      </c>
      <c r="Q66" s="596" t="str">
        <f t="shared" si="3"/>
        <v/>
      </c>
      <c r="R66" s="648" t="str">
        <f t="shared" si="4"/>
        <v/>
      </c>
      <c r="S66" s="648" t="str">
        <f t="shared" si="5"/>
        <v/>
      </c>
      <c r="T66" s="648" t="str">
        <f t="shared" si="6"/>
        <v/>
      </c>
      <c r="Z66" s="649" t="str">
        <f>IF(B66="個別病床",はじめに入力してください!$K$50,IF(B66="共通使用",はじめに入力してください!$K$52,""))</f>
        <v/>
      </c>
      <c r="AB66" s="12">
        <v>37</v>
      </c>
      <c r="AC66" s="648" t="str">
        <f t="shared" si="7"/>
        <v>○</v>
      </c>
      <c r="AD66" s="649" t="str">
        <f t="shared" si="8"/>
        <v>整備しない場合は入力不要です。</v>
      </c>
    </row>
    <row r="67" spans="1:30">
      <c r="A67" s="12">
        <v>38</v>
      </c>
      <c r="B67" s="6"/>
      <c r="C67" s="6"/>
      <c r="D67" s="6"/>
      <c r="E67" s="10"/>
      <c r="F67" s="7"/>
      <c r="G67" s="531"/>
      <c r="H67" s="15">
        <f t="shared" si="0"/>
        <v>0</v>
      </c>
      <c r="I67" s="4">
        <f t="shared" si="1"/>
        <v>0</v>
      </c>
      <c r="J67" s="9"/>
      <c r="K67" s="595"/>
      <c r="L67" s="595"/>
      <c r="M67" s="595"/>
      <c r="N67" s="4">
        <f t="shared" si="2"/>
        <v>0</v>
      </c>
      <c r="O67" s="5" t="str">
        <f>IF(AC67="◎",COUNTIF($AC$30:AC67,"◎"),"")</f>
        <v/>
      </c>
      <c r="Q67" s="596" t="str">
        <f t="shared" si="3"/>
        <v/>
      </c>
      <c r="R67" s="648" t="str">
        <f t="shared" si="4"/>
        <v/>
      </c>
      <c r="S67" s="648" t="str">
        <f t="shared" si="5"/>
        <v/>
      </c>
      <c r="T67" s="648" t="str">
        <f t="shared" si="6"/>
        <v/>
      </c>
      <c r="Z67" s="649" t="str">
        <f>IF(B67="個別病床",はじめに入力してください!$K$50,IF(B67="共通使用",はじめに入力してください!$K$52,""))</f>
        <v/>
      </c>
      <c r="AB67" s="12">
        <v>38</v>
      </c>
      <c r="AC67" s="648" t="str">
        <f t="shared" si="7"/>
        <v>○</v>
      </c>
      <c r="AD67" s="649" t="str">
        <f t="shared" si="8"/>
        <v>整備しない場合は入力不要です。</v>
      </c>
    </row>
    <row r="68" spans="1:30">
      <c r="A68" s="12">
        <v>39</v>
      </c>
      <c r="B68" s="6"/>
      <c r="C68" s="6"/>
      <c r="D68" s="6"/>
      <c r="E68" s="10"/>
      <c r="F68" s="7"/>
      <c r="G68" s="531"/>
      <c r="H68" s="15">
        <f t="shared" si="0"/>
        <v>0</v>
      </c>
      <c r="I68" s="4">
        <f t="shared" si="1"/>
        <v>0</v>
      </c>
      <c r="J68" s="9"/>
      <c r="K68" s="595"/>
      <c r="L68" s="595"/>
      <c r="M68" s="595"/>
      <c r="N68" s="4">
        <f t="shared" si="2"/>
        <v>0</v>
      </c>
      <c r="O68" s="5" t="str">
        <f>IF(AC68="◎",COUNTIF($AC$30:AC68,"◎"),"")</f>
        <v/>
      </c>
      <c r="Q68" s="596" t="str">
        <f t="shared" si="3"/>
        <v/>
      </c>
      <c r="R68" s="648" t="str">
        <f t="shared" si="4"/>
        <v/>
      </c>
      <c r="S68" s="648" t="str">
        <f t="shared" si="5"/>
        <v/>
      </c>
      <c r="T68" s="648" t="str">
        <f t="shared" si="6"/>
        <v/>
      </c>
      <c r="Z68" s="649" t="str">
        <f>IF(B68="個別病床",はじめに入力してください!$K$50,IF(B68="共通使用",はじめに入力してください!$K$52,""))</f>
        <v/>
      </c>
      <c r="AB68" s="12">
        <v>39</v>
      </c>
      <c r="AC68" s="648" t="str">
        <f t="shared" si="7"/>
        <v>○</v>
      </c>
      <c r="AD68" s="649" t="str">
        <f t="shared" si="8"/>
        <v>整備しない場合は入力不要です。</v>
      </c>
    </row>
    <row r="69" spans="1:30">
      <c r="A69" s="12">
        <v>40</v>
      </c>
      <c r="B69" s="6"/>
      <c r="C69" s="6"/>
      <c r="D69" s="6"/>
      <c r="E69" s="10"/>
      <c r="F69" s="7"/>
      <c r="G69" s="531"/>
      <c r="H69" s="15">
        <f t="shared" si="0"/>
        <v>0</v>
      </c>
      <c r="I69" s="4">
        <f t="shared" si="1"/>
        <v>0</v>
      </c>
      <c r="J69" s="9"/>
      <c r="K69" s="595"/>
      <c r="L69" s="595"/>
      <c r="M69" s="595"/>
      <c r="N69" s="4">
        <f t="shared" si="2"/>
        <v>0</v>
      </c>
      <c r="O69" s="5" t="str">
        <f>IF(AC69="◎",COUNTIF($AC$30:AC69,"◎"),"")</f>
        <v/>
      </c>
      <c r="Q69" s="596" t="str">
        <f t="shared" si="3"/>
        <v/>
      </c>
      <c r="R69" s="648" t="str">
        <f t="shared" si="4"/>
        <v/>
      </c>
      <c r="S69" s="648" t="str">
        <f t="shared" si="5"/>
        <v/>
      </c>
      <c r="T69" s="648" t="str">
        <f t="shared" si="6"/>
        <v/>
      </c>
      <c r="Z69" s="649" t="str">
        <f>IF(B69="個別病床",はじめに入力してください!$K$50,IF(B69="共通使用",はじめに入力してください!$K$52,""))</f>
        <v/>
      </c>
      <c r="AB69" s="12">
        <v>40</v>
      </c>
      <c r="AC69" s="648" t="str">
        <f t="shared" si="7"/>
        <v>○</v>
      </c>
      <c r="AD69" s="649" t="str">
        <f t="shared" si="8"/>
        <v>整備しない場合は入力不要です。</v>
      </c>
    </row>
    <row r="70" spans="1:30">
      <c r="A70" s="12">
        <v>41</v>
      </c>
      <c r="B70" s="6"/>
      <c r="C70" s="6"/>
      <c r="D70" s="6"/>
      <c r="E70" s="10"/>
      <c r="F70" s="7"/>
      <c r="G70" s="531"/>
      <c r="H70" s="15">
        <f t="shared" si="0"/>
        <v>0</v>
      </c>
      <c r="I70" s="4">
        <f t="shared" si="1"/>
        <v>0</v>
      </c>
      <c r="J70" s="9"/>
      <c r="K70" s="595"/>
      <c r="L70" s="595"/>
      <c r="M70" s="595"/>
      <c r="N70" s="4">
        <f t="shared" si="2"/>
        <v>0</v>
      </c>
      <c r="O70" s="5" t="str">
        <f>IF(AC70="◎",COUNTIF($AC$30:AC70,"◎"),"")</f>
        <v/>
      </c>
      <c r="Q70" s="596" t="str">
        <f t="shared" si="3"/>
        <v/>
      </c>
      <c r="R70" s="648" t="str">
        <f t="shared" si="4"/>
        <v/>
      </c>
      <c r="S70" s="648" t="str">
        <f t="shared" si="5"/>
        <v/>
      </c>
      <c r="T70" s="648" t="str">
        <f t="shared" si="6"/>
        <v/>
      </c>
      <c r="Z70" s="649" t="str">
        <f>IF(B70="個別病床",はじめに入力してください!$K$50,IF(B70="共通使用",はじめに入力してください!$K$52,""))</f>
        <v/>
      </c>
      <c r="AB70" s="12">
        <v>41</v>
      </c>
      <c r="AC70" s="648" t="str">
        <f t="shared" si="7"/>
        <v>○</v>
      </c>
      <c r="AD70" s="649" t="str">
        <f t="shared" si="8"/>
        <v>整備しない場合は入力不要です。</v>
      </c>
    </row>
    <row r="71" spans="1:30">
      <c r="A71" s="12">
        <v>42</v>
      </c>
      <c r="B71" s="6"/>
      <c r="C71" s="6"/>
      <c r="D71" s="6"/>
      <c r="E71" s="10"/>
      <c r="F71" s="7"/>
      <c r="G71" s="531"/>
      <c r="H71" s="15">
        <f t="shared" si="0"/>
        <v>0</v>
      </c>
      <c r="I71" s="4">
        <f t="shared" si="1"/>
        <v>0</v>
      </c>
      <c r="J71" s="9"/>
      <c r="K71" s="595"/>
      <c r="L71" s="595"/>
      <c r="M71" s="595"/>
      <c r="N71" s="4">
        <f t="shared" si="2"/>
        <v>0</v>
      </c>
      <c r="O71" s="5" t="str">
        <f>IF(AC71="◎",COUNTIF($AC$30:AC71,"◎"),"")</f>
        <v/>
      </c>
      <c r="Q71" s="596" t="str">
        <f t="shared" si="3"/>
        <v/>
      </c>
      <c r="R71" s="648" t="str">
        <f t="shared" si="4"/>
        <v/>
      </c>
      <c r="S71" s="648" t="str">
        <f t="shared" si="5"/>
        <v/>
      </c>
      <c r="T71" s="648" t="str">
        <f t="shared" si="6"/>
        <v/>
      </c>
      <c r="Z71" s="649" t="str">
        <f>IF(B71="個別病床",はじめに入力してください!$K$50,IF(B71="共通使用",はじめに入力してください!$K$52,""))</f>
        <v/>
      </c>
      <c r="AB71" s="12">
        <v>42</v>
      </c>
      <c r="AC71" s="648" t="str">
        <f t="shared" si="7"/>
        <v>○</v>
      </c>
      <c r="AD71" s="649" t="str">
        <f t="shared" si="8"/>
        <v>整備しない場合は入力不要です。</v>
      </c>
    </row>
    <row r="72" spans="1:30">
      <c r="A72" s="12">
        <v>43</v>
      </c>
      <c r="B72" s="6"/>
      <c r="C72" s="6"/>
      <c r="D72" s="6"/>
      <c r="E72" s="10"/>
      <c r="F72" s="7"/>
      <c r="G72" s="531"/>
      <c r="H72" s="15">
        <f t="shared" si="0"/>
        <v>0</v>
      </c>
      <c r="I72" s="4">
        <f t="shared" si="1"/>
        <v>0</v>
      </c>
      <c r="J72" s="9"/>
      <c r="K72" s="595"/>
      <c r="L72" s="595"/>
      <c r="M72" s="595"/>
      <c r="N72" s="4">
        <f t="shared" si="2"/>
        <v>0</v>
      </c>
      <c r="O72" s="5" t="str">
        <f>IF(AC72="◎",COUNTIF($AC$30:AC72,"◎"),"")</f>
        <v/>
      </c>
      <c r="Q72" s="596" t="str">
        <f t="shared" si="3"/>
        <v/>
      </c>
      <c r="R72" s="648" t="str">
        <f t="shared" si="4"/>
        <v/>
      </c>
      <c r="S72" s="648" t="str">
        <f t="shared" si="5"/>
        <v/>
      </c>
      <c r="T72" s="648" t="str">
        <f t="shared" si="6"/>
        <v/>
      </c>
      <c r="Z72" s="649" t="str">
        <f>IF(B72="個別病床",はじめに入力してください!$K$50,IF(B72="共通使用",はじめに入力してください!$K$52,""))</f>
        <v/>
      </c>
      <c r="AB72" s="12">
        <v>43</v>
      </c>
      <c r="AC72" s="648" t="str">
        <f t="shared" si="7"/>
        <v>○</v>
      </c>
      <c r="AD72" s="649" t="str">
        <f t="shared" si="8"/>
        <v>整備しない場合は入力不要です。</v>
      </c>
    </row>
    <row r="73" spans="1:30">
      <c r="A73" s="12">
        <v>44</v>
      </c>
      <c r="B73" s="6"/>
      <c r="C73" s="6"/>
      <c r="D73" s="6"/>
      <c r="E73" s="10"/>
      <c r="F73" s="7"/>
      <c r="G73" s="531"/>
      <c r="H73" s="15">
        <f t="shared" si="0"/>
        <v>0</v>
      </c>
      <c r="I73" s="4">
        <f t="shared" si="1"/>
        <v>0</v>
      </c>
      <c r="J73" s="9"/>
      <c r="K73" s="595"/>
      <c r="L73" s="595"/>
      <c r="M73" s="595"/>
      <c r="N73" s="4">
        <f t="shared" si="2"/>
        <v>0</v>
      </c>
      <c r="O73" s="5" t="str">
        <f>IF(AC73="◎",COUNTIF($AC$30:AC73,"◎"),"")</f>
        <v/>
      </c>
      <c r="Q73" s="596" t="str">
        <f t="shared" si="3"/>
        <v/>
      </c>
      <c r="R73" s="648" t="str">
        <f t="shared" si="4"/>
        <v/>
      </c>
      <c r="S73" s="648" t="str">
        <f t="shared" si="5"/>
        <v/>
      </c>
      <c r="T73" s="648" t="str">
        <f t="shared" si="6"/>
        <v/>
      </c>
      <c r="Z73" s="649" t="str">
        <f>IF(B73="個別病床",はじめに入力してください!$K$50,IF(B73="共通使用",はじめに入力してください!$K$52,""))</f>
        <v/>
      </c>
      <c r="AB73" s="12">
        <v>44</v>
      </c>
      <c r="AC73" s="648" t="str">
        <f t="shared" si="7"/>
        <v>○</v>
      </c>
      <c r="AD73" s="649" t="str">
        <f t="shared" si="8"/>
        <v>整備しない場合は入力不要です。</v>
      </c>
    </row>
    <row r="74" spans="1:30">
      <c r="A74" s="12">
        <v>45</v>
      </c>
      <c r="B74" s="6"/>
      <c r="C74" s="6"/>
      <c r="D74" s="6"/>
      <c r="E74" s="10"/>
      <c r="F74" s="7"/>
      <c r="G74" s="531"/>
      <c r="H74" s="15">
        <f t="shared" si="0"/>
        <v>0</v>
      </c>
      <c r="I74" s="4">
        <f t="shared" si="1"/>
        <v>0</v>
      </c>
      <c r="J74" s="9"/>
      <c r="K74" s="595"/>
      <c r="L74" s="595"/>
      <c r="M74" s="595"/>
      <c r="N74" s="4">
        <f t="shared" si="2"/>
        <v>0</v>
      </c>
      <c r="O74" s="5" t="str">
        <f>IF(AC74="◎",COUNTIF($AC$30:AC74,"◎"),"")</f>
        <v/>
      </c>
      <c r="Q74" s="596" t="str">
        <f t="shared" si="3"/>
        <v/>
      </c>
      <c r="R74" s="648" t="str">
        <f t="shared" si="4"/>
        <v/>
      </c>
      <c r="S74" s="648" t="str">
        <f t="shared" si="5"/>
        <v/>
      </c>
      <c r="T74" s="648" t="str">
        <f t="shared" si="6"/>
        <v/>
      </c>
      <c r="Z74" s="649" t="str">
        <f>IF(B74="個別病床",はじめに入力してください!$K$50,IF(B74="共通使用",はじめに入力してください!$K$52,""))</f>
        <v/>
      </c>
      <c r="AB74" s="12">
        <v>45</v>
      </c>
      <c r="AC74" s="648" t="str">
        <f t="shared" si="7"/>
        <v>○</v>
      </c>
      <c r="AD74" s="649" t="str">
        <f t="shared" si="8"/>
        <v>整備しない場合は入力不要です。</v>
      </c>
    </row>
  </sheetData>
  <sheetProtection algorithmName="SHA-512" hashValue="JOhydweldcDxs0b93nq3k6l6w/ie23RXEFnf3jc7a2eMaKZZgmIOiUIfp+Izv+vhQ1nN3fpCHTvNovsoFg1YbA==" saltValue="Rs69LW6STUNoj3b7TSnDuQ==" spinCount="100000" sheet="1" objects="1" scenarios="1"/>
  <mergeCells count="25">
    <mergeCell ref="N1:P1"/>
    <mergeCell ref="B22:O22"/>
    <mergeCell ref="B2:D3"/>
    <mergeCell ref="AC3:AC5"/>
    <mergeCell ref="AD3:AD5"/>
    <mergeCell ref="AC7:AC8"/>
    <mergeCell ref="AD7:AD8"/>
    <mergeCell ref="B10:O10"/>
    <mergeCell ref="B13:O13"/>
    <mergeCell ref="B14:O14"/>
    <mergeCell ref="B15:O15"/>
    <mergeCell ref="B18:O21"/>
    <mergeCell ref="B7:O7"/>
    <mergeCell ref="B9:C9"/>
    <mergeCell ref="B12:O12"/>
    <mergeCell ref="B26:O26"/>
    <mergeCell ref="AC27:AC28"/>
    <mergeCell ref="AD27:AD28"/>
    <mergeCell ref="B28:D28"/>
    <mergeCell ref="E28:F28"/>
    <mergeCell ref="G28:J28"/>
    <mergeCell ref="N28:N29"/>
    <mergeCell ref="O28:O29"/>
    <mergeCell ref="K28:M28"/>
    <mergeCell ref="Q28:Q29"/>
  </mergeCells>
  <phoneticPr fontId="9"/>
  <conditionalFormatting sqref="AC29 AC1:AC2 AC11:AC21 AC6 AC23:AC27 AC75:AC1048576">
    <cfRule type="containsText" dxfId="74" priority="11" operator="containsText" text="×">
      <formula>NOT(ISERROR(SEARCH("×",AC1)))</formula>
    </cfRule>
  </conditionalFormatting>
  <conditionalFormatting sqref="AD1:AD2 AD11:AD21 AD29 AD6 AD23:AD27 AD75:AD1048576">
    <cfRule type="containsText" dxfId="73" priority="10" operator="containsText" text="要修正">
      <formula>NOT(ISERROR(SEARCH("要修正",AD1)))</formula>
    </cfRule>
  </conditionalFormatting>
  <conditionalFormatting sqref="AC22">
    <cfRule type="containsText" dxfId="72" priority="9" operator="containsText" text="×">
      <formula>NOT(ISERROR(SEARCH("×",AC22)))</formula>
    </cfRule>
  </conditionalFormatting>
  <conditionalFormatting sqref="AD22">
    <cfRule type="containsText" dxfId="71" priority="8" operator="containsText" text="要修正">
      <formula>NOT(ISERROR(SEARCH("要修正",AD22)))</formula>
    </cfRule>
  </conditionalFormatting>
  <conditionalFormatting sqref="AC9:AC10 AC7">
    <cfRule type="containsText" dxfId="70" priority="7" operator="containsText" text="×">
      <formula>NOT(ISERROR(SEARCH("×",AC7)))</formula>
    </cfRule>
  </conditionalFormatting>
  <conditionalFormatting sqref="AD9:AD10 AD7">
    <cfRule type="containsText" dxfId="69" priority="6" operator="containsText" text="要修正">
      <formula>NOT(ISERROR(SEARCH("要修正",AD7)))</formula>
    </cfRule>
  </conditionalFormatting>
  <conditionalFormatting sqref="AC3:AC4">
    <cfRule type="containsText" dxfId="68" priority="5" operator="containsText" text="×">
      <formula>NOT(ISERROR(SEARCH("×",AC3)))</formula>
    </cfRule>
  </conditionalFormatting>
  <conditionalFormatting sqref="AD3:AD4">
    <cfRule type="containsText" dxfId="67" priority="4" operator="containsText" text="要修正">
      <formula>NOT(ISERROR(SEARCH("要修正",AD3)))</formula>
    </cfRule>
  </conditionalFormatting>
  <conditionalFormatting sqref="AD30:AD74">
    <cfRule type="containsText" dxfId="66" priority="2" operator="containsText" text="要修正">
      <formula>NOT(ISERROR(SEARCH("要修正",AD30)))</formula>
    </cfRule>
  </conditionalFormatting>
  <conditionalFormatting sqref="AC30:AC74">
    <cfRule type="containsText" dxfId="65" priority="1" operator="containsText" text="×">
      <formula>NOT(ISERROR(SEARCH("×",AC30)))</formula>
    </cfRule>
  </conditionalFormatting>
  <dataValidations count="10">
    <dataValidation type="list" allowBlank="1" showInputMessage="1" showErrorMessage="1" promptTitle="補助対象の該当非該当" prompt="コロナ対応病床の初度設備に係る経費が対象となります。_x000a_共用部分の設備、備品や医療用消耗品等は補助対象外なので「対象外」を選択してください。_x000a_審査において確認、対象外と認めたものについては対象外として補正をお願いする場合があります。" sqref="J30:J74" xr:uid="{9438F237-B215-49C0-B580-6DF83CA7231B}">
      <formula1>"補助対象,補助対象外"</formula1>
    </dataValidation>
    <dataValidation allowBlank="1" showInputMessage="1" showErrorMessage="1" promptTitle="金額の表示" prompt="数式が入力されているため、自動計算されます。" sqref="N30:N74 I30:I74" xr:uid="{4604AD50-36F1-4AC9-A89B-E2C23E858204}"/>
    <dataValidation allowBlank="1" showInputMessage="1" showErrorMessage="1" promptTitle="添付書類番号" prompt="種類、規格、数量、単価が全て適切に入力され、右の「判定」が「◎」と表示されると自動で番号が表示されます。" sqref="O30:O74" xr:uid="{9DF1A70C-7F2A-4660-9C7D-E43E50F6F511}"/>
    <dataValidation allowBlank="1" showInputMessage="1" showErrorMessage="1" promptTitle="単価の入力" prompt="税抜額または税込額のいずれかを入力してください。_x000a_入力しない方は「0」は入力せず、空欄としてください。" sqref="H30:H74" xr:uid="{BD4B888E-DC22-4F70-A6D0-0A8ECDC373CD}"/>
    <dataValidation allowBlank="1" showInputMessage="1" showErrorMessage="1" promptTitle="規格及び数量の入力" prompt="補助対象経費を計上する際、いずれも入力してください。" sqref="E30:E74" xr:uid="{ABEC66AA-5168-4F7E-ACF6-B22E91B84D2B}"/>
    <dataValidation allowBlank="1" showInputMessage="1" showErrorMessage="1" promptTitle="補助対象金額" prompt="補助対象額×（見積書金額-割引額）/見積書金額_x000a_で算出されます。" sqref="J3:M3" xr:uid="{00000000-0002-0000-1400-000005000000}"/>
    <dataValidation allowBlank="1" showInputMessage="1" showErrorMessage="1" promptTitle="割引額がある場合は入力" prompt="割引がない場合は「0円」のままとしてください。" sqref="I3" xr:uid="{00000000-0002-0000-1400-000006000000}"/>
    <dataValidation type="list" allowBlank="1" showInputMessage="1" showErrorMessage="1" promptTitle="設備、備品、その他の別を選択" prompt="当該行に記載する品目が_x000a_・「設備」（設備本体）_x000a_・備品（本体設備と別の構成をなすもの）_x000a_・その他（上記の該当しないもの）_x000a_の別をプルダウンから選択してください。" sqref="D30:D74" xr:uid="{CA4A1DF4-D8D7-4B65-9852-BCD8B5B72389}">
      <formula1>"設備,備品,その他"</formula1>
    </dataValidation>
    <dataValidation type="decimal" operator="greaterThanOrEqual" allowBlank="1" showInputMessage="1" showErrorMessage="1" promptTitle="単価の入力" prompt="税抜額または税込額のいずれかを入力してください。_x000a_入力しない方は「0」は入力せず、空欄としてください。" sqref="G30:G74" xr:uid="{8E74D0DD-C395-4E07-B6D6-A37E7B08AAB5}">
      <formula1>0</formula1>
    </dataValidation>
    <dataValidation type="whole" operator="greaterThanOrEqual" allowBlank="1" showInputMessage="1" showErrorMessage="1" errorTitle="数値のみを入力してください。" error="「個」、「枚」等の単位入力は不要です。" promptTitle="規格及び数量の入力" prompt="補助対象経費を計上する際、いずれも入力してください。" sqref="F30:F74" xr:uid="{7212437A-9B04-48B8-9639-57FF4F8317BD}">
      <formula1>0</formula1>
    </dataValidation>
  </dataValidations>
  <pageMargins left="0.7" right="0.7" top="0.75" bottom="0.75" header="0.3" footer="0.3"/>
  <pageSetup paperSize="9" scale="43" orientation="portrait"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promptTitle="配備先の別を選択" prompt="確保病床の共通使用のものか、個別のベッドに配備するものか選択してください。" xr:uid="{BBCECE04-5933-406A-86BE-E93F6BE047AE}">
          <x14:formula1>
            <xm:f>テーブル!$X$48:$X$49</xm:f>
          </x14:formula1>
          <xm:sqref>B30:B74</xm:sqref>
        </x14:dataValidation>
        <x14:dataValidation type="list" allowBlank="1" showInputMessage="1" showErrorMessage="1" promptTitle="「用途先」病床の選択（左の「病床」を選択しないと表示されません。" prompt="ベッドに必ずしも紐付けるものではありませんが、１病床１台で紐付けした場合、整備する病床に番号付けをした場合の番号を選択してください。" xr:uid="{AA0A6E70-8D9E-4CFE-8E1B-2E050266A796}">
          <x14:formula1>
            <xm:f>OFFSET(テーブル!$X$48, 0, MATCH(B30,テーブル!$Y$47:$Z$47,0), COUNTA(OFFSET(テーブル!$X$48,0,MATCH(B30,テーブル!$Y$47:$Z$47,0),$Z$30,1)),1)</xm:f>
          </x14:formula1>
          <xm:sqref>C30:C74</xm:sqref>
        </x14:dataValidation>
        <x14:dataValidation type="list" allowBlank="1" showInputMessage="1" showErrorMessage="1" xr:uid="{00000000-0002-0000-1400-000008000000}">
          <x14:formula1>
            <xm:f>テーブル!$M$37:$M$51</xm:f>
          </x14:formula1>
          <xm:sqref>B2:D2</xm:sqref>
        </x14:dataValidation>
        <x14:dataValidation type="list" allowBlank="1" showInputMessage="1" showErrorMessage="1" xr:uid="{A9B4CEA6-02E7-4F20-B8EB-40D69C3AF43E}">
          <x14:formula1>
            <xm:f>テーブル!$I$2:$I$3</xm:f>
          </x14:formula1>
          <xm:sqref>K30:K74</xm:sqref>
        </x14:dataValidation>
        <x14:dataValidation type="list" allowBlank="1" showInputMessage="1" showErrorMessage="1" xr:uid="{5E799555-1AFE-4847-836D-6CCC15BCA42E}">
          <x14:formula1>
            <xm:f>テーブル!$J$2:$J$7</xm:f>
          </x14:formula1>
          <xm:sqref>L30:L74</xm:sqref>
        </x14:dataValidation>
        <x14:dataValidation type="list" allowBlank="1" showInputMessage="1" showErrorMessage="1" xr:uid="{E6C70193-99BF-46A7-B3D4-FB3574504D98}">
          <x14:formula1>
            <xm:f>テーブル!$K$2:$K$32</xm:f>
          </x14:formula1>
          <xm:sqref>M30:M74</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tabColor rgb="FFFFC000"/>
    <pageSetUpPr fitToPage="1"/>
  </sheetPr>
  <dimension ref="A1:AI74"/>
  <sheetViews>
    <sheetView showGridLines="0" view="pageBreakPreview" zoomScale="60" zoomScaleNormal="100" workbookViewId="0">
      <selection activeCell="N2" sqref="N2"/>
    </sheetView>
  </sheetViews>
  <sheetFormatPr defaultColWidth="8.625" defaultRowHeight="18"/>
  <cols>
    <col min="1" max="1" width="3.625" style="12" customWidth="1"/>
    <col min="2" max="4" width="8.625" style="19"/>
    <col min="5" max="5" width="30.625" style="19" customWidth="1"/>
    <col min="6" max="6" width="8.625" style="19"/>
    <col min="7" max="10" width="12.625" style="19" customWidth="1"/>
    <col min="11" max="13" width="3.625" style="19" customWidth="1"/>
    <col min="14" max="14" width="12.625" style="19" customWidth="1"/>
    <col min="15" max="15" width="8.625" style="19"/>
    <col min="16" max="16" width="3.625" style="19" customWidth="1"/>
    <col min="17" max="17" width="12.625" style="19" customWidth="1"/>
    <col min="18" max="20" width="3.625" style="19" customWidth="1"/>
    <col min="21" max="26" width="8.625" style="19"/>
    <col min="27" max="27" width="8.625" style="19" customWidth="1"/>
    <col min="28" max="28" width="3.625" style="12" customWidth="1"/>
    <col min="29" max="29" width="8.625" style="19"/>
    <col min="30" max="30" width="40.625" style="19" customWidth="1"/>
    <col min="31" max="31" width="3.625" style="19" customWidth="1"/>
    <col min="32" max="35" width="8.625" style="19"/>
    <col min="36" max="36" width="30.625" style="19" customWidth="1"/>
    <col min="37" max="16384" width="8.625" style="19"/>
  </cols>
  <sheetData>
    <row r="1" spans="1:35" ht="20.100000000000001" customHeight="1">
      <c r="N1" s="1859" t="str">
        <f xml:space="preserve">
IF(表紙!$X$2="事前協議","（10月１日～３月31日分）",
IF(表紙!$X$2="交付申請（２次）","（10月１日～３月31日分）",
IF(表紙!$X$2="変更申請","（10月１日～３月31日分）",
IF(表紙!$X$2="実績報告（１次）","（５月８日～10月31日分）",
IF(表紙!$X$2="実績報告（２次）","（10月１日～３月31日分）",
IF(表紙!$X$2="交付申請兼実績報告","（10月１日～３月31日分）"))))))</f>
        <v>（10月１日～３月31日分）</v>
      </c>
      <c r="O1" s="1385"/>
      <c r="P1" s="1385"/>
    </row>
    <row r="2" spans="1:35" ht="20.100000000000001" customHeight="1">
      <c r="B2" s="1847" t="s">
        <v>427</v>
      </c>
      <c r="C2" s="1848"/>
      <c r="D2" s="1849"/>
      <c r="H2" s="5" t="s">
        <v>536</v>
      </c>
      <c r="I2" s="648" t="s">
        <v>537</v>
      </c>
      <c r="J2" s="5" t="s">
        <v>44</v>
      </c>
      <c r="K2" s="586"/>
      <c r="L2" s="586"/>
      <c r="M2" s="586"/>
      <c r="AC2" s="648" t="s">
        <v>417</v>
      </c>
      <c r="AD2" s="648" t="s">
        <v>415</v>
      </c>
      <c r="AF2" s="648" t="str">
        <f>AC9</f>
        <v>×</v>
      </c>
      <c r="AG2" s="648" t="str">
        <f>AC15</f>
        <v>○</v>
      </c>
      <c r="AH2" s="648" t="str">
        <f>AC22</f>
        <v>○</v>
      </c>
      <c r="AI2" s="648" t="str">
        <f>AC26</f>
        <v>○</v>
      </c>
    </row>
    <row r="3" spans="1:35" ht="20.100000000000001" customHeight="1">
      <c r="B3" s="1850"/>
      <c r="C3" s="1851"/>
      <c r="D3" s="1852"/>
      <c r="H3" s="351">
        <f>SUM(I30:I74)</f>
        <v>0</v>
      </c>
      <c r="I3" s="8"/>
      <c r="J3" s="351">
        <f>IFERROR(ROUNDUP(SUM(N30:N74)*((H3-I3)/H3),0),0)</f>
        <v>0</v>
      </c>
      <c r="K3" s="587"/>
      <c r="L3" s="587"/>
      <c r="M3" s="587"/>
      <c r="AC3" s="884" t="str">
        <f xml:space="preserve">
IF(COUNTIF(AG2:AI2,"○")=3,"○",
IF(COUNTIF(AG2:AI2,"◎")=3,"◎","×"
))</f>
        <v>○</v>
      </c>
      <c r="AD3" s="1842" t="str">
        <f xml:space="preserve">
IF(AC3="○","整備しない場合は入力不要です。",
IF(AC3="×","【要修正】入力が不十分な箇所があります。",
IF(AC3="◎","適切に入力がされました。")))</f>
        <v>整備しない場合は入力不要です。</v>
      </c>
    </row>
    <row r="4" spans="1:35" ht="9.9499999999999993" customHeight="1">
      <c r="AC4" s="884"/>
      <c r="AD4" s="1842"/>
    </row>
    <row r="5" spans="1:35" ht="20.100000000000001" customHeight="1">
      <c r="B5" s="652" t="s">
        <v>55</v>
      </c>
      <c r="C5" s="652"/>
      <c r="D5" s="652"/>
      <c r="E5" s="652"/>
      <c r="F5" s="652"/>
      <c r="G5" s="652"/>
      <c r="H5" s="652"/>
      <c r="I5" s="652"/>
      <c r="J5" s="652"/>
      <c r="K5" s="652"/>
      <c r="L5" s="652"/>
      <c r="M5" s="652"/>
      <c r="N5" s="652"/>
      <c r="O5" s="652"/>
      <c r="AC5" s="857"/>
      <c r="AD5" s="858"/>
    </row>
    <row r="6" spans="1:35" ht="9.9499999999999993" customHeight="1"/>
    <row r="7" spans="1:35" ht="20.100000000000001" customHeight="1">
      <c r="B7" s="1863" t="str">
        <f xml:space="preserve">
IF(OR(表紙!X2="事前協議",表紙!X2="交付申請"),"（１）整備を行う対象の新規で指定を受けた確保病床数あるいは、確保病床を有しない場合は整備を行う病床の数",
IF(表紙!X2="交付申請兼実績報告","（１）整備を行う対象の新規で指定を受けた確保病床数"))</f>
        <v>（１）整備を行う対象の新規で指定を受けた確保病床数</v>
      </c>
      <c r="C7" s="953"/>
      <c r="D7" s="953"/>
      <c r="E7" s="953"/>
      <c r="F7" s="953"/>
      <c r="G7" s="953"/>
      <c r="H7" s="953"/>
      <c r="I7" s="953"/>
      <c r="J7" s="953"/>
      <c r="K7" s="953"/>
      <c r="L7" s="953"/>
      <c r="M7" s="953"/>
      <c r="N7" s="953"/>
      <c r="O7" s="953"/>
      <c r="AC7" s="1838" t="s">
        <v>413</v>
      </c>
      <c r="AD7" s="1838" t="s">
        <v>415</v>
      </c>
    </row>
    <row r="8" spans="1:35" ht="9.9499999999999993" customHeight="1">
      <c r="AC8" s="1839"/>
      <c r="AD8" s="1839"/>
    </row>
    <row r="9" spans="1:35" ht="35.1" customHeight="1">
      <c r="B9" s="1864" t="s">
        <v>56</v>
      </c>
      <c r="C9" s="1865"/>
      <c r="D9" s="204" t="str">
        <f>IF(はじめに入力してください!K50="","",はじめに入力してください!K50)</f>
        <v/>
      </c>
      <c r="E9" s="352"/>
      <c r="F9" s="353"/>
      <c r="G9" s="353"/>
      <c r="H9" s="353"/>
      <c r="I9" s="353"/>
      <c r="J9" s="354"/>
      <c r="K9" s="354"/>
      <c r="L9" s="354"/>
      <c r="M9" s="354"/>
      <c r="N9" s="354"/>
      <c r="O9" s="354"/>
      <c r="AC9" s="648" t="str">
        <f xml:space="preserve">
IF(D9="","×",
IF(D9=0,"○",
IF(D9&gt;=1,"◎",
)))</f>
        <v>×</v>
      </c>
      <c r="AD9" s="649" t="str">
        <f xml:space="preserve">
IF(D9="","【要修正】「はじめに入力してください」シートに整備を行う病床の数を入力してください。",
IF(D9=0,"申請しない場合は以下入力不要です。",
IF(D9&gt;=1,"適切に入力されました。",
)))</f>
        <v>【要修正】「はじめに入力してください」シートに整備を行う病床の数を入力してください。</v>
      </c>
    </row>
    <row r="10" spans="1:35" ht="20.100000000000001" customHeight="1">
      <c r="B10" s="1860"/>
      <c r="C10" s="1861"/>
      <c r="D10" s="1862"/>
      <c r="E10" s="1862"/>
      <c r="F10" s="1862"/>
      <c r="G10" s="1862"/>
      <c r="H10" s="1862"/>
      <c r="I10" s="1862"/>
      <c r="J10" s="1862"/>
      <c r="K10" s="1862"/>
      <c r="L10" s="1862"/>
      <c r="M10" s="1862"/>
      <c r="N10" s="1862"/>
      <c r="O10" s="1862"/>
    </row>
    <row r="11" spans="1:35" ht="20.100000000000001" hidden="1" customHeight="1"/>
    <row r="12" spans="1:35" ht="20.100000000000001" customHeight="1">
      <c r="B12" s="1863" t="str">
        <f>初度設備!B12</f>
        <v>（２）この度、新たに整備を行う必要が生じた理由（フロア毎の対応から病室毎の対応への移行の計画内容）を詳しく記入してください。</v>
      </c>
      <c r="C12" s="953"/>
      <c r="D12" s="953"/>
      <c r="E12" s="953"/>
      <c r="F12" s="953"/>
      <c r="G12" s="953"/>
      <c r="H12" s="953"/>
      <c r="I12" s="953"/>
      <c r="J12" s="953"/>
      <c r="K12" s="953"/>
      <c r="L12" s="953"/>
      <c r="M12" s="953"/>
      <c r="N12" s="953"/>
      <c r="O12" s="953"/>
    </row>
    <row r="13" spans="1:35" ht="39.950000000000003" customHeight="1">
      <c r="B13" s="1843" t="s">
        <v>538</v>
      </c>
      <c r="C13" s="952"/>
      <c r="D13" s="952"/>
      <c r="E13" s="952"/>
      <c r="F13" s="952"/>
      <c r="G13" s="952"/>
      <c r="H13" s="952"/>
      <c r="I13" s="952"/>
      <c r="J13" s="952"/>
      <c r="K13" s="952"/>
      <c r="L13" s="952"/>
      <c r="M13" s="952"/>
      <c r="N13" s="952"/>
      <c r="O13" s="952"/>
    </row>
    <row r="14" spans="1:35" s="650" customFormat="1" ht="80.099999999999994" customHeight="1">
      <c r="A14" s="13"/>
      <c r="B14" s="1843" t="str">
        <f>VLOOKUP(B2,テーブル!M37:N51,2,FALSE)</f>
        <v>（例）当院は確保病床数が○○床と多いこと、入院患者の多くがコロナ罹患以前より移動の際の身体介助あるいは体位変換を必要とする高齢者であり、
　　　入院支援を行う医療スタッフへの負担の状態化が問題となっていた。
　　　上記対応に加えて、飛沫や吐瀉物の消毒作業が大きな負担となっており、これを軽減する上で装置の配備が有効であると判断したことから、
　　　本補助金を活用し消毒用照射装置を新たに○台整備することとしたい。</v>
      </c>
      <c r="C14" s="1675"/>
      <c r="D14" s="1675"/>
      <c r="E14" s="1675"/>
      <c r="F14" s="1675"/>
      <c r="G14" s="1675"/>
      <c r="H14" s="1675"/>
      <c r="I14" s="1675"/>
      <c r="J14" s="1675"/>
      <c r="K14" s="1675"/>
      <c r="L14" s="1675"/>
      <c r="M14" s="1675"/>
      <c r="N14" s="1675"/>
      <c r="O14" s="1675"/>
      <c r="AB14" s="13"/>
      <c r="AC14" s="548" t="s">
        <v>413</v>
      </c>
      <c r="AD14" s="548" t="s">
        <v>414</v>
      </c>
    </row>
    <row r="15" spans="1:35" ht="120" customHeight="1">
      <c r="B15" s="1844"/>
      <c r="C15" s="1845"/>
      <c r="D15" s="1845"/>
      <c r="E15" s="1845"/>
      <c r="F15" s="1845"/>
      <c r="G15" s="1845"/>
      <c r="H15" s="1845"/>
      <c r="I15" s="1845"/>
      <c r="J15" s="1845"/>
      <c r="K15" s="1845"/>
      <c r="L15" s="1845"/>
      <c r="M15" s="1845"/>
      <c r="N15" s="1845"/>
      <c r="O15" s="1846"/>
      <c r="AC15" s="648" t="str">
        <f xml:space="preserve">
IF(COUNTA(B15)=0,"○",
IF(COUNTA(B15)=1,"◎"))</f>
        <v>○</v>
      </c>
      <c r="AD15" s="649" t="str">
        <f xml:space="preserve">
IF(COUNTA(B15)=0,"整備しない場合は入力不要です。",
IF(COUNTA(B15)=1,"入力された状態になりました。"))</f>
        <v>整備しない場合は入力不要です。</v>
      </c>
    </row>
    <row r="16" spans="1:35" ht="20.100000000000001" customHeight="1"/>
    <row r="17" spans="1:30" ht="20.100000000000001" customHeight="1">
      <c r="B17" s="652" t="s">
        <v>452</v>
      </c>
      <c r="C17" s="652"/>
      <c r="D17" s="652"/>
      <c r="E17" s="652"/>
      <c r="F17" s="652"/>
      <c r="G17" s="652"/>
      <c r="H17" s="652"/>
      <c r="I17" s="652"/>
      <c r="J17" s="652"/>
      <c r="K17" s="652"/>
      <c r="L17" s="652"/>
      <c r="M17" s="652"/>
      <c r="N17" s="652"/>
      <c r="O17" s="652"/>
    </row>
    <row r="18" spans="1:30" ht="20.100000000000001" customHeight="1">
      <c r="B18" s="1843" t="s">
        <v>480</v>
      </c>
      <c r="C18" s="952"/>
      <c r="D18" s="952"/>
      <c r="E18" s="952"/>
      <c r="F18" s="952"/>
      <c r="G18" s="952"/>
      <c r="H18" s="952"/>
      <c r="I18" s="952"/>
      <c r="J18" s="952"/>
      <c r="K18" s="952"/>
      <c r="L18" s="952"/>
      <c r="M18" s="952"/>
      <c r="N18" s="952"/>
      <c r="O18" s="952"/>
    </row>
    <row r="19" spans="1:30" ht="20.100000000000001" customHeight="1">
      <c r="B19" s="1843"/>
      <c r="C19" s="952"/>
      <c r="D19" s="952"/>
      <c r="E19" s="952"/>
      <c r="F19" s="952"/>
      <c r="G19" s="952"/>
      <c r="H19" s="952"/>
      <c r="I19" s="952"/>
      <c r="J19" s="952"/>
      <c r="K19" s="952"/>
      <c r="L19" s="952"/>
      <c r="M19" s="952"/>
      <c r="N19" s="952"/>
      <c r="O19" s="952"/>
    </row>
    <row r="20" spans="1:30" ht="20.100000000000001" customHeight="1">
      <c r="B20" s="1843"/>
      <c r="C20" s="952"/>
      <c r="D20" s="952"/>
      <c r="E20" s="952"/>
      <c r="F20" s="952"/>
      <c r="G20" s="952"/>
      <c r="H20" s="952"/>
      <c r="I20" s="952"/>
      <c r="J20" s="952"/>
      <c r="K20" s="952"/>
      <c r="L20" s="952"/>
      <c r="M20" s="952"/>
      <c r="N20" s="952"/>
      <c r="O20" s="952"/>
    </row>
    <row r="21" spans="1:30" ht="20.100000000000001" customHeight="1">
      <c r="B21" s="952"/>
      <c r="C21" s="952"/>
      <c r="D21" s="952"/>
      <c r="E21" s="952"/>
      <c r="F21" s="952"/>
      <c r="G21" s="952"/>
      <c r="H21" s="952"/>
      <c r="I21" s="952"/>
      <c r="J21" s="952"/>
      <c r="K21" s="952"/>
      <c r="L21" s="952"/>
      <c r="M21" s="952"/>
      <c r="N21" s="952"/>
      <c r="O21" s="952"/>
    </row>
    <row r="22" spans="1:30" ht="120" customHeight="1">
      <c r="B22" s="1844"/>
      <c r="C22" s="1845"/>
      <c r="D22" s="1845"/>
      <c r="E22" s="1845"/>
      <c r="F22" s="1845"/>
      <c r="G22" s="1845"/>
      <c r="H22" s="1845"/>
      <c r="I22" s="1845"/>
      <c r="J22" s="1845"/>
      <c r="K22" s="1845"/>
      <c r="L22" s="1845"/>
      <c r="M22" s="1845"/>
      <c r="N22" s="1845"/>
      <c r="O22" s="1846"/>
      <c r="AC22" s="648" t="str">
        <f xml:space="preserve">
IF(COUNTA(B22)=0,"○",
IF(COUNTA(B22)=1,"◎"))</f>
        <v>○</v>
      </c>
      <c r="AD22" s="649" t="str">
        <f xml:space="preserve">
IF(COUNTA(B22)=0,"整備しない場合は入力不要です。",
IF(COUNTA(B22)=1,"入力された状態になりました。"))</f>
        <v>整備しない場合は入力不要です。</v>
      </c>
    </row>
    <row r="23" spans="1:30" ht="20.100000000000001" customHeight="1"/>
    <row r="24" spans="1:30" ht="20.100000000000001" customHeight="1">
      <c r="B24" s="652" t="s">
        <v>451</v>
      </c>
      <c r="C24" s="652"/>
      <c r="D24" s="652"/>
      <c r="E24" s="652"/>
      <c r="F24" s="652"/>
      <c r="G24" s="652"/>
      <c r="H24" s="652"/>
      <c r="I24" s="652"/>
      <c r="J24" s="652"/>
      <c r="K24" s="652"/>
      <c r="L24" s="652"/>
      <c r="M24" s="652"/>
      <c r="N24" s="652"/>
      <c r="O24" s="652"/>
      <c r="AC24" s="14"/>
    </row>
    <row r="25" spans="1:30" ht="9.9499999999999993" customHeight="1"/>
    <row r="26" spans="1:30" ht="60" customHeight="1">
      <c r="B26" s="1843" t="s">
        <v>559</v>
      </c>
      <c r="C26" s="953"/>
      <c r="D26" s="953"/>
      <c r="E26" s="953"/>
      <c r="F26" s="953"/>
      <c r="G26" s="953"/>
      <c r="H26" s="953"/>
      <c r="I26" s="953"/>
      <c r="J26" s="953"/>
      <c r="K26" s="953"/>
      <c r="L26" s="953"/>
      <c r="M26" s="953"/>
      <c r="N26" s="953"/>
      <c r="O26" s="953"/>
      <c r="AC26" s="648" t="str">
        <f xml:space="preserve">
IF(COUNTIF(AC30:AC74,"○")=45,"○",
IF(COUNTIF(AC30:AC74,"×")&gt;=1,"×",
IF(AND(COUNTIF(AC30:AC74,"◎")&gt;=1,COUNTIF(AC30:AC74,"×")=0),"◎")))</f>
        <v>○</v>
      </c>
      <c r="AD26" s="649" t="str">
        <f xml:space="preserve">
IF(COUNTIF(AC30:AC74,"○")=45,"整備しない場合は入力不要です。",
IF(COUNTIF(AC30:AC74,"×")&gt;=1,"【要修正】入力が不十分な箇所があります。",
IF(AND(COUNTIF(AC30:AC74,"◎")&gt;=1,COUNTIF(AC30:AC74,"×")=0),"適切に入力がされました。")))</f>
        <v>整備しない場合は入力不要です。</v>
      </c>
    </row>
    <row r="27" spans="1:30" ht="9.9499999999999993" customHeight="1">
      <c r="AC27" s="1837" t="s">
        <v>416</v>
      </c>
      <c r="AD27" s="1840" t="s">
        <v>418</v>
      </c>
    </row>
    <row r="28" spans="1:30" ht="18.75">
      <c r="B28" s="1853" t="s">
        <v>41</v>
      </c>
      <c r="C28" s="1854"/>
      <c r="D28" s="1855"/>
      <c r="E28" s="1853" t="s">
        <v>42</v>
      </c>
      <c r="F28" s="1855"/>
      <c r="G28" s="1853" t="s">
        <v>43</v>
      </c>
      <c r="H28" s="1854"/>
      <c r="I28" s="1854"/>
      <c r="J28" s="1855"/>
      <c r="K28" s="1858" t="str">
        <f xml:space="preserve">
IF(表紙!$X$2="事前協議","納品予定日",
IF(表紙!$X$2="交付申請（２次）","納品予定日",
IF(表紙!$X$2="変更申請","納品予定日",
IF(表紙!$X$2="実績報告（１次）","納品日",
IF(表紙!$X$2="実績報告（２次）","納品日",
IF(表紙!$X$2="交付申請兼実績報告","納品日"))))))</f>
        <v>納品日</v>
      </c>
      <c r="L28" s="1390"/>
      <c r="M28" s="1390"/>
      <c r="N28" s="1856" t="s">
        <v>44</v>
      </c>
      <c r="O28" s="1856" t="s">
        <v>45</v>
      </c>
      <c r="Q28" s="1835" t="str">
        <f>K28</f>
        <v>納品日</v>
      </c>
      <c r="R28" s="589"/>
      <c r="S28" s="589"/>
      <c r="T28" s="588"/>
      <c r="AC28" s="1105"/>
      <c r="AD28" s="1841"/>
    </row>
    <row r="29" spans="1:30">
      <c r="B29" s="651" t="s">
        <v>46</v>
      </c>
      <c r="C29" s="651" t="s">
        <v>47</v>
      </c>
      <c r="D29" s="651" t="s">
        <v>48</v>
      </c>
      <c r="E29" s="651" t="s">
        <v>54</v>
      </c>
      <c r="F29" s="651" t="s">
        <v>49</v>
      </c>
      <c r="G29" s="651" t="s">
        <v>50</v>
      </c>
      <c r="H29" s="651" t="s">
        <v>51</v>
      </c>
      <c r="I29" s="651" t="s">
        <v>52</v>
      </c>
      <c r="J29" s="651" t="s">
        <v>53</v>
      </c>
      <c r="K29" s="651" t="s">
        <v>1352</v>
      </c>
      <c r="L29" s="651" t="s">
        <v>1353</v>
      </c>
      <c r="M29" s="651" t="s">
        <v>1354</v>
      </c>
      <c r="N29" s="1857"/>
      <c r="O29" s="1857"/>
      <c r="Q29" s="1836"/>
      <c r="R29" s="648" t="s">
        <v>1352</v>
      </c>
      <c r="S29" s="648" t="s">
        <v>1353</v>
      </c>
      <c r="T29" s="648" t="s">
        <v>1354</v>
      </c>
      <c r="AC29" s="648" t="s">
        <v>413</v>
      </c>
      <c r="AD29" s="648" t="s">
        <v>415</v>
      </c>
    </row>
    <row r="30" spans="1:30">
      <c r="A30" s="12">
        <v>1</v>
      </c>
      <c r="B30" s="6"/>
      <c r="C30" s="6"/>
      <c r="D30" s="6"/>
      <c r="E30" s="10"/>
      <c r="F30" s="7"/>
      <c r="G30" s="531"/>
      <c r="H30" s="15">
        <f>ROUNDDOWN(G30*1.1,0)</f>
        <v>0</v>
      </c>
      <c r="I30" s="4">
        <f>F30*H30</f>
        <v>0</v>
      </c>
      <c r="J30" s="9"/>
      <c r="K30" s="595"/>
      <c r="L30" s="595"/>
      <c r="M30" s="595"/>
      <c r="N30" s="4">
        <f>IF(J30="補助対象",I30,IF(J30="補助対象外",0,0))</f>
        <v>0</v>
      </c>
      <c r="O30" s="5" t="str">
        <f>IF(AC30="◎",COUNTIF($AC$30:AC30,"◎"),"")</f>
        <v/>
      </c>
      <c r="Q30" s="596" t="str">
        <f>IF(AND(AC30="◎",J30="補助対象"),DATE(IF(K30=5,2023,IF(K30=6,2024)),L30,M30),"")</f>
        <v/>
      </c>
      <c r="R30" s="648" t="str">
        <f>IF(Q30=MAX($Q$30:$Q$74),K30,"")</f>
        <v/>
      </c>
      <c r="S30" s="648" t="str">
        <f>IF(Q30=MAX($Q$30:$Q$74),L30,"")</f>
        <v/>
      </c>
      <c r="T30" s="648" t="str">
        <f>IF(Q30=MAX($Q$30:$Q$74),M30,"")</f>
        <v/>
      </c>
      <c r="Z30" s="649" t="str">
        <f>IF(B30="個別病床",はじめに入力してください!$K$50,IF(B30="共通使用",はじめに入力してください!$K$52,""))</f>
        <v/>
      </c>
      <c r="AB30" s="12">
        <v>1</v>
      </c>
      <c r="AC30" s="648" t="str">
        <f xml:space="preserve">
IF(SUM(COUNTA(B30:G30),COUNTA(J30:M30))=0,"○",
IF(AND(SUM(COUNTA(B30:G30),COUNTA(J30:M30))&gt;0,SUM(COUNTA(B30:G30),COUNTA(J30:M30))&lt;10),"×",
IF(SUM(COUNTA(B30:G30),COUNTA(J30:M30))=10,"◎")))</f>
        <v>○</v>
      </c>
      <c r="AD30" s="649" t="str">
        <f xml:space="preserve">
IF(SUM(COUNTA(B30:G30),COUNTA(J30))=0,"整備しない場合は入力不要です。",
IF(AND(SUM(COUNTA(B30:G30),COUNTA(J30))&gt;0,SUM(COUNTA(B30:G30),COUNTA(J30))&lt;7),"【要修正】未入力の箇所があります。",
IF(SUM(COUNTA(B30:G30),COUNTA(J30))=7,"適切に入力がされました。")))</f>
        <v>整備しない場合は入力不要です。</v>
      </c>
    </row>
    <row r="31" spans="1:30">
      <c r="A31" s="12">
        <v>2</v>
      </c>
      <c r="B31" s="6"/>
      <c r="C31" s="6"/>
      <c r="D31" s="6"/>
      <c r="E31" s="10"/>
      <c r="F31" s="7"/>
      <c r="G31" s="531"/>
      <c r="H31" s="15">
        <f t="shared" ref="H31:H74" si="0">ROUNDDOWN(G31*1.1,0)</f>
        <v>0</v>
      </c>
      <c r="I31" s="4">
        <f t="shared" ref="I31:I74" si="1">F31*H31</f>
        <v>0</v>
      </c>
      <c r="J31" s="9"/>
      <c r="K31" s="595"/>
      <c r="L31" s="595"/>
      <c r="M31" s="595"/>
      <c r="N31" s="4">
        <f t="shared" ref="N31:N74" si="2">IF(J31="補助対象",I31,IF(J31="補助対象外",0,0))</f>
        <v>0</v>
      </c>
      <c r="O31" s="5" t="str">
        <f>IF(AC31="◎",COUNTIF($AC$30:AC31,"◎"),"")</f>
        <v/>
      </c>
      <c r="Q31" s="596" t="str">
        <f t="shared" ref="Q31:Q74" si="3">IF(AND(AC31="◎",J31="補助対象"),DATE(IF(K31=5,2023,IF(K31=6,2024)),L31,M31),"")</f>
        <v/>
      </c>
      <c r="R31" s="648" t="str">
        <f t="shared" ref="R31:R74" si="4">IF(Q31=MAX($Q$30:$Q$74),K31,"")</f>
        <v/>
      </c>
      <c r="S31" s="648" t="str">
        <f t="shared" ref="S31:S74" si="5">IF(Q31=MAX($Q$30:$Q$74),L31,"")</f>
        <v/>
      </c>
      <c r="T31" s="648" t="str">
        <f t="shared" ref="T31:T74" si="6">IF(Q31=MAX($Q$30:$Q$74),M31,"")</f>
        <v/>
      </c>
      <c r="Z31" s="649" t="str">
        <f>IF(B31="個別病床",はじめに入力してください!$K$50,IF(B31="共通使用",はじめに入力してください!$K$52,""))</f>
        <v/>
      </c>
      <c r="AB31" s="12">
        <v>2</v>
      </c>
      <c r="AC31" s="648" t="str">
        <f t="shared" ref="AC31:AC74" si="7" xml:space="preserve">
IF(SUM(COUNTA(B31:G31),COUNTA(J31:M31))=0,"○",
IF(AND(SUM(COUNTA(B31:G31),COUNTA(J31:M31))&gt;0,SUM(COUNTA(B31:G31),COUNTA(J31:M31))&lt;10),"×",
IF(SUM(COUNTA(B31:G31),COUNTA(J31:M31))=10,"◎")))</f>
        <v>○</v>
      </c>
      <c r="AD31" s="649" t="str">
        <f t="shared" ref="AD31:AD74" si="8" xml:space="preserve">
IF(SUM(COUNTA(B31:G31),COUNTA(J31))=0,"整備しない場合は入力不要です。",
IF(AND(SUM(COUNTA(B31:G31),COUNTA(J31))&gt;0,SUM(COUNTA(B31:G31),COUNTA(J31))&lt;7),"【要修正】未入力の箇所があります。",
IF(SUM(COUNTA(B31:G31),COUNTA(J31))=7,"適切に入力がされました。")))</f>
        <v>整備しない場合は入力不要です。</v>
      </c>
    </row>
    <row r="32" spans="1:30">
      <c r="A32" s="12">
        <v>3</v>
      </c>
      <c r="B32" s="6"/>
      <c r="C32" s="6"/>
      <c r="D32" s="6"/>
      <c r="E32" s="10"/>
      <c r="F32" s="7"/>
      <c r="G32" s="531"/>
      <c r="H32" s="15">
        <f t="shared" si="0"/>
        <v>0</v>
      </c>
      <c r="I32" s="4">
        <f t="shared" si="1"/>
        <v>0</v>
      </c>
      <c r="J32" s="9"/>
      <c r="K32" s="595"/>
      <c r="L32" s="595"/>
      <c r="M32" s="595"/>
      <c r="N32" s="4">
        <f t="shared" si="2"/>
        <v>0</v>
      </c>
      <c r="O32" s="5" t="str">
        <f>IF(AC32="◎",COUNTIF($AC$30:AC32,"◎"),"")</f>
        <v/>
      </c>
      <c r="Q32" s="596" t="str">
        <f t="shared" si="3"/>
        <v/>
      </c>
      <c r="R32" s="648" t="str">
        <f t="shared" si="4"/>
        <v/>
      </c>
      <c r="S32" s="648" t="str">
        <f t="shared" si="5"/>
        <v/>
      </c>
      <c r="T32" s="648" t="str">
        <f t="shared" si="6"/>
        <v/>
      </c>
      <c r="Z32" s="649" t="str">
        <f>IF(B32="個別病床",はじめに入力してください!$K$50,IF(B32="共通使用",はじめに入力してください!$K$52,""))</f>
        <v/>
      </c>
      <c r="AB32" s="12">
        <v>3</v>
      </c>
      <c r="AC32" s="648" t="str">
        <f t="shared" si="7"/>
        <v>○</v>
      </c>
      <c r="AD32" s="649" t="str">
        <f t="shared" si="8"/>
        <v>整備しない場合は入力不要です。</v>
      </c>
    </row>
    <row r="33" spans="1:30">
      <c r="A33" s="12">
        <v>4</v>
      </c>
      <c r="B33" s="6"/>
      <c r="C33" s="6"/>
      <c r="D33" s="6"/>
      <c r="E33" s="10"/>
      <c r="F33" s="7"/>
      <c r="G33" s="531"/>
      <c r="H33" s="15">
        <f t="shared" si="0"/>
        <v>0</v>
      </c>
      <c r="I33" s="4">
        <f t="shared" si="1"/>
        <v>0</v>
      </c>
      <c r="J33" s="9"/>
      <c r="K33" s="595"/>
      <c r="L33" s="595"/>
      <c r="M33" s="595"/>
      <c r="N33" s="4">
        <f t="shared" si="2"/>
        <v>0</v>
      </c>
      <c r="O33" s="5" t="str">
        <f>IF(AC33="◎",COUNTIF($AC$30:AC33,"◎"),"")</f>
        <v/>
      </c>
      <c r="Q33" s="596" t="str">
        <f t="shared" si="3"/>
        <v/>
      </c>
      <c r="R33" s="648" t="str">
        <f t="shared" si="4"/>
        <v/>
      </c>
      <c r="S33" s="648" t="str">
        <f t="shared" si="5"/>
        <v/>
      </c>
      <c r="T33" s="648" t="str">
        <f t="shared" si="6"/>
        <v/>
      </c>
      <c r="Z33" s="649" t="str">
        <f>IF(B33="個別病床",はじめに入力してください!$K$50,IF(B33="共通使用",はじめに入力してください!$K$52,""))</f>
        <v/>
      </c>
      <c r="AB33" s="12">
        <v>4</v>
      </c>
      <c r="AC33" s="648" t="str">
        <f t="shared" si="7"/>
        <v>○</v>
      </c>
      <c r="AD33" s="649" t="str">
        <f t="shared" si="8"/>
        <v>整備しない場合は入力不要です。</v>
      </c>
    </row>
    <row r="34" spans="1:30">
      <c r="A34" s="12">
        <v>5</v>
      </c>
      <c r="B34" s="6"/>
      <c r="C34" s="6"/>
      <c r="D34" s="6"/>
      <c r="E34" s="10"/>
      <c r="F34" s="7"/>
      <c r="G34" s="531"/>
      <c r="H34" s="15">
        <f t="shared" si="0"/>
        <v>0</v>
      </c>
      <c r="I34" s="4">
        <f t="shared" si="1"/>
        <v>0</v>
      </c>
      <c r="J34" s="9"/>
      <c r="K34" s="595"/>
      <c r="L34" s="595"/>
      <c r="M34" s="595"/>
      <c r="N34" s="4">
        <f t="shared" si="2"/>
        <v>0</v>
      </c>
      <c r="O34" s="5" t="str">
        <f>IF(AC34="◎",COUNTIF($AC$30:AC34,"◎"),"")</f>
        <v/>
      </c>
      <c r="Q34" s="596" t="str">
        <f t="shared" si="3"/>
        <v/>
      </c>
      <c r="R34" s="648" t="str">
        <f t="shared" si="4"/>
        <v/>
      </c>
      <c r="S34" s="648" t="str">
        <f t="shared" si="5"/>
        <v/>
      </c>
      <c r="T34" s="648" t="str">
        <f t="shared" si="6"/>
        <v/>
      </c>
      <c r="Z34" s="649" t="str">
        <f>IF(B34="個別病床",はじめに入力してください!$K$50,IF(B34="共通使用",はじめに入力してください!$K$52,""))</f>
        <v/>
      </c>
      <c r="AB34" s="12">
        <v>5</v>
      </c>
      <c r="AC34" s="648" t="str">
        <f t="shared" si="7"/>
        <v>○</v>
      </c>
      <c r="AD34" s="649" t="str">
        <f t="shared" si="8"/>
        <v>整備しない場合は入力不要です。</v>
      </c>
    </row>
    <row r="35" spans="1:30">
      <c r="A35" s="12">
        <v>6</v>
      </c>
      <c r="B35" s="6"/>
      <c r="C35" s="6"/>
      <c r="D35" s="6"/>
      <c r="E35" s="10"/>
      <c r="F35" s="7"/>
      <c r="G35" s="531"/>
      <c r="H35" s="15">
        <f t="shared" si="0"/>
        <v>0</v>
      </c>
      <c r="I35" s="4">
        <f t="shared" si="1"/>
        <v>0</v>
      </c>
      <c r="J35" s="9"/>
      <c r="K35" s="595"/>
      <c r="L35" s="595"/>
      <c r="M35" s="595"/>
      <c r="N35" s="4">
        <f t="shared" si="2"/>
        <v>0</v>
      </c>
      <c r="O35" s="5" t="str">
        <f>IF(AC35="◎",COUNTIF($AC$30:AC35,"◎"),"")</f>
        <v/>
      </c>
      <c r="Q35" s="596" t="str">
        <f t="shared" si="3"/>
        <v/>
      </c>
      <c r="R35" s="648" t="str">
        <f t="shared" si="4"/>
        <v/>
      </c>
      <c r="S35" s="648" t="str">
        <f t="shared" si="5"/>
        <v/>
      </c>
      <c r="T35" s="648" t="str">
        <f t="shared" si="6"/>
        <v/>
      </c>
      <c r="Z35" s="649" t="str">
        <f>IF(B35="個別病床",はじめに入力してください!$K$50,IF(B35="共通使用",はじめに入力してください!$K$52,""))</f>
        <v/>
      </c>
      <c r="AB35" s="12">
        <v>6</v>
      </c>
      <c r="AC35" s="648" t="str">
        <f t="shared" si="7"/>
        <v>○</v>
      </c>
      <c r="AD35" s="649" t="str">
        <f t="shared" si="8"/>
        <v>整備しない場合は入力不要です。</v>
      </c>
    </row>
    <row r="36" spans="1:30">
      <c r="A36" s="12">
        <v>7</v>
      </c>
      <c r="B36" s="6"/>
      <c r="C36" s="6"/>
      <c r="D36" s="6"/>
      <c r="E36" s="10"/>
      <c r="F36" s="7"/>
      <c r="G36" s="531"/>
      <c r="H36" s="15">
        <f t="shared" si="0"/>
        <v>0</v>
      </c>
      <c r="I36" s="4">
        <f t="shared" si="1"/>
        <v>0</v>
      </c>
      <c r="J36" s="9"/>
      <c r="K36" s="595"/>
      <c r="L36" s="595"/>
      <c r="M36" s="595"/>
      <c r="N36" s="4">
        <f t="shared" si="2"/>
        <v>0</v>
      </c>
      <c r="O36" s="5" t="str">
        <f>IF(AC36="◎",COUNTIF($AC$30:AC36,"◎"),"")</f>
        <v/>
      </c>
      <c r="Q36" s="596" t="str">
        <f t="shared" si="3"/>
        <v/>
      </c>
      <c r="R36" s="648" t="str">
        <f t="shared" si="4"/>
        <v/>
      </c>
      <c r="S36" s="648" t="str">
        <f t="shared" si="5"/>
        <v/>
      </c>
      <c r="T36" s="648" t="str">
        <f t="shared" si="6"/>
        <v/>
      </c>
      <c r="Z36" s="649" t="str">
        <f>IF(B36="個別病床",はじめに入力してください!$K$50,IF(B36="共通使用",はじめに入力してください!$K$52,""))</f>
        <v/>
      </c>
      <c r="AB36" s="12">
        <v>7</v>
      </c>
      <c r="AC36" s="648" t="str">
        <f t="shared" si="7"/>
        <v>○</v>
      </c>
      <c r="AD36" s="649" t="str">
        <f t="shared" si="8"/>
        <v>整備しない場合は入力不要です。</v>
      </c>
    </row>
    <row r="37" spans="1:30">
      <c r="A37" s="12">
        <v>8</v>
      </c>
      <c r="B37" s="6"/>
      <c r="C37" s="6"/>
      <c r="D37" s="6"/>
      <c r="E37" s="10"/>
      <c r="F37" s="7"/>
      <c r="G37" s="531"/>
      <c r="H37" s="15">
        <f t="shared" si="0"/>
        <v>0</v>
      </c>
      <c r="I37" s="4">
        <f t="shared" si="1"/>
        <v>0</v>
      </c>
      <c r="J37" s="9"/>
      <c r="K37" s="595"/>
      <c r="L37" s="595"/>
      <c r="M37" s="595"/>
      <c r="N37" s="4">
        <f t="shared" si="2"/>
        <v>0</v>
      </c>
      <c r="O37" s="5" t="str">
        <f>IF(AC37="◎",COUNTIF($AC$30:AC37,"◎"),"")</f>
        <v/>
      </c>
      <c r="Q37" s="596" t="str">
        <f t="shared" si="3"/>
        <v/>
      </c>
      <c r="R37" s="648" t="str">
        <f t="shared" si="4"/>
        <v/>
      </c>
      <c r="S37" s="648" t="str">
        <f t="shared" si="5"/>
        <v/>
      </c>
      <c r="T37" s="648" t="str">
        <f t="shared" si="6"/>
        <v/>
      </c>
      <c r="Z37" s="649" t="str">
        <f>IF(B37="個別病床",はじめに入力してください!$K$50,IF(B37="共通使用",はじめに入力してください!$K$52,""))</f>
        <v/>
      </c>
      <c r="AB37" s="12">
        <v>8</v>
      </c>
      <c r="AC37" s="648" t="str">
        <f t="shared" si="7"/>
        <v>○</v>
      </c>
      <c r="AD37" s="649" t="str">
        <f t="shared" si="8"/>
        <v>整備しない場合は入力不要です。</v>
      </c>
    </row>
    <row r="38" spans="1:30">
      <c r="A38" s="12">
        <v>9</v>
      </c>
      <c r="B38" s="6"/>
      <c r="C38" s="6"/>
      <c r="D38" s="6"/>
      <c r="E38" s="10"/>
      <c r="F38" s="7"/>
      <c r="G38" s="531"/>
      <c r="H38" s="15">
        <f t="shared" si="0"/>
        <v>0</v>
      </c>
      <c r="I38" s="4">
        <f t="shared" si="1"/>
        <v>0</v>
      </c>
      <c r="J38" s="9"/>
      <c r="K38" s="595"/>
      <c r="L38" s="595"/>
      <c r="M38" s="595"/>
      <c r="N38" s="4">
        <f t="shared" si="2"/>
        <v>0</v>
      </c>
      <c r="O38" s="5" t="str">
        <f>IF(AC38="◎",COUNTIF($AC$30:AC38,"◎"),"")</f>
        <v/>
      </c>
      <c r="Q38" s="596" t="str">
        <f t="shared" si="3"/>
        <v/>
      </c>
      <c r="R38" s="648" t="str">
        <f t="shared" si="4"/>
        <v/>
      </c>
      <c r="S38" s="648" t="str">
        <f t="shared" si="5"/>
        <v/>
      </c>
      <c r="T38" s="648" t="str">
        <f t="shared" si="6"/>
        <v/>
      </c>
      <c r="Z38" s="649" t="str">
        <f>IF(B38="個別病床",はじめに入力してください!$K$50,IF(B38="共通使用",はじめに入力してください!$K$52,""))</f>
        <v/>
      </c>
      <c r="AB38" s="12">
        <v>9</v>
      </c>
      <c r="AC38" s="648" t="str">
        <f t="shared" si="7"/>
        <v>○</v>
      </c>
      <c r="AD38" s="649" t="str">
        <f t="shared" si="8"/>
        <v>整備しない場合は入力不要です。</v>
      </c>
    </row>
    <row r="39" spans="1:30">
      <c r="A39" s="12">
        <v>10</v>
      </c>
      <c r="B39" s="6"/>
      <c r="C39" s="6"/>
      <c r="D39" s="6"/>
      <c r="E39" s="10"/>
      <c r="F39" s="7"/>
      <c r="G39" s="531"/>
      <c r="H39" s="15">
        <f t="shared" si="0"/>
        <v>0</v>
      </c>
      <c r="I39" s="4">
        <f t="shared" si="1"/>
        <v>0</v>
      </c>
      <c r="J39" s="9"/>
      <c r="K39" s="595"/>
      <c r="L39" s="595"/>
      <c r="M39" s="595"/>
      <c r="N39" s="4">
        <f t="shared" si="2"/>
        <v>0</v>
      </c>
      <c r="O39" s="5" t="str">
        <f>IF(AC39="◎",COUNTIF($AC$30:AC39,"◎"),"")</f>
        <v/>
      </c>
      <c r="Q39" s="596" t="str">
        <f t="shared" si="3"/>
        <v/>
      </c>
      <c r="R39" s="648" t="str">
        <f t="shared" si="4"/>
        <v/>
      </c>
      <c r="S39" s="648" t="str">
        <f t="shared" si="5"/>
        <v/>
      </c>
      <c r="T39" s="648" t="str">
        <f t="shared" si="6"/>
        <v/>
      </c>
      <c r="Z39" s="649" t="str">
        <f>IF(B39="個別病床",はじめに入力してください!$K$50,IF(B39="共通使用",はじめに入力してください!$K$52,""))</f>
        <v/>
      </c>
      <c r="AB39" s="12">
        <v>10</v>
      </c>
      <c r="AC39" s="648" t="str">
        <f t="shared" si="7"/>
        <v>○</v>
      </c>
      <c r="AD39" s="649" t="str">
        <f t="shared" si="8"/>
        <v>整備しない場合は入力不要です。</v>
      </c>
    </row>
    <row r="40" spans="1:30">
      <c r="A40" s="12">
        <v>11</v>
      </c>
      <c r="B40" s="6"/>
      <c r="C40" s="6"/>
      <c r="D40" s="6"/>
      <c r="E40" s="10"/>
      <c r="F40" s="7"/>
      <c r="G40" s="531"/>
      <c r="H40" s="15">
        <f t="shared" si="0"/>
        <v>0</v>
      </c>
      <c r="I40" s="4">
        <f t="shared" si="1"/>
        <v>0</v>
      </c>
      <c r="J40" s="9"/>
      <c r="K40" s="595"/>
      <c r="L40" s="595"/>
      <c r="M40" s="595"/>
      <c r="N40" s="4">
        <f t="shared" si="2"/>
        <v>0</v>
      </c>
      <c r="O40" s="5" t="str">
        <f>IF(AC40="◎",COUNTIF($AC$30:AC40,"◎"),"")</f>
        <v/>
      </c>
      <c r="Q40" s="596" t="str">
        <f t="shared" si="3"/>
        <v/>
      </c>
      <c r="R40" s="648" t="str">
        <f t="shared" si="4"/>
        <v/>
      </c>
      <c r="S40" s="648" t="str">
        <f t="shared" si="5"/>
        <v/>
      </c>
      <c r="T40" s="648" t="str">
        <f t="shared" si="6"/>
        <v/>
      </c>
      <c r="Z40" s="649" t="str">
        <f>IF(B40="個別病床",はじめに入力してください!$K$50,IF(B40="共通使用",はじめに入力してください!$K$52,""))</f>
        <v/>
      </c>
      <c r="AB40" s="12">
        <v>11</v>
      </c>
      <c r="AC40" s="648" t="str">
        <f t="shared" si="7"/>
        <v>○</v>
      </c>
      <c r="AD40" s="649" t="str">
        <f t="shared" si="8"/>
        <v>整備しない場合は入力不要です。</v>
      </c>
    </row>
    <row r="41" spans="1:30">
      <c r="A41" s="12">
        <v>12</v>
      </c>
      <c r="B41" s="6"/>
      <c r="C41" s="6"/>
      <c r="D41" s="6"/>
      <c r="E41" s="10"/>
      <c r="F41" s="7"/>
      <c r="G41" s="531"/>
      <c r="H41" s="15">
        <f t="shared" si="0"/>
        <v>0</v>
      </c>
      <c r="I41" s="4">
        <f t="shared" si="1"/>
        <v>0</v>
      </c>
      <c r="J41" s="9"/>
      <c r="K41" s="595"/>
      <c r="L41" s="595"/>
      <c r="M41" s="595"/>
      <c r="N41" s="4">
        <f t="shared" si="2"/>
        <v>0</v>
      </c>
      <c r="O41" s="5" t="str">
        <f>IF(AC41="◎",COUNTIF($AC$30:AC41,"◎"),"")</f>
        <v/>
      </c>
      <c r="Q41" s="596" t="str">
        <f t="shared" si="3"/>
        <v/>
      </c>
      <c r="R41" s="648" t="str">
        <f t="shared" si="4"/>
        <v/>
      </c>
      <c r="S41" s="648" t="str">
        <f t="shared" si="5"/>
        <v/>
      </c>
      <c r="T41" s="648" t="str">
        <f t="shared" si="6"/>
        <v/>
      </c>
      <c r="Z41" s="649" t="str">
        <f>IF(B41="個別病床",はじめに入力してください!$K$50,IF(B41="共通使用",はじめに入力してください!$K$52,""))</f>
        <v/>
      </c>
      <c r="AB41" s="12">
        <v>12</v>
      </c>
      <c r="AC41" s="648" t="str">
        <f t="shared" si="7"/>
        <v>○</v>
      </c>
      <c r="AD41" s="649" t="str">
        <f t="shared" si="8"/>
        <v>整備しない場合は入力不要です。</v>
      </c>
    </row>
    <row r="42" spans="1:30">
      <c r="A42" s="12">
        <v>13</v>
      </c>
      <c r="B42" s="6"/>
      <c r="C42" s="6"/>
      <c r="D42" s="6"/>
      <c r="E42" s="10"/>
      <c r="F42" s="7"/>
      <c r="G42" s="531"/>
      <c r="H42" s="15">
        <f t="shared" si="0"/>
        <v>0</v>
      </c>
      <c r="I42" s="4">
        <f t="shared" si="1"/>
        <v>0</v>
      </c>
      <c r="J42" s="9"/>
      <c r="K42" s="595"/>
      <c r="L42" s="595"/>
      <c r="M42" s="595"/>
      <c r="N42" s="4">
        <f t="shared" si="2"/>
        <v>0</v>
      </c>
      <c r="O42" s="5" t="str">
        <f>IF(AC42="◎",COUNTIF($AC$30:AC42,"◎"),"")</f>
        <v/>
      </c>
      <c r="Q42" s="596" t="str">
        <f t="shared" si="3"/>
        <v/>
      </c>
      <c r="R42" s="648" t="str">
        <f t="shared" si="4"/>
        <v/>
      </c>
      <c r="S42" s="648" t="str">
        <f t="shared" si="5"/>
        <v/>
      </c>
      <c r="T42" s="648" t="str">
        <f t="shared" si="6"/>
        <v/>
      </c>
      <c r="Z42" s="649" t="str">
        <f>IF(B42="個別病床",はじめに入力してください!$K$50,IF(B42="共通使用",はじめに入力してください!$K$52,""))</f>
        <v/>
      </c>
      <c r="AB42" s="12">
        <v>13</v>
      </c>
      <c r="AC42" s="648" t="str">
        <f t="shared" si="7"/>
        <v>○</v>
      </c>
      <c r="AD42" s="649" t="str">
        <f t="shared" si="8"/>
        <v>整備しない場合は入力不要です。</v>
      </c>
    </row>
    <row r="43" spans="1:30">
      <c r="A43" s="12">
        <v>14</v>
      </c>
      <c r="B43" s="6"/>
      <c r="C43" s="6"/>
      <c r="D43" s="6"/>
      <c r="E43" s="10"/>
      <c r="F43" s="7"/>
      <c r="G43" s="531"/>
      <c r="H43" s="15">
        <f t="shared" si="0"/>
        <v>0</v>
      </c>
      <c r="I43" s="4">
        <f t="shared" si="1"/>
        <v>0</v>
      </c>
      <c r="J43" s="9"/>
      <c r="K43" s="595"/>
      <c r="L43" s="595"/>
      <c r="M43" s="595"/>
      <c r="N43" s="4">
        <f t="shared" si="2"/>
        <v>0</v>
      </c>
      <c r="O43" s="5" t="str">
        <f>IF(AC43="◎",COUNTIF($AC$30:AC43,"◎"),"")</f>
        <v/>
      </c>
      <c r="Q43" s="596" t="str">
        <f t="shared" si="3"/>
        <v/>
      </c>
      <c r="R43" s="648" t="str">
        <f t="shared" si="4"/>
        <v/>
      </c>
      <c r="S43" s="648" t="str">
        <f t="shared" si="5"/>
        <v/>
      </c>
      <c r="T43" s="648" t="str">
        <f t="shared" si="6"/>
        <v/>
      </c>
      <c r="Z43" s="649" t="str">
        <f>IF(B43="個別病床",はじめに入力してください!$K$50,IF(B43="共通使用",はじめに入力してください!$K$52,""))</f>
        <v/>
      </c>
      <c r="AB43" s="12">
        <v>14</v>
      </c>
      <c r="AC43" s="648" t="str">
        <f t="shared" si="7"/>
        <v>○</v>
      </c>
      <c r="AD43" s="649" t="str">
        <f t="shared" si="8"/>
        <v>整備しない場合は入力不要です。</v>
      </c>
    </row>
    <row r="44" spans="1:30">
      <c r="A44" s="12">
        <v>15</v>
      </c>
      <c r="B44" s="6"/>
      <c r="C44" s="6"/>
      <c r="D44" s="6"/>
      <c r="E44" s="10"/>
      <c r="F44" s="7"/>
      <c r="G44" s="531"/>
      <c r="H44" s="15">
        <f t="shared" si="0"/>
        <v>0</v>
      </c>
      <c r="I44" s="4">
        <f t="shared" si="1"/>
        <v>0</v>
      </c>
      <c r="J44" s="9"/>
      <c r="K44" s="595"/>
      <c r="L44" s="595"/>
      <c r="M44" s="595"/>
      <c r="N44" s="4">
        <f t="shared" si="2"/>
        <v>0</v>
      </c>
      <c r="O44" s="5" t="str">
        <f>IF(AC44="◎",COUNTIF($AC$30:AC44,"◎"),"")</f>
        <v/>
      </c>
      <c r="Q44" s="596" t="str">
        <f t="shared" si="3"/>
        <v/>
      </c>
      <c r="R44" s="648" t="str">
        <f t="shared" si="4"/>
        <v/>
      </c>
      <c r="S44" s="648" t="str">
        <f t="shared" si="5"/>
        <v/>
      </c>
      <c r="T44" s="648" t="str">
        <f t="shared" si="6"/>
        <v/>
      </c>
      <c r="Z44" s="649" t="str">
        <f>IF(B44="個別病床",はじめに入力してください!$K$50,IF(B44="共通使用",はじめに入力してください!$K$52,""))</f>
        <v/>
      </c>
      <c r="AB44" s="12">
        <v>15</v>
      </c>
      <c r="AC44" s="648" t="str">
        <f t="shared" si="7"/>
        <v>○</v>
      </c>
      <c r="AD44" s="649" t="str">
        <f t="shared" si="8"/>
        <v>整備しない場合は入力不要です。</v>
      </c>
    </row>
    <row r="45" spans="1:30">
      <c r="A45" s="12">
        <v>16</v>
      </c>
      <c r="B45" s="6"/>
      <c r="C45" s="6"/>
      <c r="D45" s="6"/>
      <c r="E45" s="10"/>
      <c r="F45" s="7"/>
      <c r="G45" s="531"/>
      <c r="H45" s="15">
        <f t="shared" si="0"/>
        <v>0</v>
      </c>
      <c r="I45" s="4">
        <f t="shared" si="1"/>
        <v>0</v>
      </c>
      <c r="J45" s="9"/>
      <c r="K45" s="595"/>
      <c r="L45" s="595"/>
      <c r="M45" s="595"/>
      <c r="N45" s="4">
        <f t="shared" si="2"/>
        <v>0</v>
      </c>
      <c r="O45" s="5" t="str">
        <f>IF(AC45="◎",COUNTIF($AC$30:AC45,"◎"),"")</f>
        <v/>
      </c>
      <c r="Q45" s="596" t="str">
        <f t="shared" si="3"/>
        <v/>
      </c>
      <c r="R45" s="648" t="str">
        <f t="shared" si="4"/>
        <v/>
      </c>
      <c r="S45" s="648" t="str">
        <f t="shared" si="5"/>
        <v/>
      </c>
      <c r="T45" s="648" t="str">
        <f t="shared" si="6"/>
        <v/>
      </c>
      <c r="Z45" s="649" t="str">
        <f>IF(B45="個別病床",はじめに入力してください!$K$50,IF(B45="共通使用",はじめに入力してください!$K$52,""))</f>
        <v/>
      </c>
      <c r="AB45" s="12">
        <v>16</v>
      </c>
      <c r="AC45" s="648" t="str">
        <f t="shared" si="7"/>
        <v>○</v>
      </c>
      <c r="AD45" s="649" t="str">
        <f t="shared" si="8"/>
        <v>整備しない場合は入力不要です。</v>
      </c>
    </row>
    <row r="46" spans="1:30">
      <c r="A46" s="12">
        <v>17</v>
      </c>
      <c r="B46" s="6"/>
      <c r="C46" s="6"/>
      <c r="D46" s="6"/>
      <c r="E46" s="10"/>
      <c r="F46" s="7"/>
      <c r="G46" s="531"/>
      <c r="H46" s="15">
        <f t="shared" si="0"/>
        <v>0</v>
      </c>
      <c r="I46" s="4">
        <f t="shared" si="1"/>
        <v>0</v>
      </c>
      <c r="J46" s="9"/>
      <c r="K46" s="595"/>
      <c r="L46" s="595"/>
      <c r="M46" s="595"/>
      <c r="N46" s="4">
        <f t="shared" si="2"/>
        <v>0</v>
      </c>
      <c r="O46" s="5" t="str">
        <f>IF(AC46="◎",COUNTIF($AC$30:AC46,"◎"),"")</f>
        <v/>
      </c>
      <c r="Q46" s="596" t="str">
        <f t="shared" si="3"/>
        <v/>
      </c>
      <c r="R46" s="648" t="str">
        <f t="shared" si="4"/>
        <v/>
      </c>
      <c r="S46" s="648" t="str">
        <f t="shared" si="5"/>
        <v/>
      </c>
      <c r="T46" s="648" t="str">
        <f t="shared" si="6"/>
        <v/>
      </c>
      <c r="Z46" s="649" t="str">
        <f>IF(B46="個別病床",はじめに入力してください!$K$50,IF(B46="共通使用",はじめに入力してください!$K$52,""))</f>
        <v/>
      </c>
      <c r="AB46" s="12">
        <v>17</v>
      </c>
      <c r="AC46" s="648" t="str">
        <f t="shared" si="7"/>
        <v>○</v>
      </c>
      <c r="AD46" s="649" t="str">
        <f t="shared" si="8"/>
        <v>整備しない場合は入力不要です。</v>
      </c>
    </row>
    <row r="47" spans="1:30">
      <c r="A47" s="12">
        <v>18</v>
      </c>
      <c r="B47" s="6"/>
      <c r="C47" s="6"/>
      <c r="D47" s="6"/>
      <c r="E47" s="10"/>
      <c r="F47" s="7"/>
      <c r="G47" s="531"/>
      <c r="H47" s="15">
        <f t="shared" si="0"/>
        <v>0</v>
      </c>
      <c r="I47" s="4">
        <f t="shared" si="1"/>
        <v>0</v>
      </c>
      <c r="J47" s="9"/>
      <c r="K47" s="595"/>
      <c r="L47" s="595"/>
      <c r="M47" s="595"/>
      <c r="N47" s="4">
        <f t="shared" si="2"/>
        <v>0</v>
      </c>
      <c r="O47" s="5" t="str">
        <f>IF(AC47="◎",COUNTIF($AC$30:AC47,"◎"),"")</f>
        <v/>
      </c>
      <c r="Q47" s="596" t="str">
        <f t="shared" si="3"/>
        <v/>
      </c>
      <c r="R47" s="648" t="str">
        <f t="shared" si="4"/>
        <v/>
      </c>
      <c r="S47" s="648" t="str">
        <f t="shared" si="5"/>
        <v/>
      </c>
      <c r="T47" s="648" t="str">
        <f t="shared" si="6"/>
        <v/>
      </c>
      <c r="Z47" s="649" t="str">
        <f>IF(B47="個別病床",はじめに入力してください!$K$50,IF(B47="共通使用",はじめに入力してください!$K$52,""))</f>
        <v/>
      </c>
      <c r="AB47" s="12">
        <v>18</v>
      </c>
      <c r="AC47" s="648" t="str">
        <f t="shared" si="7"/>
        <v>○</v>
      </c>
      <c r="AD47" s="649" t="str">
        <f t="shared" si="8"/>
        <v>整備しない場合は入力不要です。</v>
      </c>
    </row>
    <row r="48" spans="1:30">
      <c r="A48" s="12">
        <v>19</v>
      </c>
      <c r="B48" s="6"/>
      <c r="C48" s="6"/>
      <c r="D48" s="6"/>
      <c r="E48" s="10"/>
      <c r="F48" s="7"/>
      <c r="G48" s="531"/>
      <c r="H48" s="15">
        <f t="shared" si="0"/>
        <v>0</v>
      </c>
      <c r="I48" s="4">
        <f t="shared" si="1"/>
        <v>0</v>
      </c>
      <c r="J48" s="9"/>
      <c r="K48" s="595"/>
      <c r="L48" s="595"/>
      <c r="M48" s="595"/>
      <c r="N48" s="4">
        <f t="shared" si="2"/>
        <v>0</v>
      </c>
      <c r="O48" s="5" t="str">
        <f>IF(AC48="◎",COUNTIF($AC$30:AC48,"◎"),"")</f>
        <v/>
      </c>
      <c r="Q48" s="596" t="str">
        <f t="shared" si="3"/>
        <v/>
      </c>
      <c r="R48" s="648" t="str">
        <f t="shared" si="4"/>
        <v/>
      </c>
      <c r="S48" s="648" t="str">
        <f t="shared" si="5"/>
        <v/>
      </c>
      <c r="T48" s="648" t="str">
        <f t="shared" si="6"/>
        <v/>
      </c>
      <c r="Z48" s="649" t="str">
        <f>IF(B48="個別病床",はじめに入力してください!$K$50,IF(B48="共通使用",はじめに入力してください!$K$52,""))</f>
        <v/>
      </c>
      <c r="AB48" s="12">
        <v>19</v>
      </c>
      <c r="AC48" s="648" t="str">
        <f t="shared" si="7"/>
        <v>○</v>
      </c>
      <c r="AD48" s="649" t="str">
        <f t="shared" si="8"/>
        <v>整備しない場合は入力不要です。</v>
      </c>
    </row>
    <row r="49" spans="1:30">
      <c r="A49" s="12">
        <v>20</v>
      </c>
      <c r="B49" s="6"/>
      <c r="C49" s="6"/>
      <c r="D49" s="6"/>
      <c r="E49" s="10"/>
      <c r="F49" s="7"/>
      <c r="G49" s="531"/>
      <c r="H49" s="15">
        <f t="shared" si="0"/>
        <v>0</v>
      </c>
      <c r="I49" s="4">
        <f t="shared" si="1"/>
        <v>0</v>
      </c>
      <c r="J49" s="9"/>
      <c r="K49" s="595"/>
      <c r="L49" s="595"/>
      <c r="M49" s="595"/>
      <c r="N49" s="4">
        <f t="shared" si="2"/>
        <v>0</v>
      </c>
      <c r="O49" s="5" t="str">
        <f>IF(AC49="◎",COUNTIF($AC$30:AC49,"◎"),"")</f>
        <v/>
      </c>
      <c r="Q49" s="596" t="str">
        <f t="shared" si="3"/>
        <v/>
      </c>
      <c r="R49" s="648" t="str">
        <f t="shared" si="4"/>
        <v/>
      </c>
      <c r="S49" s="648" t="str">
        <f t="shared" si="5"/>
        <v/>
      </c>
      <c r="T49" s="648" t="str">
        <f t="shared" si="6"/>
        <v/>
      </c>
      <c r="Z49" s="649" t="str">
        <f>IF(B49="個別病床",はじめに入力してください!$K$50,IF(B49="共通使用",はじめに入力してください!$K$52,""))</f>
        <v/>
      </c>
      <c r="AB49" s="12">
        <v>20</v>
      </c>
      <c r="AC49" s="648" t="str">
        <f t="shared" si="7"/>
        <v>○</v>
      </c>
      <c r="AD49" s="649" t="str">
        <f t="shared" si="8"/>
        <v>整備しない場合は入力不要です。</v>
      </c>
    </row>
    <row r="50" spans="1:30">
      <c r="A50" s="12">
        <v>21</v>
      </c>
      <c r="B50" s="6"/>
      <c r="C50" s="6"/>
      <c r="D50" s="6"/>
      <c r="E50" s="10"/>
      <c r="F50" s="7"/>
      <c r="G50" s="531"/>
      <c r="H50" s="15">
        <f t="shared" si="0"/>
        <v>0</v>
      </c>
      <c r="I50" s="4">
        <f t="shared" si="1"/>
        <v>0</v>
      </c>
      <c r="J50" s="9"/>
      <c r="K50" s="595"/>
      <c r="L50" s="595"/>
      <c r="M50" s="595"/>
      <c r="N50" s="4">
        <f t="shared" si="2"/>
        <v>0</v>
      </c>
      <c r="O50" s="5" t="str">
        <f>IF(AC50="◎",COUNTIF($AC$30:AC50,"◎"),"")</f>
        <v/>
      </c>
      <c r="Q50" s="596" t="str">
        <f t="shared" si="3"/>
        <v/>
      </c>
      <c r="R50" s="648" t="str">
        <f t="shared" si="4"/>
        <v/>
      </c>
      <c r="S50" s="648" t="str">
        <f t="shared" si="5"/>
        <v/>
      </c>
      <c r="T50" s="648" t="str">
        <f t="shared" si="6"/>
        <v/>
      </c>
      <c r="Z50" s="649" t="str">
        <f>IF(B50="個別病床",はじめに入力してください!$K$50,IF(B50="共通使用",はじめに入力してください!$K$52,""))</f>
        <v/>
      </c>
      <c r="AB50" s="12">
        <v>21</v>
      </c>
      <c r="AC50" s="648" t="str">
        <f t="shared" si="7"/>
        <v>○</v>
      </c>
      <c r="AD50" s="649" t="str">
        <f t="shared" si="8"/>
        <v>整備しない場合は入力不要です。</v>
      </c>
    </row>
    <row r="51" spans="1:30">
      <c r="A51" s="12">
        <v>22</v>
      </c>
      <c r="B51" s="6"/>
      <c r="C51" s="6"/>
      <c r="D51" s="6"/>
      <c r="E51" s="10"/>
      <c r="F51" s="7"/>
      <c r="G51" s="531"/>
      <c r="H51" s="15">
        <f t="shared" si="0"/>
        <v>0</v>
      </c>
      <c r="I51" s="4">
        <f t="shared" si="1"/>
        <v>0</v>
      </c>
      <c r="J51" s="9"/>
      <c r="K51" s="595"/>
      <c r="L51" s="595"/>
      <c r="M51" s="595"/>
      <c r="N51" s="4">
        <f t="shared" si="2"/>
        <v>0</v>
      </c>
      <c r="O51" s="5" t="str">
        <f>IF(AC51="◎",COUNTIF($AC$30:AC51,"◎"),"")</f>
        <v/>
      </c>
      <c r="Q51" s="596" t="str">
        <f t="shared" si="3"/>
        <v/>
      </c>
      <c r="R51" s="648" t="str">
        <f t="shared" si="4"/>
        <v/>
      </c>
      <c r="S51" s="648" t="str">
        <f t="shared" si="5"/>
        <v/>
      </c>
      <c r="T51" s="648" t="str">
        <f t="shared" si="6"/>
        <v/>
      </c>
      <c r="Z51" s="649" t="str">
        <f>IF(B51="個別病床",はじめに入力してください!$K$50,IF(B51="共通使用",はじめに入力してください!$K$52,""))</f>
        <v/>
      </c>
      <c r="AB51" s="12">
        <v>22</v>
      </c>
      <c r="AC51" s="648" t="str">
        <f t="shared" si="7"/>
        <v>○</v>
      </c>
      <c r="AD51" s="649" t="str">
        <f t="shared" si="8"/>
        <v>整備しない場合は入力不要です。</v>
      </c>
    </row>
    <row r="52" spans="1:30">
      <c r="A52" s="12">
        <v>23</v>
      </c>
      <c r="B52" s="6"/>
      <c r="C52" s="6"/>
      <c r="D52" s="6"/>
      <c r="E52" s="10"/>
      <c r="F52" s="7"/>
      <c r="G52" s="531"/>
      <c r="H52" s="15">
        <f t="shared" si="0"/>
        <v>0</v>
      </c>
      <c r="I52" s="4">
        <f t="shared" si="1"/>
        <v>0</v>
      </c>
      <c r="J52" s="9"/>
      <c r="K52" s="595"/>
      <c r="L52" s="595"/>
      <c r="M52" s="595"/>
      <c r="N52" s="4">
        <f t="shared" si="2"/>
        <v>0</v>
      </c>
      <c r="O52" s="5" t="str">
        <f>IF(AC52="◎",COUNTIF($AC$30:AC52,"◎"),"")</f>
        <v/>
      </c>
      <c r="Q52" s="596" t="str">
        <f t="shared" si="3"/>
        <v/>
      </c>
      <c r="R52" s="648" t="str">
        <f t="shared" si="4"/>
        <v/>
      </c>
      <c r="S52" s="648" t="str">
        <f t="shared" si="5"/>
        <v/>
      </c>
      <c r="T52" s="648" t="str">
        <f t="shared" si="6"/>
        <v/>
      </c>
      <c r="Z52" s="649" t="str">
        <f>IF(B52="個別病床",はじめに入力してください!$K$50,IF(B52="共通使用",はじめに入力してください!$K$52,""))</f>
        <v/>
      </c>
      <c r="AB52" s="12">
        <v>23</v>
      </c>
      <c r="AC52" s="648" t="str">
        <f t="shared" si="7"/>
        <v>○</v>
      </c>
      <c r="AD52" s="649" t="str">
        <f t="shared" si="8"/>
        <v>整備しない場合は入力不要です。</v>
      </c>
    </row>
    <row r="53" spans="1:30">
      <c r="A53" s="12">
        <v>24</v>
      </c>
      <c r="B53" s="6"/>
      <c r="C53" s="6"/>
      <c r="D53" s="6"/>
      <c r="E53" s="10"/>
      <c r="F53" s="7"/>
      <c r="G53" s="531"/>
      <c r="H53" s="15">
        <f t="shared" si="0"/>
        <v>0</v>
      </c>
      <c r="I53" s="4">
        <f t="shared" si="1"/>
        <v>0</v>
      </c>
      <c r="J53" s="9"/>
      <c r="K53" s="595"/>
      <c r="L53" s="595"/>
      <c r="M53" s="595"/>
      <c r="N53" s="4">
        <f t="shared" si="2"/>
        <v>0</v>
      </c>
      <c r="O53" s="5" t="str">
        <f>IF(AC53="◎",COUNTIF($AC$30:AC53,"◎"),"")</f>
        <v/>
      </c>
      <c r="Q53" s="596" t="str">
        <f t="shared" si="3"/>
        <v/>
      </c>
      <c r="R53" s="648" t="str">
        <f t="shared" si="4"/>
        <v/>
      </c>
      <c r="S53" s="648" t="str">
        <f t="shared" si="5"/>
        <v/>
      </c>
      <c r="T53" s="648" t="str">
        <f t="shared" si="6"/>
        <v/>
      </c>
      <c r="Z53" s="649" t="str">
        <f>IF(B53="個別病床",はじめに入力してください!$K$50,IF(B53="共通使用",はじめに入力してください!$K$52,""))</f>
        <v/>
      </c>
      <c r="AB53" s="12">
        <v>24</v>
      </c>
      <c r="AC53" s="648" t="str">
        <f t="shared" si="7"/>
        <v>○</v>
      </c>
      <c r="AD53" s="649" t="str">
        <f t="shared" si="8"/>
        <v>整備しない場合は入力不要です。</v>
      </c>
    </row>
    <row r="54" spans="1:30">
      <c r="A54" s="12">
        <v>25</v>
      </c>
      <c r="B54" s="6"/>
      <c r="C54" s="6"/>
      <c r="D54" s="6"/>
      <c r="E54" s="10"/>
      <c r="F54" s="7"/>
      <c r="G54" s="531"/>
      <c r="H54" s="15">
        <f t="shared" si="0"/>
        <v>0</v>
      </c>
      <c r="I54" s="4">
        <f t="shared" si="1"/>
        <v>0</v>
      </c>
      <c r="J54" s="9"/>
      <c r="K54" s="595"/>
      <c r="L54" s="595"/>
      <c r="M54" s="595"/>
      <c r="N54" s="4">
        <f t="shared" si="2"/>
        <v>0</v>
      </c>
      <c r="O54" s="5" t="str">
        <f>IF(AC54="◎",COUNTIF($AC$30:AC54,"◎"),"")</f>
        <v/>
      </c>
      <c r="Q54" s="596" t="str">
        <f t="shared" si="3"/>
        <v/>
      </c>
      <c r="R54" s="648" t="str">
        <f t="shared" si="4"/>
        <v/>
      </c>
      <c r="S54" s="648" t="str">
        <f t="shared" si="5"/>
        <v/>
      </c>
      <c r="T54" s="648" t="str">
        <f t="shared" si="6"/>
        <v/>
      </c>
      <c r="Z54" s="649" t="str">
        <f>IF(B54="個別病床",はじめに入力してください!$K$50,IF(B54="共通使用",はじめに入力してください!$K$52,""))</f>
        <v/>
      </c>
      <c r="AB54" s="12">
        <v>25</v>
      </c>
      <c r="AC54" s="648" t="str">
        <f t="shared" si="7"/>
        <v>○</v>
      </c>
      <c r="AD54" s="649" t="str">
        <f t="shared" si="8"/>
        <v>整備しない場合は入力不要です。</v>
      </c>
    </row>
    <row r="55" spans="1:30">
      <c r="A55" s="12">
        <v>26</v>
      </c>
      <c r="B55" s="6"/>
      <c r="C55" s="6"/>
      <c r="D55" s="6"/>
      <c r="E55" s="10"/>
      <c r="F55" s="7"/>
      <c r="G55" s="531"/>
      <c r="H55" s="15">
        <f t="shared" si="0"/>
        <v>0</v>
      </c>
      <c r="I55" s="4">
        <f t="shared" si="1"/>
        <v>0</v>
      </c>
      <c r="J55" s="9"/>
      <c r="K55" s="595"/>
      <c r="L55" s="595"/>
      <c r="M55" s="595"/>
      <c r="N55" s="4">
        <f t="shared" si="2"/>
        <v>0</v>
      </c>
      <c r="O55" s="5" t="str">
        <f>IF(AC55="◎",COUNTIF($AC$30:AC55,"◎"),"")</f>
        <v/>
      </c>
      <c r="Q55" s="596" t="str">
        <f t="shared" si="3"/>
        <v/>
      </c>
      <c r="R55" s="648" t="str">
        <f t="shared" si="4"/>
        <v/>
      </c>
      <c r="S55" s="648" t="str">
        <f t="shared" si="5"/>
        <v/>
      </c>
      <c r="T55" s="648" t="str">
        <f t="shared" si="6"/>
        <v/>
      </c>
      <c r="Z55" s="649" t="str">
        <f>IF(B55="個別病床",はじめに入力してください!$K$50,IF(B55="共通使用",はじめに入力してください!$K$52,""))</f>
        <v/>
      </c>
      <c r="AB55" s="12">
        <v>26</v>
      </c>
      <c r="AC55" s="648" t="str">
        <f t="shared" si="7"/>
        <v>○</v>
      </c>
      <c r="AD55" s="649" t="str">
        <f t="shared" si="8"/>
        <v>整備しない場合は入力不要です。</v>
      </c>
    </row>
    <row r="56" spans="1:30">
      <c r="A56" s="12">
        <v>27</v>
      </c>
      <c r="B56" s="6"/>
      <c r="C56" s="6"/>
      <c r="D56" s="6"/>
      <c r="E56" s="10"/>
      <c r="F56" s="7"/>
      <c r="G56" s="531"/>
      <c r="H56" s="15">
        <f t="shared" si="0"/>
        <v>0</v>
      </c>
      <c r="I56" s="4">
        <f t="shared" si="1"/>
        <v>0</v>
      </c>
      <c r="J56" s="9"/>
      <c r="K56" s="595"/>
      <c r="L56" s="595"/>
      <c r="M56" s="595"/>
      <c r="N56" s="4">
        <f t="shared" si="2"/>
        <v>0</v>
      </c>
      <c r="O56" s="5" t="str">
        <f>IF(AC56="◎",COUNTIF($AC$30:AC56,"◎"),"")</f>
        <v/>
      </c>
      <c r="Q56" s="596" t="str">
        <f t="shared" si="3"/>
        <v/>
      </c>
      <c r="R56" s="648" t="str">
        <f t="shared" si="4"/>
        <v/>
      </c>
      <c r="S56" s="648" t="str">
        <f t="shared" si="5"/>
        <v/>
      </c>
      <c r="T56" s="648" t="str">
        <f t="shared" si="6"/>
        <v/>
      </c>
      <c r="Z56" s="649" t="str">
        <f>IF(B56="個別病床",はじめに入力してください!$K$50,IF(B56="共通使用",はじめに入力してください!$K$52,""))</f>
        <v/>
      </c>
      <c r="AB56" s="12">
        <v>27</v>
      </c>
      <c r="AC56" s="648" t="str">
        <f t="shared" si="7"/>
        <v>○</v>
      </c>
      <c r="AD56" s="649" t="str">
        <f t="shared" si="8"/>
        <v>整備しない場合は入力不要です。</v>
      </c>
    </row>
    <row r="57" spans="1:30">
      <c r="A57" s="12">
        <v>28</v>
      </c>
      <c r="B57" s="6"/>
      <c r="C57" s="6"/>
      <c r="D57" s="6"/>
      <c r="E57" s="10"/>
      <c r="F57" s="7"/>
      <c r="G57" s="531"/>
      <c r="H57" s="15">
        <f t="shared" si="0"/>
        <v>0</v>
      </c>
      <c r="I57" s="4">
        <f t="shared" si="1"/>
        <v>0</v>
      </c>
      <c r="J57" s="9"/>
      <c r="K57" s="595"/>
      <c r="L57" s="595"/>
      <c r="M57" s="595"/>
      <c r="N57" s="4">
        <f t="shared" si="2"/>
        <v>0</v>
      </c>
      <c r="O57" s="5" t="str">
        <f>IF(AC57="◎",COUNTIF($AC$30:AC57,"◎"),"")</f>
        <v/>
      </c>
      <c r="Q57" s="596" t="str">
        <f t="shared" si="3"/>
        <v/>
      </c>
      <c r="R57" s="648" t="str">
        <f t="shared" si="4"/>
        <v/>
      </c>
      <c r="S57" s="648" t="str">
        <f t="shared" si="5"/>
        <v/>
      </c>
      <c r="T57" s="648" t="str">
        <f t="shared" si="6"/>
        <v/>
      </c>
      <c r="Z57" s="649" t="str">
        <f>IF(B57="個別病床",はじめに入力してください!$K$50,IF(B57="共通使用",はじめに入力してください!$K$52,""))</f>
        <v/>
      </c>
      <c r="AB57" s="12">
        <v>28</v>
      </c>
      <c r="AC57" s="648" t="str">
        <f t="shared" si="7"/>
        <v>○</v>
      </c>
      <c r="AD57" s="649" t="str">
        <f t="shared" si="8"/>
        <v>整備しない場合は入力不要です。</v>
      </c>
    </row>
    <row r="58" spans="1:30">
      <c r="A58" s="12">
        <v>29</v>
      </c>
      <c r="B58" s="6"/>
      <c r="C58" s="6"/>
      <c r="D58" s="6"/>
      <c r="E58" s="10"/>
      <c r="F58" s="7"/>
      <c r="G58" s="531"/>
      <c r="H58" s="15">
        <f t="shared" si="0"/>
        <v>0</v>
      </c>
      <c r="I58" s="4">
        <f t="shared" si="1"/>
        <v>0</v>
      </c>
      <c r="J58" s="9"/>
      <c r="K58" s="595"/>
      <c r="L58" s="595"/>
      <c r="M58" s="595"/>
      <c r="N58" s="4">
        <f t="shared" si="2"/>
        <v>0</v>
      </c>
      <c r="O58" s="5" t="str">
        <f>IF(AC58="◎",COUNTIF($AC$30:AC58,"◎"),"")</f>
        <v/>
      </c>
      <c r="Q58" s="596" t="str">
        <f t="shared" si="3"/>
        <v/>
      </c>
      <c r="R58" s="648" t="str">
        <f t="shared" si="4"/>
        <v/>
      </c>
      <c r="S58" s="648" t="str">
        <f t="shared" si="5"/>
        <v/>
      </c>
      <c r="T58" s="648" t="str">
        <f t="shared" si="6"/>
        <v/>
      </c>
      <c r="Z58" s="649" t="str">
        <f>IF(B58="個別病床",はじめに入力してください!$K$50,IF(B58="共通使用",はじめに入力してください!$K$52,""))</f>
        <v/>
      </c>
      <c r="AB58" s="12">
        <v>29</v>
      </c>
      <c r="AC58" s="648" t="str">
        <f t="shared" si="7"/>
        <v>○</v>
      </c>
      <c r="AD58" s="649" t="str">
        <f t="shared" si="8"/>
        <v>整備しない場合は入力不要です。</v>
      </c>
    </row>
    <row r="59" spans="1:30">
      <c r="A59" s="12">
        <v>30</v>
      </c>
      <c r="B59" s="6"/>
      <c r="C59" s="6"/>
      <c r="D59" s="6"/>
      <c r="E59" s="10"/>
      <c r="F59" s="7"/>
      <c r="G59" s="531"/>
      <c r="H59" s="15">
        <f t="shared" si="0"/>
        <v>0</v>
      </c>
      <c r="I59" s="4">
        <f t="shared" si="1"/>
        <v>0</v>
      </c>
      <c r="J59" s="9"/>
      <c r="K59" s="595"/>
      <c r="L59" s="595"/>
      <c r="M59" s="595"/>
      <c r="N59" s="4">
        <f t="shared" si="2"/>
        <v>0</v>
      </c>
      <c r="O59" s="5" t="str">
        <f>IF(AC59="◎",COUNTIF($AC$30:AC59,"◎"),"")</f>
        <v/>
      </c>
      <c r="Q59" s="596" t="str">
        <f t="shared" si="3"/>
        <v/>
      </c>
      <c r="R59" s="648" t="str">
        <f t="shared" si="4"/>
        <v/>
      </c>
      <c r="S59" s="648" t="str">
        <f t="shared" si="5"/>
        <v/>
      </c>
      <c r="T59" s="648" t="str">
        <f t="shared" si="6"/>
        <v/>
      </c>
      <c r="Z59" s="649" t="str">
        <f>IF(B59="個別病床",はじめに入力してください!$K$50,IF(B59="共通使用",はじめに入力してください!$K$52,""))</f>
        <v/>
      </c>
      <c r="AB59" s="12">
        <v>30</v>
      </c>
      <c r="AC59" s="648" t="str">
        <f t="shared" si="7"/>
        <v>○</v>
      </c>
      <c r="AD59" s="649" t="str">
        <f t="shared" si="8"/>
        <v>整備しない場合は入力不要です。</v>
      </c>
    </row>
    <row r="60" spans="1:30">
      <c r="A60" s="12">
        <v>31</v>
      </c>
      <c r="B60" s="6"/>
      <c r="C60" s="6"/>
      <c r="D60" s="6"/>
      <c r="E60" s="10"/>
      <c r="F60" s="7"/>
      <c r="G60" s="531"/>
      <c r="H60" s="15">
        <f t="shared" si="0"/>
        <v>0</v>
      </c>
      <c r="I60" s="4">
        <f t="shared" si="1"/>
        <v>0</v>
      </c>
      <c r="J60" s="9"/>
      <c r="K60" s="595"/>
      <c r="L60" s="595"/>
      <c r="M60" s="595"/>
      <c r="N60" s="4">
        <f t="shared" si="2"/>
        <v>0</v>
      </c>
      <c r="O60" s="5" t="str">
        <f>IF(AC60="◎",COUNTIF($AC$30:AC60,"◎"),"")</f>
        <v/>
      </c>
      <c r="Q60" s="596" t="str">
        <f t="shared" si="3"/>
        <v/>
      </c>
      <c r="R60" s="648" t="str">
        <f t="shared" si="4"/>
        <v/>
      </c>
      <c r="S60" s="648" t="str">
        <f t="shared" si="5"/>
        <v/>
      </c>
      <c r="T60" s="648" t="str">
        <f t="shared" si="6"/>
        <v/>
      </c>
      <c r="Z60" s="649" t="str">
        <f>IF(B60="個別病床",はじめに入力してください!$K$50,IF(B60="共通使用",はじめに入力してください!$K$52,""))</f>
        <v/>
      </c>
      <c r="AB60" s="12">
        <v>31</v>
      </c>
      <c r="AC60" s="648" t="str">
        <f t="shared" si="7"/>
        <v>○</v>
      </c>
      <c r="AD60" s="649" t="str">
        <f t="shared" si="8"/>
        <v>整備しない場合は入力不要です。</v>
      </c>
    </row>
    <row r="61" spans="1:30">
      <c r="A61" s="12">
        <v>32</v>
      </c>
      <c r="B61" s="6"/>
      <c r="C61" s="6"/>
      <c r="D61" s="6"/>
      <c r="E61" s="10"/>
      <c r="F61" s="7"/>
      <c r="G61" s="531"/>
      <c r="H61" s="15">
        <f t="shared" si="0"/>
        <v>0</v>
      </c>
      <c r="I61" s="4">
        <f t="shared" si="1"/>
        <v>0</v>
      </c>
      <c r="J61" s="9"/>
      <c r="K61" s="595"/>
      <c r="L61" s="595"/>
      <c r="M61" s="595"/>
      <c r="N61" s="4">
        <f t="shared" si="2"/>
        <v>0</v>
      </c>
      <c r="O61" s="5" t="str">
        <f>IF(AC61="◎",COUNTIF($AC$30:AC61,"◎"),"")</f>
        <v/>
      </c>
      <c r="Q61" s="596" t="str">
        <f t="shared" si="3"/>
        <v/>
      </c>
      <c r="R61" s="648" t="str">
        <f t="shared" si="4"/>
        <v/>
      </c>
      <c r="S61" s="648" t="str">
        <f t="shared" si="5"/>
        <v/>
      </c>
      <c r="T61" s="648" t="str">
        <f t="shared" si="6"/>
        <v/>
      </c>
      <c r="Z61" s="649" t="str">
        <f>IF(B61="個別病床",はじめに入力してください!$K$50,IF(B61="共通使用",はじめに入力してください!$K$52,""))</f>
        <v/>
      </c>
      <c r="AB61" s="12">
        <v>32</v>
      </c>
      <c r="AC61" s="648" t="str">
        <f t="shared" si="7"/>
        <v>○</v>
      </c>
      <c r="AD61" s="649" t="str">
        <f t="shared" si="8"/>
        <v>整備しない場合は入力不要です。</v>
      </c>
    </row>
    <row r="62" spans="1:30">
      <c r="A62" s="12">
        <v>33</v>
      </c>
      <c r="B62" s="6"/>
      <c r="C62" s="6"/>
      <c r="D62" s="6"/>
      <c r="E62" s="10"/>
      <c r="F62" s="7"/>
      <c r="G62" s="531"/>
      <c r="H62" s="15">
        <f t="shared" si="0"/>
        <v>0</v>
      </c>
      <c r="I62" s="4">
        <f t="shared" si="1"/>
        <v>0</v>
      </c>
      <c r="J62" s="9"/>
      <c r="K62" s="595"/>
      <c r="L62" s="595"/>
      <c r="M62" s="595"/>
      <c r="N62" s="4">
        <f t="shared" si="2"/>
        <v>0</v>
      </c>
      <c r="O62" s="5" t="str">
        <f>IF(AC62="◎",COUNTIF($AC$30:AC62,"◎"),"")</f>
        <v/>
      </c>
      <c r="Q62" s="596" t="str">
        <f t="shared" si="3"/>
        <v/>
      </c>
      <c r="R62" s="648" t="str">
        <f t="shared" si="4"/>
        <v/>
      </c>
      <c r="S62" s="648" t="str">
        <f t="shared" si="5"/>
        <v/>
      </c>
      <c r="T62" s="648" t="str">
        <f t="shared" si="6"/>
        <v/>
      </c>
      <c r="Z62" s="649" t="str">
        <f>IF(B62="個別病床",はじめに入力してください!$K$50,IF(B62="共通使用",はじめに入力してください!$K$52,""))</f>
        <v/>
      </c>
      <c r="AB62" s="12">
        <v>33</v>
      </c>
      <c r="AC62" s="648" t="str">
        <f t="shared" si="7"/>
        <v>○</v>
      </c>
      <c r="AD62" s="649" t="str">
        <f t="shared" si="8"/>
        <v>整備しない場合は入力不要です。</v>
      </c>
    </row>
    <row r="63" spans="1:30">
      <c r="A63" s="12">
        <v>34</v>
      </c>
      <c r="B63" s="6"/>
      <c r="C63" s="6"/>
      <c r="D63" s="6"/>
      <c r="E63" s="10"/>
      <c r="F63" s="7"/>
      <c r="G63" s="531"/>
      <c r="H63" s="15">
        <f t="shared" si="0"/>
        <v>0</v>
      </c>
      <c r="I63" s="4">
        <f t="shared" si="1"/>
        <v>0</v>
      </c>
      <c r="J63" s="9"/>
      <c r="K63" s="595"/>
      <c r="L63" s="595"/>
      <c r="M63" s="595"/>
      <c r="N63" s="4">
        <f t="shared" si="2"/>
        <v>0</v>
      </c>
      <c r="O63" s="5" t="str">
        <f>IF(AC63="◎",COUNTIF($AC$30:AC63,"◎"),"")</f>
        <v/>
      </c>
      <c r="Q63" s="596" t="str">
        <f t="shared" si="3"/>
        <v/>
      </c>
      <c r="R63" s="648" t="str">
        <f t="shared" si="4"/>
        <v/>
      </c>
      <c r="S63" s="648" t="str">
        <f t="shared" si="5"/>
        <v/>
      </c>
      <c r="T63" s="648" t="str">
        <f t="shared" si="6"/>
        <v/>
      </c>
      <c r="Z63" s="649" t="str">
        <f>IF(B63="個別病床",はじめに入力してください!$K$50,IF(B63="共通使用",はじめに入力してください!$K$52,""))</f>
        <v/>
      </c>
      <c r="AB63" s="12">
        <v>34</v>
      </c>
      <c r="AC63" s="648" t="str">
        <f t="shared" si="7"/>
        <v>○</v>
      </c>
      <c r="AD63" s="649" t="str">
        <f t="shared" si="8"/>
        <v>整備しない場合は入力不要です。</v>
      </c>
    </row>
    <row r="64" spans="1:30">
      <c r="A64" s="12">
        <v>35</v>
      </c>
      <c r="B64" s="6"/>
      <c r="C64" s="6"/>
      <c r="D64" s="6"/>
      <c r="E64" s="10"/>
      <c r="F64" s="7"/>
      <c r="G64" s="531"/>
      <c r="H64" s="15">
        <f t="shared" si="0"/>
        <v>0</v>
      </c>
      <c r="I64" s="4">
        <f t="shared" si="1"/>
        <v>0</v>
      </c>
      <c r="J64" s="9"/>
      <c r="K64" s="595"/>
      <c r="L64" s="595"/>
      <c r="M64" s="595"/>
      <c r="N64" s="4">
        <f t="shared" si="2"/>
        <v>0</v>
      </c>
      <c r="O64" s="5" t="str">
        <f>IF(AC64="◎",COUNTIF($AC$30:AC64,"◎"),"")</f>
        <v/>
      </c>
      <c r="Q64" s="596" t="str">
        <f t="shared" si="3"/>
        <v/>
      </c>
      <c r="R64" s="648" t="str">
        <f t="shared" si="4"/>
        <v/>
      </c>
      <c r="S64" s="648" t="str">
        <f t="shared" si="5"/>
        <v/>
      </c>
      <c r="T64" s="648" t="str">
        <f t="shared" si="6"/>
        <v/>
      </c>
      <c r="Z64" s="649" t="str">
        <f>IF(B64="個別病床",はじめに入力してください!$K$50,IF(B64="共通使用",はじめに入力してください!$K$52,""))</f>
        <v/>
      </c>
      <c r="AB64" s="12">
        <v>35</v>
      </c>
      <c r="AC64" s="648" t="str">
        <f t="shared" si="7"/>
        <v>○</v>
      </c>
      <c r="AD64" s="649" t="str">
        <f t="shared" si="8"/>
        <v>整備しない場合は入力不要です。</v>
      </c>
    </row>
    <row r="65" spans="1:30">
      <c r="A65" s="12">
        <v>36</v>
      </c>
      <c r="B65" s="6"/>
      <c r="C65" s="6"/>
      <c r="D65" s="6"/>
      <c r="E65" s="10"/>
      <c r="F65" s="7"/>
      <c r="G65" s="531"/>
      <c r="H65" s="15">
        <f t="shared" si="0"/>
        <v>0</v>
      </c>
      <c r="I65" s="4">
        <f t="shared" si="1"/>
        <v>0</v>
      </c>
      <c r="J65" s="9"/>
      <c r="K65" s="595"/>
      <c r="L65" s="595"/>
      <c r="M65" s="595"/>
      <c r="N65" s="4">
        <f t="shared" si="2"/>
        <v>0</v>
      </c>
      <c r="O65" s="5" t="str">
        <f>IF(AC65="◎",COUNTIF($AC$30:AC65,"◎"),"")</f>
        <v/>
      </c>
      <c r="Q65" s="596" t="str">
        <f t="shared" si="3"/>
        <v/>
      </c>
      <c r="R65" s="648" t="str">
        <f t="shared" si="4"/>
        <v/>
      </c>
      <c r="S65" s="648" t="str">
        <f t="shared" si="5"/>
        <v/>
      </c>
      <c r="T65" s="648" t="str">
        <f t="shared" si="6"/>
        <v/>
      </c>
      <c r="Z65" s="649" t="str">
        <f>IF(B65="個別病床",はじめに入力してください!$K$50,IF(B65="共通使用",はじめに入力してください!$K$52,""))</f>
        <v/>
      </c>
      <c r="AB65" s="12">
        <v>36</v>
      </c>
      <c r="AC65" s="648" t="str">
        <f t="shared" si="7"/>
        <v>○</v>
      </c>
      <c r="AD65" s="649" t="str">
        <f t="shared" si="8"/>
        <v>整備しない場合は入力不要です。</v>
      </c>
    </row>
    <row r="66" spans="1:30">
      <c r="A66" s="12">
        <v>37</v>
      </c>
      <c r="B66" s="6"/>
      <c r="C66" s="6"/>
      <c r="D66" s="6"/>
      <c r="E66" s="10"/>
      <c r="F66" s="7"/>
      <c r="G66" s="531"/>
      <c r="H66" s="15">
        <f t="shared" si="0"/>
        <v>0</v>
      </c>
      <c r="I66" s="4">
        <f t="shared" si="1"/>
        <v>0</v>
      </c>
      <c r="J66" s="9"/>
      <c r="K66" s="595"/>
      <c r="L66" s="595"/>
      <c r="M66" s="595"/>
      <c r="N66" s="4">
        <f t="shared" si="2"/>
        <v>0</v>
      </c>
      <c r="O66" s="5" t="str">
        <f>IF(AC66="◎",COUNTIF($AC$30:AC66,"◎"),"")</f>
        <v/>
      </c>
      <c r="Q66" s="596" t="str">
        <f t="shared" si="3"/>
        <v/>
      </c>
      <c r="R66" s="648" t="str">
        <f t="shared" si="4"/>
        <v/>
      </c>
      <c r="S66" s="648" t="str">
        <f t="shared" si="5"/>
        <v/>
      </c>
      <c r="T66" s="648" t="str">
        <f t="shared" si="6"/>
        <v/>
      </c>
      <c r="Z66" s="649" t="str">
        <f>IF(B66="個別病床",はじめに入力してください!$K$50,IF(B66="共通使用",はじめに入力してください!$K$52,""))</f>
        <v/>
      </c>
      <c r="AB66" s="12">
        <v>37</v>
      </c>
      <c r="AC66" s="648" t="str">
        <f t="shared" si="7"/>
        <v>○</v>
      </c>
      <c r="AD66" s="649" t="str">
        <f t="shared" si="8"/>
        <v>整備しない場合は入力不要です。</v>
      </c>
    </row>
    <row r="67" spans="1:30">
      <c r="A67" s="12">
        <v>38</v>
      </c>
      <c r="B67" s="6"/>
      <c r="C67" s="6"/>
      <c r="D67" s="6"/>
      <c r="E67" s="10"/>
      <c r="F67" s="7"/>
      <c r="G67" s="531"/>
      <c r="H67" s="15">
        <f t="shared" si="0"/>
        <v>0</v>
      </c>
      <c r="I67" s="4">
        <f t="shared" si="1"/>
        <v>0</v>
      </c>
      <c r="J67" s="9"/>
      <c r="K67" s="595"/>
      <c r="L67" s="595"/>
      <c r="M67" s="595"/>
      <c r="N67" s="4">
        <f t="shared" si="2"/>
        <v>0</v>
      </c>
      <c r="O67" s="5" t="str">
        <f>IF(AC67="◎",COUNTIF($AC$30:AC67,"◎"),"")</f>
        <v/>
      </c>
      <c r="Q67" s="596" t="str">
        <f t="shared" si="3"/>
        <v/>
      </c>
      <c r="R67" s="648" t="str">
        <f t="shared" si="4"/>
        <v/>
      </c>
      <c r="S67" s="648" t="str">
        <f t="shared" si="5"/>
        <v/>
      </c>
      <c r="T67" s="648" t="str">
        <f t="shared" si="6"/>
        <v/>
      </c>
      <c r="Z67" s="649" t="str">
        <f>IF(B67="個別病床",はじめに入力してください!$K$50,IF(B67="共通使用",はじめに入力してください!$K$52,""))</f>
        <v/>
      </c>
      <c r="AB67" s="12">
        <v>38</v>
      </c>
      <c r="AC67" s="648" t="str">
        <f t="shared" si="7"/>
        <v>○</v>
      </c>
      <c r="AD67" s="649" t="str">
        <f t="shared" si="8"/>
        <v>整備しない場合は入力不要です。</v>
      </c>
    </row>
    <row r="68" spans="1:30">
      <c r="A68" s="12">
        <v>39</v>
      </c>
      <c r="B68" s="6"/>
      <c r="C68" s="6"/>
      <c r="D68" s="6"/>
      <c r="E68" s="10"/>
      <c r="F68" s="7"/>
      <c r="G68" s="531"/>
      <c r="H68" s="15">
        <f t="shared" si="0"/>
        <v>0</v>
      </c>
      <c r="I68" s="4">
        <f t="shared" si="1"/>
        <v>0</v>
      </c>
      <c r="J68" s="9"/>
      <c r="K68" s="595"/>
      <c r="L68" s="595"/>
      <c r="M68" s="595"/>
      <c r="N68" s="4">
        <f t="shared" si="2"/>
        <v>0</v>
      </c>
      <c r="O68" s="5" t="str">
        <f>IF(AC68="◎",COUNTIF($AC$30:AC68,"◎"),"")</f>
        <v/>
      </c>
      <c r="Q68" s="596" t="str">
        <f t="shared" si="3"/>
        <v/>
      </c>
      <c r="R68" s="648" t="str">
        <f t="shared" si="4"/>
        <v/>
      </c>
      <c r="S68" s="648" t="str">
        <f t="shared" si="5"/>
        <v/>
      </c>
      <c r="T68" s="648" t="str">
        <f t="shared" si="6"/>
        <v/>
      </c>
      <c r="Z68" s="649" t="str">
        <f>IF(B68="個別病床",はじめに入力してください!$K$50,IF(B68="共通使用",はじめに入力してください!$K$52,""))</f>
        <v/>
      </c>
      <c r="AB68" s="12">
        <v>39</v>
      </c>
      <c r="AC68" s="648" t="str">
        <f t="shared" si="7"/>
        <v>○</v>
      </c>
      <c r="AD68" s="649" t="str">
        <f t="shared" si="8"/>
        <v>整備しない場合は入力不要です。</v>
      </c>
    </row>
    <row r="69" spans="1:30">
      <c r="A69" s="12">
        <v>40</v>
      </c>
      <c r="B69" s="6"/>
      <c r="C69" s="6"/>
      <c r="D69" s="6"/>
      <c r="E69" s="10"/>
      <c r="F69" s="7"/>
      <c r="G69" s="531"/>
      <c r="H69" s="15">
        <f t="shared" si="0"/>
        <v>0</v>
      </c>
      <c r="I69" s="4">
        <f t="shared" si="1"/>
        <v>0</v>
      </c>
      <c r="J69" s="9"/>
      <c r="K69" s="595"/>
      <c r="L69" s="595"/>
      <c r="M69" s="595"/>
      <c r="N69" s="4">
        <f t="shared" si="2"/>
        <v>0</v>
      </c>
      <c r="O69" s="5" t="str">
        <f>IF(AC69="◎",COUNTIF($AC$30:AC69,"◎"),"")</f>
        <v/>
      </c>
      <c r="Q69" s="596" t="str">
        <f t="shared" si="3"/>
        <v/>
      </c>
      <c r="R69" s="648" t="str">
        <f t="shared" si="4"/>
        <v/>
      </c>
      <c r="S69" s="648" t="str">
        <f t="shared" si="5"/>
        <v/>
      </c>
      <c r="T69" s="648" t="str">
        <f t="shared" si="6"/>
        <v/>
      </c>
      <c r="Z69" s="649" t="str">
        <f>IF(B69="個別病床",はじめに入力してください!$K$50,IF(B69="共通使用",はじめに入力してください!$K$52,""))</f>
        <v/>
      </c>
      <c r="AB69" s="12">
        <v>40</v>
      </c>
      <c r="AC69" s="648" t="str">
        <f t="shared" si="7"/>
        <v>○</v>
      </c>
      <c r="AD69" s="649" t="str">
        <f t="shared" si="8"/>
        <v>整備しない場合は入力不要です。</v>
      </c>
    </row>
    <row r="70" spans="1:30">
      <c r="A70" s="12">
        <v>41</v>
      </c>
      <c r="B70" s="6"/>
      <c r="C70" s="6"/>
      <c r="D70" s="6"/>
      <c r="E70" s="10"/>
      <c r="F70" s="7"/>
      <c r="G70" s="531"/>
      <c r="H70" s="15">
        <f t="shared" si="0"/>
        <v>0</v>
      </c>
      <c r="I70" s="4">
        <f t="shared" si="1"/>
        <v>0</v>
      </c>
      <c r="J70" s="9"/>
      <c r="K70" s="595"/>
      <c r="L70" s="595"/>
      <c r="M70" s="595"/>
      <c r="N70" s="4">
        <f t="shared" si="2"/>
        <v>0</v>
      </c>
      <c r="O70" s="5" t="str">
        <f>IF(AC70="◎",COUNTIF($AC$30:AC70,"◎"),"")</f>
        <v/>
      </c>
      <c r="Q70" s="596" t="str">
        <f t="shared" si="3"/>
        <v/>
      </c>
      <c r="R70" s="648" t="str">
        <f t="shared" si="4"/>
        <v/>
      </c>
      <c r="S70" s="648" t="str">
        <f t="shared" si="5"/>
        <v/>
      </c>
      <c r="T70" s="648" t="str">
        <f t="shared" si="6"/>
        <v/>
      </c>
      <c r="Z70" s="649" t="str">
        <f>IF(B70="個別病床",はじめに入力してください!$K$50,IF(B70="共通使用",はじめに入力してください!$K$52,""))</f>
        <v/>
      </c>
      <c r="AB70" s="12">
        <v>41</v>
      </c>
      <c r="AC70" s="648" t="str">
        <f t="shared" si="7"/>
        <v>○</v>
      </c>
      <c r="AD70" s="649" t="str">
        <f t="shared" si="8"/>
        <v>整備しない場合は入力不要です。</v>
      </c>
    </row>
    <row r="71" spans="1:30">
      <c r="A71" s="12">
        <v>42</v>
      </c>
      <c r="B71" s="6"/>
      <c r="C71" s="6"/>
      <c r="D71" s="6"/>
      <c r="E71" s="10"/>
      <c r="F71" s="7"/>
      <c r="G71" s="531"/>
      <c r="H71" s="15">
        <f t="shared" si="0"/>
        <v>0</v>
      </c>
      <c r="I71" s="4">
        <f t="shared" si="1"/>
        <v>0</v>
      </c>
      <c r="J71" s="9"/>
      <c r="K71" s="595"/>
      <c r="L71" s="595"/>
      <c r="M71" s="595"/>
      <c r="N71" s="4">
        <f t="shared" si="2"/>
        <v>0</v>
      </c>
      <c r="O71" s="5" t="str">
        <f>IF(AC71="◎",COUNTIF($AC$30:AC71,"◎"),"")</f>
        <v/>
      </c>
      <c r="Q71" s="596" t="str">
        <f t="shared" si="3"/>
        <v/>
      </c>
      <c r="R71" s="648" t="str">
        <f t="shared" si="4"/>
        <v/>
      </c>
      <c r="S71" s="648" t="str">
        <f t="shared" si="5"/>
        <v/>
      </c>
      <c r="T71" s="648" t="str">
        <f t="shared" si="6"/>
        <v/>
      </c>
      <c r="Z71" s="649" t="str">
        <f>IF(B71="個別病床",はじめに入力してください!$K$50,IF(B71="共通使用",はじめに入力してください!$K$52,""))</f>
        <v/>
      </c>
      <c r="AB71" s="12">
        <v>42</v>
      </c>
      <c r="AC71" s="648" t="str">
        <f t="shared" si="7"/>
        <v>○</v>
      </c>
      <c r="AD71" s="649" t="str">
        <f t="shared" si="8"/>
        <v>整備しない場合は入力不要です。</v>
      </c>
    </row>
    <row r="72" spans="1:30">
      <c r="A72" s="12">
        <v>43</v>
      </c>
      <c r="B72" s="6"/>
      <c r="C72" s="6"/>
      <c r="D72" s="6"/>
      <c r="E72" s="10"/>
      <c r="F72" s="7"/>
      <c r="G72" s="531"/>
      <c r="H72" s="15">
        <f t="shared" si="0"/>
        <v>0</v>
      </c>
      <c r="I72" s="4">
        <f t="shared" si="1"/>
        <v>0</v>
      </c>
      <c r="J72" s="9"/>
      <c r="K72" s="595"/>
      <c r="L72" s="595"/>
      <c r="M72" s="595"/>
      <c r="N72" s="4">
        <f t="shared" si="2"/>
        <v>0</v>
      </c>
      <c r="O72" s="5" t="str">
        <f>IF(AC72="◎",COUNTIF($AC$30:AC72,"◎"),"")</f>
        <v/>
      </c>
      <c r="Q72" s="596" t="str">
        <f t="shared" si="3"/>
        <v/>
      </c>
      <c r="R72" s="648" t="str">
        <f t="shared" si="4"/>
        <v/>
      </c>
      <c r="S72" s="648" t="str">
        <f t="shared" si="5"/>
        <v/>
      </c>
      <c r="T72" s="648" t="str">
        <f t="shared" si="6"/>
        <v/>
      </c>
      <c r="Z72" s="649" t="str">
        <f>IF(B72="個別病床",はじめに入力してください!$K$50,IF(B72="共通使用",はじめに入力してください!$K$52,""))</f>
        <v/>
      </c>
      <c r="AB72" s="12">
        <v>43</v>
      </c>
      <c r="AC72" s="648" t="str">
        <f t="shared" si="7"/>
        <v>○</v>
      </c>
      <c r="AD72" s="649" t="str">
        <f t="shared" si="8"/>
        <v>整備しない場合は入力不要です。</v>
      </c>
    </row>
    <row r="73" spans="1:30">
      <c r="A73" s="12">
        <v>44</v>
      </c>
      <c r="B73" s="6"/>
      <c r="C73" s="6"/>
      <c r="D73" s="6"/>
      <c r="E73" s="10"/>
      <c r="F73" s="7"/>
      <c r="G73" s="531"/>
      <c r="H73" s="15">
        <f t="shared" si="0"/>
        <v>0</v>
      </c>
      <c r="I73" s="4">
        <f t="shared" si="1"/>
        <v>0</v>
      </c>
      <c r="J73" s="9"/>
      <c r="K73" s="595"/>
      <c r="L73" s="595"/>
      <c r="M73" s="595"/>
      <c r="N73" s="4">
        <f t="shared" si="2"/>
        <v>0</v>
      </c>
      <c r="O73" s="5" t="str">
        <f>IF(AC73="◎",COUNTIF($AC$30:AC73,"◎"),"")</f>
        <v/>
      </c>
      <c r="Q73" s="596" t="str">
        <f t="shared" si="3"/>
        <v/>
      </c>
      <c r="R73" s="648" t="str">
        <f t="shared" si="4"/>
        <v/>
      </c>
      <c r="S73" s="648" t="str">
        <f t="shared" si="5"/>
        <v/>
      </c>
      <c r="T73" s="648" t="str">
        <f t="shared" si="6"/>
        <v/>
      </c>
      <c r="Z73" s="649" t="str">
        <f>IF(B73="個別病床",はじめに入力してください!$K$50,IF(B73="共通使用",はじめに入力してください!$K$52,""))</f>
        <v/>
      </c>
      <c r="AB73" s="12">
        <v>44</v>
      </c>
      <c r="AC73" s="648" t="str">
        <f t="shared" si="7"/>
        <v>○</v>
      </c>
      <c r="AD73" s="649" t="str">
        <f t="shared" si="8"/>
        <v>整備しない場合は入力不要です。</v>
      </c>
    </row>
    <row r="74" spans="1:30">
      <c r="A74" s="12">
        <v>45</v>
      </c>
      <c r="B74" s="6"/>
      <c r="C74" s="6"/>
      <c r="D74" s="6"/>
      <c r="E74" s="10"/>
      <c r="F74" s="7"/>
      <c r="G74" s="531"/>
      <c r="H74" s="15">
        <f t="shared" si="0"/>
        <v>0</v>
      </c>
      <c r="I74" s="4">
        <f t="shared" si="1"/>
        <v>0</v>
      </c>
      <c r="J74" s="9"/>
      <c r="K74" s="595"/>
      <c r="L74" s="595"/>
      <c r="M74" s="595"/>
      <c r="N74" s="4">
        <f t="shared" si="2"/>
        <v>0</v>
      </c>
      <c r="O74" s="5" t="str">
        <f>IF(AC74="◎",COUNTIF($AC$30:AC74,"◎"),"")</f>
        <v/>
      </c>
      <c r="Q74" s="596" t="str">
        <f t="shared" si="3"/>
        <v/>
      </c>
      <c r="R74" s="648" t="str">
        <f t="shared" si="4"/>
        <v/>
      </c>
      <c r="S74" s="648" t="str">
        <f t="shared" si="5"/>
        <v/>
      </c>
      <c r="T74" s="648" t="str">
        <f t="shared" si="6"/>
        <v/>
      </c>
      <c r="Z74" s="649" t="str">
        <f>IF(B74="個別病床",はじめに入力してください!$K$50,IF(B74="共通使用",はじめに入力してください!$K$52,""))</f>
        <v/>
      </c>
      <c r="AB74" s="12">
        <v>45</v>
      </c>
      <c r="AC74" s="648" t="str">
        <f t="shared" si="7"/>
        <v>○</v>
      </c>
      <c r="AD74" s="649" t="str">
        <f t="shared" si="8"/>
        <v>整備しない場合は入力不要です。</v>
      </c>
    </row>
  </sheetData>
  <sheetProtection algorithmName="SHA-512" hashValue="3utVuqvV/gqE8KjXSkcVPODdj1Kt/NGhca/DI18b9juomwvd6w5hIsEp1mdN+T5noiEjbeWAjvJzCIRJ99DeJA==" saltValue="nNHfW3GRvxHKGwq4yxbc+g==" spinCount="100000" sheet="1" objects="1" scenarios="1"/>
  <mergeCells count="25">
    <mergeCell ref="N1:P1"/>
    <mergeCell ref="B22:O22"/>
    <mergeCell ref="B2:D3"/>
    <mergeCell ref="AC3:AC5"/>
    <mergeCell ref="AD3:AD5"/>
    <mergeCell ref="AC7:AC8"/>
    <mergeCell ref="AD7:AD8"/>
    <mergeCell ref="B10:O10"/>
    <mergeCell ref="B13:O13"/>
    <mergeCell ref="B14:O14"/>
    <mergeCell ref="B15:O15"/>
    <mergeCell ref="B18:O21"/>
    <mergeCell ref="B7:O7"/>
    <mergeCell ref="B9:C9"/>
    <mergeCell ref="B12:O12"/>
    <mergeCell ref="B26:O26"/>
    <mergeCell ref="AC27:AC28"/>
    <mergeCell ref="AD27:AD28"/>
    <mergeCell ref="B28:D28"/>
    <mergeCell ref="E28:F28"/>
    <mergeCell ref="G28:J28"/>
    <mergeCell ref="N28:N29"/>
    <mergeCell ref="O28:O29"/>
    <mergeCell ref="K28:M28"/>
    <mergeCell ref="Q28:Q29"/>
  </mergeCells>
  <phoneticPr fontId="9"/>
  <conditionalFormatting sqref="AC1:AC2 AC11:AC21 AC6 AC23:AC27 AC75:AC1048576">
    <cfRule type="containsText" dxfId="64" priority="12" operator="containsText" text="×">
      <formula>NOT(ISERROR(SEARCH("×",AC1)))</formula>
    </cfRule>
  </conditionalFormatting>
  <conditionalFormatting sqref="AD1:AD2 AD11:AD21 AD29 AD6 AD23:AD27 AD75:AD1048576">
    <cfRule type="containsText" dxfId="63" priority="11" operator="containsText" text="要修正">
      <formula>NOT(ISERROR(SEARCH("要修正",AD1)))</formula>
    </cfRule>
  </conditionalFormatting>
  <conditionalFormatting sqref="AC22">
    <cfRule type="containsText" dxfId="62" priority="10" operator="containsText" text="×">
      <formula>NOT(ISERROR(SEARCH("×",AC22)))</formula>
    </cfRule>
  </conditionalFormatting>
  <conditionalFormatting sqref="AD22">
    <cfRule type="containsText" dxfId="61" priority="9" operator="containsText" text="要修正">
      <formula>NOT(ISERROR(SEARCH("要修正",AD22)))</formula>
    </cfRule>
  </conditionalFormatting>
  <conditionalFormatting sqref="AC9:AC10 AC7">
    <cfRule type="containsText" dxfId="60" priority="8" operator="containsText" text="×">
      <formula>NOT(ISERROR(SEARCH("×",AC7)))</formula>
    </cfRule>
  </conditionalFormatting>
  <conditionalFormatting sqref="AD9:AD10 AD7">
    <cfRule type="containsText" dxfId="59" priority="7" operator="containsText" text="要修正">
      <formula>NOT(ISERROR(SEARCH("要修正",AD7)))</formula>
    </cfRule>
  </conditionalFormatting>
  <conditionalFormatting sqref="AC3:AC4">
    <cfRule type="containsText" dxfId="58" priority="6" operator="containsText" text="×">
      <formula>NOT(ISERROR(SEARCH("×",AC3)))</formula>
    </cfRule>
  </conditionalFormatting>
  <conditionalFormatting sqref="AD3:AD4">
    <cfRule type="containsText" dxfId="57" priority="5" operator="containsText" text="要修正">
      <formula>NOT(ISERROR(SEARCH("要修正",AD3)))</formula>
    </cfRule>
  </conditionalFormatting>
  <conditionalFormatting sqref="AC29">
    <cfRule type="containsText" dxfId="56" priority="2" operator="containsText" text="×">
      <formula>NOT(ISERROR(SEARCH("×",AC29)))</formula>
    </cfRule>
  </conditionalFormatting>
  <conditionalFormatting sqref="AD30:AD74">
    <cfRule type="containsText" dxfId="55" priority="3" operator="containsText" text="要修正">
      <formula>NOT(ISERROR(SEARCH("要修正",AD30)))</formula>
    </cfRule>
  </conditionalFormatting>
  <conditionalFormatting sqref="AC30:AC74">
    <cfRule type="containsText" dxfId="54" priority="1" operator="containsText" text="×">
      <formula>NOT(ISERROR(SEARCH("×",AC30)))</formula>
    </cfRule>
  </conditionalFormatting>
  <dataValidations count="10">
    <dataValidation allowBlank="1" showInputMessage="1" showErrorMessage="1" promptTitle="割引額がある場合は入力" prompt="割引がない場合は「0円」のままとしてください。" sqref="I3" xr:uid="{00000000-0002-0000-1500-000000000000}"/>
    <dataValidation allowBlank="1" showInputMessage="1" showErrorMessage="1" promptTitle="補助対象金額" prompt="補助対象額×（見積書金額-割引額）/見積書金額_x000a_で算出されます。" sqref="J3:M3" xr:uid="{00000000-0002-0000-1500-000001000000}"/>
    <dataValidation allowBlank="1" showInputMessage="1" showErrorMessage="1" promptTitle="規格及び数量の入力" prompt="補助対象経費を計上する際、いずれも入力してください。" sqref="E30:E74" xr:uid="{A6C21FE4-D779-4361-80FC-C4D915CD16D0}"/>
    <dataValidation allowBlank="1" showInputMessage="1" showErrorMessage="1" promptTitle="単価の入力" prompt="税抜額または税込額のいずれかを入力してください。_x000a_入力しない方は「0」は入力せず、空欄としてください。" sqref="H30:H74" xr:uid="{CF6D01E0-6EB2-45C1-B600-305822B90FC8}"/>
    <dataValidation allowBlank="1" showInputMessage="1" showErrorMessage="1" promptTitle="添付書類番号" prompt="種類、規格、数量、単価が全て適切に入力され、右の「判定」が「◎」と表示されると自動で番号が表示されます。" sqref="O30:O74" xr:uid="{579D1DFB-6660-45B3-B3E4-D266F7C632E4}"/>
    <dataValidation allowBlank="1" showInputMessage="1" showErrorMessage="1" promptTitle="金額の表示" prompt="数式が入力されているため、自動計算されます。" sqref="N30:N74 I30:I74" xr:uid="{C5A25DC2-1BFE-45C5-8ED6-BB9C8D26B7A4}"/>
    <dataValidation type="list" allowBlank="1" showInputMessage="1" showErrorMessage="1" promptTitle="補助対象の該当非該当" prompt="コロナ対応病床の初度設備に係る経費が対象となります。_x000a_共用部分の設備、備品や医療用消耗品等は補助対象外なので「対象外」を選択してください。_x000a_審査において確認、対象外と認めたものについては対象外として補正をお願いする場合があります。" sqref="J30:J74" xr:uid="{2DFACFEE-C9AA-496D-8C77-72CCB476C0F7}">
      <formula1>"補助対象,補助対象外"</formula1>
    </dataValidation>
    <dataValidation type="list" allowBlank="1" showInputMessage="1" showErrorMessage="1" promptTitle="設備、備品、その他の別を選択" prompt="当該行に記載する品目が_x000a_・「設備」（設備本体）_x000a_・備品（本体設備と別の構成をなすもの）_x000a_・その他（上記の該当しないもの）_x000a_の別をプルダウンから選択してください。" sqref="D30:D74" xr:uid="{BE0D51E9-FF7D-44A2-A5E6-A3938F3AAF89}">
      <formula1>"設備,備品,その他"</formula1>
    </dataValidation>
    <dataValidation type="decimal" operator="greaterThanOrEqual" allowBlank="1" showInputMessage="1" showErrorMessage="1" promptTitle="単価の入力" prompt="税抜額または税込額のいずれかを入力してください。_x000a_入力しない方は「0」は入力せず、空欄としてください。" sqref="G30:G74" xr:uid="{7A980563-38E3-4B4D-AC06-69398CFD56F7}">
      <formula1>0</formula1>
    </dataValidation>
    <dataValidation type="whole" operator="greaterThanOrEqual" allowBlank="1" showInputMessage="1" showErrorMessage="1" errorTitle="数値のみを入力してください。" error="「個」、「枚」等の単位入力は不要です。" promptTitle="規格及び数量の入力" prompt="補助対象経費を計上する際、いずれも入力してください。" sqref="F30:F74" xr:uid="{F57BD037-4DBD-41EC-B49F-3D30FFE14DE5}">
      <formula1>0</formula1>
    </dataValidation>
  </dataValidations>
  <pageMargins left="0.7" right="0.7" top="0.75" bottom="0.75" header="0.3" footer="0.3"/>
  <pageSetup paperSize="9" scale="44" orientation="portrait"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promptTitle="「用途先」病床の選択（左の「病床」を選択しないと表示されません。" prompt="ベッドに必ずしも紐付けるものではありませんが、１病床１台で紐付けした場合、整備する病床に番号付けをした場合の番号を選択してください。" xr:uid="{27225247-5570-4068-B564-C802873FB932}">
          <x14:formula1>
            <xm:f>OFFSET(テーブル!$X$48, 0, MATCH(B30,テーブル!$Y$47:$Z$47,0), COUNTA(OFFSET(テーブル!$X$48,0,MATCH(B30,テーブル!$Y$47:$Z$47,0),$Z$30,1)),1)</xm:f>
          </x14:formula1>
          <xm:sqref>C30:C74</xm:sqref>
        </x14:dataValidation>
        <x14:dataValidation type="list" allowBlank="1" showInputMessage="1" showErrorMessage="1" promptTitle="配備先の別を選択" prompt="確保病床の共通使用のものか、個別のベッドに配備するものか選択してください。" xr:uid="{29BB1B55-0D62-4255-A761-AF302211E322}">
          <x14:formula1>
            <xm:f>テーブル!$X$48:$X$49</xm:f>
          </x14:formula1>
          <xm:sqref>B30:B74</xm:sqref>
        </x14:dataValidation>
        <x14:dataValidation type="list" allowBlank="1" showInputMessage="1" showErrorMessage="1" xr:uid="{00000000-0002-0000-1500-00000A000000}">
          <x14:formula1>
            <xm:f>テーブル!$M$37:$M$51</xm:f>
          </x14:formula1>
          <xm:sqref>B2:D2</xm:sqref>
        </x14:dataValidation>
        <x14:dataValidation type="list" allowBlank="1" showInputMessage="1" showErrorMessage="1" xr:uid="{D202C00C-AE22-410B-BD27-9BE9031F9C74}">
          <x14:formula1>
            <xm:f>テーブル!$K$2:$K$32</xm:f>
          </x14:formula1>
          <xm:sqref>M30:M74</xm:sqref>
        </x14:dataValidation>
        <x14:dataValidation type="list" allowBlank="1" showInputMessage="1" showErrorMessage="1" xr:uid="{1596860D-E991-4915-A6E2-F34D2DB2F6D5}">
          <x14:formula1>
            <xm:f>テーブル!$J$2:$J$7</xm:f>
          </x14:formula1>
          <xm:sqref>L30:L74</xm:sqref>
        </x14:dataValidation>
        <x14:dataValidation type="list" allowBlank="1" showInputMessage="1" showErrorMessage="1" xr:uid="{F24F0EEE-3830-42D5-A397-6AB0672B4CB9}">
          <x14:formula1>
            <xm:f>テーブル!$I$2:$I$3</xm:f>
          </x14:formula1>
          <xm:sqref>K30:K74</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tabColor theme="4" tint="0.79998168889431442"/>
    <pageSetUpPr fitToPage="1"/>
  </sheetPr>
  <dimension ref="A1:AF74"/>
  <sheetViews>
    <sheetView showGridLines="0" view="pageBreakPreview" topLeftCell="A15" zoomScale="60" zoomScaleNormal="100" workbookViewId="0">
      <selection activeCell="B26" sqref="B26:L26"/>
    </sheetView>
  </sheetViews>
  <sheetFormatPr defaultColWidth="8.625" defaultRowHeight="18"/>
  <cols>
    <col min="1" max="1" width="3.625" style="12" customWidth="1"/>
    <col min="2" max="4" width="8.625" style="19"/>
    <col min="5" max="5" width="30.625" style="19" customWidth="1"/>
    <col min="6" max="6" width="8.625" style="19"/>
    <col min="7" max="11" width="12.625" style="19" customWidth="1"/>
    <col min="12" max="12" width="8.625" style="19"/>
    <col min="13" max="13" width="3.625" style="19" customWidth="1"/>
    <col min="14" max="23" width="8.625" style="19"/>
    <col min="24" max="24" width="8.625" style="19" customWidth="1"/>
    <col min="25" max="25" width="3.625" style="12" customWidth="1"/>
    <col min="26" max="26" width="8.625" style="19"/>
    <col min="27" max="27" width="40.625" style="19" customWidth="1"/>
    <col min="28" max="28" width="3.625" style="19" customWidth="1"/>
    <col min="29" max="32" width="8.625" style="19"/>
    <col min="33" max="33" width="30.625" style="19" customWidth="1"/>
    <col min="34" max="16384" width="8.625" style="19"/>
  </cols>
  <sheetData>
    <row r="1" spans="1:32" ht="20.100000000000001" customHeight="1">
      <c r="K1" s="1859" t="str">
        <f xml:space="preserve">
IF(表紙!X2="交付申請兼実績報告","（４月１日～５月７日分）",
IF(OR(表紙!X2="事前協議",表紙!X2="交付申請",表紙!X2="変更申請",表紙!X2="実績報告"),"（５月８日～９月30日分）",
))</f>
        <v>（４月１日～５月７日分）</v>
      </c>
      <c r="L1" s="1385"/>
      <c r="M1" s="1385"/>
    </row>
    <row r="2" spans="1:32" ht="20.100000000000001" customHeight="1">
      <c r="B2" s="1847" t="s">
        <v>428</v>
      </c>
      <c r="C2" s="1848"/>
      <c r="D2" s="1849"/>
      <c r="H2" s="5" t="s">
        <v>536</v>
      </c>
      <c r="I2" s="367" t="s">
        <v>537</v>
      </c>
      <c r="J2" s="5" t="s">
        <v>44</v>
      </c>
      <c r="Z2" s="367" t="s">
        <v>417</v>
      </c>
      <c r="AA2" s="367" t="s">
        <v>415</v>
      </c>
      <c r="AC2" s="367" t="str">
        <f>Z9</f>
        <v>×</v>
      </c>
      <c r="AD2" s="367" t="str">
        <f>Z15</f>
        <v>◎</v>
      </c>
      <c r="AE2" s="367" t="str">
        <f>Z22</f>
        <v>◎</v>
      </c>
      <c r="AF2" s="367" t="str">
        <f>Z26</f>
        <v>◎</v>
      </c>
    </row>
    <row r="3" spans="1:32" ht="20.100000000000001" customHeight="1">
      <c r="B3" s="1850"/>
      <c r="C3" s="1851"/>
      <c r="D3" s="1852"/>
      <c r="H3" s="351">
        <f>SUM(I30:I74)</f>
        <v>30800000</v>
      </c>
      <c r="I3" s="8"/>
      <c r="J3" s="351">
        <f>IFERROR(ROUNDUP(SUM(K30:K74)*((H3-I3)/H3),0),0)</f>
        <v>30800000</v>
      </c>
      <c r="Z3" s="884" t="str">
        <f xml:space="preserve">
IF(COUNTIF(AD2:AF2,"○")=3,"○",
IF(COUNTIF(AD2:AF2,"◎")=3,"◎","×"
))</f>
        <v>◎</v>
      </c>
      <c r="AA3" s="1842" t="str">
        <f xml:space="preserve">
IF(Z3="○","整備しない場合は入力不要です。",
IF(Z3="×","【要修正】入力が不十分な箇所があります。",
IF(Z3="◎","適切に入力がされました。")))</f>
        <v>適切に入力がされました。</v>
      </c>
    </row>
    <row r="4" spans="1:32" ht="9.9499999999999993" customHeight="1">
      <c r="Z4" s="884"/>
      <c r="AA4" s="1842"/>
    </row>
    <row r="5" spans="1:32" ht="20.100000000000001" customHeight="1">
      <c r="B5" s="386" t="s">
        <v>55</v>
      </c>
      <c r="C5" s="386"/>
      <c r="D5" s="386"/>
      <c r="E5" s="386"/>
      <c r="F5" s="386"/>
      <c r="G5" s="386"/>
      <c r="H5" s="386"/>
      <c r="I5" s="386"/>
      <c r="J5" s="386"/>
      <c r="K5" s="386"/>
      <c r="L5" s="386"/>
      <c r="Z5" s="857"/>
      <c r="AA5" s="858"/>
    </row>
    <row r="6" spans="1:32" ht="9.9499999999999993" customHeight="1"/>
    <row r="7" spans="1:32" ht="20.100000000000001" customHeight="1">
      <c r="B7" s="1863" t="str">
        <f xml:space="preserve">
IF(OR(表紙!X2="事前協議",表紙!X2="交付申請"),"（１）整備を行う対象の新規で指定を受けた確保病床数あるいは、確保病床を有しない場合は整備を行う病床の数",
IF(表紙!X2="交付申請兼実績報告","（１）整備を行う対象の新規で指定を受けた確保病床数"))</f>
        <v>（１）整備を行う対象の新規で指定を受けた確保病床数</v>
      </c>
      <c r="C7" s="953"/>
      <c r="D7" s="953"/>
      <c r="E7" s="953"/>
      <c r="F7" s="953"/>
      <c r="G7" s="953"/>
      <c r="H7" s="953"/>
      <c r="I7" s="953"/>
      <c r="J7" s="953"/>
      <c r="K7" s="953"/>
      <c r="L7" s="953"/>
      <c r="Z7" s="1838" t="s">
        <v>413</v>
      </c>
      <c r="AA7" s="1838" t="s">
        <v>415</v>
      </c>
    </row>
    <row r="8" spans="1:32" ht="9.9499999999999993" customHeight="1">
      <c r="Z8" s="1839"/>
      <c r="AA8" s="1839"/>
    </row>
    <row r="9" spans="1:32" ht="35.1" customHeight="1">
      <c r="B9" s="1864" t="s">
        <v>56</v>
      </c>
      <c r="C9" s="1865"/>
      <c r="D9" s="204" t="str">
        <f>IF(はじめに入力してください!K50="","",はじめに入力してください!K50)</f>
        <v/>
      </c>
      <c r="E9" s="352"/>
      <c r="F9" s="353"/>
      <c r="G9" s="353"/>
      <c r="H9" s="353"/>
      <c r="I9" s="353"/>
      <c r="J9" s="354"/>
      <c r="K9" s="354"/>
      <c r="L9" s="354"/>
      <c r="Z9" s="367" t="str">
        <f xml:space="preserve">
IF(D9="","×",
IF(D9=0,"○",
IF(D9&gt;=1,"◎",
)))</f>
        <v>×</v>
      </c>
      <c r="AA9" s="388" t="str">
        <f xml:space="preserve">
IF(D9="","【要修正】「はじめに入力してください」シートに整備を行う病床の数を入力してください。",
IF(D9=0,"申請しない場合は以下入力不要です。",
IF(D9&gt;=1,"適切に入力されました。",
)))</f>
        <v>【要修正】「はじめに入力してください」シートに整備を行う病床の数を入力してください。</v>
      </c>
    </row>
    <row r="10" spans="1:32" ht="20.100000000000001" customHeight="1">
      <c r="B10" s="1860"/>
      <c r="C10" s="1861"/>
      <c r="D10" s="1862"/>
      <c r="E10" s="1862"/>
      <c r="F10" s="1862"/>
      <c r="G10" s="1862"/>
      <c r="H10" s="1862"/>
      <c r="I10" s="1862"/>
      <c r="J10" s="1862"/>
      <c r="K10" s="1862"/>
      <c r="L10" s="1862"/>
    </row>
    <row r="11" spans="1:32" ht="20.100000000000001" hidden="1" customHeight="1"/>
    <row r="12" spans="1:32" ht="20.100000000000001" customHeight="1">
      <c r="B12" s="1863" t="s">
        <v>57</v>
      </c>
      <c r="C12" s="953"/>
      <c r="D12" s="953"/>
      <c r="E12" s="953"/>
      <c r="F12" s="953"/>
      <c r="G12" s="953"/>
      <c r="H12" s="953"/>
      <c r="I12" s="953"/>
      <c r="J12" s="953"/>
      <c r="K12" s="953"/>
      <c r="L12" s="953"/>
    </row>
    <row r="13" spans="1:32" ht="39.950000000000003" customHeight="1">
      <c r="B13" s="1843" t="s">
        <v>538</v>
      </c>
      <c r="C13" s="952"/>
      <c r="D13" s="952"/>
      <c r="E13" s="952"/>
      <c r="F13" s="952"/>
      <c r="G13" s="952"/>
      <c r="H13" s="952"/>
      <c r="I13" s="952"/>
      <c r="J13" s="952"/>
      <c r="K13" s="952"/>
      <c r="L13" s="952"/>
    </row>
    <row r="14" spans="1:32" s="385" customFormat="1" ht="99.95" customHeight="1">
      <c r="A14" s="13"/>
      <c r="B14" s="1843" t="str">
        <f>VLOOKUP(B2,テーブル!M37:N51,2,FALSE)</f>
        <v>（例）当院では人工呼吸器での装着が必要な重症患者の受入を中心に行っており、超音波画像診断装置を用いた肺炎等の状態の確認が必要不可欠となっている。
　　　今年度に入りこれまで、1日あたり平均○人の患者に対して行う必要性があったが、当院が所在する地域における感染拡大が顕著であり受け入れ要請が
　　　既存機器でもってしては対応しきれず受け入れを断らざるを得ない状況が生じている。
　　　（既存の配備状況、受け入れ状況及び機器整備状況については別紙のとおり。）
　　　今後も同様の状況が生じることが見込まれるため、新たに○人への対応が可能となるよう、○台の整備を行いたい。</v>
      </c>
      <c r="C14" s="1675"/>
      <c r="D14" s="1675"/>
      <c r="E14" s="1675"/>
      <c r="F14" s="1675"/>
      <c r="G14" s="1675"/>
      <c r="H14" s="1675"/>
      <c r="I14" s="1675"/>
      <c r="J14" s="1675"/>
      <c r="K14" s="1675"/>
      <c r="L14" s="1675"/>
      <c r="Y14" s="13"/>
      <c r="Z14" s="366" t="s">
        <v>413</v>
      </c>
      <c r="AA14" s="366" t="s">
        <v>414</v>
      </c>
    </row>
    <row r="15" spans="1:32" ht="120" customHeight="1">
      <c r="B15" s="1844" t="s">
        <v>1287</v>
      </c>
      <c r="C15" s="1845"/>
      <c r="D15" s="1845"/>
      <c r="E15" s="1845"/>
      <c r="F15" s="1845"/>
      <c r="G15" s="1845"/>
      <c r="H15" s="1845"/>
      <c r="I15" s="1845"/>
      <c r="J15" s="1845"/>
      <c r="K15" s="1845"/>
      <c r="L15" s="1846"/>
      <c r="Z15" s="367" t="str">
        <f xml:space="preserve">
IF(COUNTA(B15)=0,"○",
IF(COUNTA(B15)=1,"◎"))</f>
        <v>◎</v>
      </c>
      <c r="AA15" s="388" t="str">
        <f xml:space="preserve">
IF(COUNTA(B15)=0,"整備しない場合は入力不要です。",
IF(COUNTA(B15)=1,"入力された状態になりました。"))</f>
        <v>入力された状態になりました。</v>
      </c>
    </row>
    <row r="16" spans="1:32" ht="20.100000000000001" customHeight="1"/>
    <row r="17" spans="1:27" ht="20.100000000000001" customHeight="1">
      <c r="B17" s="386" t="s">
        <v>452</v>
      </c>
      <c r="C17" s="386"/>
      <c r="D17" s="386"/>
      <c r="E17" s="386"/>
      <c r="F17" s="386"/>
      <c r="G17" s="386"/>
      <c r="H17" s="386"/>
      <c r="I17" s="386"/>
      <c r="J17" s="386"/>
      <c r="K17" s="386"/>
      <c r="L17" s="386"/>
    </row>
    <row r="18" spans="1:27" ht="20.100000000000001" customHeight="1">
      <c r="B18" s="1843" t="s">
        <v>480</v>
      </c>
      <c r="C18" s="952"/>
      <c r="D18" s="952"/>
      <c r="E18" s="952"/>
      <c r="F18" s="952"/>
      <c r="G18" s="952"/>
      <c r="H18" s="952"/>
      <c r="I18" s="952"/>
      <c r="J18" s="952"/>
      <c r="K18" s="952"/>
      <c r="L18" s="952"/>
    </row>
    <row r="19" spans="1:27" ht="20.100000000000001" customHeight="1">
      <c r="B19" s="1843"/>
      <c r="C19" s="952"/>
      <c r="D19" s="952"/>
      <c r="E19" s="952"/>
      <c r="F19" s="952"/>
      <c r="G19" s="952"/>
      <c r="H19" s="952"/>
      <c r="I19" s="952"/>
      <c r="J19" s="952"/>
      <c r="K19" s="952"/>
      <c r="L19" s="952"/>
    </row>
    <row r="20" spans="1:27" ht="20.100000000000001" customHeight="1">
      <c r="B20" s="1843"/>
      <c r="C20" s="952"/>
      <c r="D20" s="952"/>
      <c r="E20" s="952"/>
      <c r="F20" s="952"/>
      <c r="G20" s="952"/>
      <c r="H20" s="952"/>
      <c r="I20" s="952"/>
      <c r="J20" s="952"/>
      <c r="K20" s="952"/>
      <c r="L20" s="952"/>
    </row>
    <row r="21" spans="1:27" ht="20.100000000000001" customHeight="1">
      <c r="B21" s="952"/>
      <c r="C21" s="952"/>
      <c r="D21" s="952"/>
      <c r="E21" s="952"/>
      <c r="F21" s="952"/>
      <c r="G21" s="952"/>
      <c r="H21" s="952"/>
      <c r="I21" s="952"/>
      <c r="J21" s="952"/>
      <c r="K21" s="952"/>
      <c r="L21" s="952"/>
    </row>
    <row r="22" spans="1:27" ht="120" customHeight="1">
      <c r="B22" s="1844" t="s">
        <v>1287</v>
      </c>
      <c r="C22" s="1845"/>
      <c r="D22" s="1845"/>
      <c r="E22" s="1845"/>
      <c r="F22" s="1845"/>
      <c r="G22" s="1845"/>
      <c r="H22" s="1845"/>
      <c r="I22" s="1845"/>
      <c r="J22" s="1845"/>
      <c r="K22" s="1845"/>
      <c r="L22" s="1846"/>
      <c r="Z22" s="367" t="str">
        <f xml:space="preserve">
IF(COUNTA(B22)=0,"○",
IF(COUNTA(B22)=1,"◎"))</f>
        <v>◎</v>
      </c>
      <c r="AA22" s="388" t="str">
        <f xml:space="preserve">
IF(COUNTA(B22)=0,"整備しない場合は入力不要です。",
IF(COUNTA(B22)=1,"入力された状態になりました。"))</f>
        <v>入力された状態になりました。</v>
      </c>
    </row>
    <row r="23" spans="1:27" ht="20.100000000000001" customHeight="1"/>
    <row r="24" spans="1:27" ht="20.100000000000001" customHeight="1">
      <c r="B24" s="386" t="s">
        <v>451</v>
      </c>
      <c r="C24" s="386"/>
      <c r="D24" s="386"/>
      <c r="E24" s="386"/>
      <c r="F24" s="386"/>
      <c r="G24" s="386"/>
      <c r="H24" s="386"/>
      <c r="I24" s="386"/>
      <c r="J24" s="386"/>
      <c r="K24" s="386"/>
      <c r="L24" s="386"/>
      <c r="Z24" s="14"/>
    </row>
    <row r="25" spans="1:27" ht="9.9499999999999993" customHeight="1"/>
    <row r="26" spans="1:27" ht="60" customHeight="1">
      <c r="B26" s="1843" t="s">
        <v>559</v>
      </c>
      <c r="C26" s="953"/>
      <c r="D26" s="953"/>
      <c r="E26" s="953"/>
      <c r="F26" s="953"/>
      <c r="G26" s="953"/>
      <c r="H26" s="953"/>
      <c r="I26" s="953"/>
      <c r="J26" s="953"/>
      <c r="K26" s="953"/>
      <c r="L26" s="953"/>
      <c r="Z26" s="367" t="str">
        <f xml:space="preserve">
IF(COUNTIF(Z30:Z74,"○")=45,"○",
IF(COUNTIF(Z30:Z74,"×")&gt;=1,"×",
IF(AND(COUNTIF(Z30:Z74,"◎")&gt;=1,COUNTIF(Z30:Z74,"×")=0),"◎")))</f>
        <v>◎</v>
      </c>
      <c r="AA26" s="388" t="str">
        <f xml:space="preserve">
IF(COUNTIF(Z30:Z74,"○")=45,"整備しない場合は入力不要です。",
IF(COUNTIF(Z30:Z74,"×")&gt;=1,"【要修正】入力が不十分な箇所があります。",
IF(AND(COUNTIF(Z30:Z74,"◎")&gt;=1,COUNTIF(Z30:Z74,"×")=0),"適切に入力がされました。")))</f>
        <v>適切に入力がされました。</v>
      </c>
    </row>
    <row r="27" spans="1:27" ht="9.9499999999999993" customHeight="1">
      <c r="Z27" s="1837" t="s">
        <v>416</v>
      </c>
      <c r="AA27" s="1840" t="s">
        <v>418</v>
      </c>
    </row>
    <row r="28" spans="1:27">
      <c r="B28" s="1853" t="s">
        <v>41</v>
      </c>
      <c r="C28" s="1854"/>
      <c r="D28" s="1855"/>
      <c r="E28" s="1853" t="s">
        <v>42</v>
      </c>
      <c r="F28" s="1855"/>
      <c r="G28" s="1853" t="s">
        <v>43</v>
      </c>
      <c r="H28" s="1854"/>
      <c r="I28" s="1854"/>
      <c r="J28" s="1855"/>
      <c r="K28" s="1856" t="s">
        <v>44</v>
      </c>
      <c r="L28" s="1856" t="s">
        <v>45</v>
      </c>
      <c r="Z28" s="1105"/>
      <c r="AA28" s="1841"/>
    </row>
    <row r="29" spans="1:27">
      <c r="B29" s="3" t="s">
        <v>46</v>
      </c>
      <c r="C29" s="3" t="s">
        <v>47</v>
      </c>
      <c r="D29" s="3" t="s">
        <v>48</v>
      </c>
      <c r="E29" s="3" t="s">
        <v>54</v>
      </c>
      <c r="F29" s="3" t="s">
        <v>49</v>
      </c>
      <c r="G29" s="3" t="s">
        <v>50</v>
      </c>
      <c r="H29" s="3" t="s">
        <v>51</v>
      </c>
      <c r="I29" s="3" t="s">
        <v>52</v>
      </c>
      <c r="J29" s="3" t="s">
        <v>53</v>
      </c>
      <c r="K29" s="1857"/>
      <c r="L29" s="1857"/>
      <c r="Z29" s="367" t="s">
        <v>413</v>
      </c>
      <c r="AA29" s="367" t="s">
        <v>415</v>
      </c>
    </row>
    <row r="30" spans="1:27">
      <c r="A30" s="12">
        <v>1</v>
      </c>
      <c r="B30" s="6"/>
      <c r="C30" s="6"/>
      <c r="D30" s="6"/>
      <c r="E30" s="10"/>
      <c r="F30" s="7"/>
      <c r="G30" s="531"/>
      <c r="H30" s="15">
        <f>ROUNDDOWN(G30*1.1,0)</f>
        <v>0</v>
      </c>
      <c r="I30" s="4">
        <f>F30*H30</f>
        <v>0</v>
      </c>
      <c r="J30" s="9"/>
      <c r="K30" s="4">
        <f>IF(J30="補助対象",I30,IF(J30="補助対象外",0,0))</f>
        <v>0</v>
      </c>
      <c r="L30" s="5" t="str">
        <f>IF(Z30="◎",COUNTIF($Z$30:Z30,"◎"),"")</f>
        <v/>
      </c>
      <c r="W30" s="388" t="str">
        <f>IF(B30="個別病床",はじめに入力してください!$K$50,IF(B30="共通使用",はじめに入力してください!$K$52,""))</f>
        <v/>
      </c>
      <c r="Y30" s="12">
        <v>1</v>
      </c>
      <c r="Z30" s="367" t="str">
        <f xml:space="preserve">
IF(SUM(COUNTA(B30:G30),COUNTA(J30))=0,"○",
IF(AND(SUM(COUNTA(B30:G30),COUNTA(J30))&gt;0,SUM(COUNTA(B30:G30),COUNTA(J30))&lt;7),"×",
IF(SUM(COUNTA(B30:G30),COUNTA(J30))=7,"◎")))</f>
        <v>○</v>
      </c>
      <c r="AA30" s="388" t="str">
        <f xml:space="preserve">
IF(SUM(COUNTA(B30:G30),COUNTA(J30))=0,"整備しない場合は入力不要です。",
IF(AND(SUM(COUNTA(B30:G30),COUNTA(J30))&gt;0,SUM(COUNTA(B30:G30),COUNTA(J30))&lt;7),"【要修正】未入力の箇所があります。",
IF(SUM(COUNTA(B30:G30),COUNTA(J30))=7,"適切に入力がされました。")))</f>
        <v>整備しない場合は入力不要です。</v>
      </c>
    </row>
    <row r="31" spans="1:27">
      <c r="A31" s="12">
        <v>2</v>
      </c>
      <c r="B31" s="6"/>
      <c r="C31" s="6"/>
      <c r="D31" s="6"/>
      <c r="E31" s="10"/>
      <c r="F31" s="7"/>
      <c r="G31" s="531"/>
      <c r="H31" s="15">
        <f t="shared" ref="H31:H74" si="0">ROUNDDOWN(G31*1.1,0)</f>
        <v>0</v>
      </c>
      <c r="I31" s="4">
        <f t="shared" ref="I31:I74" si="1">F31*H31</f>
        <v>0</v>
      </c>
      <c r="J31" s="9"/>
      <c r="K31" s="4">
        <f t="shared" ref="K31:K74" si="2">IF(J31="補助対象",I31,IF(J31="補助対象外",0,0))</f>
        <v>0</v>
      </c>
      <c r="L31" s="5" t="str">
        <f>IF(Z31="◎",COUNTIF($Z$30:Z31,"◎"),"")</f>
        <v/>
      </c>
      <c r="W31" s="388" t="str">
        <f>IF(B31="個別病床",はじめに入力してください!$K$50,IF(B31="共通使用",はじめに入力してください!$K$52,""))</f>
        <v/>
      </c>
      <c r="Y31" s="12">
        <v>2</v>
      </c>
      <c r="Z31" s="367" t="str">
        <f t="shared" ref="Z31:Z74" si="3" xml:space="preserve">
IF(SUM(COUNTA(B31:G31),COUNTA(J31))=0,"○",
IF(AND(SUM(COUNTA(B31:G31),COUNTA(J31))&gt;0,SUM(COUNTA(B31:G31),COUNTA(J31))&lt;7),"×",
IF(SUM(COUNTA(B31:G31),COUNTA(J31))=7,"◎")))</f>
        <v>○</v>
      </c>
      <c r="AA31" s="388" t="str">
        <f t="shared" ref="AA31:AA74" si="4" xml:space="preserve">
IF(SUM(COUNTA(B31:G31),COUNTA(J31))=0,"整備しない場合は入力不要です。",
IF(AND(SUM(COUNTA(B31:G31),COUNTA(J31))&gt;0,SUM(COUNTA(B31:G31),COUNTA(J31))&lt;7),"【要修正】未入力の箇所があります。",
IF(SUM(COUNTA(B31:G31),COUNTA(J31))=7,"適切に入力がされました。")))</f>
        <v>整備しない場合は入力不要です。</v>
      </c>
    </row>
    <row r="32" spans="1:27">
      <c r="A32" s="12">
        <v>3</v>
      </c>
      <c r="B32" s="6"/>
      <c r="C32" s="6"/>
      <c r="D32" s="6"/>
      <c r="E32" s="10"/>
      <c r="F32" s="7"/>
      <c r="G32" s="531"/>
      <c r="H32" s="15">
        <f t="shared" si="0"/>
        <v>0</v>
      </c>
      <c r="I32" s="4">
        <f t="shared" si="1"/>
        <v>0</v>
      </c>
      <c r="J32" s="9"/>
      <c r="K32" s="4">
        <f t="shared" si="2"/>
        <v>0</v>
      </c>
      <c r="L32" s="5" t="str">
        <f>IF(Z32="◎",COUNTIF($Z$30:Z32,"◎"),"")</f>
        <v/>
      </c>
      <c r="W32" s="388" t="str">
        <f>IF(B32="個別病床",はじめに入力してください!$K$50,IF(B32="共通使用",はじめに入力してください!$K$52,""))</f>
        <v/>
      </c>
      <c r="Y32" s="12">
        <v>3</v>
      </c>
      <c r="Z32" s="367" t="str">
        <f t="shared" si="3"/>
        <v>○</v>
      </c>
      <c r="AA32" s="388" t="str">
        <f t="shared" si="4"/>
        <v>整備しない場合は入力不要です。</v>
      </c>
    </row>
    <row r="33" spans="1:27">
      <c r="A33" s="12">
        <v>4</v>
      </c>
      <c r="B33" s="6" t="s">
        <v>669</v>
      </c>
      <c r="C33" s="6" t="s">
        <v>670</v>
      </c>
      <c r="D33" s="6" t="s">
        <v>1281</v>
      </c>
      <c r="E33" s="10" t="s">
        <v>1280</v>
      </c>
      <c r="F33" s="7">
        <v>7</v>
      </c>
      <c r="G33" s="531">
        <v>1000000</v>
      </c>
      <c r="H33" s="15">
        <f t="shared" si="0"/>
        <v>1100000</v>
      </c>
      <c r="I33" s="4">
        <f t="shared" si="1"/>
        <v>7700000</v>
      </c>
      <c r="J33" s="9" t="s">
        <v>1285</v>
      </c>
      <c r="K33" s="4">
        <f t="shared" si="2"/>
        <v>7700000</v>
      </c>
      <c r="L33" s="5">
        <f>IF(Z33="◎",COUNTIF($Z$30:Z33,"◎"),"")</f>
        <v>1</v>
      </c>
      <c r="W33" s="388">
        <f>IF(B33="個別病床",はじめに入力してください!$K$50,IF(B33="共通使用",はじめに入力してください!$K$52,""))</f>
        <v>0</v>
      </c>
      <c r="Y33" s="12">
        <v>4</v>
      </c>
      <c r="Z33" s="367" t="str">
        <f t="shared" si="3"/>
        <v>◎</v>
      </c>
      <c r="AA33" s="388" t="str">
        <f t="shared" si="4"/>
        <v>適切に入力がされました。</v>
      </c>
    </row>
    <row r="34" spans="1:27">
      <c r="A34" s="12">
        <v>5</v>
      </c>
      <c r="B34" s="6" t="s">
        <v>669</v>
      </c>
      <c r="C34" s="6" t="s">
        <v>670</v>
      </c>
      <c r="D34" s="6" t="s">
        <v>1282</v>
      </c>
      <c r="E34" s="10" t="s">
        <v>1283</v>
      </c>
      <c r="F34" s="7">
        <v>7</v>
      </c>
      <c r="G34" s="531">
        <v>1000000</v>
      </c>
      <c r="H34" s="15">
        <f t="shared" si="0"/>
        <v>1100000</v>
      </c>
      <c r="I34" s="4">
        <f t="shared" si="1"/>
        <v>7700000</v>
      </c>
      <c r="J34" s="9" t="s">
        <v>1285</v>
      </c>
      <c r="K34" s="4">
        <f t="shared" si="2"/>
        <v>7700000</v>
      </c>
      <c r="L34" s="5">
        <f>IF(Z34="◎",COUNTIF($Z$30:Z34,"◎"),"")</f>
        <v>2</v>
      </c>
      <c r="W34" s="388">
        <f>IF(B34="個別病床",はじめに入力してください!$K$50,IF(B34="共通使用",はじめに入力してください!$K$52,""))</f>
        <v>0</v>
      </c>
      <c r="Y34" s="12">
        <v>5</v>
      </c>
      <c r="Z34" s="367" t="str">
        <f t="shared" si="3"/>
        <v>◎</v>
      </c>
      <c r="AA34" s="388" t="str">
        <f t="shared" si="4"/>
        <v>適切に入力がされました。</v>
      </c>
    </row>
    <row r="35" spans="1:27">
      <c r="A35" s="12">
        <v>6</v>
      </c>
      <c r="B35" s="6" t="s">
        <v>100</v>
      </c>
      <c r="C35" s="6" t="s">
        <v>820</v>
      </c>
      <c r="D35" s="6" t="s">
        <v>1281</v>
      </c>
      <c r="E35" s="10" t="s">
        <v>1284</v>
      </c>
      <c r="F35" s="7">
        <v>7</v>
      </c>
      <c r="G35" s="531">
        <v>2000000</v>
      </c>
      <c r="H35" s="15">
        <f t="shared" si="0"/>
        <v>2200000</v>
      </c>
      <c r="I35" s="4">
        <f t="shared" si="1"/>
        <v>15400000</v>
      </c>
      <c r="J35" s="9" t="s">
        <v>1285</v>
      </c>
      <c r="K35" s="4">
        <f t="shared" si="2"/>
        <v>15400000</v>
      </c>
      <c r="L35" s="5">
        <f>IF(Z35="◎",COUNTIF($Z$30:Z35,"◎"),"")</f>
        <v>3</v>
      </c>
      <c r="W35" s="388">
        <f>IF(B35="個別病床",はじめに入力してください!$K$50,IF(B35="共通使用",はじめに入力してください!$K$52,""))</f>
        <v>0</v>
      </c>
      <c r="Y35" s="12">
        <v>6</v>
      </c>
      <c r="Z35" s="367" t="str">
        <f t="shared" si="3"/>
        <v>◎</v>
      </c>
      <c r="AA35" s="388" t="str">
        <f t="shared" si="4"/>
        <v>適切に入力がされました。</v>
      </c>
    </row>
    <row r="36" spans="1:27">
      <c r="A36" s="12">
        <v>7</v>
      </c>
      <c r="B36" s="6"/>
      <c r="C36" s="6"/>
      <c r="D36" s="6"/>
      <c r="E36" s="10"/>
      <c r="F36" s="7"/>
      <c r="G36" s="531"/>
      <c r="H36" s="15">
        <f t="shared" si="0"/>
        <v>0</v>
      </c>
      <c r="I36" s="4">
        <f t="shared" si="1"/>
        <v>0</v>
      </c>
      <c r="J36" s="9"/>
      <c r="K36" s="4">
        <f t="shared" si="2"/>
        <v>0</v>
      </c>
      <c r="L36" s="5" t="str">
        <f>IF(Z36="◎",COUNTIF($Z$30:Z36,"◎"),"")</f>
        <v/>
      </c>
      <c r="W36" s="388" t="str">
        <f>IF(B36="個別病床",はじめに入力してください!$K$50,IF(B36="共通使用",はじめに入力してください!$K$52,""))</f>
        <v/>
      </c>
      <c r="Y36" s="12">
        <v>7</v>
      </c>
      <c r="Z36" s="367" t="str">
        <f t="shared" si="3"/>
        <v>○</v>
      </c>
      <c r="AA36" s="388" t="str">
        <f t="shared" si="4"/>
        <v>整備しない場合は入力不要です。</v>
      </c>
    </row>
    <row r="37" spans="1:27">
      <c r="A37" s="12">
        <v>8</v>
      </c>
      <c r="B37" s="6"/>
      <c r="C37" s="6"/>
      <c r="D37" s="6"/>
      <c r="E37" s="10"/>
      <c r="F37" s="7"/>
      <c r="G37" s="531"/>
      <c r="H37" s="15">
        <f t="shared" si="0"/>
        <v>0</v>
      </c>
      <c r="I37" s="4">
        <f t="shared" si="1"/>
        <v>0</v>
      </c>
      <c r="J37" s="9"/>
      <c r="K37" s="4">
        <f t="shared" si="2"/>
        <v>0</v>
      </c>
      <c r="L37" s="5" t="str">
        <f>IF(Z37="◎",COUNTIF($Z$30:Z37,"◎"),"")</f>
        <v/>
      </c>
      <c r="W37" s="388" t="str">
        <f>IF(B37="個別病床",はじめに入力してください!$K$50,IF(B37="共通使用",はじめに入力してください!$K$52,""))</f>
        <v/>
      </c>
      <c r="Y37" s="12">
        <v>8</v>
      </c>
      <c r="Z37" s="367" t="str">
        <f t="shared" si="3"/>
        <v>○</v>
      </c>
      <c r="AA37" s="388" t="str">
        <f t="shared" si="4"/>
        <v>整備しない場合は入力不要です。</v>
      </c>
    </row>
    <row r="38" spans="1:27">
      <c r="A38" s="12">
        <v>9</v>
      </c>
      <c r="B38" s="6"/>
      <c r="C38" s="6"/>
      <c r="D38" s="6"/>
      <c r="E38" s="10"/>
      <c r="F38" s="7"/>
      <c r="G38" s="531"/>
      <c r="H38" s="15">
        <f t="shared" si="0"/>
        <v>0</v>
      </c>
      <c r="I38" s="4">
        <f t="shared" si="1"/>
        <v>0</v>
      </c>
      <c r="J38" s="9"/>
      <c r="K38" s="4">
        <f t="shared" si="2"/>
        <v>0</v>
      </c>
      <c r="L38" s="5" t="str">
        <f>IF(Z38="◎",COUNTIF($Z$30:Z38,"◎"),"")</f>
        <v/>
      </c>
      <c r="W38" s="388" t="str">
        <f>IF(B38="個別病床",はじめに入力してください!$K$50,IF(B38="共通使用",はじめに入力してください!$K$52,""))</f>
        <v/>
      </c>
      <c r="Y38" s="12">
        <v>9</v>
      </c>
      <c r="Z38" s="367" t="str">
        <f t="shared" si="3"/>
        <v>○</v>
      </c>
      <c r="AA38" s="388" t="str">
        <f t="shared" si="4"/>
        <v>整備しない場合は入力不要です。</v>
      </c>
    </row>
    <row r="39" spans="1:27">
      <c r="A39" s="12">
        <v>10</v>
      </c>
      <c r="B39" s="6"/>
      <c r="C39" s="6"/>
      <c r="D39" s="6"/>
      <c r="E39" s="10"/>
      <c r="F39" s="7"/>
      <c r="G39" s="531"/>
      <c r="H39" s="15">
        <f t="shared" si="0"/>
        <v>0</v>
      </c>
      <c r="I39" s="4">
        <f t="shared" si="1"/>
        <v>0</v>
      </c>
      <c r="J39" s="9"/>
      <c r="K39" s="4">
        <f t="shared" si="2"/>
        <v>0</v>
      </c>
      <c r="L39" s="5" t="str">
        <f>IF(Z39="◎",COUNTIF($Z$30:Z39,"◎"),"")</f>
        <v/>
      </c>
      <c r="W39" s="388" t="str">
        <f>IF(B39="個別病床",はじめに入力してください!$K$50,IF(B39="共通使用",はじめに入力してください!$K$52,""))</f>
        <v/>
      </c>
      <c r="Y39" s="12">
        <v>10</v>
      </c>
      <c r="Z39" s="367" t="str">
        <f t="shared" si="3"/>
        <v>○</v>
      </c>
      <c r="AA39" s="388" t="str">
        <f t="shared" si="4"/>
        <v>整備しない場合は入力不要です。</v>
      </c>
    </row>
    <row r="40" spans="1:27">
      <c r="A40" s="12">
        <v>11</v>
      </c>
      <c r="B40" s="6"/>
      <c r="C40" s="6"/>
      <c r="D40" s="6"/>
      <c r="E40" s="10"/>
      <c r="F40" s="7"/>
      <c r="G40" s="531"/>
      <c r="H40" s="15">
        <f t="shared" si="0"/>
        <v>0</v>
      </c>
      <c r="I40" s="4">
        <f t="shared" si="1"/>
        <v>0</v>
      </c>
      <c r="J40" s="9"/>
      <c r="K40" s="4">
        <f t="shared" si="2"/>
        <v>0</v>
      </c>
      <c r="L40" s="5" t="str">
        <f>IF(Z40="◎",COUNTIF($Z$30:Z40,"◎"),"")</f>
        <v/>
      </c>
      <c r="W40" s="388" t="str">
        <f>IF(B40="個別病床",はじめに入力してください!$K$50,IF(B40="共通使用",はじめに入力してください!$K$52,""))</f>
        <v/>
      </c>
      <c r="Y40" s="12">
        <v>11</v>
      </c>
      <c r="Z40" s="367" t="str">
        <f t="shared" si="3"/>
        <v>○</v>
      </c>
      <c r="AA40" s="388" t="str">
        <f t="shared" si="4"/>
        <v>整備しない場合は入力不要です。</v>
      </c>
    </row>
    <row r="41" spans="1:27">
      <c r="A41" s="12">
        <v>12</v>
      </c>
      <c r="B41" s="6"/>
      <c r="C41" s="6"/>
      <c r="D41" s="6"/>
      <c r="E41" s="10"/>
      <c r="F41" s="7"/>
      <c r="G41" s="531"/>
      <c r="H41" s="15">
        <f t="shared" si="0"/>
        <v>0</v>
      </c>
      <c r="I41" s="4">
        <f t="shared" si="1"/>
        <v>0</v>
      </c>
      <c r="J41" s="9"/>
      <c r="K41" s="4">
        <f t="shared" si="2"/>
        <v>0</v>
      </c>
      <c r="L41" s="5" t="str">
        <f>IF(Z41="◎",COUNTIF($Z$30:Z41,"◎"),"")</f>
        <v/>
      </c>
      <c r="W41" s="388" t="str">
        <f>IF(B41="個別病床",はじめに入力してください!$K$50,IF(B41="共通使用",はじめに入力してください!$K$52,""))</f>
        <v/>
      </c>
      <c r="Y41" s="12">
        <v>12</v>
      </c>
      <c r="Z41" s="367" t="str">
        <f t="shared" si="3"/>
        <v>○</v>
      </c>
      <c r="AA41" s="388" t="str">
        <f t="shared" si="4"/>
        <v>整備しない場合は入力不要です。</v>
      </c>
    </row>
    <row r="42" spans="1:27">
      <c r="A42" s="12">
        <v>13</v>
      </c>
      <c r="B42" s="6"/>
      <c r="C42" s="6"/>
      <c r="D42" s="6"/>
      <c r="E42" s="10"/>
      <c r="F42" s="7"/>
      <c r="G42" s="531"/>
      <c r="H42" s="15">
        <f t="shared" si="0"/>
        <v>0</v>
      </c>
      <c r="I42" s="4">
        <f t="shared" si="1"/>
        <v>0</v>
      </c>
      <c r="J42" s="9"/>
      <c r="K42" s="4">
        <f t="shared" si="2"/>
        <v>0</v>
      </c>
      <c r="L42" s="5" t="str">
        <f>IF(Z42="◎",COUNTIF($Z$30:Z42,"◎"),"")</f>
        <v/>
      </c>
      <c r="W42" s="388" t="str">
        <f>IF(B42="個別病床",はじめに入力してください!$K$50,IF(B42="共通使用",はじめに入力してください!$K$52,""))</f>
        <v/>
      </c>
      <c r="Y42" s="12">
        <v>13</v>
      </c>
      <c r="Z42" s="367" t="str">
        <f t="shared" si="3"/>
        <v>○</v>
      </c>
      <c r="AA42" s="388" t="str">
        <f t="shared" si="4"/>
        <v>整備しない場合は入力不要です。</v>
      </c>
    </row>
    <row r="43" spans="1:27">
      <c r="A43" s="12">
        <v>14</v>
      </c>
      <c r="B43" s="6"/>
      <c r="C43" s="6"/>
      <c r="D43" s="6"/>
      <c r="E43" s="10"/>
      <c r="F43" s="7"/>
      <c r="G43" s="531"/>
      <c r="H43" s="15">
        <f t="shared" si="0"/>
        <v>0</v>
      </c>
      <c r="I43" s="4">
        <f t="shared" si="1"/>
        <v>0</v>
      </c>
      <c r="J43" s="9"/>
      <c r="K43" s="4">
        <f t="shared" si="2"/>
        <v>0</v>
      </c>
      <c r="L43" s="5" t="str">
        <f>IF(Z43="◎",COUNTIF($Z$30:Z43,"◎"),"")</f>
        <v/>
      </c>
      <c r="W43" s="388" t="str">
        <f>IF(B43="個別病床",はじめに入力してください!$K$50,IF(B43="共通使用",はじめに入力してください!$K$52,""))</f>
        <v/>
      </c>
      <c r="Y43" s="12">
        <v>14</v>
      </c>
      <c r="Z43" s="367" t="str">
        <f t="shared" si="3"/>
        <v>○</v>
      </c>
      <c r="AA43" s="388" t="str">
        <f t="shared" si="4"/>
        <v>整備しない場合は入力不要です。</v>
      </c>
    </row>
    <row r="44" spans="1:27">
      <c r="A44" s="12">
        <v>15</v>
      </c>
      <c r="B44" s="6"/>
      <c r="C44" s="6"/>
      <c r="D44" s="6"/>
      <c r="E44" s="10"/>
      <c r="F44" s="7"/>
      <c r="G44" s="531"/>
      <c r="H44" s="15">
        <f t="shared" si="0"/>
        <v>0</v>
      </c>
      <c r="I44" s="4">
        <f t="shared" si="1"/>
        <v>0</v>
      </c>
      <c r="J44" s="9"/>
      <c r="K44" s="4">
        <f t="shared" si="2"/>
        <v>0</v>
      </c>
      <c r="L44" s="5" t="str">
        <f>IF(Z44="◎",COUNTIF($Z$30:Z44,"◎"),"")</f>
        <v/>
      </c>
      <c r="W44" s="388" t="str">
        <f>IF(B44="個別病床",はじめに入力してください!$K$50,IF(B44="共通使用",はじめに入力してください!$K$52,""))</f>
        <v/>
      </c>
      <c r="Y44" s="12">
        <v>15</v>
      </c>
      <c r="Z44" s="367" t="str">
        <f t="shared" si="3"/>
        <v>○</v>
      </c>
      <c r="AA44" s="388" t="str">
        <f t="shared" si="4"/>
        <v>整備しない場合は入力不要です。</v>
      </c>
    </row>
    <row r="45" spans="1:27">
      <c r="A45" s="12">
        <v>16</v>
      </c>
      <c r="B45" s="6"/>
      <c r="C45" s="6"/>
      <c r="D45" s="6"/>
      <c r="E45" s="10"/>
      <c r="F45" s="7"/>
      <c r="G45" s="531"/>
      <c r="H45" s="15">
        <f t="shared" si="0"/>
        <v>0</v>
      </c>
      <c r="I45" s="4">
        <f t="shared" si="1"/>
        <v>0</v>
      </c>
      <c r="J45" s="9"/>
      <c r="K45" s="4">
        <f t="shared" si="2"/>
        <v>0</v>
      </c>
      <c r="L45" s="5" t="str">
        <f>IF(Z45="◎",COUNTIF($Z$30:Z45,"◎"),"")</f>
        <v/>
      </c>
      <c r="W45" s="388" t="str">
        <f>IF(B45="個別病床",はじめに入力してください!$K$50,IF(B45="共通使用",はじめに入力してください!$K$52,""))</f>
        <v/>
      </c>
      <c r="Y45" s="12">
        <v>16</v>
      </c>
      <c r="Z45" s="367" t="str">
        <f t="shared" si="3"/>
        <v>○</v>
      </c>
      <c r="AA45" s="388" t="str">
        <f t="shared" si="4"/>
        <v>整備しない場合は入力不要です。</v>
      </c>
    </row>
    <row r="46" spans="1:27">
      <c r="A46" s="12">
        <v>17</v>
      </c>
      <c r="B46" s="6"/>
      <c r="C46" s="6"/>
      <c r="D46" s="6"/>
      <c r="E46" s="10"/>
      <c r="F46" s="7"/>
      <c r="G46" s="531"/>
      <c r="H46" s="15">
        <f t="shared" si="0"/>
        <v>0</v>
      </c>
      <c r="I46" s="4">
        <f t="shared" si="1"/>
        <v>0</v>
      </c>
      <c r="J46" s="9"/>
      <c r="K46" s="4">
        <f t="shared" si="2"/>
        <v>0</v>
      </c>
      <c r="L46" s="5" t="str">
        <f>IF(Z46="◎",COUNTIF($Z$30:Z46,"◎"),"")</f>
        <v/>
      </c>
      <c r="W46" s="388" t="str">
        <f>IF(B46="個別病床",はじめに入力してください!$K$50,IF(B46="共通使用",はじめに入力してください!$K$52,""))</f>
        <v/>
      </c>
      <c r="Y46" s="12">
        <v>17</v>
      </c>
      <c r="Z46" s="367" t="str">
        <f t="shared" si="3"/>
        <v>○</v>
      </c>
      <c r="AA46" s="388" t="str">
        <f t="shared" si="4"/>
        <v>整備しない場合は入力不要です。</v>
      </c>
    </row>
    <row r="47" spans="1:27">
      <c r="A47" s="12">
        <v>18</v>
      </c>
      <c r="B47" s="6"/>
      <c r="C47" s="6"/>
      <c r="D47" s="6"/>
      <c r="E47" s="10"/>
      <c r="F47" s="7"/>
      <c r="G47" s="531"/>
      <c r="H47" s="15">
        <f t="shared" si="0"/>
        <v>0</v>
      </c>
      <c r="I47" s="4">
        <f t="shared" si="1"/>
        <v>0</v>
      </c>
      <c r="J47" s="9"/>
      <c r="K47" s="4">
        <f t="shared" si="2"/>
        <v>0</v>
      </c>
      <c r="L47" s="5" t="str">
        <f>IF(Z47="◎",COUNTIF($Z$30:Z47,"◎"),"")</f>
        <v/>
      </c>
      <c r="W47" s="388" t="str">
        <f>IF(B47="個別病床",はじめに入力してください!$K$50,IF(B47="共通使用",はじめに入力してください!$K$52,""))</f>
        <v/>
      </c>
      <c r="Y47" s="12">
        <v>18</v>
      </c>
      <c r="Z47" s="367" t="str">
        <f t="shared" si="3"/>
        <v>○</v>
      </c>
      <c r="AA47" s="388" t="str">
        <f t="shared" si="4"/>
        <v>整備しない場合は入力不要です。</v>
      </c>
    </row>
    <row r="48" spans="1:27">
      <c r="A48" s="12">
        <v>19</v>
      </c>
      <c r="B48" s="6"/>
      <c r="C48" s="6"/>
      <c r="D48" s="6"/>
      <c r="E48" s="10"/>
      <c r="F48" s="7"/>
      <c r="G48" s="531"/>
      <c r="H48" s="15">
        <f t="shared" si="0"/>
        <v>0</v>
      </c>
      <c r="I48" s="4">
        <f t="shared" si="1"/>
        <v>0</v>
      </c>
      <c r="J48" s="9"/>
      <c r="K48" s="4">
        <f t="shared" si="2"/>
        <v>0</v>
      </c>
      <c r="L48" s="5" t="str">
        <f>IF(Z48="◎",COUNTIF($Z$30:Z48,"◎"),"")</f>
        <v/>
      </c>
      <c r="W48" s="388" t="str">
        <f>IF(B48="個別病床",はじめに入力してください!$K$50,IF(B48="共通使用",はじめに入力してください!$K$52,""))</f>
        <v/>
      </c>
      <c r="Y48" s="12">
        <v>19</v>
      </c>
      <c r="Z48" s="367" t="str">
        <f t="shared" si="3"/>
        <v>○</v>
      </c>
      <c r="AA48" s="388" t="str">
        <f t="shared" si="4"/>
        <v>整備しない場合は入力不要です。</v>
      </c>
    </row>
    <row r="49" spans="1:27">
      <c r="A49" s="12">
        <v>20</v>
      </c>
      <c r="B49" s="6"/>
      <c r="C49" s="6"/>
      <c r="D49" s="6"/>
      <c r="E49" s="10"/>
      <c r="F49" s="7"/>
      <c r="G49" s="531"/>
      <c r="H49" s="15">
        <f t="shared" si="0"/>
        <v>0</v>
      </c>
      <c r="I49" s="4">
        <f t="shared" si="1"/>
        <v>0</v>
      </c>
      <c r="J49" s="9"/>
      <c r="K49" s="4">
        <f t="shared" si="2"/>
        <v>0</v>
      </c>
      <c r="L49" s="5" t="str">
        <f>IF(Z49="◎",COUNTIF($Z$30:Z49,"◎"),"")</f>
        <v/>
      </c>
      <c r="W49" s="388" t="str">
        <f>IF(B49="個別病床",はじめに入力してください!$K$50,IF(B49="共通使用",はじめに入力してください!$K$52,""))</f>
        <v/>
      </c>
      <c r="Y49" s="12">
        <v>20</v>
      </c>
      <c r="Z49" s="367" t="str">
        <f t="shared" si="3"/>
        <v>○</v>
      </c>
      <c r="AA49" s="388" t="str">
        <f t="shared" si="4"/>
        <v>整備しない場合は入力不要です。</v>
      </c>
    </row>
    <row r="50" spans="1:27">
      <c r="A50" s="12">
        <v>21</v>
      </c>
      <c r="B50" s="6"/>
      <c r="C50" s="6"/>
      <c r="D50" s="6"/>
      <c r="E50" s="10"/>
      <c r="F50" s="7"/>
      <c r="G50" s="531"/>
      <c r="H50" s="15">
        <f t="shared" si="0"/>
        <v>0</v>
      </c>
      <c r="I50" s="4">
        <f t="shared" si="1"/>
        <v>0</v>
      </c>
      <c r="J50" s="9"/>
      <c r="K50" s="4">
        <f t="shared" si="2"/>
        <v>0</v>
      </c>
      <c r="L50" s="5" t="str">
        <f>IF(Z50="◎",COUNTIF($Z$30:Z50,"◎"),"")</f>
        <v/>
      </c>
      <c r="W50" s="388" t="str">
        <f>IF(B50="個別病床",はじめに入力してください!$K$50,IF(B50="共通使用",はじめに入力してください!$K$52,""))</f>
        <v/>
      </c>
      <c r="Y50" s="12">
        <v>21</v>
      </c>
      <c r="Z50" s="367" t="str">
        <f t="shared" si="3"/>
        <v>○</v>
      </c>
      <c r="AA50" s="388" t="str">
        <f t="shared" si="4"/>
        <v>整備しない場合は入力不要です。</v>
      </c>
    </row>
    <row r="51" spans="1:27">
      <c r="A51" s="12">
        <v>22</v>
      </c>
      <c r="B51" s="6"/>
      <c r="C51" s="6"/>
      <c r="D51" s="6"/>
      <c r="E51" s="10"/>
      <c r="F51" s="7"/>
      <c r="G51" s="531"/>
      <c r="H51" s="15">
        <f t="shared" si="0"/>
        <v>0</v>
      </c>
      <c r="I51" s="4">
        <f t="shared" si="1"/>
        <v>0</v>
      </c>
      <c r="J51" s="9"/>
      <c r="K51" s="4">
        <f t="shared" si="2"/>
        <v>0</v>
      </c>
      <c r="L51" s="5" t="str">
        <f>IF(Z51="◎",COUNTIF($Z$30:Z51,"◎"),"")</f>
        <v/>
      </c>
      <c r="W51" s="388" t="str">
        <f>IF(B51="個別病床",はじめに入力してください!$K$50,IF(B51="共通使用",はじめに入力してください!$K$52,""))</f>
        <v/>
      </c>
      <c r="Y51" s="12">
        <v>22</v>
      </c>
      <c r="Z51" s="367" t="str">
        <f t="shared" si="3"/>
        <v>○</v>
      </c>
      <c r="AA51" s="388" t="str">
        <f t="shared" si="4"/>
        <v>整備しない場合は入力不要です。</v>
      </c>
    </row>
    <row r="52" spans="1:27">
      <c r="A52" s="12">
        <v>23</v>
      </c>
      <c r="B52" s="6"/>
      <c r="C52" s="6"/>
      <c r="D52" s="6"/>
      <c r="E52" s="10"/>
      <c r="F52" s="7"/>
      <c r="G52" s="531"/>
      <c r="H52" s="15">
        <f t="shared" si="0"/>
        <v>0</v>
      </c>
      <c r="I52" s="4">
        <f t="shared" si="1"/>
        <v>0</v>
      </c>
      <c r="J52" s="9"/>
      <c r="K52" s="4">
        <f t="shared" si="2"/>
        <v>0</v>
      </c>
      <c r="L52" s="5" t="str">
        <f>IF(Z52="◎",COUNTIF($Z$30:Z52,"◎"),"")</f>
        <v/>
      </c>
      <c r="W52" s="388" t="str">
        <f>IF(B52="個別病床",はじめに入力してください!$K$50,IF(B52="共通使用",はじめに入力してください!$K$52,""))</f>
        <v/>
      </c>
      <c r="Y52" s="12">
        <v>23</v>
      </c>
      <c r="Z52" s="367" t="str">
        <f t="shared" si="3"/>
        <v>○</v>
      </c>
      <c r="AA52" s="388" t="str">
        <f t="shared" si="4"/>
        <v>整備しない場合は入力不要です。</v>
      </c>
    </row>
    <row r="53" spans="1:27">
      <c r="A53" s="12">
        <v>24</v>
      </c>
      <c r="B53" s="6"/>
      <c r="C53" s="6"/>
      <c r="D53" s="6"/>
      <c r="E53" s="10"/>
      <c r="F53" s="7"/>
      <c r="G53" s="531"/>
      <c r="H53" s="15">
        <f t="shared" si="0"/>
        <v>0</v>
      </c>
      <c r="I53" s="4">
        <f t="shared" si="1"/>
        <v>0</v>
      </c>
      <c r="J53" s="9"/>
      <c r="K53" s="4">
        <f t="shared" si="2"/>
        <v>0</v>
      </c>
      <c r="L53" s="5" t="str">
        <f>IF(Z53="◎",COUNTIF($Z$30:Z53,"◎"),"")</f>
        <v/>
      </c>
      <c r="W53" s="388" t="str">
        <f>IF(B53="個別病床",はじめに入力してください!$K$50,IF(B53="共通使用",はじめに入力してください!$K$52,""))</f>
        <v/>
      </c>
      <c r="Y53" s="12">
        <v>24</v>
      </c>
      <c r="Z53" s="367" t="str">
        <f t="shared" si="3"/>
        <v>○</v>
      </c>
      <c r="AA53" s="388" t="str">
        <f t="shared" si="4"/>
        <v>整備しない場合は入力不要です。</v>
      </c>
    </row>
    <row r="54" spans="1:27">
      <c r="A54" s="12">
        <v>25</v>
      </c>
      <c r="B54" s="6"/>
      <c r="C54" s="6"/>
      <c r="D54" s="6"/>
      <c r="E54" s="10"/>
      <c r="F54" s="7"/>
      <c r="G54" s="531"/>
      <c r="H54" s="15">
        <f t="shared" si="0"/>
        <v>0</v>
      </c>
      <c r="I54" s="4">
        <f t="shared" si="1"/>
        <v>0</v>
      </c>
      <c r="J54" s="9"/>
      <c r="K54" s="4">
        <f t="shared" si="2"/>
        <v>0</v>
      </c>
      <c r="L54" s="5" t="str">
        <f>IF(Z54="◎",COUNTIF($Z$30:Z54,"◎"),"")</f>
        <v/>
      </c>
      <c r="W54" s="388" t="str">
        <f>IF(B54="個別病床",はじめに入力してください!$K$50,IF(B54="共通使用",はじめに入力してください!$K$52,""))</f>
        <v/>
      </c>
      <c r="Y54" s="12">
        <v>25</v>
      </c>
      <c r="Z54" s="367" t="str">
        <f t="shared" si="3"/>
        <v>○</v>
      </c>
      <c r="AA54" s="388" t="str">
        <f t="shared" si="4"/>
        <v>整備しない場合は入力不要です。</v>
      </c>
    </row>
    <row r="55" spans="1:27">
      <c r="A55" s="12">
        <v>26</v>
      </c>
      <c r="B55" s="6"/>
      <c r="C55" s="6"/>
      <c r="D55" s="6"/>
      <c r="E55" s="10"/>
      <c r="F55" s="7"/>
      <c r="G55" s="531"/>
      <c r="H55" s="15">
        <f t="shared" si="0"/>
        <v>0</v>
      </c>
      <c r="I55" s="4">
        <f t="shared" si="1"/>
        <v>0</v>
      </c>
      <c r="J55" s="9"/>
      <c r="K55" s="4">
        <f t="shared" si="2"/>
        <v>0</v>
      </c>
      <c r="L55" s="5" t="str">
        <f>IF(Z55="◎",COUNTIF($Z$30:Z55,"◎"),"")</f>
        <v/>
      </c>
      <c r="W55" s="388" t="str">
        <f>IF(B55="個別病床",はじめに入力してください!$K$50,IF(B55="共通使用",はじめに入力してください!$K$52,""))</f>
        <v/>
      </c>
      <c r="Y55" s="12">
        <v>26</v>
      </c>
      <c r="Z55" s="367" t="str">
        <f t="shared" si="3"/>
        <v>○</v>
      </c>
      <c r="AA55" s="388" t="str">
        <f t="shared" si="4"/>
        <v>整備しない場合は入力不要です。</v>
      </c>
    </row>
    <row r="56" spans="1:27">
      <c r="A56" s="12">
        <v>27</v>
      </c>
      <c r="B56" s="6"/>
      <c r="C56" s="6"/>
      <c r="D56" s="6"/>
      <c r="E56" s="10"/>
      <c r="F56" s="7"/>
      <c r="G56" s="531"/>
      <c r="H56" s="15">
        <f t="shared" si="0"/>
        <v>0</v>
      </c>
      <c r="I56" s="4">
        <f t="shared" si="1"/>
        <v>0</v>
      </c>
      <c r="J56" s="9"/>
      <c r="K56" s="4">
        <f t="shared" si="2"/>
        <v>0</v>
      </c>
      <c r="L56" s="5" t="str">
        <f>IF(Z56="◎",COUNTIF($Z$30:Z56,"◎"),"")</f>
        <v/>
      </c>
      <c r="W56" s="388" t="str">
        <f>IF(B56="個別病床",はじめに入力してください!$K$50,IF(B56="共通使用",はじめに入力してください!$K$52,""))</f>
        <v/>
      </c>
      <c r="Y56" s="12">
        <v>27</v>
      </c>
      <c r="Z56" s="367" t="str">
        <f t="shared" si="3"/>
        <v>○</v>
      </c>
      <c r="AA56" s="388" t="str">
        <f t="shared" si="4"/>
        <v>整備しない場合は入力不要です。</v>
      </c>
    </row>
    <row r="57" spans="1:27">
      <c r="A57" s="12">
        <v>28</v>
      </c>
      <c r="B57" s="6"/>
      <c r="C57" s="6"/>
      <c r="D57" s="6"/>
      <c r="E57" s="10"/>
      <c r="F57" s="7"/>
      <c r="G57" s="531"/>
      <c r="H57" s="15">
        <f t="shared" si="0"/>
        <v>0</v>
      </c>
      <c r="I57" s="4">
        <f t="shared" si="1"/>
        <v>0</v>
      </c>
      <c r="J57" s="9"/>
      <c r="K57" s="4">
        <f t="shared" si="2"/>
        <v>0</v>
      </c>
      <c r="L57" s="5" t="str">
        <f>IF(Z57="◎",COUNTIF($Z$30:Z57,"◎"),"")</f>
        <v/>
      </c>
      <c r="W57" s="388" t="str">
        <f>IF(B57="個別病床",はじめに入力してください!$K$50,IF(B57="共通使用",はじめに入力してください!$K$52,""))</f>
        <v/>
      </c>
      <c r="Y57" s="12">
        <v>28</v>
      </c>
      <c r="Z57" s="367" t="str">
        <f t="shared" si="3"/>
        <v>○</v>
      </c>
      <c r="AA57" s="388" t="str">
        <f t="shared" si="4"/>
        <v>整備しない場合は入力不要です。</v>
      </c>
    </row>
    <row r="58" spans="1:27">
      <c r="A58" s="12">
        <v>29</v>
      </c>
      <c r="B58" s="6"/>
      <c r="C58" s="6"/>
      <c r="D58" s="6"/>
      <c r="E58" s="10"/>
      <c r="F58" s="7"/>
      <c r="G58" s="531"/>
      <c r="H58" s="15">
        <f t="shared" si="0"/>
        <v>0</v>
      </c>
      <c r="I58" s="4">
        <f t="shared" si="1"/>
        <v>0</v>
      </c>
      <c r="J58" s="9"/>
      <c r="K58" s="4">
        <f t="shared" si="2"/>
        <v>0</v>
      </c>
      <c r="L58" s="5" t="str">
        <f>IF(Z58="◎",COUNTIF($Z$30:Z58,"◎"),"")</f>
        <v/>
      </c>
      <c r="W58" s="388" t="str">
        <f>IF(B58="個別病床",はじめに入力してください!$K$50,IF(B58="共通使用",はじめに入力してください!$K$52,""))</f>
        <v/>
      </c>
      <c r="Y58" s="12">
        <v>29</v>
      </c>
      <c r="Z58" s="367" t="str">
        <f t="shared" si="3"/>
        <v>○</v>
      </c>
      <c r="AA58" s="388" t="str">
        <f t="shared" si="4"/>
        <v>整備しない場合は入力不要です。</v>
      </c>
    </row>
    <row r="59" spans="1:27">
      <c r="A59" s="12">
        <v>30</v>
      </c>
      <c r="B59" s="6"/>
      <c r="C59" s="6"/>
      <c r="D59" s="6"/>
      <c r="E59" s="10"/>
      <c r="F59" s="7"/>
      <c r="G59" s="531"/>
      <c r="H59" s="15">
        <f t="shared" si="0"/>
        <v>0</v>
      </c>
      <c r="I59" s="4">
        <f t="shared" si="1"/>
        <v>0</v>
      </c>
      <c r="J59" s="9"/>
      <c r="K59" s="4">
        <f t="shared" si="2"/>
        <v>0</v>
      </c>
      <c r="L59" s="5" t="str">
        <f>IF(Z59="◎",COUNTIF($Z$30:Z59,"◎"),"")</f>
        <v/>
      </c>
      <c r="W59" s="388" t="str">
        <f>IF(B59="個別病床",はじめに入力してください!$K$50,IF(B59="共通使用",はじめに入力してください!$K$52,""))</f>
        <v/>
      </c>
      <c r="Y59" s="12">
        <v>30</v>
      </c>
      <c r="Z59" s="367" t="str">
        <f t="shared" si="3"/>
        <v>○</v>
      </c>
      <c r="AA59" s="388" t="str">
        <f t="shared" si="4"/>
        <v>整備しない場合は入力不要です。</v>
      </c>
    </row>
    <row r="60" spans="1:27">
      <c r="A60" s="12">
        <v>31</v>
      </c>
      <c r="B60" s="6"/>
      <c r="C60" s="6"/>
      <c r="D60" s="6"/>
      <c r="E60" s="10"/>
      <c r="F60" s="7"/>
      <c r="G60" s="531"/>
      <c r="H60" s="15">
        <f t="shared" si="0"/>
        <v>0</v>
      </c>
      <c r="I60" s="4">
        <f t="shared" si="1"/>
        <v>0</v>
      </c>
      <c r="J60" s="9"/>
      <c r="K60" s="4">
        <f t="shared" si="2"/>
        <v>0</v>
      </c>
      <c r="L60" s="5" t="str">
        <f>IF(Z60="◎",COUNTIF($Z$30:Z60,"◎"),"")</f>
        <v/>
      </c>
      <c r="W60" s="388" t="str">
        <f>IF(B60="個別病床",はじめに入力してください!$K$50,IF(B60="共通使用",はじめに入力してください!$K$52,""))</f>
        <v/>
      </c>
      <c r="Y60" s="12">
        <v>31</v>
      </c>
      <c r="Z60" s="367" t="str">
        <f t="shared" si="3"/>
        <v>○</v>
      </c>
      <c r="AA60" s="388" t="str">
        <f t="shared" si="4"/>
        <v>整備しない場合は入力不要です。</v>
      </c>
    </row>
    <row r="61" spans="1:27">
      <c r="A61" s="12">
        <v>32</v>
      </c>
      <c r="B61" s="6"/>
      <c r="C61" s="6"/>
      <c r="D61" s="6"/>
      <c r="E61" s="10"/>
      <c r="F61" s="7"/>
      <c r="G61" s="531"/>
      <c r="H61" s="15">
        <f t="shared" si="0"/>
        <v>0</v>
      </c>
      <c r="I61" s="4">
        <f t="shared" si="1"/>
        <v>0</v>
      </c>
      <c r="J61" s="9"/>
      <c r="K61" s="4">
        <f t="shared" si="2"/>
        <v>0</v>
      </c>
      <c r="L61" s="5" t="str">
        <f>IF(Z61="◎",COUNTIF($Z$30:Z61,"◎"),"")</f>
        <v/>
      </c>
      <c r="W61" s="388" t="str">
        <f>IF(B61="個別病床",はじめに入力してください!$K$50,IF(B61="共通使用",はじめに入力してください!$K$52,""))</f>
        <v/>
      </c>
      <c r="Y61" s="12">
        <v>32</v>
      </c>
      <c r="Z61" s="367" t="str">
        <f t="shared" si="3"/>
        <v>○</v>
      </c>
      <c r="AA61" s="388" t="str">
        <f t="shared" si="4"/>
        <v>整備しない場合は入力不要です。</v>
      </c>
    </row>
    <row r="62" spans="1:27">
      <c r="A62" s="12">
        <v>33</v>
      </c>
      <c r="B62" s="6"/>
      <c r="C62" s="6"/>
      <c r="D62" s="6"/>
      <c r="E62" s="10"/>
      <c r="F62" s="7"/>
      <c r="G62" s="531"/>
      <c r="H62" s="15">
        <f t="shared" si="0"/>
        <v>0</v>
      </c>
      <c r="I62" s="4">
        <f t="shared" si="1"/>
        <v>0</v>
      </c>
      <c r="J62" s="9"/>
      <c r="K62" s="4">
        <f t="shared" si="2"/>
        <v>0</v>
      </c>
      <c r="L62" s="5" t="str">
        <f>IF(Z62="◎",COUNTIF($Z$30:Z62,"◎"),"")</f>
        <v/>
      </c>
      <c r="W62" s="388" t="str">
        <f>IF(B62="個別病床",はじめに入力してください!$K$50,IF(B62="共通使用",はじめに入力してください!$K$52,""))</f>
        <v/>
      </c>
      <c r="Y62" s="12">
        <v>33</v>
      </c>
      <c r="Z62" s="367" t="str">
        <f t="shared" si="3"/>
        <v>○</v>
      </c>
      <c r="AA62" s="388" t="str">
        <f t="shared" si="4"/>
        <v>整備しない場合は入力不要です。</v>
      </c>
    </row>
    <row r="63" spans="1:27">
      <c r="A63" s="12">
        <v>34</v>
      </c>
      <c r="B63" s="6"/>
      <c r="C63" s="6"/>
      <c r="D63" s="6"/>
      <c r="E63" s="10"/>
      <c r="F63" s="7"/>
      <c r="G63" s="531"/>
      <c r="H63" s="15">
        <f t="shared" si="0"/>
        <v>0</v>
      </c>
      <c r="I63" s="4">
        <f t="shared" si="1"/>
        <v>0</v>
      </c>
      <c r="J63" s="9"/>
      <c r="K63" s="4">
        <f t="shared" si="2"/>
        <v>0</v>
      </c>
      <c r="L63" s="5" t="str">
        <f>IF(Z63="◎",COUNTIF($Z$30:Z63,"◎"),"")</f>
        <v/>
      </c>
      <c r="W63" s="388" t="str">
        <f>IF(B63="個別病床",はじめに入力してください!$K$50,IF(B63="共通使用",はじめに入力してください!$K$52,""))</f>
        <v/>
      </c>
      <c r="Y63" s="12">
        <v>34</v>
      </c>
      <c r="Z63" s="367" t="str">
        <f t="shared" si="3"/>
        <v>○</v>
      </c>
      <c r="AA63" s="388" t="str">
        <f t="shared" si="4"/>
        <v>整備しない場合は入力不要です。</v>
      </c>
    </row>
    <row r="64" spans="1:27">
      <c r="A64" s="12">
        <v>35</v>
      </c>
      <c r="B64" s="6"/>
      <c r="C64" s="6"/>
      <c r="D64" s="6"/>
      <c r="E64" s="10"/>
      <c r="F64" s="7"/>
      <c r="G64" s="531"/>
      <c r="H64" s="15">
        <f t="shared" si="0"/>
        <v>0</v>
      </c>
      <c r="I64" s="4">
        <f t="shared" si="1"/>
        <v>0</v>
      </c>
      <c r="J64" s="9"/>
      <c r="K64" s="4">
        <f t="shared" si="2"/>
        <v>0</v>
      </c>
      <c r="L64" s="5" t="str">
        <f>IF(Z64="◎",COUNTIF($Z$30:Z64,"◎"),"")</f>
        <v/>
      </c>
      <c r="W64" s="388" t="str">
        <f>IF(B64="個別病床",はじめに入力してください!$K$50,IF(B64="共通使用",はじめに入力してください!$K$52,""))</f>
        <v/>
      </c>
      <c r="Y64" s="12">
        <v>35</v>
      </c>
      <c r="Z64" s="367" t="str">
        <f t="shared" si="3"/>
        <v>○</v>
      </c>
      <c r="AA64" s="388" t="str">
        <f t="shared" si="4"/>
        <v>整備しない場合は入力不要です。</v>
      </c>
    </row>
    <row r="65" spans="1:27">
      <c r="A65" s="12">
        <v>36</v>
      </c>
      <c r="B65" s="6"/>
      <c r="C65" s="6"/>
      <c r="D65" s="6"/>
      <c r="E65" s="10"/>
      <c r="F65" s="7"/>
      <c r="G65" s="531"/>
      <c r="H65" s="15">
        <f t="shared" si="0"/>
        <v>0</v>
      </c>
      <c r="I65" s="4">
        <f t="shared" si="1"/>
        <v>0</v>
      </c>
      <c r="J65" s="9"/>
      <c r="K65" s="4">
        <f t="shared" si="2"/>
        <v>0</v>
      </c>
      <c r="L65" s="5" t="str">
        <f>IF(Z65="◎",COUNTIF($Z$30:Z65,"◎"),"")</f>
        <v/>
      </c>
      <c r="W65" s="388" t="str">
        <f>IF(B65="個別病床",はじめに入力してください!$K$50,IF(B65="共通使用",はじめに入力してください!$K$52,""))</f>
        <v/>
      </c>
      <c r="Y65" s="12">
        <v>36</v>
      </c>
      <c r="Z65" s="367" t="str">
        <f t="shared" si="3"/>
        <v>○</v>
      </c>
      <c r="AA65" s="388" t="str">
        <f t="shared" si="4"/>
        <v>整備しない場合は入力不要です。</v>
      </c>
    </row>
    <row r="66" spans="1:27">
      <c r="A66" s="12">
        <v>37</v>
      </c>
      <c r="B66" s="6"/>
      <c r="C66" s="6"/>
      <c r="D66" s="6"/>
      <c r="E66" s="10"/>
      <c r="F66" s="7"/>
      <c r="G66" s="531"/>
      <c r="H66" s="15">
        <f t="shared" si="0"/>
        <v>0</v>
      </c>
      <c r="I66" s="4">
        <f t="shared" si="1"/>
        <v>0</v>
      </c>
      <c r="J66" s="9"/>
      <c r="K66" s="4">
        <f t="shared" si="2"/>
        <v>0</v>
      </c>
      <c r="L66" s="5" t="str">
        <f>IF(Z66="◎",COUNTIF($Z$30:Z66,"◎"),"")</f>
        <v/>
      </c>
      <c r="W66" s="388" t="str">
        <f>IF(B66="個別病床",はじめに入力してください!$K$50,IF(B66="共通使用",はじめに入力してください!$K$52,""))</f>
        <v/>
      </c>
      <c r="Y66" s="12">
        <v>37</v>
      </c>
      <c r="Z66" s="367" t="str">
        <f t="shared" si="3"/>
        <v>○</v>
      </c>
      <c r="AA66" s="388" t="str">
        <f t="shared" si="4"/>
        <v>整備しない場合は入力不要です。</v>
      </c>
    </row>
    <row r="67" spans="1:27">
      <c r="A67" s="12">
        <v>38</v>
      </c>
      <c r="B67" s="6"/>
      <c r="C67" s="6"/>
      <c r="D67" s="6"/>
      <c r="E67" s="10"/>
      <c r="F67" s="7"/>
      <c r="G67" s="531"/>
      <c r="H67" s="15">
        <f t="shared" si="0"/>
        <v>0</v>
      </c>
      <c r="I67" s="4">
        <f t="shared" si="1"/>
        <v>0</v>
      </c>
      <c r="J67" s="9"/>
      <c r="K67" s="4">
        <f t="shared" si="2"/>
        <v>0</v>
      </c>
      <c r="L67" s="5" t="str">
        <f>IF(Z67="◎",COUNTIF($Z$30:Z67,"◎"),"")</f>
        <v/>
      </c>
      <c r="W67" s="388" t="str">
        <f>IF(B67="個別病床",はじめに入力してください!$K$50,IF(B67="共通使用",はじめに入力してください!$K$52,""))</f>
        <v/>
      </c>
      <c r="Y67" s="12">
        <v>38</v>
      </c>
      <c r="Z67" s="367" t="str">
        <f t="shared" si="3"/>
        <v>○</v>
      </c>
      <c r="AA67" s="388" t="str">
        <f t="shared" si="4"/>
        <v>整備しない場合は入力不要です。</v>
      </c>
    </row>
    <row r="68" spans="1:27">
      <c r="A68" s="12">
        <v>39</v>
      </c>
      <c r="B68" s="6"/>
      <c r="C68" s="6"/>
      <c r="D68" s="6"/>
      <c r="E68" s="10"/>
      <c r="F68" s="7"/>
      <c r="G68" s="531"/>
      <c r="H68" s="15">
        <f t="shared" si="0"/>
        <v>0</v>
      </c>
      <c r="I68" s="4">
        <f t="shared" si="1"/>
        <v>0</v>
      </c>
      <c r="J68" s="9"/>
      <c r="K68" s="4">
        <f t="shared" si="2"/>
        <v>0</v>
      </c>
      <c r="L68" s="5" t="str">
        <f>IF(Z68="◎",COUNTIF($Z$30:Z68,"◎"),"")</f>
        <v/>
      </c>
      <c r="W68" s="388" t="str">
        <f>IF(B68="個別病床",はじめに入力してください!$K$50,IF(B68="共通使用",はじめに入力してください!$K$52,""))</f>
        <v/>
      </c>
      <c r="Y68" s="12">
        <v>39</v>
      </c>
      <c r="Z68" s="367" t="str">
        <f t="shared" si="3"/>
        <v>○</v>
      </c>
      <c r="AA68" s="388" t="str">
        <f t="shared" si="4"/>
        <v>整備しない場合は入力不要です。</v>
      </c>
    </row>
    <row r="69" spans="1:27">
      <c r="A69" s="12">
        <v>40</v>
      </c>
      <c r="B69" s="6"/>
      <c r="C69" s="6"/>
      <c r="D69" s="6"/>
      <c r="E69" s="10"/>
      <c r="F69" s="7"/>
      <c r="G69" s="531"/>
      <c r="H69" s="15">
        <f t="shared" si="0"/>
        <v>0</v>
      </c>
      <c r="I69" s="4">
        <f t="shared" si="1"/>
        <v>0</v>
      </c>
      <c r="J69" s="9"/>
      <c r="K69" s="4">
        <f t="shared" si="2"/>
        <v>0</v>
      </c>
      <c r="L69" s="5" t="str">
        <f>IF(Z69="◎",COUNTIF($Z$30:Z69,"◎"),"")</f>
        <v/>
      </c>
      <c r="W69" s="388" t="str">
        <f>IF(B69="個別病床",はじめに入力してください!$K$50,IF(B69="共通使用",はじめに入力してください!$K$52,""))</f>
        <v/>
      </c>
      <c r="Y69" s="12">
        <v>40</v>
      </c>
      <c r="Z69" s="367" t="str">
        <f t="shared" si="3"/>
        <v>○</v>
      </c>
      <c r="AA69" s="388" t="str">
        <f t="shared" si="4"/>
        <v>整備しない場合は入力不要です。</v>
      </c>
    </row>
    <row r="70" spans="1:27">
      <c r="A70" s="12">
        <v>41</v>
      </c>
      <c r="B70" s="6"/>
      <c r="C70" s="6"/>
      <c r="D70" s="6"/>
      <c r="E70" s="10"/>
      <c r="F70" s="7"/>
      <c r="G70" s="531"/>
      <c r="H70" s="15">
        <f t="shared" si="0"/>
        <v>0</v>
      </c>
      <c r="I70" s="4">
        <f t="shared" si="1"/>
        <v>0</v>
      </c>
      <c r="J70" s="9"/>
      <c r="K70" s="4">
        <f t="shared" si="2"/>
        <v>0</v>
      </c>
      <c r="L70" s="5" t="str">
        <f>IF(Z70="◎",COUNTIF($Z$30:Z70,"◎"),"")</f>
        <v/>
      </c>
      <c r="W70" s="388" t="str">
        <f>IF(B70="個別病床",はじめに入力してください!$K$50,IF(B70="共通使用",はじめに入力してください!$K$52,""))</f>
        <v/>
      </c>
      <c r="Y70" s="12">
        <v>41</v>
      </c>
      <c r="Z70" s="367" t="str">
        <f t="shared" si="3"/>
        <v>○</v>
      </c>
      <c r="AA70" s="388" t="str">
        <f t="shared" si="4"/>
        <v>整備しない場合は入力不要です。</v>
      </c>
    </row>
    <row r="71" spans="1:27">
      <c r="A71" s="12">
        <v>42</v>
      </c>
      <c r="B71" s="6"/>
      <c r="C71" s="6"/>
      <c r="D71" s="6"/>
      <c r="E71" s="10"/>
      <c r="F71" s="7"/>
      <c r="G71" s="531"/>
      <c r="H71" s="15">
        <f t="shared" si="0"/>
        <v>0</v>
      </c>
      <c r="I71" s="4">
        <f t="shared" si="1"/>
        <v>0</v>
      </c>
      <c r="J71" s="9"/>
      <c r="K71" s="4">
        <f t="shared" si="2"/>
        <v>0</v>
      </c>
      <c r="L71" s="5" t="str">
        <f>IF(Z71="◎",COUNTIF($Z$30:Z71,"◎"),"")</f>
        <v/>
      </c>
      <c r="W71" s="388" t="str">
        <f>IF(B71="個別病床",はじめに入力してください!$K$50,IF(B71="共通使用",はじめに入力してください!$K$52,""))</f>
        <v/>
      </c>
      <c r="Y71" s="12">
        <v>42</v>
      </c>
      <c r="Z71" s="367" t="str">
        <f t="shared" si="3"/>
        <v>○</v>
      </c>
      <c r="AA71" s="388" t="str">
        <f t="shared" si="4"/>
        <v>整備しない場合は入力不要です。</v>
      </c>
    </row>
    <row r="72" spans="1:27">
      <c r="A72" s="12">
        <v>43</v>
      </c>
      <c r="B72" s="6"/>
      <c r="C72" s="6"/>
      <c r="D72" s="6"/>
      <c r="E72" s="10"/>
      <c r="F72" s="7"/>
      <c r="G72" s="531"/>
      <c r="H72" s="15">
        <f t="shared" si="0"/>
        <v>0</v>
      </c>
      <c r="I72" s="4">
        <f t="shared" si="1"/>
        <v>0</v>
      </c>
      <c r="J72" s="9"/>
      <c r="K72" s="4">
        <f t="shared" si="2"/>
        <v>0</v>
      </c>
      <c r="L72" s="5" t="str">
        <f>IF(Z72="◎",COUNTIF($Z$30:Z72,"◎"),"")</f>
        <v/>
      </c>
      <c r="W72" s="388" t="str">
        <f>IF(B72="個別病床",はじめに入力してください!$K$50,IF(B72="共通使用",はじめに入力してください!$K$52,""))</f>
        <v/>
      </c>
      <c r="Y72" s="12">
        <v>43</v>
      </c>
      <c r="Z72" s="367" t="str">
        <f t="shared" si="3"/>
        <v>○</v>
      </c>
      <c r="AA72" s="388" t="str">
        <f t="shared" si="4"/>
        <v>整備しない場合は入力不要です。</v>
      </c>
    </row>
    <row r="73" spans="1:27">
      <c r="A73" s="12">
        <v>44</v>
      </c>
      <c r="B73" s="6"/>
      <c r="C73" s="6"/>
      <c r="D73" s="6"/>
      <c r="E73" s="10"/>
      <c r="F73" s="7"/>
      <c r="G73" s="531"/>
      <c r="H73" s="15">
        <f t="shared" si="0"/>
        <v>0</v>
      </c>
      <c r="I73" s="4">
        <f t="shared" si="1"/>
        <v>0</v>
      </c>
      <c r="J73" s="9"/>
      <c r="K73" s="4">
        <f t="shared" si="2"/>
        <v>0</v>
      </c>
      <c r="L73" s="5" t="str">
        <f>IF(Z73="◎",COUNTIF($Z$30:Z73,"◎"),"")</f>
        <v/>
      </c>
      <c r="W73" s="388" t="str">
        <f>IF(B73="個別病床",はじめに入力してください!$K$50,IF(B73="共通使用",はじめに入力してください!$K$52,""))</f>
        <v/>
      </c>
      <c r="Y73" s="12">
        <v>44</v>
      </c>
      <c r="Z73" s="367" t="str">
        <f t="shared" si="3"/>
        <v>○</v>
      </c>
      <c r="AA73" s="388" t="str">
        <f t="shared" si="4"/>
        <v>整備しない場合は入力不要です。</v>
      </c>
    </row>
    <row r="74" spans="1:27">
      <c r="A74" s="12">
        <v>45</v>
      </c>
      <c r="B74" s="6"/>
      <c r="C74" s="6"/>
      <c r="D74" s="6"/>
      <c r="E74" s="10"/>
      <c r="F74" s="7"/>
      <c r="G74" s="531"/>
      <c r="H74" s="15">
        <f t="shared" si="0"/>
        <v>0</v>
      </c>
      <c r="I74" s="4">
        <f t="shared" si="1"/>
        <v>0</v>
      </c>
      <c r="J74" s="9"/>
      <c r="K74" s="4">
        <f t="shared" si="2"/>
        <v>0</v>
      </c>
      <c r="L74" s="5" t="str">
        <f>IF(Z74="◎",COUNTIF($Z$30:Z74,"◎"),"")</f>
        <v/>
      </c>
      <c r="W74" s="388" t="str">
        <f>IF(B74="個別病床",はじめに入力してください!$K$50,IF(B74="共通使用",はじめに入力してください!$K$52,""))</f>
        <v/>
      </c>
      <c r="Y74" s="12">
        <v>45</v>
      </c>
      <c r="Z74" s="367" t="str">
        <f t="shared" si="3"/>
        <v>○</v>
      </c>
      <c r="AA74" s="388" t="str">
        <f t="shared" si="4"/>
        <v>整備しない場合は入力不要です。</v>
      </c>
    </row>
  </sheetData>
  <mergeCells count="23">
    <mergeCell ref="K1:M1"/>
    <mergeCell ref="B22:L22"/>
    <mergeCell ref="B2:D3"/>
    <mergeCell ref="Z3:Z5"/>
    <mergeCell ref="AA3:AA5"/>
    <mergeCell ref="Z7:Z8"/>
    <mergeCell ref="AA7:AA8"/>
    <mergeCell ref="B10:L10"/>
    <mergeCell ref="B13:L13"/>
    <mergeCell ref="B14:L14"/>
    <mergeCell ref="B15:L15"/>
    <mergeCell ref="B18:L21"/>
    <mergeCell ref="B7:L7"/>
    <mergeCell ref="B9:C9"/>
    <mergeCell ref="B12:L12"/>
    <mergeCell ref="B26:L26"/>
    <mergeCell ref="Z27:Z28"/>
    <mergeCell ref="AA27:AA28"/>
    <mergeCell ref="B28:D28"/>
    <mergeCell ref="E28:F28"/>
    <mergeCell ref="G28:J28"/>
    <mergeCell ref="K28:K29"/>
    <mergeCell ref="L28:L29"/>
  </mergeCells>
  <phoneticPr fontId="9"/>
  <conditionalFormatting sqref="Z29:Z1048576 Z1:Z2 Z11:Z21 Z6 Z23:Z27">
    <cfRule type="containsText" dxfId="53" priority="8" operator="containsText" text="×">
      <formula>NOT(ISERROR(SEARCH("×",Z1)))</formula>
    </cfRule>
  </conditionalFormatting>
  <conditionalFormatting sqref="AA1:AA2 AA11:AA21 AA29:AA1048576 AA6 AA23:AA27">
    <cfRule type="containsText" dxfId="52" priority="7" operator="containsText" text="要修正">
      <formula>NOT(ISERROR(SEARCH("要修正",AA1)))</formula>
    </cfRule>
  </conditionalFormatting>
  <conditionalFormatting sqref="Z22">
    <cfRule type="containsText" dxfId="51" priority="6" operator="containsText" text="×">
      <formula>NOT(ISERROR(SEARCH("×",Z22)))</formula>
    </cfRule>
  </conditionalFormatting>
  <conditionalFormatting sqref="AA22">
    <cfRule type="containsText" dxfId="50" priority="5" operator="containsText" text="要修正">
      <formula>NOT(ISERROR(SEARCH("要修正",AA22)))</formula>
    </cfRule>
  </conditionalFormatting>
  <conditionalFormatting sqref="Z9:Z10 Z7">
    <cfRule type="containsText" dxfId="49" priority="4" operator="containsText" text="×">
      <formula>NOT(ISERROR(SEARCH("×",Z7)))</formula>
    </cfRule>
  </conditionalFormatting>
  <conditionalFormatting sqref="AA9:AA10 AA7">
    <cfRule type="containsText" dxfId="48" priority="3" operator="containsText" text="要修正">
      <formula>NOT(ISERROR(SEARCH("要修正",AA7)))</formula>
    </cfRule>
  </conditionalFormatting>
  <conditionalFormatting sqref="Z3:Z4">
    <cfRule type="containsText" dxfId="47" priority="2" operator="containsText" text="×">
      <formula>NOT(ISERROR(SEARCH("×",Z3)))</formula>
    </cfRule>
  </conditionalFormatting>
  <conditionalFormatting sqref="AA3:AA4">
    <cfRule type="containsText" dxfId="46" priority="1" operator="containsText" text="要修正">
      <formula>NOT(ISERROR(SEARCH("要修正",AA3)))</formula>
    </cfRule>
  </conditionalFormatting>
  <dataValidations xWindow="653" yWindow="793" count="10">
    <dataValidation type="list" allowBlank="1" showInputMessage="1" showErrorMessage="1" promptTitle="補助対象の該当非該当" prompt="コロナ対応病床の初度設備に係る経費が対象となります。_x000a_共用部分の設備、備品や医療用消耗品等は補助対象外なので「対象外」を選択してください。_x000a_審査において確認、対象外と認めたものについては対象外として補正をお願いする場合があります。" sqref="J30:J74" xr:uid="{7A5F737A-1818-4BE0-B86D-23376854AF36}">
      <formula1>"補助対象,補助対象外"</formula1>
    </dataValidation>
    <dataValidation allowBlank="1" showInputMessage="1" showErrorMessage="1" promptTitle="金額の表示" prompt="数式が入力されているため、自動計算されます。" sqref="K30:K74 I30:I74" xr:uid="{175361CE-EC71-489F-AC36-DE2B867AC731}"/>
    <dataValidation allowBlank="1" showInputMessage="1" showErrorMessage="1" promptTitle="添付書類番号" prompt="種類、規格、数量、単価が全て適切に入力され、右の「判定」が「◎」と表示されると自動で番号が表示されます。" sqref="L30:L74" xr:uid="{8FEBE4D0-4724-4CE5-A39E-D13DA9BECA4B}"/>
    <dataValidation allowBlank="1" showInputMessage="1" showErrorMessage="1" promptTitle="単価の入力" prompt="税抜額または税込額のいずれかを入力してください。_x000a_入力しない方は「0」は入力せず、空欄としてください。" sqref="H30:H74" xr:uid="{63B918DE-9F05-4532-A8C6-ABCCFA258684}"/>
    <dataValidation allowBlank="1" showInputMessage="1" showErrorMessage="1" promptTitle="規格及び数量の入力" prompt="補助対象経費を計上する際、いずれも入力してください。" sqref="E30:E74" xr:uid="{3A81E350-9D26-4052-ADB1-D576C302D75F}"/>
    <dataValidation allowBlank="1" showInputMessage="1" showErrorMessage="1" promptTitle="補助対象金額" prompt="補助対象額×（見積書金額-割引額）/見積書金額_x000a_で算出されます。" sqref="J3" xr:uid="{00000000-0002-0000-1600-000006000000}"/>
    <dataValidation allowBlank="1" showInputMessage="1" showErrorMessage="1" promptTitle="割引額がある場合は入力" prompt="割引がない場合は「0円」のままとしてください。" sqref="I3" xr:uid="{00000000-0002-0000-1600-000007000000}"/>
    <dataValidation type="list" allowBlank="1" showInputMessage="1" showErrorMessage="1" promptTitle="設備、備品、その他の別を選択" prompt="当該行に記載する品目が_x000a_・「設備」（設備本体）_x000a_・備品（本体設備と別の構成をなすもの）_x000a_・その他（上記の該当しないもの）_x000a_の別をプルダウンから選択してください。" sqref="D30:D74" xr:uid="{B17C7356-C8B6-4A9D-A5D5-E6FD9B506D28}">
      <formula1>"設備,備品,その他"</formula1>
    </dataValidation>
    <dataValidation type="decimal" operator="greaterThanOrEqual" allowBlank="1" showInputMessage="1" showErrorMessage="1" promptTitle="単価の入力" prompt="税抜額または税込額のいずれかを入力してください。_x000a_入力しない方は「0」は入力せず、空欄としてください。" sqref="G30:G74" xr:uid="{83E12E8F-0B85-4FB7-800A-742FB75EC07D}">
      <formula1>0</formula1>
    </dataValidation>
    <dataValidation type="whole" operator="greaterThanOrEqual" allowBlank="1" showInputMessage="1" showErrorMessage="1" errorTitle="数値のみを入力してください。" error="「個」、「枚」等の単位入力は不要です。" promptTitle="規格及び数量の入力" prompt="補助対象経費を計上する際、いずれも入力してください。" sqref="F30:F74" xr:uid="{1E1C6C13-F2E4-49C6-81A3-4000D59870C0}">
      <formula1>0</formula1>
    </dataValidation>
  </dataValidations>
  <pageMargins left="0.7" right="0.7" top="0.75" bottom="0.75" header="0.3" footer="0.3"/>
  <pageSetup paperSize="9" scale="55" orientation="portrait" r:id="rId1"/>
  <drawing r:id="rId2"/>
  <legacyDrawing r:id="rId3"/>
  <extLst>
    <ext xmlns:x14="http://schemas.microsoft.com/office/spreadsheetml/2009/9/main" uri="{CCE6A557-97BC-4b89-ADB6-D9C93CAAB3DF}">
      <x14:dataValidations xmlns:xm="http://schemas.microsoft.com/office/excel/2006/main" xWindow="653" yWindow="793" count="3">
        <x14:dataValidation type="list" allowBlank="1" showInputMessage="1" showErrorMessage="1" promptTitle="「用途先」病床の選択（左の「病床」を選択しないと表示されません。" prompt="ベッドに必ずしも紐付けるものではありませんが、１病床１台で紐付けした場合、整備する病床に番号付けをした場合の番号を選択してください。" xr:uid="{FA32CCDC-BCF9-47D8-92B7-39027332EB65}">
          <x14:formula1>
            <xm:f>OFFSET(テーブル!$X$48, 0, MATCH(B30,テーブル!$Y$47:$Z$47,0), COUNTA(OFFSET(テーブル!$X$48,0,MATCH(B30,テーブル!$Y$47:$Z$47,0),$W$30,1)),1)</xm:f>
          </x14:formula1>
          <xm:sqref>C30:C74</xm:sqref>
        </x14:dataValidation>
        <x14:dataValidation type="list" allowBlank="1" showInputMessage="1" showErrorMessage="1" promptTitle="配備先の別を選択" prompt="確保病床の共通使用のものか、個別のベッドに配備するものか選択してください。" xr:uid="{2436B0E2-2B6E-4733-9805-E2CF5ABC1348}">
          <x14:formula1>
            <xm:f>テーブル!$X$48:$X$49</xm:f>
          </x14:formula1>
          <xm:sqref>B30:B74</xm:sqref>
        </x14:dataValidation>
        <x14:dataValidation type="list" allowBlank="1" showInputMessage="1" showErrorMessage="1" xr:uid="{00000000-0002-0000-1600-00000A000000}">
          <x14:formula1>
            <xm:f>テーブル!$M$37:$M$51</xm:f>
          </x14:formula1>
          <xm:sqref>B2:D2</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tabColor theme="4" tint="0.79998168889431442"/>
    <pageSetUpPr fitToPage="1"/>
  </sheetPr>
  <dimension ref="A1:AF74"/>
  <sheetViews>
    <sheetView showGridLines="0" view="pageBreakPreview" topLeftCell="A21" zoomScale="60" zoomScaleNormal="100" workbookViewId="0">
      <selection activeCell="B26" sqref="B26:L26"/>
    </sheetView>
  </sheetViews>
  <sheetFormatPr defaultColWidth="8.625" defaultRowHeight="18"/>
  <cols>
    <col min="1" max="1" width="3.625" style="12" customWidth="1"/>
    <col min="2" max="4" width="8.625" style="19"/>
    <col min="5" max="5" width="30.625" style="19" customWidth="1"/>
    <col min="6" max="6" width="8.625" style="19"/>
    <col min="7" max="11" width="12.625" style="19" customWidth="1"/>
    <col min="12" max="12" width="8.625" style="19"/>
    <col min="13" max="13" width="3.625" style="19" customWidth="1"/>
    <col min="14" max="23" width="8.625" style="19"/>
    <col min="24" max="24" width="8.625" style="19" customWidth="1"/>
    <col min="25" max="25" width="3.625" style="12" customWidth="1"/>
    <col min="26" max="26" width="8.625" style="19"/>
    <col min="27" max="27" width="40.625" style="19" customWidth="1"/>
    <col min="28" max="28" width="3.625" style="19" customWidth="1"/>
    <col min="29" max="32" width="8.625" style="19"/>
    <col min="33" max="33" width="30.625" style="19" customWidth="1"/>
    <col min="34" max="16384" width="8.625" style="19"/>
  </cols>
  <sheetData>
    <row r="1" spans="1:32" ht="20.100000000000001" customHeight="1">
      <c r="K1" s="1859" t="str">
        <f xml:space="preserve">
IF(表紙!X2="交付申請兼実績報告","（４月１日～５月７日分）",
IF(OR(表紙!X2="事前協議",表紙!X2="交付申請",表紙!X2="変更申請",表紙!X2="実績報告"),"（５月８日～９月30日分）",
))</f>
        <v>（４月１日～５月７日分）</v>
      </c>
      <c r="L1" s="1385"/>
      <c r="M1" s="1385"/>
    </row>
    <row r="2" spans="1:32" ht="20.100000000000001" customHeight="1">
      <c r="B2" s="1847" t="s">
        <v>429</v>
      </c>
      <c r="C2" s="1848"/>
      <c r="D2" s="1849"/>
      <c r="H2" s="5" t="s">
        <v>536</v>
      </c>
      <c r="I2" s="367" t="s">
        <v>537</v>
      </c>
      <c r="J2" s="5" t="s">
        <v>44</v>
      </c>
      <c r="Z2" s="367" t="s">
        <v>417</v>
      </c>
      <c r="AA2" s="367" t="s">
        <v>415</v>
      </c>
      <c r="AC2" s="367" t="str">
        <f>Z9</f>
        <v>×</v>
      </c>
      <c r="AD2" s="367" t="str">
        <f>Z15</f>
        <v>◎</v>
      </c>
      <c r="AE2" s="367" t="str">
        <f>Z22</f>
        <v>◎</v>
      </c>
      <c r="AF2" s="367" t="str">
        <f>Z26</f>
        <v>◎</v>
      </c>
    </row>
    <row r="3" spans="1:32" ht="20.100000000000001" customHeight="1">
      <c r="B3" s="1850"/>
      <c r="C3" s="1851"/>
      <c r="D3" s="1852"/>
      <c r="H3" s="351">
        <f>SUM(I30:I74)</f>
        <v>35200000</v>
      </c>
      <c r="I3" s="8"/>
      <c r="J3" s="351">
        <f>IFERROR(ROUNDUP(SUM(K30:K74)*((H3-I3)/H3),0),0)</f>
        <v>35200000</v>
      </c>
      <c r="Z3" s="884" t="str">
        <f xml:space="preserve">
IF(COUNTIF(AD2:AF2,"○")=3,"○",
IF(COUNTIF(AD2:AF2,"◎")=3,"◎","×"
))</f>
        <v>◎</v>
      </c>
      <c r="AA3" s="1842" t="str">
        <f xml:space="preserve">
IF(Z3="○","整備しない場合は入力不要です。",
IF(Z3="×","【要修正】入力が不十分な箇所があります。",
IF(Z3="◎","適切に入力がされました。")))</f>
        <v>適切に入力がされました。</v>
      </c>
    </row>
    <row r="4" spans="1:32" ht="9.9499999999999993" customHeight="1">
      <c r="Z4" s="884"/>
      <c r="AA4" s="1842"/>
    </row>
    <row r="5" spans="1:32" ht="20.100000000000001" customHeight="1">
      <c r="B5" s="386" t="s">
        <v>55</v>
      </c>
      <c r="C5" s="386"/>
      <c r="D5" s="386"/>
      <c r="E5" s="386"/>
      <c r="F5" s="386"/>
      <c r="G5" s="386"/>
      <c r="H5" s="386"/>
      <c r="I5" s="386"/>
      <c r="J5" s="386"/>
      <c r="K5" s="386"/>
      <c r="L5" s="386"/>
      <c r="Z5" s="857"/>
      <c r="AA5" s="858"/>
    </row>
    <row r="6" spans="1:32" ht="9.9499999999999993" customHeight="1"/>
    <row r="7" spans="1:32" ht="20.100000000000001" customHeight="1">
      <c r="B7" s="1863" t="str">
        <f xml:space="preserve">
IF(OR(表紙!X2="事前協議",表紙!X2="交付申請"),"（１）整備を行う対象の新規で指定を受けた確保病床数あるいは、確保病床を有しない場合は整備を行う病床の数",
IF(表紙!X2="交付申請兼実績報告","（１）整備を行う対象の新規で指定を受けた確保病床数"))</f>
        <v>（１）整備を行う対象の新規で指定を受けた確保病床数</v>
      </c>
      <c r="C7" s="953"/>
      <c r="D7" s="953"/>
      <c r="E7" s="953"/>
      <c r="F7" s="953"/>
      <c r="G7" s="953"/>
      <c r="H7" s="953"/>
      <c r="I7" s="953"/>
      <c r="J7" s="953"/>
      <c r="K7" s="953"/>
      <c r="L7" s="953"/>
      <c r="Z7" s="1838" t="s">
        <v>413</v>
      </c>
      <c r="AA7" s="1838" t="s">
        <v>415</v>
      </c>
    </row>
    <row r="8" spans="1:32" ht="9.9499999999999993" customHeight="1">
      <c r="Z8" s="1839"/>
      <c r="AA8" s="1839"/>
    </row>
    <row r="9" spans="1:32" ht="35.1" customHeight="1">
      <c r="B9" s="1864" t="s">
        <v>56</v>
      </c>
      <c r="C9" s="1865"/>
      <c r="D9" s="204" t="str">
        <f>IF(はじめに入力してください!K50="","",はじめに入力してください!K50)</f>
        <v/>
      </c>
      <c r="E9" s="352"/>
      <c r="F9" s="353"/>
      <c r="G9" s="353"/>
      <c r="H9" s="353"/>
      <c r="I9" s="353"/>
      <c r="J9" s="354"/>
      <c r="K9" s="354"/>
      <c r="L9" s="354"/>
      <c r="Z9" s="367" t="str">
        <f xml:space="preserve">
IF(D9="","×",
IF(D9=0,"○",
IF(D9&gt;=1,"◎",
)))</f>
        <v>×</v>
      </c>
      <c r="AA9" s="388" t="str">
        <f xml:space="preserve">
IF(D9="","【要修正】「はじめに入力してください」シートに整備を行う病床の数を入力してください。",
IF(D9=0,"申請しない場合は以下入力不要です。",
IF(D9&gt;=1,"適切に入力されました。",
)))</f>
        <v>【要修正】「はじめに入力してください」シートに整備を行う病床の数を入力してください。</v>
      </c>
    </row>
    <row r="10" spans="1:32" ht="20.100000000000001" customHeight="1">
      <c r="B10" s="1860"/>
      <c r="C10" s="1861"/>
      <c r="D10" s="1862"/>
      <c r="E10" s="1862"/>
      <c r="F10" s="1862"/>
      <c r="G10" s="1862"/>
      <c r="H10" s="1862"/>
      <c r="I10" s="1862"/>
      <c r="J10" s="1862"/>
      <c r="K10" s="1862"/>
      <c r="L10" s="1862"/>
    </row>
    <row r="11" spans="1:32" ht="20.100000000000001" hidden="1" customHeight="1"/>
    <row r="12" spans="1:32" ht="20.100000000000001" customHeight="1">
      <c r="B12" s="1863" t="s">
        <v>57</v>
      </c>
      <c r="C12" s="953"/>
      <c r="D12" s="953"/>
      <c r="E12" s="953"/>
      <c r="F12" s="953"/>
      <c r="G12" s="953"/>
      <c r="H12" s="953"/>
      <c r="I12" s="953"/>
      <c r="J12" s="953"/>
      <c r="K12" s="953"/>
      <c r="L12" s="953"/>
    </row>
    <row r="13" spans="1:32" ht="39.950000000000003" customHeight="1">
      <c r="B13" s="1843" t="s">
        <v>538</v>
      </c>
      <c r="C13" s="952"/>
      <c r="D13" s="952"/>
      <c r="E13" s="952"/>
      <c r="F13" s="952"/>
      <c r="G13" s="952"/>
      <c r="H13" s="952"/>
      <c r="I13" s="952"/>
      <c r="J13" s="952"/>
      <c r="K13" s="952"/>
      <c r="L13" s="952"/>
    </row>
    <row r="14" spans="1:32" s="385" customFormat="1" ht="99.95" customHeight="1">
      <c r="A14" s="13"/>
      <c r="B14" s="1843" t="str">
        <f>VLOOKUP(B2,テーブル!M37:N51,2,FALSE)</f>
        <v>（例）当院は透析患者の入院受け入れも行っており、これまで透析患者の病床をコロナ病床に転換して対応を行ってきた。
　　　今年度に入りこれまで、当院が透析患者の受け入れのため確保している病床数を超える入院受け入れ要請が生じ、透析専門の有床診療所に受け入れ協力
　　　をせざるを得ない状況が生じ、診療所でクラスターが発生、その際、遠隔の医療機関への搬送事例が生じたことから、こうした事態を未然に防ぐため、
　　　新たに○台の追加整備を行うこととしたい。
　　　（整備台数の検討にあたってのピーク時の陽性患者数の推移及び受け入れ要請を断らざるを得なかったケースの詳細については別紙のとおり。）</v>
      </c>
      <c r="C14" s="1675"/>
      <c r="D14" s="1675"/>
      <c r="E14" s="1675"/>
      <c r="F14" s="1675"/>
      <c r="G14" s="1675"/>
      <c r="H14" s="1675"/>
      <c r="I14" s="1675"/>
      <c r="J14" s="1675"/>
      <c r="K14" s="1675"/>
      <c r="L14" s="1675"/>
      <c r="Y14" s="13"/>
      <c r="Z14" s="366" t="s">
        <v>413</v>
      </c>
      <c r="AA14" s="366" t="s">
        <v>414</v>
      </c>
    </row>
    <row r="15" spans="1:32" ht="120" customHeight="1">
      <c r="B15" s="1844" t="s">
        <v>1287</v>
      </c>
      <c r="C15" s="1845"/>
      <c r="D15" s="1845"/>
      <c r="E15" s="1845"/>
      <c r="F15" s="1845"/>
      <c r="G15" s="1845"/>
      <c r="H15" s="1845"/>
      <c r="I15" s="1845"/>
      <c r="J15" s="1845"/>
      <c r="K15" s="1845"/>
      <c r="L15" s="1846"/>
      <c r="Z15" s="367" t="str">
        <f xml:space="preserve">
IF(COUNTA(B15)=0,"○",
IF(COUNTA(B15)=1,"◎"))</f>
        <v>◎</v>
      </c>
      <c r="AA15" s="388" t="str">
        <f xml:space="preserve">
IF(COUNTA(B15)=0,"整備しない場合は入力不要です。",
IF(COUNTA(B15)=1,"入力された状態になりました。"))</f>
        <v>入力された状態になりました。</v>
      </c>
    </row>
    <row r="16" spans="1:32" ht="20.100000000000001" customHeight="1"/>
    <row r="17" spans="1:27" ht="20.100000000000001" customHeight="1">
      <c r="B17" s="386" t="s">
        <v>452</v>
      </c>
      <c r="C17" s="386"/>
      <c r="D17" s="386"/>
      <c r="E17" s="386"/>
      <c r="F17" s="386"/>
      <c r="G17" s="386"/>
      <c r="H17" s="386"/>
      <c r="I17" s="386"/>
      <c r="J17" s="386"/>
      <c r="K17" s="386"/>
      <c r="L17" s="386"/>
    </row>
    <row r="18" spans="1:27" ht="20.100000000000001" customHeight="1">
      <c r="B18" s="1843" t="s">
        <v>480</v>
      </c>
      <c r="C18" s="952"/>
      <c r="D18" s="952"/>
      <c r="E18" s="952"/>
      <c r="F18" s="952"/>
      <c r="G18" s="952"/>
      <c r="H18" s="952"/>
      <c r="I18" s="952"/>
      <c r="J18" s="952"/>
      <c r="K18" s="952"/>
      <c r="L18" s="952"/>
    </row>
    <row r="19" spans="1:27" ht="20.100000000000001" customHeight="1">
      <c r="B19" s="1843"/>
      <c r="C19" s="952"/>
      <c r="D19" s="952"/>
      <c r="E19" s="952"/>
      <c r="F19" s="952"/>
      <c r="G19" s="952"/>
      <c r="H19" s="952"/>
      <c r="I19" s="952"/>
      <c r="J19" s="952"/>
      <c r="K19" s="952"/>
      <c r="L19" s="952"/>
    </row>
    <row r="20" spans="1:27" ht="20.100000000000001" customHeight="1">
      <c r="B20" s="1843"/>
      <c r="C20" s="952"/>
      <c r="D20" s="952"/>
      <c r="E20" s="952"/>
      <c r="F20" s="952"/>
      <c r="G20" s="952"/>
      <c r="H20" s="952"/>
      <c r="I20" s="952"/>
      <c r="J20" s="952"/>
      <c r="K20" s="952"/>
      <c r="L20" s="952"/>
    </row>
    <row r="21" spans="1:27" ht="20.100000000000001" customHeight="1">
      <c r="B21" s="952"/>
      <c r="C21" s="952"/>
      <c r="D21" s="952"/>
      <c r="E21" s="952"/>
      <c r="F21" s="952"/>
      <c r="G21" s="952"/>
      <c r="H21" s="952"/>
      <c r="I21" s="952"/>
      <c r="J21" s="952"/>
      <c r="K21" s="952"/>
      <c r="L21" s="952"/>
    </row>
    <row r="22" spans="1:27" ht="120" customHeight="1">
      <c r="B22" s="1844" t="s">
        <v>1287</v>
      </c>
      <c r="C22" s="1845"/>
      <c r="D22" s="1845"/>
      <c r="E22" s="1845"/>
      <c r="F22" s="1845"/>
      <c r="G22" s="1845"/>
      <c r="H22" s="1845"/>
      <c r="I22" s="1845"/>
      <c r="J22" s="1845"/>
      <c r="K22" s="1845"/>
      <c r="L22" s="1846"/>
      <c r="Z22" s="367" t="str">
        <f xml:space="preserve">
IF(COUNTA(B22)=0,"○",
IF(COUNTA(B22)=1,"◎"))</f>
        <v>◎</v>
      </c>
      <c r="AA22" s="388" t="str">
        <f xml:space="preserve">
IF(COUNTA(B22)=0,"整備しない場合は入力不要です。",
IF(COUNTA(B22)=1,"入力された状態になりました。"))</f>
        <v>入力された状態になりました。</v>
      </c>
    </row>
    <row r="23" spans="1:27" ht="20.100000000000001" customHeight="1"/>
    <row r="24" spans="1:27" ht="20.100000000000001" customHeight="1">
      <c r="B24" s="386" t="s">
        <v>451</v>
      </c>
      <c r="C24" s="386"/>
      <c r="D24" s="386"/>
      <c r="E24" s="386"/>
      <c r="F24" s="386"/>
      <c r="G24" s="386"/>
      <c r="H24" s="386"/>
      <c r="I24" s="386"/>
      <c r="J24" s="386"/>
      <c r="K24" s="386"/>
      <c r="L24" s="386"/>
      <c r="Z24" s="14"/>
    </row>
    <row r="25" spans="1:27" ht="9.9499999999999993" customHeight="1"/>
    <row r="26" spans="1:27" ht="60" customHeight="1">
      <c r="B26" s="1843" t="s">
        <v>559</v>
      </c>
      <c r="C26" s="953"/>
      <c r="D26" s="953"/>
      <c r="E26" s="953"/>
      <c r="F26" s="953"/>
      <c r="G26" s="953"/>
      <c r="H26" s="953"/>
      <c r="I26" s="953"/>
      <c r="J26" s="953"/>
      <c r="K26" s="953"/>
      <c r="L26" s="953"/>
      <c r="Z26" s="367" t="str">
        <f xml:space="preserve">
IF(COUNTIF(Z30:Z74,"○")=45,"○",
IF(COUNTIF(Z30:Z74,"×")&gt;=1,"×",
IF(AND(COUNTIF(Z30:Z74,"◎")&gt;=1,COUNTIF(Z30:Z74,"×")=0),"◎")))</f>
        <v>◎</v>
      </c>
      <c r="AA26" s="388" t="str">
        <f xml:space="preserve">
IF(COUNTIF(Z30:Z74,"○")=45,"整備しない場合は入力不要です。",
IF(COUNTIF(Z30:Z74,"×")&gt;=1,"【要修正】入力が不十分な箇所があります。",
IF(AND(COUNTIF(Z30:Z74,"◎")&gt;=1,COUNTIF(Z30:Z74,"×")=0),"適切に入力がされました。")))</f>
        <v>適切に入力がされました。</v>
      </c>
    </row>
    <row r="27" spans="1:27" ht="9.9499999999999993" customHeight="1">
      <c r="Z27" s="1837" t="s">
        <v>416</v>
      </c>
      <c r="AA27" s="1840" t="s">
        <v>418</v>
      </c>
    </row>
    <row r="28" spans="1:27">
      <c r="B28" s="1853" t="s">
        <v>41</v>
      </c>
      <c r="C28" s="1854"/>
      <c r="D28" s="1855"/>
      <c r="E28" s="1853" t="s">
        <v>42</v>
      </c>
      <c r="F28" s="1855"/>
      <c r="G28" s="1853" t="s">
        <v>43</v>
      </c>
      <c r="H28" s="1854"/>
      <c r="I28" s="1854"/>
      <c r="J28" s="1855"/>
      <c r="K28" s="1856" t="s">
        <v>44</v>
      </c>
      <c r="L28" s="1856" t="s">
        <v>45</v>
      </c>
      <c r="Z28" s="1105"/>
      <c r="AA28" s="1841"/>
    </row>
    <row r="29" spans="1:27">
      <c r="B29" s="3" t="s">
        <v>46</v>
      </c>
      <c r="C29" s="3" t="s">
        <v>47</v>
      </c>
      <c r="D29" s="3" t="s">
        <v>48</v>
      </c>
      <c r="E29" s="3" t="s">
        <v>54</v>
      </c>
      <c r="F29" s="3" t="s">
        <v>49</v>
      </c>
      <c r="G29" s="3" t="s">
        <v>50</v>
      </c>
      <c r="H29" s="3" t="s">
        <v>51</v>
      </c>
      <c r="I29" s="3" t="s">
        <v>52</v>
      </c>
      <c r="J29" s="3" t="s">
        <v>53</v>
      </c>
      <c r="K29" s="1857"/>
      <c r="L29" s="1857"/>
      <c r="Z29" s="367" t="s">
        <v>413</v>
      </c>
      <c r="AA29" s="367" t="s">
        <v>415</v>
      </c>
    </row>
    <row r="30" spans="1:27">
      <c r="A30" s="12">
        <v>1</v>
      </c>
      <c r="B30" s="6"/>
      <c r="C30" s="6"/>
      <c r="D30" s="6"/>
      <c r="E30" s="10"/>
      <c r="F30" s="7"/>
      <c r="G30" s="531"/>
      <c r="H30" s="15">
        <f>ROUNDDOWN(G30*1.1,0)</f>
        <v>0</v>
      </c>
      <c r="I30" s="4">
        <f>F30*H30</f>
        <v>0</v>
      </c>
      <c r="J30" s="9"/>
      <c r="K30" s="4">
        <f>IF(J30="補助対象",I30,IF(J30="補助対象外",0,0))</f>
        <v>0</v>
      </c>
      <c r="L30" s="5" t="str">
        <f>IF(Z30="◎",COUNTIF($Z$30:Z30,"◎"),"")</f>
        <v/>
      </c>
      <c r="W30" s="388" t="str">
        <f>IF(B30="個別病床",はじめに入力してください!$K$50,IF(B30="共通使用",はじめに入力してください!$K$52,""))</f>
        <v/>
      </c>
      <c r="Y30" s="12">
        <v>1</v>
      </c>
      <c r="Z30" s="367" t="str">
        <f xml:space="preserve">
IF(SUM(COUNTA(B30:G30),COUNTA(J30))=0,"○",
IF(AND(SUM(COUNTA(B30:G30),COUNTA(J30))&gt;0,SUM(COUNTA(B30:G30),COUNTA(J30))&lt;7),"×",
IF(SUM(COUNTA(B30:G30),COUNTA(J30))=7,"◎")))</f>
        <v>○</v>
      </c>
      <c r="AA30" s="388" t="str">
        <f xml:space="preserve">
IF(SUM(COUNTA(B30:G30),COUNTA(J30))=0,"整備しない場合は入力不要です。",
IF(AND(SUM(COUNTA(B30:G30),COUNTA(J30))&gt;0,SUM(COUNTA(B30:G30),COUNTA(J30))&lt;7),"【要修正】未入力の箇所があります。",
IF(SUM(COUNTA(B30:G30),COUNTA(J30))=7,"適切に入力がされました。")))</f>
        <v>整備しない場合は入力不要です。</v>
      </c>
    </row>
    <row r="31" spans="1:27">
      <c r="A31" s="12">
        <v>2</v>
      </c>
      <c r="B31" s="6"/>
      <c r="C31" s="6"/>
      <c r="D31" s="6"/>
      <c r="E31" s="10"/>
      <c r="F31" s="7"/>
      <c r="G31" s="531"/>
      <c r="H31" s="15">
        <f t="shared" ref="H31:H74" si="0">ROUNDDOWN(G31*1.1,0)</f>
        <v>0</v>
      </c>
      <c r="I31" s="4">
        <f t="shared" ref="I31:I74" si="1">F31*H31</f>
        <v>0</v>
      </c>
      <c r="J31" s="9"/>
      <c r="K31" s="4">
        <f t="shared" ref="K31:K74" si="2">IF(J31="補助対象",I31,IF(J31="補助対象外",0,0))</f>
        <v>0</v>
      </c>
      <c r="L31" s="5" t="str">
        <f>IF(Z31="◎",COUNTIF($Z$30:Z31,"◎"),"")</f>
        <v/>
      </c>
      <c r="W31" s="388" t="str">
        <f>IF(B31="個別病床",はじめに入力してください!$K$50,IF(B31="共通使用",はじめに入力してください!$K$52,""))</f>
        <v/>
      </c>
      <c r="Y31" s="12">
        <v>2</v>
      </c>
      <c r="Z31" s="367" t="str">
        <f t="shared" ref="Z31:Z74" si="3" xml:space="preserve">
IF(SUM(COUNTA(B31:G31),COUNTA(J31))=0,"○",
IF(AND(SUM(COUNTA(B31:G31),COUNTA(J31))&gt;0,SUM(COUNTA(B31:G31),COUNTA(J31))&lt;7),"×",
IF(SUM(COUNTA(B31:G31),COUNTA(J31))=7,"◎")))</f>
        <v>○</v>
      </c>
      <c r="AA31" s="388" t="str">
        <f t="shared" ref="AA31:AA74" si="4" xml:space="preserve">
IF(SUM(COUNTA(B31:G31),COUNTA(J31))=0,"整備しない場合は入力不要です。",
IF(AND(SUM(COUNTA(B31:G31),COUNTA(J31))&gt;0,SUM(COUNTA(B31:G31),COUNTA(J31))&lt;7),"【要修正】未入力の箇所があります。",
IF(SUM(COUNTA(B31:G31),COUNTA(J31))=7,"適切に入力がされました。")))</f>
        <v>整備しない場合は入力不要です。</v>
      </c>
    </row>
    <row r="32" spans="1:27">
      <c r="A32" s="12">
        <v>3</v>
      </c>
      <c r="B32" s="6"/>
      <c r="C32" s="6"/>
      <c r="D32" s="6"/>
      <c r="E32" s="10"/>
      <c r="F32" s="7"/>
      <c r="G32" s="531"/>
      <c r="H32" s="15">
        <f t="shared" si="0"/>
        <v>0</v>
      </c>
      <c r="I32" s="4">
        <f t="shared" si="1"/>
        <v>0</v>
      </c>
      <c r="J32" s="9"/>
      <c r="K32" s="4">
        <f t="shared" si="2"/>
        <v>0</v>
      </c>
      <c r="L32" s="5" t="str">
        <f>IF(Z32="◎",COUNTIF($Z$30:Z32,"◎"),"")</f>
        <v/>
      </c>
      <c r="W32" s="388" t="str">
        <f>IF(B32="個別病床",はじめに入力してください!$K$50,IF(B32="共通使用",はじめに入力してください!$K$52,""))</f>
        <v/>
      </c>
      <c r="Y32" s="12">
        <v>3</v>
      </c>
      <c r="Z32" s="367" t="str">
        <f t="shared" si="3"/>
        <v>○</v>
      </c>
      <c r="AA32" s="388" t="str">
        <f t="shared" si="4"/>
        <v>整備しない場合は入力不要です。</v>
      </c>
    </row>
    <row r="33" spans="1:27">
      <c r="A33" s="12">
        <v>4</v>
      </c>
      <c r="B33" s="6"/>
      <c r="C33" s="6"/>
      <c r="D33" s="6"/>
      <c r="E33" s="10"/>
      <c r="F33" s="7"/>
      <c r="G33" s="531"/>
      <c r="H33" s="15">
        <f t="shared" si="0"/>
        <v>0</v>
      </c>
      <c r="I33" s="4">
        <f t="shared" si="1"/>
        <v>0</v>
      </c>
      <c r="J33" s="9"/>
      <c r="K33" s="4">
        <f t="shared" si="2"/>
        <v>0</v>
      </c>
      <c r="L33" s="5" t="str">
        <f>IF(Z33="◎",COUNTIF($Z$30:Z33,"◎"),"")</f>
        <v/>
      </c>
      <c r="W33" s="388" t="str">
        <f>IF(B33="個別病床",はじめに入力してください!$K$50,IF(B33="共通使用",はじめに入力してください!$K$52,""))</f>
        <v/>
      </c>
      <c r="Y33" s="12">
        <v>4</v>
      </c>
      <c r="Z33" s="367" t="str">
        <f t="shared" si="3"/>
        <v>○</v>
      </c>
      <c r="AA33" s="388" t="str">
        <f t="shared" si="4"/>
        <v>整備しない場合は入力不要です。</v>
      </c>
    </row>
    <row r="34" spans="1:27">
      <c r="A34" s="12">
        <v>5</v>
      </c>
      <c r="B34" s="6"/>
      <c r="C34" s="6"/>
      <c r="D34" s="6"/>
      <c r="E34" s="10"/>
      <c r="F34" s="7"/>
      <c r="G34" s="531"/>
      <c r="H34" s="15">
        <f t="shared" si="0"/>
        <v>0</v>
      </c>
      <c r="I34" s="4">
        <f t="shared" si="1"/>
        <v>0</v>
      </c>
      <c r="J34" s="9"/>
      <c r="K34" s="4">
        <f t="shared" si="2"/>
        <v>0</v>
      </c>
      <c r="L34" s="5" t="str">
        <f>IF(Z34="◎",COUNTIF($Z$30:Z34,"◎"),"")</f>
        <v/>
      </c>
      <c r="W34" s="388" t="str">
        <f>IF(B34="個別病床",はじめに入力してください!$K$50,IF(B34="共通使用",はじめに入力してください!$K$52,""))</f>
        <v/>
      </c>
      <c r="Y34" s="12">
        <v>5</v>
      </c>
      <c r="Z34" s="367" t="str">
        <f t="shared" si="3"/>
        <v>○</v>
      </c>
      <c r="AA34" s="388" t="str">
        <f t="shared" si="4"/>
        <v>整備しない場合は入力不要です。</v>
      </c>
    </row>
    <row r="35" spans="1:27">
      <c r="A35" s="12">
        <v>6</v>
      </c>
      <c r="B35" s="6"/>
      <c r="C35" s="6"/>
      <c r="D35" s="6"/>
      <c r="E35" s="10"/>
      <c r="F35" s="7"/>
      <c r="G35" s="531"/>
      <c r="H35" s="15">
        <f t="shared" si="0"/>
        <v>0</v>
      </c>
      <c r="I35" s="4">
        <f t="shared" si="1"/>
        <v>0</v>
      </c>
      <c r="J35" s="9"/>
      <c r="K35" s="4">
        <f t="shared" si="2"/>
        <v>0</v>
      </c>
      <c r="L35" s="5" t="str">
        <f>IF(Z35="◎",COUNTIF($Z$30:Z35,"◎"),"")</f>
        <v/>
      </c>
      <c r="W35" s="388" t="str">
        <f>IF(B35="個別病床",はじめに入力してください!$K$50,IF(B35="共通使用",はじめに入力してください!$K$52,""))</f>
        <v/>
      </c>
      <c r="Y35" s="12">
        <v>6</v>
      </c>
      <c r="Z35" s="367" t="str">
        <f t="shared" si="3"/>
        <v>○</v>
      </c>
      <c r="AA35" s="388" t="str">
        <f t="shared" si="4"/>
        <v>整備しない場合は入力不要です。</v>
      </c>
    </row>
    <row r="36" spans="1:27">
      <c r="A36" s="12">
        <v>7</v>
      </c>
      <c r="B36" s="6" t="s">
        <v>669</v>
      </c>
      <c r="C36" s="6" t="s">
        <v>670</v>
      </c>
      <c r="D36" s="6" t="s">
        <v>1281</v>
      </c>
      <c r="E36" s="10" t="s">
        <v>1280</v>
      </c>
      <c r="F36" s="7">
        <v>8</v>
      </c>
      <c r="G36" s="531">
        <v>1000000</v>
      </c>
      <c r="H36" s="15">
        <f t="shared" si="0"/>
        <v>1100000</v>
      </c>
      <c r="I36" s="4">
        <f t="shared" si="1"/>
        <v>8800000</v>
      </c>
      <c r="J36" s="9" t="s">
        <v>1285</v>
      </c>
      <c r="K36" s="4">
        <f t="shared" si="2"/>
        <v>8800000</v>
      </c>
      <c r="L36" s="5">
        <f>IF(Z36="◎",COUNTIF($Z$30:Z36,"◎"),"")</f>
        <v>1</v>
      </c>
      <c r="W36" s="388">
        <f>IF(B36="個別病床",はじめに入力してください!$K$50,IF(B36="共通使用",はじめに入力してください!$K$52,""))</f>
        <v>0</v>
      </c>
      <c r="Y36" s="12">
        <v>7</v>
      </c>
      <c r="Z36" s="367" t="str">
        <f t="shared" si="3"/>
        <v>◎</v>
      </c>
      <c r="AA36" s="388" t="str">
        <f t="shared" si="4"/>
        <v>適切に入力がされました。</v>
      </c>
    </row>
    <row r="37" spans="1:27">
      <c r="A37" s="12">
        <v>8</v>
      </c>
      <c r="B37" s="6" t="s">
        <v>669</v>
      </c>
      <c r="C37" s="6" t="s">
        <v>670</v>
      </c>
      <c r="D37" s="6" t="s">
        <v>1282</v>
      </c>
      <c r="E37" s="10" t="s">
        <v>1283</v>
      </c>
      <c r="F37" s="7">
        <v>8</v>
      </c>
      <c r="G37" s="531">
        <v>1000000</v>
      </c>
      <c r="H37" s="15">
        <f t="shared" si="0"/>
        <v>1100000</v>
      </c>
      <c r="I37" s="4">
        <f t="shared" si="1"/>
        <v>8800000</v>
      </c>
      <c r="J37" s="9" t="s">
        <v>1285</v>
      </c>
      <c r="K37" s="4">
        <f t="shared" si="2"/>
        <v>8800000</v>
      </c>
      <c r="L37" s="5">
        <f>IF(Z37="◎",COUNTIF($Z$30:Z37,"◎"),"")</f>
        <v>2</v>
      </c>
      <c r="W37" s="388">
        <f>IF(B37="個別病床",はじめに入力してください!$K$50,IF(B37="共通使用",はじめに入力してください!$K$52,""))</f>
        <v>0</v>
      </c>
      <c r="Y37" s="12">
        <v>8</v>
      </c>
      <c r="Z37" s="367" t="str">
        <f t="shared" si="3"/>
        <v>◎</v>
      </c>
      <c r="AA37" s="388" t="str">
        <f t="shared" si="4"/>
        <v>適切に入力がされました。</v>
      </c>
    </row>
    <row r="38" spans="1:27">
      <c r="A38" s="12">
        <v>9</v>
      </c>
      <c r="B38" s="6" t="s">
        <v>100</v>
      </c>
      <c r="C38" s="6" t="s">
        <v>820</v>
      </c>
      <c r="D38" s="6" t="s">
        <v>1281</v>
      </c>
      <c r="E38" s="10" t="s">
        <v>1284</v>
      </c>
      <c r="F38" s="7">
        <v>8</v>
      </c>
      <c r="G38" s="531">
        <v>2000000</v>
      </c>
      <c r="H38" s="15">
        <f t="shared" si="0"/>
        <v>2200000</v>
      </c>
      <c r="I38" s="4">
        <f t="shared" si="1"/>
        <v>17600000</v>
      </c>
      <c r="J38" s="9" t="s">
        <v>1285</v>
      </c>
      <c r="K38" s="4">
        <f t="shared" si="2"/>
        <v>17600000</v>
      </c>
      <c r="L38" s="5">
        <f>IF(Z38="◎",COUNTIF($Z$30:Z38,"◎"),"")</f>
        <v>3</v>
      </c>
      <c r="W38" s="388">
        <f>IF(B38="個別病床",はじめに入力してください!$K$50,IF(B38="共通使用",はじめに入力してください!$K$52,""))</f>
        <v>0</v>
      </c>
      <c r="Y38" s="12">
        <v>9</v>
      </c>
      <c r="Z38" s="367" t="str">
        <f t="shared" si="3"/>
        <v>◎</v>
      </c>
      <c r="AA38" s="388" t="str">
        <f t="shared" si="4"/>
        <v>適切に入力がされました。</v>
      </c>
    </row>
    <row r="39" spans="1:27">
      <c r="A39" s="12">
        <v>10</v>
      </c>
      <c r="B39" s="6"/>
      <c r="C39" s="6"/>
      <c r="D39" s="6"/>
      <c r="E39" s="10"/>
      <c r="F39" s="7"/>
      <c r="G39" s="531"/>
      <c r="H39" s="15">
        <f t="shared" si="0"/>
        <v>0</v>
      </c>
      <c r="I39" s="4">
        <f t="shared" si="1"/>
        <v>0</v>
      </c>
      <c r="J39" s="9"/>
      <c r="K39" s="4">
        <f t="shared" si="2"/>
        <v>0</v>
      </c>
      <c r="L39" s="5" t="str">
        <f>IF(Z39="◎",COUNTIF($Z$30:Z39,"◎"),"")</f>
        <v/>
      </c>
      <c r="W39" s="388" t="str">
        <f>IF(B39="個別病床",はじめに入力してください!$K$50,IF(B39="共通使用",はじめに入力してください!$K$52,""))</f>
        <v/>
      </c>
      <c r="Y39" s="12">
        <v>10</v>
      </c>
      <c r="Z39" s="367" t="str">
        <f t="shared" si="3"/>
        <v>○</v>
      </c>
      <c r="AA39" s="388" t="str">
        <f t="shared" si="4"/>
        <v>整備しない場合は入力不要です。</v>
      </c>
    </row>
    <row r="40" spans="1:27">
      <c r="A40" s="12">
        <v>11</v>
      </c>
      <c r="B40" s="6"/>
      <c r="C40" s="6"/>
      <c r="D40" s="6"/>
      <c r="E40" s="10"/>
      <c r="F40" s="7"/>
      <c r="G40" s="531"/>
      <c r="H40" s="15">
        <f t="shared" si="0"/>
        <v>0</v>
      </c>
      <c r="I40" s="4">
        <f t="shared" si="1"/>
        <v>0</v>
      </c>
      <c r="J40" s="9"/>
      <c r="K40" s="4">
        <f t="shared" si="2"/>
        <v>0</v>
      </c>
      <c r="L40" s="5" t="str">
        <f>IF(Z40="◎",COUNTIF($Z$30:Z40,"◎"),"")</f>
        <v/>
      </c>
      <c r="W40" s="388" t="str">
        <f>IF(B40="個別病床",はじめに入力してください!$K$50,IF(B40="共通使用",はじめに入力してください!$K$52,""))</f>
        <v/>
      </c>
      <c r="Y40" s="12">
        <v>11</v>
      </c>
      <c r="Z40" s="367" t="str">
        <f t="shared" si="3"/>
        <v>○</v>
      </c>
      <c r="AA40" s="388" t="str">
        <f t="shared" si="4"/>
        <v>整備しない場合は入力不要です。</v>
      </c>
    </row>
    <row r="41" spans="1:27">
      <c r="A41" s="12">
        <v>12</v>
      </c>
      <c r="B41" s="6"/>
      <c r="C41" s="6"/>
      <c r="D41" s="6"/>
      <c r="E41" s="10"/>
      <c r="F41" s="7"/>
      <c r="G41" s="531"/>
      <c r="H41" s="15">
        <f t="shared" si="0"/>
        <v>0</v>
      </c>
      <c r="I41" s="4">
        <f t="shared" si="1"/>
        <v>0</v>
      </c>
      <c r="J41" s="9"/>
      <c r="K41" s="4">
        <f t="shared" si="2"/>
        <v>0</v>
      </c>
      <c r="L41" s="5" t="str">
        <f>IF(Z41="◎",COUNTIF($Z$30:Z41,"◎"),"")</f>
        <v/>
      </c>
      <c r="W41" s="388" t="str">
        <f>IF(B41="個別病床",はじめに入力してください!$K$50,IF(B41="共通使用",はじめに入力してください!$K$52,""))</f>
        <v/>
      </c>
      <c r="Y41" s="12">
        <v>12</v>
      </c>
      <c r="Z41" s="367" t="str">
        <f t="shared" si="3"/>
        <v>○</v>
      </c>
      <c r="AA41" s="388" t="str">
        <f t="shared" si="4"/>
        <v>整備しない場合は入力不要です。</v>
      </c>
    </row>
    <row r="42" spans="1:27">
      <c r="A42" s="12">
        <v>13</v>
      </c>
      <c r="B42" s="6"/>
      <c r="C42" s="6"/>
      <c r="D42" s="6"/>
      <c r="E42" s="10"/>
      <c r="F42" s="7"/>
      <c r="G42" s="531"/>
      <c r="H42" s="15">
        <f t="shared" si="0"/>
        <v>0</v>
      </c>
      <c r="I42" s="4">
        <f t="shared" si="1"/>
        <v>0</v>
      </c>
      <c r="J42" s="9"/>
      <c r="K42" s="4">
        <f t="shared" si="2"/>
        <v>0</v>
      </c>
      <c r="L42" s="5" t="str">
        <f>IF(Z42="◎",COUNTIF($Z$30:Z42,"◎"),"")</f>
        <v/>
      </c>
      <c r="W42" s="388" t="str">
        <f>IF(B42="個別病床",はじめに入力してください!$K$50,IF(B42="共通使用",はじめに入力してください!$K$52,""))</f>
        <v/>
      </c>
      <c r="Y42" s="12">
        <v>13</v>
      </c>
      <c r="Z42" s="367" t="str">
        <f t="shared" si="3"/>
        <v>○</v>
      </c>
      <c r="AA42" s="388" t="str">
        <f t="shared" si="4"/>
        <v>整備しない場合は入力不要です。</v>
      </c>
    </row>
    <row r="43" spans="1:27">
      <c r="A43" s="12">
        <v>14</v>
      </c>
      <c r="B43" s="6"/>
      <c r="C43" s="6"/>
      <c r="D43" s="6"/>
      <c r="E43" s="10"/>
      <c r="F43" s="7"/>
      <c r="G43" s="531"/>
      <c r="H43" s="15">
        <f t="shared" si="0"/>
        <v>0</v>
      </c>
      <c r="I43" s="4">
        <f t="shared" si="1"/>
        <v>0</v>
      </c>
      <c r="J43" s="9"/>
      <c r="K43" s="4">
        <f t="shared" si="2"/>
        <v>0</v>
      </c>
      <c r="L43" s="5" t="str">
        <f>IF(Z43="◎",COUNTIF($Z$30:Z43,"◎"),"")</f>
        <v/>
      </c>
      <c r="W43" s="388" t="str">
        <f>IF(B43="個別病床",はじめに入力してください!$K$50,IF(B43="共通使用",はじめに入力してください!$K$52,""))</f>
        <v/>
      </c>
      <c r="Y43" s="12">
        <v>14</v>
      </c>
      <c r="Z43" s="367" t="str">
        <f t="shared" si="3"/>
        <v>○</v>
      </c>
      <c r="AA43" s="388" t="str">
        <f t="shared" si="4"/>
        <v>整備しない場合は入力不要です。</v>
      </c>
    </row>
    <row r="44" spans="1:27">
      <c r="A44" s="12">
        <v>15</v>
      </c>
      <c r="B44" s="6"/>
      <c r="C44" s="6"/>
      <c r="D44" s="6"/>
      <c r="E44" s="10"/>
      <c r="F44" s="7"/>
      <c r="G44" s="531"/>
      <c r="H44" s="15">
        <f t="shared" si="0"/>
        <v>0</v>
      </c>
      <c r="I44" s="4">
        <f t="shared" si="1"/>
        <v>0</v>
      </c>
      <c r="J44" s="9"/>
      <c r="K44" s="4">
        <f t="shared" si="2"/>
        <v>0</v>
      </c>
      <c r="L44" s="5" t="str">
        <f>IF(Z44="◎",COUNTIF($Z$30:Z44,"◎"),"")</f>
        <v/>
      </c>
      <c r="W44" s="388" t="str">
        <f>IF(B44="個別病床",はじめに入力してください!$K$50,IF(B44="共通使用",はじめに入力してください!$K$52,""))</f>
        <v/>
      </c>
      <c r="Y44" s="12">
        <v>15</v>
      </c>
      <c r="Z44" s="367" t="str">
        <f t="shared" si="3"/>
        <v>○</v>
      </c>
      <c r="AA44" s="388" t="str">
        <f t="shared" si="4"/>
        <v>整備しない場合は入力不要です。</v>
      </c>
    </row>
    <row r="45" spans="1:27">
      <c r="A45" s="12">
        <v>16</v>
      </c>
      <c r="B45" s="6"/>
      <c r="C45" s="6"/>
      <c r="D45" s="6"/>
      <c r="E45" s="10"/>
      <c r="F45" s="7"/>
      <c r="G45" s="531"/>
      <c r="H45" s="15">
        <f t="shared" si="0"/>
        <v>0</v>
      </c>
      <c r="I45" s="4">
        <f t="shared" si="1"/>
        <v>0</v>
      </c>
      <c r="J45" s="9"/>
      <c r="K45" s="4">
        <f t="shared" si="2"/>
        <v>0</v>
      </c>
      <c r="L45" s="5" t="str">
        <f>IF(Z45="◎",COUNTIF($Z$30:Z45,"◎"),"")</f>
        <v/>
      </c>
      <c r="W45" s="388" t="str">
        <f>IF(B45="個別病床",はじめに入力してください!$K$50,IF(B45="共通使用",はじめに入力してください!$K$52,""))</f>
        <v/>
      </c>
      <c r="Y45" s="12">
        <v>16</v>
      </c>
      <c r="Z45" s="367" t="str">
        <f t="shared" si="3"/>
        <v>○</v>
      </c>
      <c r="AA45" s="388" t="str">
        <f t="shared" si="4"/>
        <v>整備しない場合は入力不要です。</v>
      </c>
    </row>
    <row r="46" spans="1:27">
      <c r="A46" s="12">
        <v>17</v>
      </c>
      <c r="B46" s="6"/>
      <c r="C46" s="6"/>
      <c r="D46" s="6"/>
      <c r="E46" s="10"/>
      <c r="F46" s="7"/>
      <c r="G46" s="531"/>
      <c r="H46" s="15">
        <f t="shared" si="0"/>
        <v>0</v>
      </c>
      <c r="I46" s="4">
        <f t="shared" si="1"/>
        <v>0</v>
      </c>
      <c r="J46" s="9"/>
      <c r="K46" s="4">
        <f t="shared" si="2"/>
        <v>0</v>
      </c>
      <c r="L46" s="5" t="str">
        <f>IF(Z46="◎",COUNTIF($Z$30:Z46,"◎"),"")</f>
        <v/>
      </c>
      <c r="W46" s="388" t="str">
        <f>IF(B46="個別病床",はじめに入力してください!$K$50,IF(B46="共通使用",はじめに入力してください!$K$52,""))</f>
        <v/>
      </c>
      <c r="Y46" s="12">
        <v>17</v>
      </c>
      <c r="Z46" s="367" t="str">
        <f t="shared" si="3"/>
        <v>○</v>
      </c>
      <c r="AA46" s="388" t="str">
        <f t="shared" si="4"/>
        <v>整備しない場合は入力不要です。</v>
      </c>
    </row>
    <row r="47" spans="1:27">
      <c r="A47" s="12">
        <v>18</v>
      </c>
      <c r="B47" s="6"/>
      <c r="C47" s="6"/>
      <c r="D47" s="6"/>
      <c r="E47" s="10"/>
      <c r="F47" s="7"/>
      <c r="G47" s="531"/>
      <c r="H47" s="15">
        <f t="shared" si="0"/>
        <v>0</v>
      </c>
      <c r="I47" s="4">
        <f t="shared" si="1"/>
        <v>0</v>
      </c>
      <c r="J47" s="9"/>
      <c r="K47" s="4">
        <f t="shared" si="2"/>
        <v>0</v>
      </c>
      <c r="L47" s="5" t="str">
        <f>IF(Z47="◎",COUNTIF($Z$30:Z47,"◎"),"")</f>
        <v/>
      </c>
      <c r="W47" s="388" t="str">
        <f>IF(B47="個別病床",はじめに入力してください!$K$50,IF(B47="共通使用",はじめに入力してください!$K$52,""))</f>
        <v/>
      </c>
      <c r="Y47" s="12">
        <v>18</v>
      </c>
      <c r="Z47" s="367" t="str">
        <f t="shared" si="3"/>
        <v>○</v>
      </c>
      <c r="AA47" s="388" t="str">
        <f t="shared" si="4"/>
        <v>整備しない場合は入力不要です。</v>
      </c>
    </row>
    <row r="48" spans="1:27">
      <c r="A48" s="12">
        <v>19</v>
      </c>
      <c r="B48" s="6"/>
      <c r="C48" s="6"/>
      <c r="D48" s="6"/>
      <c r="E48" s="10"/>
      <c r="F48" s="7"/>
      <c r="G48" s="531"/>
      <c r="H48" s="15">
        <f t="shared" si="0"/>
        <v>0</v>
      </c>
      <c r="I48" s="4">
        <f t="shared" si="1"/>
        <v>0</v>
      </c>
      <c r="J48" s="9"/>
      <c r="K48" s="4">
        <f t="shared" si="2"/>
        <v>0</v>
      </c>
      <c r="L48" s="5" t="str">
        <f>IF(Z48="◎",COUNTIF($Z$30:Z48,"◎"),"")</f>
        <v/>
      </c>
      <c r="W48" s="388" t="str">
        <f>IF(B48="個別病床",はじめに入力してください!$K$50,IF(B48="共通使用",はじめに入力してください!$K$52,""))</f>
        <v/>
      </c>
      <c r="Y48" s="12">
        <v>19</v>
      </c>
      <c r="Z48" s="367" t="str">
        <f t="shared" si="3"/>
        <v>○</v>
      </c>
      <c r="AA48" s="388" t="str">
        <f t="shared" si="4"/>
        <v>整備しない場合は入力不要です。</v>
      </c>
    </row>
    <row r="49" spans="1:27">
      <c r="A49" s="12">
        <v>20</v>
      </c>
      <c r="B49" s="6"/>
      <c r="C49" s="6"/>
      <c r="D49" s="6"/>
      <c r="E49" s="10"/>
      <c r="F49" s="7"/>
      <c r="G49" s="531"/>
      <c r="H49" s="15">
        <f t="shared" si="0"/>
        <v>0</v>
      </c>
      <c r="I49" s="4">
        <f t="shared" si="1"/>
        <v>0</v>
      </c>
      <c r="J49" s="9"/>
      <c r="K49" s="4">
        <f t="shared" si="2"/>
        <v>0</v>
      </c>
      <c r="L49" s="5" t="str">
        <f>IF(Z49="◎",COUNTIF($Z$30:Z49,"◎"),"")</f>
        <v/>
      </c>
      <c r="W49" s="388" t="str">
        <f>IF(B49="個別病床",はじめに入力してください!$K$50,IF(B49="共通使用",はじめに入力してください!$K$52,""))</f>
        <v/>
      </c>
      <c r="Y49" s="12">
        <v>20</v>
      </c>
      <c r="Z49" s="367" t="str">
        <f t="shared" si="3"/>
        <v>○</v>
      </c>
      <c r="AA49" s="388" t="str">
        <f t="shared" si="4"/>
        <v>整備しない場合は入力不要です。</v>
      </c>
    </row>
    <row r="50" spans="1:27">
      <c r="A50" s="12">
        <v>21</v>
      </c>
      <c r="B50" s="6"/>
      <c r="C50" s="6"/>
      <c r="D50" s="6"/>
      <c r="E50" s="10"/>
      <c r="F50" s="7"/>
      <c r="G50" s="531"/>
      <c r="H50" s="15">
        <f t="shared" si="0"/>
        <v>0</v>
      </c>
      <c r="I50" s="4">
        <f t="shared" si="1"/>
        <v>0</v>
      </c>
      <c r="J50" s="9"/>
      <c r="K50" s="4">
        <f t="shared" si="2"/>
        <v>0</v>
      </c>
      <c r="L50" s="5" t="str">
        <f>IF(Z50="◎",COUNTIF($Z$30:Z50,"◎"),"")</f>
        <v/>
      </c>
      <c r="W50" s="388" t="str">
        <f>IF(B50="個別病床",はじめに入力してください!$K$50,IF(B50="共通使用",はじめに入力してください!$K$52,""))</f>
        <v/>
      </c>
      <c r="Y50" s="12">
        <v>21</v>
      </c>
      <c r="Z50" s="367" t="str">
        <f t="shared" si="3"/>
        <v>○</v>
      </c>
      <c r="AA50" s="388" t="str">
        <f t="shared" si="4"/>
        <v>整備しない場合は入力不要です。</v>
      </c>
    </row>
    <row r="51" spans="1:27">
      <c r="A51" s="12">
        <v>22</v>
      </c>
      <c r="B51" s="6"/>
      <c r="C51" s="6"/>
      <c r="D51" s="6"/>
      <c r="E51" s="10"/>
      <c r="F51" s="7"/>
      <c r="G51" s="531"/>
      <c r="H51" s="15">
        <f t="shared" si="0"/>
        <v>0</v>
      </c>
      <c r="I51" s="4">
        <f t="shared" si="1"/>
        <v>0</v>
      </c>
      <c r="J51" s="9"/>
      <c r="K51" s="4">
        <f t="shared" si="2"/>
        <v>0</v>
      </c>
      <c r="L51" s="5" t="str">
        <f>IF(Z51="◎",COUNTIF($Z$30:Z51,"◎"),"")</f>
        <v/>
      </c>
      <c r="W51" s="388" t="str">
        <f>IF(B51="個別病床",はじめに入力してください!$K$50,IF(B51="共通使用",はじめに入力してください!$K$52,""))</f>
        <v/>
      </c>
      <c r="Y51" s="12">
        <v>22</v>
      </c>
      <c r="Z51" s="367" t="str">
        <f t="shared" si="3"/>
        <v>○</v>
      </c>
      <c r="AA51" s="388" t="str">
        <f t="shared" si="4"/>
        <v>整備しない場合は入力不要です。</v>
      </c>
    </row>
    <row r="52" spans="1:27">
      <c r="A52" s="12">
        <v>23</v>
      </c>
      <c r="B52" s="6"/>
      <c r="C52" s="6"/>
      <c r="D52" s="6"/>
      <c r="E52" s="10"/>
      <c r="F52" s="7"/>
      <c r="G52" s="531"/>
      <c r="H52" s="15">
        <f t="shared" si="0"/>
        <v>0</v>
      </c>
      <c r="I52" s="4">
        <f t="shared" si="1"/>
        <v>0</v>
      </c>
      <c r="J52" s="9"/>
      <c r="K52" s="4">
        <f t="shared" si="2"/>
        <v>0</v>
      </c>
      <c r="L52" s="5" t="str">
        <f>IF(Z52="◎",COUNTIF($Z$30:Z52,"◎"),"")</f>
        <v/>
      </c>
      <c r="W52" s="388" t="str">
        <f>IF(B52="個別病床",はじめに入力してください!$K$50,IF(B52="共通使用",はじめに入力してください!$K$52,""))</f>
        <v/>
      </c>
      <c r="Y52" s="12">
        <v>23</v>
      </c>
      <c r="Z52" s="367" t="str">
        <f t="shared" si="3"/>
        <v>○</v>
      </c>
      <c r="AA52" s="388" t="str">
        <f t="shared" si="4"/>
        <v>整備しない場合は入力不要です。</v>
      </c>
    </row>
    <row r="53" spans="1:27">
      <c r="A53" s="12">
        <v>24</v>
      </c>
      <c r="B53" s="6"/>
      <c r="C53" s="6"/>
      <c r="D53" s="6"/>
      <c r="E53" s="10"/>
      <c r="F53" s="7"/>
      <c r="G53" s="531"/>
      <c r="H53" s="15">
        <f t="shared" si="0"/>
        <v>0</v>
      </c>
      <c r="I53" s="4">
        <f t="shared" si="1"/>
        <v>0</v>
      </c>
      <c r="J53" s="9"/>
      <c r="K53" s="4">
        <f t="shared" si="2"/>
        <v>0</v>
      </c>
      <c r="L53" s="5" t="str">
        <f>IF(Z53="◎",COUNTIF($Z$30:Z53,"◎"),"")</f>
        <v/>
      </c>
      <c r="W53" s="388" t="str">
        <f>IF(B53="個別病床",はじめに入力してください!$K$50,IF(B53="共通使用",はじめに入力してください!$K$52,""))</f>
        <v/>
      </c>
      <c r="Y53" s="12">
        <v>24</v>
      </c>
      <c r="Z53" s="367" t="str">
        <f t="shared" si="3"/>
        <v>○</v>
      </c>
      <c r="AA53" s="388" t="str">
        <f t="shared" si="4"/>
        <v>整備しない場合は入力不要です。</v>
      </c>
    </row>
    <row r="54" spans="1:27">
      <c r="A54" s="12">
        <v>25</v>
      </c>
      <c r="B54" s="6"/>
      <c r="C54" s="6"/>
      <c r="D54" s="6"/>
      <c r="E54" s="10"/>
      <c r="F54" s="7"/>
      <c r="G54" s="531"/>
      <c r="H54" s="15">
        <f t="shared" si="0"/>
        <v>0</v>
      </c>
      <c r="I54" s="4">
        <f t="shared" si="1"/>
        <v>0</v>
      </c>
      <c r="J54" s="9"/>
      <c r="K54" s="4">
        <f t="shared" si="2"/>
        <v>0</v>
      </c>
      <c r="L54" s="5" t="str">
        <f>IF(Z54="◎",COUNTIF($Z$30:Z54,"◎"),"")</f>
        <v/>
      </c>
      <c r="W54" s="388" t="str">
        <f>IF(B54="個別病床",はじめに入力してください!$K$50,IF(B54="共通使用",はじめに入力してください!$K$52,""))</f>
        <v/>
      </c>
      <c r="Y54" s="12">
        <v>25</v>
      </c>
      <c r="Z54" s="367" t="str">
        <f t="shared" si="3"/>
        <v>○</v>
      </c>
      <c r="AA54" s="388" t="str">
        <f t="shared" si="4"/>
        <v>整備しない場合は入力不要です。</v>
      </c>
    </row>
    <row r="55" spans="1:27">
      <c r="A55" s="12">
        <v>26</v>
      </c>
      <c r="B55" s="6"/>
      <c r="C55" s="6"/>
      <c r="D55" s="6"/>
      <c r="E55" s="10"/>
      <c r="F55" s="7"/>
      <c r="G55" s="531"/>
      <c r="H55" s="15">
        <f t="shared" si="0"/>
        <v>0</v>
      </c>
      <c r="I55" s="4">
        <f t="shared" si="1"/>
        <v>0</v>
      </c>
      <c r="J55" s="9"/>
      <c r="K55" s="4">
        <f t="shared" si="2"/>
        <v>0</v>
      </c>
      <c r="L55" s="5" t="str">
        <f>IF(Z55="◎",COUNTIF($Z$30:Z55,"◎"),"")</f>
        <v/>
      </c>
      <c r="W55" s="388" t="str">
        <f>IF(B55="個別病床",はじめに入力してください!$K$50,IF(B55="共通使用",はじめに入力してください!$K$52,""))</f>
        <v/>
      </c>
      <c r="Y55" s="12">
        <v>26</v>
      </c>
      <c r="Z55" s="367" t="str">
        <f t="shared" si="3"/>
        <v>○</v>
      </c>
      <c r="AA55" s="388" t="str">
        <f t="shared" si="4"/>
        <v>整備しない場合は入力不要です。</v>
      </c>
    </row>
    <row r="56" spans="1:27">
      <c r="A56" s="12">
        <v>27</v>
      </c>
      <c r="B56" s="6"/>
      <c r="C56" s="6"/>
      <c r="D56" s="6"/>
      <c r="E56" s="10"/>
      <c r="F56" s="7"/>
      <c r="G56" s="531"/>
      <c r="H56" s="15">
        <f t="shared" si="0"/>
        <v>0</v>
      </c>
      <c r="I56" s="4">
        <f t="shared" si="1"/>
        <v>0</v>
      </c>
      <c r="J56" s="9"/>
      <c r="K56" s="4">
        <f t="shared" si="2"/>
        <v>0</v>
      </c>
      <c r="L56" s="5" t="str">
        <f>IF(Z56="◎",COUNTIF($Z$30:Z56,"◎"),"")</f>
        <v/>
      </c>
      <c r="W56" s="388" t="str">
        <f>IF(B56="個別病床",はじめに入力してください!$K$50,IF(B56="共通使用",はじめに入力してください!$K$52,""))</f>
        <v/>
      </c>
      <c r="Y56" s="12">
        <v>27</v>
      </c>
      <c r="Z56" s="367" t="str">
        <f t="shared" si="3"/>
        <v>○</v>
      </c>
      <c r="AA56" s="388" t="str">
        <f t="shared" si="4"/>
        <v>整備しない場合は入力不要です。</v>
      </c>
    </row>
    <row r="57" spans="1:27">
      <c r="A57" s="12">
        <v>28</v>
      </c>
      <c r="B57" s="6"/>
      <c r="C57" s="6"/>
      <c r="D57" s="6"/>
      <c r="E57" s="10"/>
      <c r="F57" s="7"/>
      <c r="G57" s="531"/>
      <c r="H57" s="15">
        <f t="shared" si="0"/>
        <v>0</v>
      </c>
      <c r="I57" s="4">
        <f t="shared" si="1"/>
        <v>0</v>
      </c>
      <c r="J57" s="9"/>
      <c r="K57" s="4">
        <f t="shared" si="2"/>
        <v>0</v>
      </c>
      <c r="L57" s="5" t="str">
        <f>IF(Z57="◎",COUNTIF($Z$30:Z57,"◎"),"")</f>
        <v/>
      </c>
      <c r="W57" s="388" t="str">
        <f>IF(B57="個別病床",はじめに入力してください!$K$50,IF(B57="共通使用",はじめに入力してください!$K$52,""))</f>
        <v/>
      </c>
      <c r="Y57" s="12">
        <v>28</v>
      </c>
      <c r="Z57" s="367" t="str">
        <f t="shared" si="3"/>
        <v>○</v>
      </c>
      <c r="AA57" s="388" t="str">
        <f t="shared" si="4"/>
        <v>整備しない場合は入力不要です。</v>
      </c>
    </row>
    <row r="58" spans="1:27">
      <c r="A58" s="12">
        <v>29</v>
      </c>
      <c r="B58" s="6"/>
      <c r="C58" s="6"/>
      <c r="D58" s="6"/>
      <c r="E58" s="10"/>
      <c r="F58" s="7"/>
      <c r="G58" s="531"/>
      <c r="H58" s="15">
        <f t="shared" si="0"/>
        <v>0</v>
      </c>
      <c r="I58" s="4">
        <f t="shared" si="1"/>
        <v>0</v>
      </c>
      <c r="J58" s="9"/>
      <c r="K58" s="4">
        <f t="shared" si="2"/>
        <v>0</v>
      </c>
      <c r="L58" s="5" t="str">
        <f>IF(Z58="◎",COUNTIF($Z$30:Z58,"◎"),"")</f>
        <v/>
      </c>
      <c r="W58" s="388" t="str">
        <f>IF(B58="個別病床",はじめに入力してください!$K$50,IF(B58="共通使用",はじめに入力してください!$K$52,""))</f>
        <v/>
      </c>
      <c r="Y58" s="12">
        <v>29</v>
      </c>
      <c r="Z58" s="367" t="str">
        <f t="shared" si="3"/>
        <v>○</v>
      </c>
      <c r="AA58" s="388" t="str">
        <f t="shared" si="4"/>
        <v>整備しない場合は入力不要です。</v>
      </c>
    </row>
    <row r="59" spans="1:27">
      <c r="A59" s="12">
        <v>30</v>
      </c>
      <c r="B59" s="6"/>
      <c r="C59" s="6"/>
      <c r="D59" s="6"/>
      <c r="E59" s="10"/>
      <c r="F59" s="7"/>
      <c r="G59" s="531"/>
      <c r="H59" s="15">
        <f t="shared" si="0"/>
        <v>0</v>
      </c>
      <c r="I59" s="4">
        <f t="shared" si="1"/>
        <v>0</v>
      </c>
      <c r="J59" s="9"/>
      <c r="K59" s="4">
        <f t="shared" si="2"/>
        <v>0</v>
      </c>
      <c r="L59" s="5" t="str">
        <f>IF(Z59="◎",COUNTIF($Z$30:Z59,"◎"),"")</f>
        <v/>
      </c>
      <c r="W59" s="388" t="str">
        <f>IF(B59="個別病床",はじめに入力してください!$K$50,IF(B59="共通使用",はじめに入力してください!$K$52,""))</f>
        <v/>
      </c>
      <c r="Y59" s="12">
        <v>30</v>
      </c>
      <c r="Z59" s="367" t="str">
        <f t="shared" si="3"/>
        <v>○</v>
      </c>
      <c r="AA59" s="388" t="str">
        <f t="shared" si="4"/>
        <v>整備しない場合は入力不要です。</v>
      </c>
    </row>
    <row r="60" spans="1:27">
      <c r="A60" s="12">
        <v>31</v>
      </c>
      <c r="B60" s="6"/>
      <c r="C60" s="6"/>
      <c r="D60" s="6"/>
      <c r="E60" s="10"/>
      <c r="F60" s="7"/>
      <c r="G60" s="531"/>
      <c r="H60" s="15">
        <f t="shared" si="0"/>
        <v>0</v>
      </c>
      <c r="I60" s="4">
        <f t="shared" si="1"/>
        <v>0</v>
      </c>
      <c r="J60" s="9"/>
      <c r="K60" s="4">
        <f t="shared" si="2"/>
        <v>0</v>
      </c>
      <c r="L60" s="5" t="str">
        <f>IF(Z60="◎",COUNTIF($Z$30:Z60,"◎"),"")</f>
        <v/>
      </c>
      <c r="W60" s="388" t="str">
        <f>IF(B60="個別病床",はじめに入力してください!$K$50,IF(B60="共通使用",はじめに入力してください!$K$52,""))</f>
        <v/>
      </c>
      <c r="Y60" s="12">
        <v>31</v>
      </c>
      <c r="Z60" s="367" t="str">
        <f t="shared" si="3"/>
        <v>○</v>
      </c>
      <c r="AA60" s="388" t="str">
        <f t="shared" si="4"/>
        <v>整備しない場合は入力不要です。</v>
      </c>
    </row>
    <row r="61" spans="1:27">
      <c r="A61" s="12">
        <v>32</v>
      </c>
      <c r="B61" s="6"/>
      <c r="C61" s="6"/>
      <c r="D61" s="6"/>
      <c r="E61" s="10"/>
      <c r="F61" s="7"/>
      <c r="G61" s="531"/>
      <c r="H61" s="15">
        <f t="shared" si="0"/>
        <v>0</v>
      </c>
      <c r="I61" s="4">
        <f t="shared" si="1"/>
        <v>0</v>
      </c>
      <c r="J61" s="9"/>
      <c r="K61" s="4">
        <f t="shared" si="2"/>
        <v>0</v>
      </c>
      <c r="L61" s="5" t="str">
        <f>IF(Z61="◎",COUNTIF($Z$30:Z61,"◎"),"")</f>
        <v/>
      </c>
      <c r="W61" s="388" t="str">
        <f>IF(B61="個別病床",はじめに入力してください!$K$50,IF(B61="共通使用",はじめに入力してください!$K$52,""))</f>
        <v/>
      </c>
      <c r="Y61" s="12">
        <v>32</v>
      </c>
      <c r="Z61" s="367" t="str">
        <f t="shared" si="3"/>
        <v>○</v>
      </c>
      <c r="AA61" s="388" t="str">
        <f t="shared" si="4"/>
        <v>整備しない場合は入力不要です。</v>
      </c>
    </row>
    <row r="62" spans="1:27">
      <c r="A62" s="12">
        <v>33</v>
      </c>
      <c r="B62" s="6"/>
      <c r="C62" s="6"/>
      <c r="D62" s="6"/>
      <c r="E62" s="10"/>
      <c r="F62" s="7"/>
      <c r="G62" s="531"/>
      <c r="H62" s="15">
        <f t="shared" si="0"/>
        <v>0</v>
      </c>
      <c r="I62" s="4">
        <f t="shared" si="1"/>
        <v>0</v>
      </c>
      <c r="J62" s="9"/>
      <c r="K62" s="4">
        <f t="shared" si="2"/>
        <v>0</v>
      </c>
      <c r="L62" s="5" t="str">
        <f>IF(Z62="◎",COUNTIF($Z$30:Z62,"◎"),"")</f>
        <v/>
      </c>
      <c r="W62" s="388" t="str">
        <f>IF(B62="個別病床",はじめに入力してください!$K$50,IF(B62="共通使用",はじめに入力してください!$K$52,""))</f>
        <v/>
      </c>
      <c r="Y62" s="12">
        <v>33</v>
      </c>
      <c r="Z62" s="367" t="str">
        <f t="shared" si="3"/>
        <v>○</v>
      </c>
      <c r="AA62" s="388" t="str">
        <f t="shared" si="4"/>
        <v>整備しない場合は入力不要です。</v>
      </c>
    </row>
    <row r="63" spans="1:27">
      <c r="A63" s="12">
        <v>34</v>
      </c>
      <c r="B63" s="6"/>
      <c r="C63" s="6"/>
      <c r="D63" s="6"/>
      <c r="E63" s="10"/>
      <c r="F63" s="7"/>
      <c r="G63" s="531"/>
      <c r="H63" s="15">
        <f t="shared" si="0"/>
        <v>0</v>
      </c>
      <c r="I63" s="4">
        <f t="shared" si="1"/>
        <v>0</v>
      </c>
      <c r="J63" s="9"/>
      <c r="K63" s="4">
        <f t="shared" si="2"/>
        <v>0</v>
      </c>
      <c r="L63" s="5" t="str">
        <f>IF(Z63="◎",COUNTIF($Z$30:Z63,"◎"),"")</f>
        <v/>
      </c>
      <c r="W63" s="388" t="str">
        <f>IF(B63="個別病床",はじめに入力してください!$K$50,IF(B63="共通使用",はじめに入力してください!$K$52,""))</f>
        <v/>
      </c>
      <c r="Y63" s="12">
        <v>34</v>
      </c>
      <c r="Z63" s="367" t="str">
        <f t="shared" si="3"/>
        <v>○</v>
      </c>
      <c r="AA63" s="388" t="str">
        <f t="shared" si="4"/>
        <v>整備しない場合は入力不要です。</v>
      </c>
    </row>
    <row r="64" spans="1:27">
      <c r="A64" s="12">
        <v>35</v>
      </c>
      <c r="B64" s="6"/>
      <c r="C64" s="6"/>
      <c r="D64" s="6"/>
      <c r="E64" s="10"/>
      <c r="F64" s="7"/>
      <c r="G64" s="531"/>
      <c r="H64" s="15">
        <f t="shared" si="0"/>
        <v>0</v>
      </c>
      <c r="I64" s="4">
        <f t="shared" si="1"/>
        <v>0</v>
      </c>
      <c r="J64" s="9"/>
      <c r="K64" s="4">
        <f t="shared" si="2"/>
        <v>0</v>
      </c>
      <c r="L64" s="5" t="str">
        <f>IF(Z64="◎",COUNTIF($Z$30:Z64,"◎"),"")</f>
        <v/>
      </c>
      <c r="W64" s="388" t="str">
        <f>IF(B64="個別病床",はじめに入力してください!$K$50,IF(B64="共通使用",はじめに入力してください!$K$52,""))</f>
        <v/>
      </c>
      <c r="Y64" s="12">
        <v>35</v>
      </c>
      <c r="Z64" s="367" t="str">
        <f t="shared" si="3"/>
        <v>○</v>
      </c>
      <c r="AA64" s="388" t="str">
        <f t="shared" si="4"/>
        <v>整備しない場合は入力不要です。</v>
      </c>
    </row>
    <row r="65" spans="1:27">
      <c r="A65" s="12">
        <v>36</v>
      </c>
      <c r="B65" s="6"/>
      <c r="C65" s="6"/>
      <c r="D65" s="6"/>
      <c r="E65" s="10"/>
      <c r="F65" s="7"/>
      <c r="G65" s="531"/>
      <c r="H65" s="15">
        <f t="shared" si="0"/>
        <v>0</v>
      </c>
      <c r="I65" s="4">
        <f t="shared" si="1"/>
        <v>0</v>
      </c>
      <c r="J65" s="9"/>
      <c r="K65" s="4">
        <f t="shared" si="2"/>
        <v>0</v>
      </c>
      <c r="L65" s="5" t="str">
        <f>IF(Z65="◎",COUNTIF($Z$30:Z65,"◎"),"")</f>
        <v/>
      </c>
      <c r="W65" s="388" t="str">
        <f>IF(B65="個別病床",はじめに入力してください!$K$50,IF(B65="共通使用",はじめに入力してください!$K$52,""))</f>
        <v/>
      </c>
      <c r="Y65" s="12">
        <v>36</v>
      </c>
      <c r="Z65" s="367" t="str">
        <f t="shared" si="3"/>
        <v>○</v>
      </c>
      <c r="AA65" s="388" t="str">
        <f t="shared" si="4"/>
        <v>整備しない場合は入力不要です。</v>
      </c>
    </row>
    <row r="66" spans="1:27">
      <c r="A66" s="12">
        <v>37</v>
      </c>
      <c r="B66" s="6"/>
      <c r="C66" s="6"/>
      <c r="D66" s="6"/>
      <c r="E66" s="10"/>
      <c r="F66" s="7"/>
      <c r="G66" s="531"/>
      <c r="H66" s="15">
        <f t="shared" si="0"/>
        <v>0</v>
      </c>
      <c r="I66" s="4">
        <f t="shared" si="1"/>
        <v>0</v>
      </c>
      <c r="J66" s="9"/>
      <c r="K66" s="4">
        <f t="shared" si="2"/>
        <v>0</v>
      </c>
      <c r="L66" s="5" t="str">
        <f>IF(Z66="◎",COUNTIF($Z$30:Z66,"◎"),"")</f>
        <v/>
      </c>
      <c r="W66" s="388" t="str">
        <f>IF(B66="個別病床",はじめに入力してください!$K$50,IF(B66="共通使用",はじめに入力してください!$K$52,""))</f>
        <v/>
      </c>
      <c r="Y66" s="12">
        <v>37</v>
      </c>
      <c r="Z66" s="367" t="str">
        <f t="shared" si="3"/>
        <v>○</v>
      </c>
      <c r="AA66" s="388" t="str">
        <f t="shared" si="4"/>
        <v>整備しない場合は入力不要です。</v>
      </c>
    </row>
    <row r="67" spans="1:27">
      <c r="A67" s="12">
        <v>38</v>
      </c>
      <c r="B67" s="6"/>
      <c r="C67" s="6"/>
      <c r="D67" s="6"/>
      <c r="E67" s="10"/>
      <c r="F67" s="7"/>
      <c r="G67" s="531"/>
      <c r="H67" s="15">
        <f t="shared" si="0"/>
        <v>0</v>
      </c>
      <c r="I67" s="4">
        <f t="shared" si="1"/>
        <v>0</v>
      </c>
      <c r="J67" s="9"/>
      <c r="K67" s="4">
        <f t="shared" si="2"/>
        <v>0</v>
      </c>
      <c r="L67" s="5" t="str">
        <f>IF(Z67="◎",COUNTIF($Z$30:Z67,"◎"),"")</f>
        <v/>
      </c>
      <c r="W67" s="388" t="str">
        <f>IF(B67="個別病床",はじめに入力してください!$K$50,IF(B67="共通使用",はじめに入力してください!$K$52,""))</f>
        <v/>
      </c>
      <c r="Y67" s="12">
        <v>38</v>
      </c>
      <c r="Z67" s="367" t="str">
        <f t="shared" si="3"/>
        <v>○</v>
      </c>
      <c r="AA67" s="388" t="str">
        <f t="shared" si="4"/>
        <v>整備しない場合は入力不要です。</v>
      </c>
    </row>
    <row r="68" spans="1:27">
      <c r="A68" s="12">
        <v>39</v>
      </c>
      <c r="B68" s="6"/>
      <c r="C68" s="6"/>
      <c r="D68" s="6"/>
      <c r="E68" s="10"/>
      <c r="F68" s="7"/>
      <c r="G68" s="531"/>
      <c r="H68" s="15">
        <f t="shared" si="0"/>
        <v>0</v>
      </c>
      <c r="I68" s="4">
        <f t="shared" si="1"/>
        <v>0</v>
      </c>
      <c r="J68" s="9"/>
      <c r="K68" s="4">
        <f t="shared" si="2"/>
        <v>0</v>
      </c>
      <c r="L68" s="5" t="str">
        <f>IF(Z68="◎",COUNTIF($Z$30:Z68,"◎"),"")</f>
        <v/>
      </c>
      <c r="W68" s="388" t="str">
        <f>IF(B68="個別病床",はじめに入力してください!$K$50,IF(B68="共通使用",はじめに入力してください!$K$52,""))</f>
        <v/>
      </c>
      <c r="Y68" s="12">
        <v>39</v>
      </c>
      <c r="Z68" s="367" t="str">
        <f t="shared" si="3"/>
        <v>○</v>
      </c>
      <c r="AA68" s="388" t="str">
        <f t="shared" si="4"/>
        <v>整備しない場合は入力不要です。</v>
      </c>
    </row>
    <row r="69" spans="1:27">
      <c r="A69" s="12">
        <v>40</v>
      </c>
      <c r="B69" s="6"/>
      <c r="C69" s="6"/>
      <c r="D69" s="6"/>
      <c r="E69" s="10"/>
      <c r="F69" s="7"/>
      <c r="G69" s="531"/>
      <c r="H69" s="15">
        <f t="shared" si="0"/>
        <v>0</v>
      </c>
      <c r="I69" s="4">
        <f t="shared" si="1"/>
        <v>0</v>
      </c>
      <c r="J69" s="9"/>
      <c r="K69" s="4">
        <f t="shared" si="2"/>
        <v>0</v>
      </c>
      <c r="L69" s="5" t="str">
        <f>IF(Z69="◎",COUNTIF($Z$30:Z69,"◎"),"")</f>
        <v/>
      </c>
      <c r="W69" s="388" t="str">
        <f>IF(B69="個別病床",はじめに入力してください!$K$50,IF(B69="共通使用",はじめに入力してください!$K$52,""))</f>
        <v/>
      </c>
      <c r="Y69" s="12">
        <v>40</v>
      </c>
      <c r="Z69" s="367" t="str">
        <f t="shared" si="3"/>
        <v>○</v>
      </c>
      <c r="AA69" s="388" t="str">
        <f t="shared" si="4"/>
        <v>整備しない場合は入力不要です。</v>
      </c>
    </row>
    <row r="70" spans="1:27">
      <c r="A70" s="12">
        <v>41</v>
      </c>
      <c r="B70" s="6"/>
      <c r="C70" s="6"/>
      <c r="D70" s="6"/>
      <c r="E70" s="10"/>
      <c r="F70" s="7"/>
      <c r="G70" s="531"/>
      <c r="H70" s="15">
        <f t="shared" si="0"/>
        <v>0</v>
      </c>
      <c r="I70" s="4">
        <f t="shared" si="1"/>
        <v>0</v>
      </c>
      <c r="J70" s="9"/>
      <c r="K70" s="4">
        <f t="shared" si="2"/>
        <v>0</v>
      </c>
      <c r="L70" s="5" t="str">
        <f>IF(Z70="◎",COUNTIF($Z$30:Z70,"◎"),"")</f>
        <v/>
      </c>
      <c r="W70" s="388" t="str">
        <f>IF(B70="個別病床",はじめに入力してください!$K$50,IF(B70="共通使用",はじめに入力してください!$K$52,""))</f>
        <v/>
      </c>
      <c r="Y70" s="12">
        <v>41</v>
      </c>
      <c r="Z70" s="367" t="str">
        <f t="shared" si="3"/>
        <v>○</v>
      </c>
      <c r="AA70" s="388" t="str">
        <f t="shared" si="4"/>
        <v>整備しない場合は入力不要です。</v>
      </c>
    </row>
    <row r="71" spans="1:27">
      <c r="A71" s="12">
        <v>42</v>
      </c>
      <c r="B71" s="6"/>
      <c r="C71" s="6"/>
      <c r="D71" s="6"/>
      <c r="E71" s="10"/>
      <c r="F71" s="7"/>
      <c r="G71" s="531"/>
      <c r="H71" s="15">
        <f t="shared" si="0"/>
        <v>0</v>
      </c>
      <c r="I71" s="4">
        <f t="shared" si="1"/>
        <v>0</v>
      </c>
      <c r="J71" s="9"/>
      <c r="K71" s="4">
        <f t="shared" si="2"/>
        <v>0</v>
      </c>
      <c r="L71" s="5" t="str">
        <f>IF(Z71="◎",COUNTIF($Z$30:Z71,"◎"),"")</f>
        <v/>
      </c>
      <c r="W71" s="388" t="str">
        <f>IF(B71="個別病床",はじめに入力してください!$K$50,IF(B71="共通使用",はじめに入力してください!$K$52,""))</f>
        <v/>
      </c>
      <c r="Y71" s="12">
        <v>42</v>
      </c>
      <c r="Z71" s="367" t="str">
        <f t="shared" si="3"/>
        <v>○</v>
      </c>
      <c r="AA71" s="388" t="str">
        <f t="shared" si="4"/>
        <v>整備しない場合は入力不要です。</v>
      </c>
    </row>
    <row r="72" spans="1:27">
      <c r="A72" s="12">
        <v>43</v>
      </c>
      <c r="B72" s="6"/>
      <c r="C72" s="6"/>
      <c r="D72" s="6"/>
      <c r="E72" s="10"/>
      <c r="F72" s="7"/>
      <c r="G72" s="531"/>
      <c r="H72" s="15">
        <f t="shared" si="0"/>
        <v>0</v>
      </c>
      <c r="I72" s="4">
        <f t="shared" si="1"/>
        <v>0</v>
      </c>
      <c r="J72" s="9"/>
      <c r="K72" s="4">
        <f t="shared" si="2"/>
        <v>0</v>
      </c>
      <c r="L72" s="5" t="str">
        <f>IF(Z72="◎",COUNTIF($Z$30:Z72,"◎"),"")</f>
        <v/>
      </c>
      <c r="W72" s="388" t="str">
        <f>IF(B72="個別病床",はじめに入力してください!$K$50,IF(B72="共通使用",はじめに入力してください!$K$52,""))</f>
        <v/>
      </c>
      <c r="Y72" s="12">
        <v>43</v>
      </c>
      <c r="Z72" s="367" t="str">
        <f t="shared" si="3"/>
        <v>○</v>
      </c>
      <c r="AA72" s="388" t="str">
        <f t="shared" si="4"/>
        <v>整備しない場合は入力不要です。</v>
      </c>
    </row>
    <row r="73" spans="1:27">
      <c r="A73" s="12">
        <v>44</v>
      </c>
      <c r="B73" s="6"/>
      <c r="C73" s="6"/>
      <c r="D73" s="6"/>
      <c r="E73" s="10"/>
      <c r="F73" s="7"/>
      <c r="G73" s="531"/>
      <c r="H73" s="15">
        <f t="shared" si="0"/>
        <v>0</v>
      </c>
      <c r="I73" s="4">
        <f t="shared" si="1"/>
        <v>0</v>
      </c>
      <c r="J73" s="9"/>
      <c r="K73" s="4">
        <f t="shared" si="2"/>
        <v>0</v>
      </c>
      <c r="L73" s="5" t="str">
        <f>IF(Z73="◎",COUNTIF($Z$30:Z73,"◎"),"")</f>
        <v/>
      </c>
      <c r="W73" s="388" t="str">
        <f>IF(B73="個別病床",はじめに入力してください!$K$50,IF(B73="共通使用",はじめに入力してください!$K$52,""))</f>
        <v/>
      </c>
      <c r="Y73" s="12">
        <v>44</v>
      </c>
      <c r="Z73" s="367" t="str">
        <f t="shared" si="3"/>
        <v>○</v>
      </c>
      <c r="AA73" s="388" t="str">
        <f t="shared" si="4"/>
        <v>整備しない場合は入力不要です。</v>
      </c>
    </row>
    <row r="74" spans="1:27">
      <c r="A74" s="12">
        <v>45</v>
      </c>
      <c r="B74" s="6"/>
      <c r="C74" s="6"/>
      <c r="D74" s="6"/>
      <c r="E74" s="10"/>
      <c r="F74" s="7"/>
      <c r="G74" s="531"/>
      <c r="H74" s="15">
        <f t="shared" si="0"/>
        <v>0</v>
      </c>
      <c r="I74" s="4">
        <f t="shared" si="1"/>
        <v>0</v>
      </c>
      <c r="J74" s="9"/>
      <c r="K74" s="4">
        <f t="shared" si="2"/>
        <v>0</v>
      </c>
      <c r="L74" s="5" t="str">
        <f>IF(Z74="◎",COUNTIF($Z$30:Z74,"◎"),"")</f>
        <v/>
      </c>
      <c r="W74" s="388" t="str">
        <f>IF(B74="個別病床",はじめに入力してください!$K$50,IF(B74="共通使用",はじめに入力してください!$K$52,""))</f>
        <v/>
      </c>
      <c r="Y74" s="12">
        <v>45</v>
      </c>
      <c r="Z74" s="367" t="str">
        <f t="shared" si="3"/>
        <v>○</v>
      </c>
      <c r="AA74" s="388" t="str">
        <f t="shared" si="4"/>
        <v>整備しない場合は入力不要です。</v>
      </c>
    </row>
  </sheetData>
  <mergeCells count="23">
    <mergeCell ref="K1:M1"/>
    <mergeCell ref="B22:L22"/>
    <mergeCell ref="B2:D3"/>
    <mergeCell ref="Z3:Z5"/>
    <mergeCell ref="AA3:AA5"/>
    <mergeCell ref="Z7:Z8"/>
    <mergeCell ref="AA7:AA8"/>
    <mergeCell ref="B10:L10"/>
    <mergeCell ref="B13:L13"/>
    <mergeCell ref="B14:L14"/>
    <mergeCell ref="B15:L15"/>
    <mergeCell ref="B18:L21"/>
    <mergeCell ref="B7:L7"/>
    <mergeCell ref="B9:C9"/>
    <mergeCell ref="B12:L12"/>
    <mergeCell ref="B26:L26"/>
    <mergeCell ref="Z27:Z28"/>
    <mergeCell ref="AA27:AA28"/>
    <mergeCell ref="B28:D28"/>
    <mergeCell ref="E28:F28"/>
    <mergeCell ref="G28:J28"/>
    <mergeCell ref="K28:K29"/>
    <mergeCell ref="L28:L29"/>
  </mergeCells>
  <phoneticPr fontId="9"/>
  <conditionalFormatting sqref="Z29:Z1048576 Z1:Z2 Z11:Z21 Z6 Z23:Z27">
    <cfRule type="containsText" dxfId="45" priority="8" operator="containsText" text="×">
      <formula>NOT(ISERROR(SEARCH("×",Z1)))</formula>
    </cfRule>
  </conditionalFormatting>
  <conditionalFormatting sqref="AA1:AA2 AA11:AA21 AA29:AA1048576 AA6 AA23:AA27">
    <cfRule type="containsText" dxfId="44" priority="7" operator="containsText" text="要修正">
      <formula>NOT(ISERROR(SEARCH("要修正",AA1)))</formula>
    </cfRule>
  </conditionalFormatting>
  <conditionalFormatting sqref="Z22">
    <cfRule type="containsText" dxfId="43" priority="6" operator="containsText" text="×">
      <formula>NOT(ISERROR(SEARCH("×",Z22)))</formula>
    </cfRule>
  </conditionalFormatting>
  <conditionalFormatting sqref="AA22">
    <cfRule type="containsText" dxfId="42" priority="5" operator="containsText" text="要修正">
      <formula>NOT(ISERROR(SEARCH("要修正",AA22)))</formula>
    </cfRule>
  </conditionalFormatting>
  <conditionalFormatting sqref="Z9:Z10 Z7">
    <cfRule type="containsText" dxfId="41" priority="4" operator="containsText" text="×">
      <formula>NOT(ISERROR(SEARCH("×",Z7)))</formula>
    </cfRule>
  </conditionalFormatting>
  <conditionalFormatting sqref="AA9:AA10 AA7">
    <cfRule type="containsText" dxfId="40" priority="3" operator="containsText" text="要修正">
      <formula>NOT(ISERROR(SEARCH("要修正",AA7)))</formula>
    </cfRule>
  </conditionalFormatting>
  <conditionalFormatting sqref="Z3:Z4">
    <cfRule type="containsText" dxfId="39" priority="2" operator="containsText" text="×">
      <formula>NOT(ISERROR(SEARCH("×",Z3)))</formula>
    </cfRule>
  </conditionalFormatting>
  <conditionalFormatting sqref="AA3:AA4">
    <cfRule type="containsText" dxfId="38" priority="1" operator="containsText" text="要修正">
      <formula>NOT(ISERROR(SEARCH("要修正",AA3)))</formula>
    </cfRule>
  </conditionalFormatting>
  <dataValidations count="10">
    <dataValidation allowBlank="1" showInputMessage="1" showErrorMessage="1" promptTitle="割引額がある場合は入力" prompt="割引がない場合は「0円」のままとしてください。" sqref="I3" xr:uid="{00000000-0002-0000-1700-000000000000}"/>
    <dataValidation allowBlank="1" showInputMessage="1" showErrorMessage="1" promptTitle="補助対象金額" prompt="補助対象額×（見積書金額-割引額）/見積書金額_x000a_で算出されます。" sqref="J3" xr:uid="{00000000-0002-0000-1700-000001000000}"/>
    <dataValidation allowBlank="1" showInputMessage="1" showErrorMessage="1" promptTitle="規格及び数量の入力" prompt="補助対象経費を計上する際、いずれも入力してください。" sqref="E30:E74" xr:uid="{C484396C-26C8-4394-B2A6-5D50D6EAA102}"/>
    <dataValidation allowBlank="1" showInputMessage="1" showErrorMessage="1" promptTitle="単価の入力" prompt="税抜額または税込額のいずれかを入力してください。_x000a_入力しない方は「0」は入力せず、空欄としてください。" sqref="H30:H74" xr:uid="{1C71E27D-40CF-4961-AD91-BBB5DEE6DDC2}"/>
    <dataValidation allowBlank="1" showInputMessage="1" showErrorMessage="1" promptTitle="添付書類番号" prompt="種類、規格、数量、単価が全て適切に入力され、右の「判定」が「◎」と表示されると自動で番号が表示されます。" sqref="L30:L74" xr:uid="{67EB0983-DE7A-489D-A687-413F23B31742}"/>
    <dataValidation allowBlank="1" showInputMessage="1" showErrorMessage="1" promptTitle="金額の表示" prompt="数式が入力されているため、自動計算されます。" sqref="K30:K74 I30:I74" xr:uid="{EEEA4C1B-BF82-43A4-B374-2757AF919CDF}"/>
    <dataValidation type="list" allowBlank="1" showInputMessage="1" showErrorMessage="1" promptTitle="補助対象の該当非該当" prompt="コロナ対応病床の初度設備に係る経費が対象となります。_x000a_共用部分の設備、備品や医療用消耗品等は補助対象外なので「対象外」を選択してください。_x000a_審査において確認、対象外と認めたものについては対象外として補正をお願いする場合があります。" sqref="J30:J74" xr:uid="{34173E3A-3E1A-40A8-B45E-5DB80AE01393}">
      <formula1>"補助対象,補助対象外"</formula1>
    </dataValidation>
    <dataValidation type="list" allowBlank="1" showInputMessage="1" showErrorMessage="1" promptTitle="設備、備品、その他の別を選択" prompt="当該行に記載する品目が_x000a_・「設備」（設備本体）_x000a_・備品（本体設備と別の構成をなすもの）_x000a_・その他（上記の該当しないもの）_x000a_の別をプルダウンから選択してください。" sqref="D30:D74" xr:uid="{C7E1D6ED-D2FE-40C4-B029-E9D997F5046D}">
      <formula1>"設備,備品,その他"</formula1>
    </dataValidation>
    <dataValidation type="decimal" operator="greaterThanOrEqual" allowBlank="1" showInputMessage="1" showErrorMessage="1" promptTitle="単価の入力" prompt="税抜額または税込額のいずれかを入力してください。_x000a_入力しない方は「0」は入力せず、空欄としてください。" sqref="G30:G74" xr:uid="{96AF94DB-E333-4949-B632-C36AF69EF0A2}">
      <formula1>0</formula1>
    </dataValidation>
    <dataValidation type="whole" operator="greaterThanOrEqual" allowBlank="1" showInputMessage="1" showErrorMessage="1" errorTitle="数値のみを入力してください。" error="「個」、「枚」等の単位入力は不要です。" promptTitle="規格及び数量の入力" prompt="補助対象経費を計上する際、いずれも入力してください。" sqref="F30:F74" xr:uid="{692477B6-278D-46C3-9FD3-B38D9B25F152}">
      <formula1>0</formula1>
    </dataValidation>
  </dataValidations>
  <pageMargins left="0.7" right="0.7" top="0.75" bottom="0.75" header="0.3" footer="0.3"/>
  <pageSetup paperSize="9" scale="55"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promptTitle="「用途先」病床の選択（左の「病床」を選択しないと表示されません。" prompt="ベッドに必ずしも紐付けるものではありませんが、１病床１台で紐付けした場合、整備する病床に番号付けをした場合の番号を選択してください。" xr:uid="{EE027488-C26D-4FDA-A079-50BD92EA6ED2}">
          <x14:formula1>
            <xm:f>OFFSET(テーブル!$X$48, 0, MATCH(B30,テーブル!$Y$47:$Z$47,0), COUNTA(OFFSET(テーブル!$X$48,0,MATCH(B30,テーブル!$Y$47:$Z$47,0),$W$30,1)),1)</xm:f>
          </x14:formula1>
          <xm:sqref>C30:C74</xm:sqref>
        </x14:dataValidation>
        <x14:dataValidation type="list" allowBlank="1" showInputMessage="1" showErrorMessage="1" promptTitle="配備先の別を選択" prompt="確保病床の共通使用のものか、個別のベッドに配備するものか選択してください。" xr:uid="{DCDD98E9-C0FB-4962-87A4-570F189D2935}">
          <x14:formula1>
            <xm:f>テーブル!$X$48:$X$49</xm:f>
          </x14:formula1>
          <xm:sqref>B30:B74</xm:sqref>
        </x14:dataValidation>
        <x14:dataValidation type="list" allowBlank="1" showInputMessage="1" showErrorMessage="1" xr:uid="{00000000-0002-0000-1700-000008000000}">
          <x14:formula1>
            <xm:f>テーブル!$M$37:$M$51</xm:f>
          </x14:formula1>
          <xm:sqref>B2:D2</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tabColor theme="4" tint="0.79998168889431442"/>
    <pageSetUpPr fitToPage="1"/>
  </sheetPr>
  <dimension ref="A1:AF74"/>
  <sheetViews>
    <sheetView showGridLines="0" view="pageBreakPreview" zoomScale="60" zoomScaleNormal="100" workbookViewId="0">
      <selection activeCell="B26" sqref="B26:L26"/>
    </sheetView>
  </sheetViews>
  <sheetFormatPr defaultColWidth="8.625" defaultRowHeight="18"/>
  <cols>
    <col min="1" max="1" width="3.625" style="12" customWidth="1"/>
    <col min="2" max="4" width="8.625" style="19"/>
    <col min="5" max="5" width="30.625" style="19" customWidth="1"/>
    <col min="6" max="6" width="8.625" style="19"/>
    <col min="7" max="11" width="12.625" style="19" customWidth="1"/>
    <col min="12" max="12" width="8.625" style="19"/>
    <col min="13" max="13" width="3.625" style="19" customWidth="1"/>
    <col min="14" max="23" width="8.625" style="19"/>
    <col min="24" max="24" width="8.625" style="19" customWidth="1"/>
    <col min="25" max="25" width="3.625" style="12" customWidth="1"/>
    <col min="26" max="26" width="8.625" style="19"/>
    <col min="27" max="27" width="40.625" style="19" customWidth="1"/>
    <col min="28" max="28" width="3.625" style="19" customWidth="1"/>
    <col min="29" max="32" width="8.625" style="19"/>
    <col min="33" max="33" width="30.625" style="19" customWidth="1"/>
    <col min="34" max="16384" width="8.625" style="19"/>
  </cols>
  <sheetData>
    <row r="1" spans="1:32" ht="20.100000000000001" customHeight="1">
      <c r="K1" s="1859" t="str">
        <f xml:space="preserve">
IF(表紙!X2="交付申請兼実績報告","（４月１日～５月７日分）",
IF(OR(表紙!X2="事前協議",表紙!X2="交付申請",表紙!X2="変更申請",表紙!X2="実績報告"),"（５月８日～９月30日分）",
))</f>
        <v>（４月１日～５月７日分）</v>
      </c>
      <c r="L1" s="1385"/>
      <c r="M1" s="1385"/>
    </row>
    <row r="2" spans="1:32" ht="20.100000000000001" customHeight="1">
      <c r="B2" s="1847" t="s">
        <v>430</v>
      </c>
      <c r="C2" s="1848"/>
      <c r="D2" s="1849"/>
      <c r="H2" s="5" t="s">
        <v>536</v>
      </c>
      <c r="I2" s="367" t="s">
        <v>537</v>
      </c>
      <c r="J2" s="5" t="s">
        <v>44</v>
      </c>
      <c r="Z2" s="367" t="s">
        <v>417</v>
      </c>
      <c r="AA2" s="367" t="s">
        <v>415</v>
      </c>
      <c r="AC2" s="367" t="str">
        <f>Z9</f>
        <v>×</v>
      </c>
      <c r="AD2" s="367" t="str">
        <f>Z15</f>
        <v>◎</v>
      </c>
      <c r="AE2" s="367" t="str">
        <f>Z22</f>
        <v>◎</v>
      </c>
      <c r="AF2" s="367" t="str">
        <f>Z26</f>
        <v>◎</v>
      </c>
    </row>
    <row r="3" spans="1:32" ht="20.100000000000001" customHeight="1">
      <c r="B3" s="1850"/>
      <c r="C3" s="1851"/>
      <c r="D3" s="1852"/>
      <c r="H3" s="351">
        <f>SUM(I30:I74)</f>
        <v>39600000</v>
      </c>
      <c r="I3" s="8"/>
      <c r="J3" s="351">
        <f>IFERROR(ROUNDUP(SUM(K30:K74)*((H3-I3)/H3),0),0)</f>
        <v>39600000</v>
      </c>
      <c r="Z3" s="884" t="str">
        <f xml:space="preserve">
IF(COUNTIF(AD2:AF2,"○")=3,"○",
IF(COUNTIF(AD2:AF2,"◎")=3,"◎","×"
))</f>
        <v>◎</v>
      </c>
      <c r="AA3" s="1842" t="str">
        <f xml:space="preserve">
IF(Z3="○","整備しない場合は入力不要です。",
IF(Z3="×","【要修正】入力が不十分な箇所があります。",
IF(Z3="◎","適切に入力がされました。")))</f>
        <v>適切に入力がされました。</v>
      </c>
    </row>
    <row r="4" spans="1:32" ht="9.9499999999999993" customHeight="1">
      <c r="Z4" s="884"/>
      <c r="AA4" s="1842"/>
    </row>
    <row r="5" spans="1:32" ht="20.100000000000001" customHeight="1">
      <c r="B5" s="386" t="s">
        <v>55</v>
      </c>
      <c r="C5" s="386"/>
      <c r="D5" s="386"/>
      <c r="E5" s="386"/>
      <c r="F5" s="386"/>
      <c r="G5" s="386"/>
      <c r="H5" s="386"/>
      <c r="I5" s="386"/>
      <c r="J5" s="386"/>
      <c r="K5" s="386"/>
      <c r="L5" s="386"/>
      <c r="Z5" s="857"/>
      <c r="AA5" s="858"/>
    </row>
    <row r="6" spans="1:32" ht="9.9499999999999993" customHeight="1"/>
    <row r="7" spans="1:32" ht="20.100000000000001" customHeight="1">
      <c r="B7" s="1863" t="str">
        <f xml:space="preserve">
IF(OR(表紙!X2="事前協議",表紙!X2="交付申請"),"（１）整備を行う対象の新規で指定を受けた確保病床数あるいは、確保病床を有しない場合は整備を行う病床の数",
IF(表紙!X2="交付申請兼実績報告","（１）整備を行う対象の新規で指定を受けた確保病床数"))</f>
        <v>（１）整備を行う対象の新規で指定を受けた確保病床数</v>
      </c>
      <c r="C7" s="953"/>
      <c r="D7" s="953"/>
      <c r="E7" s="953"/>
      <c r="F7" s="953"/>
      <c r="G7" s="953"/>
      <c r="H7" s="953"/>
      <c r="I7" s="953"/>
      <c r="J7" s="953"/>
      <c r="K7" s="953"/>
      <c r="L7" s="953"/>
      <c r="Z7" s="1838" t="s">
        <v>413</v>
      </c>
      <c r="AA7" s="1838" t="s">
        <v>415</v>
      </c>
    </row>
    <row r="8" spans="1:32" ht="9.9499999999999993" customHeight="1">
      <c r="Z8" s="1839"/>
      <c r="AA8" s="1839"/>
    </row>
    <row r="9" spans="1:32" ht="35.1" customHeight="1">
      <c r="B9" s="1864" t="s">
        <v>56</v>
      </c>
      <c r="C9" s="1865"/>
      <c r="D9" s="204" t="str">
        <f>IF(はじめに入力してください!K50="","",はじめに入力してください!K50)</f>
        <v/>
      </c>
      <c r="E9" s="352"/>
      <c r="F9" s="353"/>
      <c r="G9" s="353"/>
      <c r="H9" s="353"/>
      <c r="I9" s="353"/>
      <c r="J9" s="354"/>
      <c r="K9" s="354"/>
      <c r="L9" s="354"/>
      <c r="Z9" s="367" t="str">
        <f xml:space="preserve">
IF(D9="","×",
IF(D9=0,"○",
IF(D9&gt;=1,"◎",
)))</f>
        <v>×</v>
      </c>
      <c r="AA9" s="388" t="str">
        <f xml:space="preserve">
IF(D9="","【要修正】「はじめに入力してください」シートに整備を行う病床の数を入力してください。",
IF(D9=0,"申請しない場合は以下入力不要です。",
IF(D9&gt;=1,"適切に入力されました。",
)))</f>
        <v>【要修正】「はじめに入力してください」シートに整備を行う病床の数を入力してください。</v>
      </c>
    </row>
    <row r="10" spans="1:32" ht="20.100000000000001" customHeight="1">
      <c r="B10" s="1860"/>
      <c r="C10" s="1861"/>
      <c r="D10" s="1862"/>
      <c r="E10" s="1862"/>
      <c r="F10" s="1862"/>
      <c r="G10" s="1862"/>
      <c r="H10" s="1862"/>
      <c r="I10" s="1862"/>
      <c r="J10" s="1862"/>
      <c r="K10" s="1862"/>
      <c r="L10" s="1862"/>
    </row>
    <row r="11" spans="1:32" ht="20.100000000000001" hidden="1" customHeight="1"/>
    <row r="12" spans="1:32" ht="20.100000000000001" customHeight="1">
      <c r="B12" s="1863" t="s">
        <v>57</v>
      </c>
      <c r="C12" s="953"/>
      <c r="D12" s="953"/>
      <c r="E12" s="953"/>
      <c r="F12" s="953"/>
      <c r="G12" s="953"/>
      <c r="H12" s="953"/>
      <c r="I12" s="953"/>
      <c r="J12" s="953"/>
      <c r="K12" s="953"/>
      <c r="L12" s="953"/>
    </row>
    <row r="13" spans="1:32" ht="39.950000000000003" customHeight="1">
      <c r="B13" s="1843" t="s">
        <v>538</v>
      </c>
      <c r="C13" s="952"/>
      <c r="D13" s="952"/>
      <c r="E13" s="952"/>
      <c r="F13" s="952"/>
      <c r="G13" s="952"/>
      <c r="H13" s="952"/>
      <c r="I13" s="952"/>
      <c r="J13" s="952"/>
      <c r="K13" s="952"/>
      <c r="L13" s="952"/>
    </row>
    <row r="14" spans="1:32" s="385" customFormat="1" ht="99.95" customHeight="1">
      <c r="A14" s="13"/>
      <c r="B14" s="1843" t="str">
        <f>VLOOKUP(B2,テーブル!M37:N51,2,FALSE)</f>
        <v>（例）当院はこれまで主として呼吸器症状が比較的軽度な入院患者の受け入れを行ってきたが、近傍及び圏域内の入院医療機関が慢性的に逼迫している状況
　　　であり、医療機関間の連携協力のありかたについて話し合いの中で、受け入れ体制の強化が課題とされてきた。
　　　当院は受け入れのために確保している病床及び看護要員に一定の余裕があったことから、新たに呼吸器系の専門医を確保することができたため、
　　　重篤な肺炎症状を呈する患者の受け入れを今後積極的に行っていくこととした。
　　　ついては新たに１台を整備することとし、入院受入体制を確保することとしたい。</v>
      </c>
      <c r="C14" s="1675"/>
      <c r="D14" s="1675"/>
      <c r="E14" s="1675"/>
      <c r="F14" s="1675"/>
      <c r="G14" s="1675"/>
      <c r="H14" s="1675"/>
      <c r="I14" s="1675"/>
      <c r="J14" s="1675"/>
      <c r="K14" s="1675"/>
      <c r="L14" s="1675"/>
      <c r="Y14" s="13"/>
      <c r="Z14" s="366" t="s">
        <v>413</v>
      </c>
      <c r="AA14" s="366" t="s">
        <v>414</v>
      </c>
    </row>
    <row r="15" spans="1:32" ht="120" customHeight="1">
      <c r="B15" s="1844" t="s">
        <v>1287</v>
      </c>
      <c r="C15" s="1845"/>
      <c r="D15" s="1845"/>
      <c r="E15" s="1845"/>
      <c r="F15" s="1845"/>
      <c r="G15" s="1845"/>
      <c r="H15" s="1845"/>
      <c r="I15" s="1845"/>
      <c r="J15" s="1845"/>
      <c r="K15" s="1845"/>
      <c r="L15" s="1846"/>
      <c r="Z15" s="367" t="str">
        <f xml:space="preserve">
IF(COUNTA(B15)=0,"○",
IF(COUNTA(B15)=1,"◎"))</f>
        <v>◎</v>
      </c>
      <c r="AA15" s="388" t="str">
        <f xml:space="preserve">
IF(COUNTA(B15)=0,"整備しない場合は入力不要です。",
IF(COUNTA(B15)=1,"入力された状態になりました。"))</f>
        <v>入力された状態になりました。</v>
      </c>
    </row>
    <row r="16" spans="1:32" ht="20.100000000000001" customHeight="1"/>
    <row r="17" spans="1:27" ht="20.100000000000001" customHeight="1">
      <c r="B17" s="386" t="s">
        <v>452</v>
      </c>
      <c r="C17" s="386"/>
      <c r="D17" s="386"/>
      <c r="E17" s="386"/>
      <c r="F17" s="386"/>
      <c r="G17" s="386"/>
      <c r="H17" s="386"/>
      <c r="I17" s="386"/>
      <c r="J17" s="386"/>
      <c r="K17" s="386"/>
      <c r="L17" s="386"/>
    </row>
    <row r="18" spans="1:27" ht="20.100000000000001" customHeight="1">
      <c r="B18" s="1843" t="s">
        <v>480</v>
      </c>
      <c r="C18" s="952"/>
      <c r="D18" s="952"/>
      <c r="E18" s="952"/>
      <c r="F18" s="952"/>
      <c r="G18" s="952"/>
      <c r="H18" s="952"/>
      <c r="I18" s="952"/>
      <c r="J18" s="952"/>
      <c r="K18" s="952"/>
      <c r="L18" s="952"/>
    </row>
    <row r="19" spans="1:27" ht="20.100000000000001" customHeight="1">
      <c r="B19" s="1843"/>
      <c r="C19" s="952"/>
      <c r="D19" s="952"/>
      <c r="E19" s="952"/>
      <c r="F19" s="952"/>
      <c r="G19" s="952"/>
      <c r="H19" s="952"/>
      <c r="I19" s="952"/>
      <c r="J19" s="952"/>
      <c r="K19" s="952"/>
      <c r="L19" s="952"/>
    </row>
    <row r="20" spans="1:27" ht="20.100000000000001" customHeight="1">
      <c r="B20" s="1843"/>
      <c r="C20" s="952"/>
      <c r="D20" s="952"/>
      <c r="E20" s="952"/>
      <c r="F20" s="952"/>
      <c r="G20" s="952"/>
      <c r="H20" s="952"/>
      <c r="I20" s="952"/>
      <c r="J20" s="952"/>
      <c r="K20" s="952"/>
      <c r="L20" s="952"/>
    </row>
    <row r="21" spans="1:27" ht="20.100000000000001" customHeight="1">
      <c r="B21" s="952"/>
      <c r="C21" s="952"/>
      <c r="D21" s="952"/>
      <c r="E21" s="952"/>
      <c r="F21" s="952"/>
      <c r="G21" s="952"/>
      <c r="H21" s="952"/>
      <c r="I21" s="952"/>
      <c r="J21" s="952"/>
      <c r="K21" s="952"/>
      <c r="L21" s="952"/>
    </row>
    <row r="22" spans="1:27" ht="120" customHeight="1">
      <c r="B22" s="1844" t="s">
        <v>1287</v>
      </c>
      <c r="C22" s="1845"/>
      <c r="D22" s="1845"/>
      <c r="E22" s="1845"/>
      <c r="F22" s="1845"/>
      <c r="G22" s="1845"/>
      <c r="H22" s="1845"/>
      <c r="I22" s="1845"/>
      <c r="J22" s="1845"/>
      <c r="K22" s="1845"/>
      <c r="L22" s="1846"/>
      <c r="Z22" s="367" t="str">
        <f xml:space="preserve">
IF(COUNTA(B22)=0,"○",
IF(COUNTA(B22)=1,"◎"))</f>
        <v>◎</v>
      </c>
      <c r="AA22" s="388" t="str">
        <f xml:space="preserve">
IF(COUNTA(B22)=0,"整備しない場合は入力不要です。",
IF(COUNTA(B22)=1,"入力された状態になりました。"))</f>
        <v>入力された状態になりました。</v>
      </c>
    </row>
    <row r="23" spans="1:27" ht="20.100000000000001" customHeight="1"/>
    <row r="24" spans="1:27" ht="20.100000000000001" customHeight="1">
      <c r="B24" s="386" t="s">
        <v>451</v>
      </c>
      <c r="C24" s="386"/>
      <c r="D24" s="386"/>
      <c r="E24" s="386"/>
      <c r="F24" s="386"/>
      <c r="G24" s="386"/>
      <c r="H24" s="386"/>
      <c r="I24" s="386"/>
      <c r="J24" s="386"/>
      <c r="K24" s="386"/>
      <c r="L24" s="386"/>
      <c r="Z24" s="14"/>
    </row>
    <row r="25" spans="1:27" ht="9.9499999999999993" customHeight="1"/>
    <row r="26" spans="1:27" ht="60" customHeight="1">
      <c r="B26" s="1843" t="s">
        <v>559</v>
      </c>
      <c r="C26" s="953"/>
      <c r="D26" s="953"/>
      <c r="E26" s="953"/>
      <c r="F26" s="953"/>
      <c r="G26" s="953"/>
      <c r="H26" s="953"/>
      <c r="I26" s="953"/>
      <c r="J26" s="953"/>
      <c r="K26" s="953"/>
      <c r="L26" s="953"/>
      <c r="Z26" s="367" t="str">
        <f xml:space="preserve">
IF(COUNTIF(Z30:Z74,"○")=45,"○",
IF(COUNTIF(Z30:Z74,"×")&gt;=1,"×",
IF(AND(COUNTIF(Z30:Z74,"◎")&gt;=1,COUNTIF(Z30:Z74,"×")=0),"◎")))</f>
        <v>◎</v>
      </c>
      <c r="AA26" s="388" t="str">
        <f xml:space="preserve">
IF(COUNTIF(Z30:Z74,"○")=45,"整備しない場合は入力不要です。",
IF(COUNTIF(Z30:Z74,"×")&gt;=1,"【要修正】入力が不十分な箇所があります。",
IF(AND(COUNTIF(Z30:Z74,"◎")&gt;=1,COUNTIF(Z30:Z74,"×")=0),"適切に入力がされました。")))</f>
        <v>適切に入力がされました。</v>
      </c>
    </row>
    <row r="27" spans="1:27" ht="9.9499999999999993" customHeight="1">
      <c r="Z27" s="1837" t="s">
        <v>416</v>
      </c>
      <c r="AA27" s="1840" t="s">
        <v>418</v>
      </c>
    </row>
    <row r="28" spans="1:27">
      <c r="B28" s="1853" t="s">
        <v>41</v>
      </c>
      <c r="C28" s="1854"/>
      <c r="D28" s="1855"/>
      <c r="E28" s="1853" t="s">
        <v>42</v>
      </c>
      <c r="F28" s="1855"/>
      <c r="G28" s="1853" t="s">
        <v>43</v>
      </c>
      <c r="H28" s="1854"/>
      <c r="I28" s="1854"/>
      <c r="J28" s="1855"/>
      <c r="K28" s="1856" t="s">
        <v>44</v>
      </c>
      <c r="L28" s="1856" t="s">
        <v>45</v>
      </c>
      <c r="Z28" s="1105"/>
      <c r="AA28" s="1841"/>
    </row>
    <row r="29" spans="1:27">
      <c r="B29" s="3" t="s">
        <v>46</v>
      </c>
      <c r="C29" s="3" t="s">
        <v>47</v>
      </c>
      <c r="D29" s="3" t="s">
        <v>48</v>
      </c>
      <c r="E29" s="3" t="s">
        <v>54</v>
      </c>
      <c r="F29" s="3" t="s">
        <v>49</v>
      </c>
      <c r="G29" s="3" t="s">
        <v>50</v>
      </c>
      <c r="H29" s="3" t="s">
        <v>51</v>
      </c>
      <c r="I29" s="3" t="s">
        <v>52</v>
      </c>
      <c r="J29" s="3" t="s">
        <v>53</v>
      </c>
      <c r="K29" s="1857"/>
      <c r="L29" s="1857"/>
      <c r="Z29" s="367" t="s">
        <v>413</v>
      </c>
      <c r="AA29" s="367" t="s">
        <v>415</v>
      </c>
    </row>
    <row r="30" spans="1:27">
      <c r="A30" s="12">
        <v>1</v>
      </c>
      <c r="B30" s="6"/>
      <c r="C30" s="6"/>
      <c r="D30" s="6"/>
      <c r="E30" s="10"/>
      <c r="F30" s="7"/>
      <c r="G30" s="531"/>
      <c r="H30" s="15">
        <f>ROUNDDOWN(G30*1.1,0)</f>
        <v>0</v>
      </c>
      <c r="I30" s="4">
        <f>F30*H30</f>
        <v>0</v>
      </c>
      <c r="J30" s="9"/>
      <c r="K30" s="4">
        <f>IF(J30="補助対象",I30,IF(J30="補助対象外",0,0))</f>
        <v>0</v>
      </c>
      <c r="L30" s="5" t="str">
        <f>IF(Z30="◎",COUNTIF($Z$30:Z30,"◎"),"")</f>
        <v/>
      </c>
      <c r="W30" s="388" t="str">
        <f>IF(B30="個別病床",はじめに入力してください!$K$50,IF(B30="共通使用",はじめに入力してください!$K$52,""))</f>
        <v/>
      </c>
      <c r="Y30" s="12">
        <v>1</v>
      </c>
      <c r="Z30" s="367" t="str">
        <f xml:space="preserve">
IF(SUM(COUNTA(B30:G30),COUNTA(J30))=0,"○",
IF(AND(SUM(COUNTA(B30:G30),COUNTA(J30))&gt;0,SUM(COUNTA(B30:G30),COUNTA(J30))&lt;7),"×",
IF(SUM(COUNTA(B30:G30),COUNTA(J30))=7,"◎")))</f>
        <v>○</v>
      </c>
      <c r="AA30" s="388" t="str">
        <f xml:space="preserve">
IF(SUM(COUNTA(B30:G30),COUNTA(J30))=0,"整備しない場合は入力不要です。",
IF(AND(SUM(COUNTA(B30:G30),COUNTA(J30))&gt;0,SUM(COUNTA(B30:G30),COUNTA(J30))&lt;7),"【要修正】未入力の箇所があります。",
IF(SUM(COUNTA(B30:G30),COUNTA(J30))=7,"適切に入力がされました。")))</f>
        <v>整備しない場合は入力不要です。</v>
      </c>
    </row>
    <row r="31" spans="1:27">
      <c r="A31" s="12">
        <v>2</v>
      </c>
      <c r="B31" s="6"/>
      <c r="C31" s="6"/>
      <c r="D31" s="6"/>
      <c r="E31" s="10"/>
      <c r="F31" s="7"/>
      <c r="G31" s="531"/>
      <c r="H31" s="15">
        <f t="shared" ref="H31:H74" si="0">ROUNDDOWN(G31*1.1,0)</f>
        <v>0</v>
      </c>
      <c r="I31" s="4">
        <f t="shared" ref="I31:I74" si="1">F31*H31</f>
        <v>0</v>
      </c>
      <c r="J31" s="9"/>
      <c r="K31" s="4">
        <f t="shared" ref="K31:K74" si="2">IF(J31="補助対象",I31,IF(J31="補助対象外",0,0))</f>
        <v>0</v>
      </c>
      <c r="L31" s="5" t="str">
        <f>IF(Z31="◎",COUNTIF($Z$30:Z31,"◎"),"")</f>
        <v/>
      </c>
      <c r="W31" s="388" t="str">
        <f>IF(B31="個別病床",はじめに入力してください!$K$50,IF(B31="共通使用",はじめに入力してください!$K$52,""))</f>
        <v/>
      </c>
      <c r="Y31" s="12">
        <v>2</v>
      </c>
      <c r="Z31" s="367" t="str">
        <f t="shared" ref="Z31:Z74" si="3" xml:space="preserve">
IF(SUM(COUNTA(B31:G31),COUNTA(J31))=0,"○",
IF(AND(SUM(COUNTA(B31:G31),COUNTA(J31))&gt;0,SUM(COUNTA(B31:G31),COUNTA(J31))&lt;7),"×",
IF(SUM(COUNTA(B31:G31),COUNTA(J31))=7,"◎")))</f>
        <v>○</v>
      </c>
      <c r="AA31" s="388" t="str">
        <f t="shared" ref="AA31:AA74" si="4" xml:space="preserve">
IF(SUM(COUNTA(B31:G31),COUNTA(J31))=0,"整備しない場合は入力不要です。",
IF(AND(SUM(COUNTA(B31:G31),COUNTA(J31))&gt;0,SUM(COUNTA(B31:G31),COUNTA(J31))&lt;7),"【要修正】未入力の箇所があります。",
IF(SUM(COUNTA(B31:G31),COUNTA(J31))=7,"適切に入力がされました。")))</f>
        <v>整備しない場合は入力不要です。</v>
      </c>
    </row>
    <row r="32" spans="1:27">
      <c r="A32" s="12">
        <v>3</v>
      </c>
      <c r="B32" s="6"/>
      <c r="C32" s="6"/>
      <c r="D32" s="6"/>
      <c r="E32" s="10"/>
      <c r="F32" s="7"/>
      <c r="G32" s="531"/>
      <c r="H32" s="15">
        <f t="shared" si="0"/>
        <v>0</v>
      </c>
      <c r="I32" s="4">
        <f t="shared" si="1"/>
        <v>0</v>
      </c>
      <c r="J32" s="9"/>
      <c r="K32" s="4">
        <f t="shared" si="2"/>
        <v>0</v>
      </c>
      <c r="L32" s="5" t="str">
        <f>IF(Z32="◎",COUNTIF($Z$30:Z32,"◎"),"")</f>
        <v/>
      </c>
      <c r="W32" s="388" t="str">
        <f>IF(B32="個別病床",はじめに入力してください!$K$50,IF(B32="共通使用",はじめに入力してください!$K$52,""))</f>
        <v/>
      </c>
      <c r="Y32" s="12">
        <v>3</v>
      </c>
      <c r="Z32" s="367" t="str">
        <f t="shared" si="3"/>
        <v>○</v>
      </c>
      <c r="AA32" s="388" t="str">
        <f t="shared" si="4"/>
        <v>整備しない場合は入力不要です。</v>
      </c>
    </row>
    <row r="33" spans="1:27">
      <c r="A33" s="12">
        <v>4</v>
      </c>
      <c r="B33" s="6"/>
      <c r="C33" s="6"/>
      <c r="D33" s="6"/>
      <c r="E33" s="10"/>
      <c r="F33" s="7"/>
      <c r="G33" s="531"/>
      <c r="H33" s="15">
        <f t="shared" si="0"/>
        <v>0</v>
      </c>
      <c r="I33" s="4">
        <f t="shared" si="1"/>
        <v>0</v>
      </c>
      <c r="J33" s="9"/>
      <c r="K33" s="4">
        <f t="shared" si="2"/>
        <v>0</v>
      </c>
      <c r="L33" s="5" t="str">
        <f>IF(Z33="◎",COUNTIF($Z$30:Z33,"◎"),"")</f>
        <v/>
      </c>
      <c r="W33" s="388" t="str">
        <f>IF(B33="個別病床",はじめに入力してください!$K$50,IF(B33="共通使用",はじめに入力してください!$K$52,""))</f>
        <v/>
      </c>
      <c r="Y33" s="12">
        <v>4</v>
      </c>
      <c r="Z33" s="367" t="str">
        <f t="shared" si="3"/>
        <v>○</v>
      </c>
      <c r="AA33" s="388" t="str">
        <f t="shared" si="4"/>
        <v>整備しない場合は入力不要です。</v>
      </c>
    </row>
    <row r="34" spans="1:27">
      <c r="A34" s="12">
        <v>5</v>
      </c>
      <c r="B34" s="6"/>
      <c r="C34" s="6"/>
      <c r="D34" s="6"/>
      <c r="E34" s="10"/>
      <c r="F34" s="7"/>
      <c r="G34" s="531"/>
      <c r="H34" s="15">
        <f t="shared" si="0"/>
        <v>0</v>
      </c>
      <c r="I34" s="4">
        <f t="shared" si="1"/>
        <v>0</v>
      </c>
      <c r="J34" s="9"/>
      <c r="K34" s="4">
        <f t="shared" si="2"/>
        <v>0</v>
      </c>
      <c r="L34" s="5" t="str">
        <f>IF(Z34="◎",COUNTIF($Z$30:Z34,"◎"),"")</f>
        <v/>
      </c>
      <c r="W34" s="388" t="str">
        <f>IF(B34="個別病床",はじめに入力してください!$K$50,IF(B34="共通使用",はじめに入力してください!$K$52,""))</f>
        <v/>
      </c>
      <c r="Y34" s="12">
        <v>5</v>
      </c>
      <c r="Z34" s="367" t="str">
        <f t="shared" si="3"/>
        <v>○</v>
      </c>
      <c r="AA34" s="388" t="str">
        <f t="shared" si="4"/>
        <v>整備しない場合は入力不要です。</v>
      </c>
    </row>
    <row r="35" spans="1:27">
      <c r="A35" s="12">
        <v>6</v>
      </c>
      <c r="B35" s="6"/>
      <c r="C35" s="6"/>
      <c r="D35" s="6"/>
      <c r="E35" s="10"/>
      <c r="F35" s="7"/>
      <c r="G35" s="531"/>
      <c r="H35" s="15">
        <f t="shared" si="0"/>
        <v>0</v>
      </c>
      <c r="I35" s="4">
        <f t="shared" si="1"/>
        <v>0</v>
      </c>
      <c r="J35" s="9"/>
      <c r="K35" s="4">
        <f t="shared" si="2"/>
        <v>0</v>
      </c>
      <c r="L35" s="5" t="str">
        <f>IF(Z35="◎",COUNTIF($Z$30:Z35,"◎"),"")</f>
        <v/>
      </c>
      <c r="W35" s="388" t="str">
        <f>IF(B35="個別病床",はじめに入力してください!$K$50,IF(B35="共通使用",はじめに入力してください!$K$52,""))</f>
        <v/>
      </c>
      <c r="Y35" s="12">
        <v>6</v>
      </c>
      <c r="Z35" s="367" t="str">
        <f t="shared" si="3"/>
        <v>○</v>
      </c>
      <c r="AA35" s="388" t="str">
        <f t="shared" si="4"/>
        <v>整備しない場合は入力不要です。</v>
      </c>
    </row>
    <row r="36" spans="1:27">
      <c r="A36" s="12">
        <v>7</v>
      </c>
      <c r="B36" s="6"/>
      <c r="C36" s="6"/>
      <c r="D36" s="6"/>
      <c r="E36" s="10"/>
      <c r="F36" s="7"/>
      <c r="G36" s="531"/>
      <c r="H36" s="15">
        <f t="shared" si="0"/>
        <v>0</v>
      </c>
      <c r="I36" s="4">
        <f t="shared" si="1"/>
        <v>0</v>
      </c>
      <c r="J36" s="9"/>
      <c r="K36" s="4">
        <f t="shared" si="2"/>
        <v>0</v>
      </c>
      <c r="L36" s="5" t="str">
        <f>IF(Z36="◎",COUNTIF($Z$30:Z36,"◎"),"")</f>
        <v/>
      </c>
      <c r="W36" s="388" t="str">
        <f>IF(B36="個別病床",はじめに入力してください!$K$50,IF(B36="共通使用",はじめに入力してください!$K$52,""))</f>
        <v/>
      </c>
      <c r="Y36" s="12">
        <v>7</v>
      </c>
      <c r="Z36" s="367" t="str">
        <f t="shared" si="3"/>
        <v>○</v>
      </c>
      <c r="AA36" s="388" t="str">
        <f t="shared" si="4"/>
        <v>整備しない場合は入力不要です。</v>
      </c>
    </row>
    <row r="37" spans="1:27">
      <c r="A37" s="12">
        <v>8</v>
      </c>
      <c r="B37" s="6" t="s">
        <v>669</v>
      </c>
      <c r="C37" s="6" t="s">
        <v>670</v>
      </c>
      <c r="D37" s="6" t="s">
        <v>1281</v>
      </c>
      <c r="E37" s="10" t="s">
        <v>1280</v>
      </c>
      <c r="F37" s="7">
        <v>9</v>
      </c>
      <c r="G37" s="531">
        <v>1000000</v>
      </c>
      <c r="H37" s="15">
        <f t="shared" si="0"/>
        <v>1100000</v>
      </c>
      <c r="I37" s="4">
        <f t="shared" si="1"/>
        <v>9900000</v>
      </c>
      <c r="J37" s="9" t="s">
        <v>1285</v>
      </c>
      <c r="K37" s="4">
        <f t="shared" si="2"/>
        <v>9900000</v>
      </c>
      <c r="L37" s="5">
        <f>IF(Z37="◎",COUNTIF($Z$30:Z37,"◎"),"")</f>
        <v>1</v>
      </c>
      <c r="W37" s="388">
        <f>IF(B37="個別病床",はじめに入力してください!$K$50,IF(B37="共通使用",はじめに入力してください!$K$52,""))</f>
        <v>0</v>
      </c>
      <c r="Y37" s="12">
        <v>8</v>
      </c>
      <c r="Z37" s="367" t="str">
        <f t="shared" si="3"/>
        <v>◎</v>
      </c>
      <c r="AA37" s="388" t="str">
        <f t="shared" si="4"/>
        <v>適切に入力がされました。</v>
      </c>
    </row>
    <row r="38" spans="1:27">
      <c r="A38" s="12">
        <v>9</v>
      </c>
      <c r="B38" s="6" t="s">
        <v>669</v>
      </c>
      <c r="C38" s="6" t="s">
        <v>670</v>
      </c>
      <c r="D38" s="6" t="s">
        <v>1282</v>
      </c>
      <c r="E38" s="10" t="s">
        <v>1283</v>
      </c>
      <c r="F38" s="7">
        <v>9</v>
      </c>
      <c r="G38" s="531">
        <v>1000000</v>
      </c>
      <c r="H38" s="15">
        <f t="shared" si="0"/>
        <v>1100000</v>
      </c>
      <c r="I38" s="4">
        <f t="shared" si="1"/>
        <v>9900000</v>
      </c>
      <c r="J38" s="9" t="s">
        <v>1285</v>
      </c>
      <c r="K38" s="4">
        <f t="shared" si="2"/>
        <v>9900000</v>
      </c>
      <c r="L38" s="5">
        <f>IF(Z38="◎",COUNTIF($Z$30:Z38,"◎"),"")</f>
        <v>2</v>
      </c>
      <c r="W38" s="388">
        <f>IF(B38="個別病床",はじめに入力してください!$K$50,IF(B38="共通使用",はじめに入力してください!$K$52,""))</f>
        <v>0</v>
      </c>
      <c r="Y38" s="12">
        <v>9</v>
      </c>
      <c r="Z38" s="367" t="str">
        <f t="shared" si="3"/>
        <v>◎</v>
      </c>
      <c r="AA38" s="388" t="str">
        <f t="shared" si="4"/>
        <v>適切に入力がされました。</v>
      </c>
    </row>
    <row r="39" spans="1:27">
      <c r="A39" s="12">
        <v>10</v>
      </c>
      <c r="B39" s="6" t="s">
        <v>100</v>
      </c>
      <c r="C39" s="6" t="s">
        <v>820</v>
      </c>
      <c r="D39" s="6" t="s">
        <v>1281</v>
      </c>
      <c r="E39" s="10" t="s">
        <v>1284</v>
      </c>
      <c r="F39" s="7">
        <v>9</v>
      </c>
      <c r="G39" s="531">
        <v>2000000</v>
      </c>
      <c r="H39" s="15">
        <f t="shared" si="0"/>
        <v>2200000</v>
      </c>
      <c r="I39" s="4">
        <f t="shared" si="1"/>
        <v>19800000</v>
      </c>
      <c r="J39" s="9" t="s">
        <v>1285</v>
      </c>
      <c r="K39" s="4">
        <f t="shared" si="2"/>
        <v>19800000</v>
      </c>
      <c r="L39" s="5">
        <f>IF(Z39="◎",COUNTIF($Z$30:Z39,"◎"),"")</f>
        <v>3</v>
      </c>
      <c r="W39" s="388">
        <f>IF(B39="個別病床",はじめに入力してください!$K$50,IF(B39="共通使用",はじめに入力してください!$K$52,""))</f>
        <v>0</v>
      </c>
      <c r="Y39" s="12">
        <v>10</v>
      </c>
      <c r="Z39" s="367" t="str">
        <f t="shared" si="3"/>
        <v>◎</v>
      </c>
      <c r="AA39" s="388" t="str">
        <f t="shared" si="4"/>
        <v>適切に入力がされました。</v>
      </c>
    </row>
    <row r="40" spans="1:27">
      <c r="A40" s="12">
        <v>11</v>
      </c>
      <c r="B40" s="6"/>
      <c r="C40" s="6"/>
      <c r="D40" s="6"/>
      <c r="E40" s="10"/>
      <c r="F40" s="7"/>
      <c r="G40" s="531"/>
      <c r="H40" s="15">
        <f t="shared" si="0"/>
        <v>0</v>
      </c>
      <c r="I40" s="4">
        <f t="shared" si="1"/>
        <v>0</v>
      </c>
      <c r="J40" s="9"/>
      <c r="K40" s="4">
        <f t="shared" si="2"/>
        <v>0</v>
      </c>
      <c r="L40" s="5" t="str">
        <f>IF(Z40="◎",COUNTIF($Z$30:Z40,"◎"),"")</f>
        <v/>
      </c>
      <c r="W40" s="388" t="str">
        <f>IF(B40="個別病床",はじめに入力してください!$K$50,IF(B40="共通使用",はじめに入力してください!$K$52,""))</f>
        <v/>
      </c>
      <c r="Y40" s="12">
        <v>11</v>
      </c>
      <c r="Z40" s="367" t="str">
        <f t="shared" si="3"/>
        <v>○</v>
      </c>
      <c r="AA40" s="388" t="str">
        <f t="shared" si="4"/>
        <v>整備しない場合は入力不要です。</v>
      </c>
    </row>
    <row r="41" spans="1:27">
      <c r="A41" s="12">
        <v>12</v>
      </c>
      <c r="B41" s="6"/>
      <c r="C41" s="6"/>
      <c r="D41" s="6"/>
      <c r="E41" s="10"/>
      <c r="F41" s="7"/>
      <c r="G41" s="531"/>
      <c r="H41" s="15">
        <f t="shared" si="0"/>
        <v>0</v>
      </c>
      <c r="I41" s="4">
        <f t="shared" si="1"/>
        <v>0</v>
      </c>
      <c r="J41" s="9"/>
      <c r="K41" s="4">
        <f t="shared" si="2"/>
        <v>0</v>
      </c>
      <c r="L41" s="5" t="str">
        <f>IF(Z41="◎",COUNTIF($Z$30:Z41,"◎"),"")</f>
        <v/>
      </c>
      <c r="W41" s="388" t="str">
        <f>IF(B41="個別病床",はじめに入力してください!$K$50,IF(B41="共通使用",はじめに入力してください!$K$52,""))</f>
        <v/>
      </c>
      <c r="Y41" s="12">
        <v>12</v>
      </c>
      <c r="Z41" s="367" t="str">
        <f t="shared" si="3"/>
        <v>○</v>
      </c>
      <c r="AA41" s="388" t="str">
        <f t="shared" si="4"/>
        <v>整備しない場合は入力不要です。</v>
      </c>
    </row>
    <row r="42" spans="1:27">
      <c r="A42" s="12">
        <v>13</v>
      </c>
      <c r="B42" s="6"/>
      <c r="C42" s="6"/>
      <c r="D42" s="6"/>
      <c r="E42" s="10"/>
      <c r="F42" s="7"/>
      <c r="G42" s="531"/>
      <c r="H42" s="15">
        <f t="shared" si="0"/>
        <v>0</v>
      </c>
      <c r="I42" s="4">
        <f t="shared" si="1"/>
        <v>0</v>
      </c>
      <c r="J42" s="9"/>
      <c r="K42" s="4">
        <f t="shared" si="2"/>
        <v>0</v>
      </c>
      <c r="L42" s="5" t="str">
        <f>IF(Z42="◎",COUNTIF($Z$30:Z42,"◎"),"")</f>
        <v/>
      </c>
      <c r="W42" s="388" t="str">
        <f>IF(B42="個別病床",はじめに入力してください!$K$50,IF(B42="共通使用",はじめに入力してください!$K$52,""))</f>
        <v/>
      </c>
      <c r="Y42" s="12">
        <v>13</v>
      </c>
      <c r="Z42" s="367" t="str">
        <f t="shared" si="3"/>
        <v>○</v>
      </c>
      <c r="AA42" s="388" t="str">
        <f t="shared" si="4"/>
        <v>整備しない場合は入力不要です。</v>
      </c>
    </row>
    <row r="43" spans="1:27">
      <c r="A43" s="12">
        <v>14</v>
      </c>
      <c r="B43" s="6"/>
      <c r="C43" s="6"/>
      <c r="D43" s="6"/>
      <c r="E43" s="10"/>
      <c r="F43" s="7"/>
      <c r="G43" s="531"/>
      <c r="H43" s="15">
        <f t="shared" si="0"/>
        <v>0</v>
      </c>
      <c r="I43" s="4">
        <f t="shared" si="1"/>
        <v>0</v>
      </c>
      <c r="J43" s="9"/>
      <c r="K43" s="4">
        <f t="shared" si="2"/>
        <v>0</v>
      </c>
      <c r="L43" s="5" t="str">
        <f>IF(Z43="◎",COUNTIF($Z$30:Z43,"◎"),"")</f>
        <v/>
      </c>
      <c r="W43" s="388" t="str">
        <f>IF(B43="個別病床",はじめに入力してください!$K$50,IF(B43="共通使用",はじめに入力してください!$K$52,""))</f>
        <v/>
      </c>
      <c r="Y43" s="12">
        <v>14</v>
      </c>
      <c r="Z43" s="367" t="str">
        <f t="shared" si="3"/>
        <v>○</v>
      </c>
      <c r="AA43" s="388" t="str">
        <f t="shared" si="4"/>
        <v>整備しない場合は入力不要です。</v>
      </c>
    </row>
    <row r="44" spans="1:27">
      <c r="A44" s="12">
        <v>15</v>
      </c>
      <c r="B44" s="6"/>
      <c r="C44" s="6"/>
      <c r="D44" s="6"/>
      <c r="E44" s="10"/>
      <c r="F44" s="7"/>
      <c r="G44" s="531"/>
      <c r="H44" s="15">
        <f t="shared" si="0"/>
        <v>0</v>
      </c>
      <c r="I44" s="4">
        <f t="shared" si="1"/>
        <v>0</v>
      </c>
      <c r="J44" s="9"/>
      <c r="K44" s="4">
        <f t="shared" si="2"/>
        <v>0</v>
      </c>
      <c r="L44" s="5" t="str">
        <f>IF(Z44="◎",COUNTIF($Z$30:Z44,"◎"),"")</f>
        <v/>
      </c>
      <c r="W44" s="388" t="str">
        <f>IF(B44="個別病床",はじめに入力してください!$K$50,IF(B44="共通使用",はじめに入力してください!$K$52,""))</f>
        <v/>
      </c>
      <c r="Y44" s="12">
        <v>15</v>
      </c>
      <c r="Z44" s="367" t="str">
        <f t="shared" si="3"/>
        <v>○</v>
      </c>
      <c r="AA44" s="388" t="str">
        <f t="shared" si="4"/>
        <v>整備しない場合は入力不要です。</v>
      </c>
    </row>
    <row r="45" spans="1:27">
      <c r="A45" s="12">
        <v>16</v>
      </c>
      <c r="B45" s="6"/>
      <c r="C45" s="6"/>
      <c r="D45" s="6"/>
      <c r="E45" s="10"/>
      <c r="F45" s="7"/>
      <c r="G45" s="531"/>
      <c r="H45" s="15">
        <f t="shared" si="0"/>
        <v>0</v>
      </c>
      <c r="I45" s="4">
        <f t="shared" si="1"/>
        <v>0</v>
      </c>
      <c r="J45" s="9"/>
      <c r="K45" s="4">
        <f t="shared" si="2"/>
        <v>0</v>
      </c>
      <c r="L45" s="5" t="str">
        <f>IF(Z45="◎",COUNTIF($Z$30:Z45,"◎"),"")</f>
        <v/>
      </c>
      <c r="W45" s="388" t="str">
        <f>IF(B45="個別病床",はじめに入力してください!$K$50,IF(B45="共通使用",はじめに入力してください!$K$52,""))</f>
        <v/>
      </c>
      <c r="Y45" s="12">
        <v>16</v>
      </c>
      <c r="Z45" s="367" t="str">
        <f t="shared" si="3"/>
        <v>○</v>
      </c>
      <c r="AA45" s="388" t="str">
        <f t="shared" si="4"/>
        <v>整備しない場合は入力不要です。</v>
      </c>
    </row>
    <row r="46" spans="1:27">
      <c r="A46" s="12">
        <v>17</v>
      </c>
      <c r="B46" s="6"/>
      <c r="C46" s="6"/>
      <c r="D46" s="6"/>
      <c r="E46" s="10"/>
      <c r="F46" s="7"/>
      <c r="G46" s="531"/>
      <c r="H46" s="15">
        <f t="shared" si="0"/>
        <v>0</v>
      </c>
      <c r="I46" s="4">
        <f t="shared" si="1"/>
        <v>0</v>
      </c>
      <c r="J46" s="9"/>
      <c r="K46" s="4">
        <f t="shared" si="2"/>
        <v>0</v>
      </c>
      <c r="L46" s="5" t="str">
        <f>IF(Z46="◎",COUNTIF($Z$30:Z46,"◎"),"")</f>
        <v/>
      </c>
      <c r="W46" s="388" t="str">
        <f>IF(B46="個別病床",はじめに入力してください!$K$50,IF(B46="共通使用",はじめに入力してください!$K$52,""))</f>
        <v/>
      </c>
      <c r="Y46" s="12">
        <v>17</v>
      </c>
      <c r="Z46" s="367" t="str">
        <f t="shared" si="3"/>
        <v>○</v>
      </c>
      <c r="AA46" s="388" t="str">
        <f t="shared" si="4"/>
        <v>整備しない場合は入力不要です。</v>
      </c>
    </row>
    <row r="47" spans="1:27">
      <c r="A47" s="12">
        <v>18</v>
      </c>
      <c r="B47" s="6"/>
      <c r="C47" s="6"/>
      <c r="D47" s="6"/>
      <c r="E47" s="10"/>
      <c r="F47" s="7"/>
      <c r="G47" s="531"/>
      <c r="H47" s="15">
        <f t="shared" si="0"/>
        <v>0</v>
      </c>
      <c r="I47" s="4">
        <f t="shared" si="1"/>
        <v>0</v>
      </c>
      <c r="J47" s="9"/>
      <c r="K47" s="4">
        <f t="shared" si="2"/>
        <v>0</v>
      </c>
      <c r="L47" s="5" t="str">
        <f>IF(Z47="◎",COUNTIF($Z$30:Z47,"◎"),"")</f>
        <v/>
      </c>
      <c r="W47" s="388" t="str">
        <f>IF(B47="個別病床",はじめに入力してください!$K$50,IF(B47="共通使用",はじめに入力してください!$K$52,""))</f>
        <v/>
      </c>
      <c r="Y47" s="12">
        <v>18</v>
      </c>
      <c r="Z47" s="367" t="str">
        <f t="shared" si="3"/>
        <v>○</v>
      </c>
      <c r="AA47" s="388" t="str">
        <f t="shared" si="4"/>
        <v>整備しない場合は入力不要です。</v>
      </c>
    </row>
    <row r="48" spans="1:27">
      <c r="A48" s="12">
        <v>19</v>
      </c>
      <c r="B48" s="6"/>
      <c r="C48" s="6"/>
      <c r="D48" s="6"/>
      <c r="E48" s="10"/>
      <c r="F48" s="7"/>
      <c r="G48" s="531"/>
      <c r="H48" s="15">
        <f t="shared" si="0"/>
        <v>0</v>
      </c>
      <c r="I48" s="4">
        <f t="shared" si="1"/>
        <v>0</v>
      </c>
      <c r="J48" s="9"/>
      <c r="K48" s="4">
        <f t="shared" si="2"/>
        <v>0</v>
      </c>
      <c r="L48" s="5" t="str">
        <f>IF(Z48="◎",COUNTIF($Z$30:Z48,"◎"),"")</f>
        <v/>
      </c>
      <c r="W48" s="388" t="str">
        <f>IF(B48="個別病床",はじめに入力してください!$K$50,IF(B48="共通使用",はじめに入力してください!$K$52,""))</f>
        <v/>
      </c>
      <c r="Y48" s="12">
        <v>19</v>
      </c>
      <c r="Z48" s="367" t="str">
        <f t="shared" si="3"/>
        <v>○</v>
      </c>
      <c r="AA48" s="388" t="str">
        <f t="shared" si="4"/>
        <v>整備しない場合は入力不要です。</v>
      </c>
    </row>
    <row r="49" spans="1:27">
      <c r="A49" s="12">
        <v>20</v>
      </c>
      <c r="B49" s="6"/>
      <c r="C49" s="6"/>
      <c r="D49" s="6"/>
      <c r="E49" s="10"/>
      <c r="F49" s="7"/>
      <c r="G49" s="531"/>
      <c r="H49" s="15">
        <f t="shared" si="0"/>
        <v>0</v>
      </c>
      <c r="I49" s="4">
        <f t="shared" si="1"/>
        <v>0</v>
      </c>
      <c r="J49" s="9"/>
      <c r="K49" s="4">
        <f t="shared" si="2"/>
        <v>0</v>
      </c>
      <c r="L49" s="5" t="str">
        <f>IF(Z49="◎",COUNTIF($Z$30:Z49,"◎"),"")</f>
        <v/>
      </c>
      <c r="W49" s="388" t="str">
        <f>IF(B49="個別病床",はじめに入力してください!$K$50,IF(B49="共通使用",はじめに入力してください!$K$52,""))</f>
        <v/>
      </c>
      <c r="Y49" s="12">
        <v>20</v>
      </c>
      <c r="Z49" s="367" t="str">
        <f t="shared" si="3"/>
        <v>○</v>
      </c>
      <c r="AA49" s="388" t="str">
        <f t="shared" si="4"/>
        <v>整備しない場合は入力不要です。</v>
      </c>
    </row>
    <row r="50" spans="1:27">
      <c r="A50" s="12">
        <v>21</v>
      </c>
      <c r="B50" s="6"/>
      <c r="C50" s="6"/>
      <c r="D50" s="6"/>
      <c r="E50" s="10"/>
      <c r="F50" s="7"/>
      <c r="G50" s="531"/>
      <c r="H50" s="15">
        <f t="shared" si="0"/>
        <v>0</v>
      </c>
      <c r="I50" s="4">
        <f t="shared" si="1"/>
        <v>0</v>
      </c>
      <c r="J50" s="9"/>
      <c r="K50" s="4">
        <f t="shared" si="2"/>
        <v>0</v>
      </c>
      <c r="L50" s="5" t="str">
        <f>IF(Z50="◎",COUNTIF($Z$30:Z50,"◎"),"")</f>
        <v/>
      </c>
      <c r="W50" s="388" t="str">
        <f>IF(B50="個別病床",はじめに入力してください!$K$50,IF(B50="共通使用",はじめに入力してください!$K$52,""))</f>
        <v/>
      </c>
      <c r="Y50" s="12">
        <v>21</v>
      </c>
      <c r="Z50" s="367" t="str">
        <f t="shared" si="3"/>
        <v>○</v>
      </c>
      <c r="AA50" s="388" t="str">
        <f t="shared" si="4"/>
        <v>整備しない場合は入力不要です。</v>
      </c>
    </row>
    <row r="51" spans="1:27">
      <c r="A51" s="12">
        <v>22</v>
      </c>
      <c r="B51" s="6"/>
      <c r="C51" s="6"/>
      <c r="D51" s="6"/>
      <c r="E51" s="10"/>
      <c r="F51" s="7"/>
      <c r="G51" s="531"/>
      <c r="H51" s="15">
        <f t="shared" si="0"/>
        <v>0</v>
      </c>
      <c r="I51" s="4">
        <f t="shared" si="1"/>
        <v>0</v>
      </c>
      <c r="J51" s="9"/>
      <c r="K51" s="4">
        <f t="shared" si="2"/>
        <v>0</v>
      </c>
      <c r="L51" s="5" t="str">
        <f>IF(Z51="◎",COUNTIF($Z$30:Z51,"◎"),"")</f>
        <v/>
      </c>
      <c r="W51" s="388" t="str">
        <f>IF(B51="個別病床",はじめに入力してください!$K$50,IF(B51="共通使用",はじめに入力してください!$K$52,""))</f>
        <v/>
      </c>
      <c r="Y51" s="12">
        <v>22</v>
      </c>
      <c r="Z51" s="367" t="str">
        <f t="shared" si="3"/>
        <v>○</v>
      </c>
      <c r="AA51" s="388" t="str">
        <f t="shared" si="4"/>
        <v>整備しない場合は入力不要です。</v>
      </c>
    </row>
    <row r="52" spans="1:27">
      <c r="A52" s="12">
        <v>23</v>
      </c>
      <c r="B52" s="6"/>
      <c r="C52" s="6"/>
      <c r="D52" s="6"/>
      <c r="E52" s="10"/>
      <c r="F52" s="7"/>
      <c r="G52" s="531"/>
      <c r="H52" s="15">
        <f t="shared" si="0"/>
        <v>0</v>
      </c>
      <c r="I52" s="4">
        <f t="shared" si="1"/>
        <v>0</v>
      </c>
      <c r="J52" s="9"/>
      <c r="K52" s="4">
        <f t="shared" si="2"/>
        <v>0</v>
      </c>
      <c r="L52" s="5" t="str">
        <f>IF(Z52="◎",COUNTIF($Z$30:Z52,"◎"),"")</f>
        <v/>
      </c>
      <c r="W52" s="388" t="str">
        <f>IF(B52="個別病床",はじめに入力してください!$K$50,IF(B52="共通使用",はじめに入力してください!$K$52,""))</f>
        <v/>
      </c>
      <c r="Y52" s="12">
        <v>23</v>
      </c>
      <c r="Z52" s="367" t="str">
        <f t="shared" si="3"/>
        <v>○</v>
      </c>
      <c r="AA52" s="388" t="str">
        <f t="shared" si="4"/>
        <v>整備しない場合は入力不要です。</v>
      </c>
    </row>
    <row r="53" spans="1:27">
      <c r="A53" s="12">
        <v>24</v>
      </c>
      <c r="B53" s="6"/>
      <c r="C53" s="6"/>
      <c r="D53" s="6"/>
      <c r="E53" s="10"/>
      <c r="F53" s="7"/>
      <c r="G53" s="531"/>
      <c r="H53" s="15">
        <f t="shared" si="0"/>
        <v>0</v>
      </c>
      <c r="I53" s="4">
        <f t="shared" si="1"/>
        <v>0</v>
      </c>
      <c r="J53" s="9"/>
      <c r="K53" s="4">
        <f t="shared" si="2"/>
        <v>0</v>
      </c>
      <c r="L53" s="5" t="str">
        <f>IF(Z53="◎",COUNTIF($Z$30:Z53,"◎"),"")</f>
        <v/>
      </c>
      <c r="W53" s="388" t="str">
        <f>IF(B53="個別病床",はじめに入力してください!$K$50,IF(B53="共通使用",はじめに入力してください!$K$52,""))</f>
        <v/>
      </c>
      <c r="Y53" s="12">
        <v>24</v>
      </c>
      <c r="Z53" s="367" t="str">
        <f t="shared" si="3"/>
        <v>○</v>
      </c>
      <c r="AA53" s="388" t="str">
        <f t="shared" si="4"/>
        <v>整備しない場合は入力不要です。</v>
      </c>
    </row>
    <row r="54" spans="1:27">
      <c r="A54" s="12">
        <v>25</v>
      </c>
      <c r="B54" s="6"/>
      <c r="C54" s="6"/>
      <c r="D54" s="6"/>
      <c r="E54" s="10"/>
      <c r="F54" s="7"/>
      <c r="G54" s="531"/>
      <c r="H54" s="15">
        <f t="shared" si="0"/>
        <v>0</v>
      </c>
      <c r="I54" s="4">
        <f t="shared" si="1"/>
        <v>0</v>
      </c>
      <c r="J54" s="9"/>
      <c r="K54" s="4">
        <f t="shared" si="2"/>
        <v>0</v>
      </c>
      <c r="L54" s="5" t="str">
        <f>IF(Z54="◎",COUNTIF($Z$30:Z54,"◎"),"")</f>
        <v/>
      </c>
      <c r="W54" s="388" t="str">
        <f>IF(B54="個別病床",はじめに入力してください!$K$50,IF(B54="共通使用",はじめに入力してください!$K$52,""))</f>
        <v/>
      </c>
      <c r="Y54" s="12">
        <v>25</v>
      </c>
      <c r="Z54" s="367" t="str">
        <f t="shared" si="3"/>
        <v>○</v>
      </c>
      <c r="AA54" s="388" t="str">
        <f t="shared" si="4"/>
        <v>整備しない場合は入力不要です。</v>
      </c>
    </row>
    <row r="55" spans="1:27">
      <c r="A55" s="12">
        <v>26</v>
      </c>
      <c r="B55" s="6"/>
      <c r="C55" s="6"/>
      <c r="D55" s="6"/>
      <c r="E55" s="10"/>
      <c r="F55" s="7"/>
      <c r="G55" s="531"/>
      <c r="H55" s="15">
        <f t="shared" si="0"/>
        <v>0</v>
      </c>
      <c r="I55" s="4">
        <f t="shared" si="1"/>
        <v>0</v>
      </c>
      <c r="J55" s="9"/>
      <c r="K55" s="4">
        <f t="shared" si="2"/>
        <v>0</v>
      </c>
      <c r="L55" s="5" t="str">
        <f>IF(Z55="◎",COUNTIF($Z$30:Z55,"◎"),"")</f>
        <v/>
      </c>
      <c r="W55" s="388" t="str">
        <f>IF(B55="個別病床",はじめに入力してください!$K$50,IF(B55="共通使用",はじめに入力してください!$K$52,""))</f>
        <v/>
      </c>
      <c r="Y55" s="12">
        <v>26</v>
      </c>
      <c r="Z55" s="367" t="str">
        <f t="shared" si="3"/>
        <v>○</v>
      </c>
      <c r="AA55" s="388" t="str">
        <f t="shared" si="4"/>
        <v>整備しない場合は入力不要です。</v>
      </c>
    </row>
    <row r="56" spans="1:27">
      <c r="A56" s="12">
        <v>27</v>
      </c>
      <c r="B56" s="6"/>
      <c r="C56" s="6"/>
      <c r="D56" s="6"/>
      <c r="E56" s="10"/>
      <c r="F56" s="7"/>
      <c r="G56" s="531"/>
      <c r="H56" s="15">
        <f t="shared" si="0"/>
        <v>0</v>
      </c>
      <c r="I56" s="4">
        <f t="shared" si="1"/>
        <v>0</v>
      </c>
      <c r="J56" s="9"/>
      <c r="K56" s="4">
        <f t="shared" si="2"/>
        <v>0</v>
      </c>
      <c r="L56" s="5" t="str">
        <f>IF(Z56="◎",COUNTIF($Z$30:Z56,"◎"),"")</f>
        <v/>
      </c>
      <c r="W56" s="388" t="str">
        <f>IF(B56="個別病床",はじめに入力してください!$K$50,IF(B56="共通使用",はじめに入力してください!$K$52,""))</f>
        <v/>
      </c>
      <c r="Y56" s="12">
        <v>27</v>
      </c>
      <c r="Z56" s="367" t="str">
        <f t="shared" si="3"/>
        <v>○</v>
      </c>
      <c r="AA56" s="388" t="str">
        <f t="shared" si="4"/>
        <v>整備しない場合は入力不要です。</v>
      </c>
    </row>
    <row r="57" spans="1:27">
      <c r="A57" s="12">
        <v>28</v>
      </c>
      <c r="B57" s="6"/>
      <c r="C57" s="6"/>
      <c r="D57" s="6"/>
      <c r="E57" s="10"/>
      <c r="F57" s="7"/>
      <c r="G57" s="531"/>
      <c r="H57" s="15">
        <f t="shared" si="0"/>
        <v>0</v>
      </c>
      <c r="I57" s="4">
        <f t="shared" si="1"/>
        <v>0</v>
      </c>
      <c r="J57" s="9"/>
      <c r="K57" s="4">
        <f t="shared" si="2"/>
        <v>0</v>
      </c>
      <c r="L57" s="5" t="str">
        <f>IF(Z57="◎",COUNTIF($Z$30:Z57,"◎"),"")</f>
        <v/>
      </c>
      <c r="W57" s="388" t="str">
        <f>IF(B57="個別病床",はじめに入力してください!$K$50,IF(B57="共通使用",はじめに入力してください!$K$52,""))</f>
        <v/>
      </c>
      <c r="Y57" s="12">
        <v>28</v>
      </c>
      <c r="Z57" s="367" t="str">
        <f t="shared" si="3"/>
        <v>○</v>
      </c>
      <c r="AA57" s="388" t="str">
        <f t="shared" si="4"/>
        <v>整備しない場合は入力不要です。</v>
      </c>
    </row>
    <row r="58" spans="1:27">
      <c r="A58" s="12">
        <v>29</v>
      </c>
      <c r="B58" s="6"/>
      <c r="C58" s="6"/>
      <c r="D58" s="6"/>
      <c r="E58" s="10"/>
      <c r="F58" s="7"/>
      <c r="G58" s="531"/>
      <c r="H58" s="15">
        <f t="shared" si="0"/>
        <v>0</v>
      </c>
      <c r="I58" s="4">
        <f t="shared" si="1"/>
        <v>0</v>
      </c>
      <c r="J58" s="9"/>
      <c r="K58" s="4">
        <f t="shared" si="2"/>
        <v>0</v>
      </c>
      <c r="L58" s="5" t="str">
        <f>IF(Z58="◎",COUNTIF($Z$30:Z58,"◎"),"")</f>
        <v/>
      </c>
      <c r="W58" s="388" t="str">
        <f>IF(B58="個別病床",はじめに入力してください!$K$50,IF(B58="共通使用",はじめに入力してください!$K$52,""))</f>
        <v/>
      </c>
      <c r="Y58" s="12">
        <v>29</v>
      </c>
      <c r="Z58" s="367" t="str">
        <f t="shared" si="3"/>
        <v>○</v>
      </c>
      <c r="AA58" s="388" t="str">
        <f t="shared" si="4"/>
        <v>整備しない場合は入力不要です。</v>
      </c>
    </row>
    <row r="59" spans="1:27">
      <c r="A59" s="12">
        <v>30</v>
      </c>
      <c r="B59" s="6"/>
      <c r="C59" s="6"/>
      <c r="D59" s="6"/>
      <c r="E59" s="10"/>
      <c r="F59" s="7"/>
      <c r="G59" s="531"/>
      <c r="H59" s="15">
        <f t="shared" si="0"/>
        <v>0</v>
      </c>
      <c r="I59" s="4">
        <f t="shared" si="1"/>
        <v>0</v>
      </c>
      <c r="J59" s="9"/>
      <c r="K59" s="4">
        <f t="shared" si="2"/>
        <v>0</v>
      </c>
      <c r="L59" s="5" t="str">
        <f>IF(Z59="◎",COUNTIF($Z$30:Z59,"◎"),"")</f>
        <v/>
      </c>
      <c r="W59" s="388" t="str">
        <f>IF(B59="個別病床",はじめに入力してください!$K$50,IF(B59="共通使用",はじめに入力してください!$K$52,""))</f>
        <v/>
      </c>
      <c r="Y59" s="12">
        <v>30</v>
      </c>
      <c r="Z59" s="367" t="str">
        <f t="shared" si="3"/>
        <v>○</v>
      </c>
      <c r="AA59" s="388" t="str">
        <f t="shared" si="4"/>
        <v>整備しない場合は入力不要です。</v>
      </c>
    </row>
    <row r="60" spans="1:27">
      <c r="A60" s="12">
        <v>31</v>
      </c>
      <c r="B60" s="6"/>
      <c r="C60" s="6"/>
      <c r="D60" s="6"/>
      <c r="E60" s="10"/>
      <c r="F60" s="7"/>
      <c r="G60" s="531"/>
      <c r="H60" s="15">
        <f t="shared" si="0"/>
        <v>0</v>
      </c>
      <c r="I60" s="4">
        <f t="shared" si="1"/>
        <v>0</v>
      </c>
      <c r="J60" s="9"/>
      <c r="K60" s="4">
        <f t="shared" si="2"/>
        <v>0</v>
      </c>
      <c r="L60" s="5" t="str">
        <f>IF(Z60="◎",COUNTIF($Z$30:Z60,"◎"),"")</f>
        <v/>
      </c>
      <c r="W60" s="388" t="str">
        <f>IF(B60="個別病床",はじめに入力してください!$K$50,IF(B60="共通使用",はじめに入力してください!$K$52,""))</f>
        <v/>
      </c>
      <c r="Y60" s="12">
        <v>31</v>
      </c>
      <c r="Z60" s="367" t="str">
        <f t="shared" si="3"/>
        <v>○</v>
      </c>
      <c r="AA60" s="388" t="str">
        <f t="shared" si="4"/>
        <v>整備しない場合は入力不要です。</v>
      </c>
    </row>
    <row r="61" spans="1:27">
      <c r="A61" s="12">
        <v>32</v>
      </c>
      <c r="B61" s="6"/>
      <c r="C61" s="6"/>
      <c r="D61" s="6"/>
      <c r="E61" s="10"/>
      <c r="F61" s="7"/>
      <c r="G61" s="531"/>
      <c r="H61" s="15">
        <f t="shared" si="0"/>
        <v>0</v>
      </c>
      <c r="I61" s="4">
        <f t="shared" si="1"/>
        <v>0</v>
      </c>
      <c r="J61" s="9"/>
      <c r="K61" s="4">
        <f t="shared" si="2"/>
        <v>0</v>
      </c>
      <c r="L61" s="5" t="str">
        <f>IF(Z61="◎",COUNTIF($Z$30:Z61,"◎"),"")</f>
        <v/>
      </c>
      <c r="W61" s="388" t="str">
        <f>IF(B61="個別病床",はじめに入力してください!$K$50,IF(B61="共通使用",はじめに入力してください!$K$52,""))</f>
        <v/>
      </c>
      <c r="Y61" s="12">
        <v>32</v>
      </c>
      <c r="Z61" s="367" t="str">
        <f t="shared" si="3"/>
        <v>○</v>
      </c>
      <c r="AA61" s="388" t="str">
        <f t="shared" si="4"/>
        <v>整備しない場合は入力不要です。</v>
      </c>
    </row>
    <row r="62" spans="1:27">
      <c r="A62" s="12">
        <v>33</v>
      </c>
      <c r="B62" s="6"/>
      <c r="C62" s="6"/>
      <c r="D62" s="6"/>
      <c r="E62" s="10"/>
      <c r="F62" s="7"/>
      <c r="G62" s="531"/>
      <c r="H62" s="15">
        <f t="shared" si="0"/>
        <v>0</v>
      </c>
      <c r="I62" s="4">
        <f t="shared" si="1"/>
        <v>0</v>
      </c>
      <c r="J62" s="9"/>
      <c r="K62" s="4">
        <f t="shared" si="2"/>
        <v>0</v>
      </c>
      <c r="L62" s="5" t="str">
        <f>IF(Z62="◎",COUNTIF($Z$30:Z62,"◎"),"")</f>
        <v/>
      </c>
      <c r="W62" s="388" t="str">
        <f>IF(B62="個別病床",はじめに入力してください!$K$50,IF(B62="共通使用",はじめに入力してください!$K$52,""))</f>
        <v/>
      </c>
      <c r="Y62" s="12">
        <v>33</v>
      </c>
      <c r="Z62" s="367" t="str">
        <f t="shared" si="3"/>
        <v>○</v>
      </c>
      <c r="AA62" s="388" t="str">
        <f t="shared" si="4"/>
        <v>整備しない場合は入力不要です。</v>
      </c>
    </row>
    <row r="63" spans="1:27">
      <c r="A63" s="12">
        <v>34</v>
      </c>
      <c r="B63" s="6"/>
      <c r="C63" s="6"/>
      <c r="D63" s="6"/>
      <c r="E63" s="10"/>
      <c r="F63" s="7"/>
      <c r="G63" s="531"/>
      <c r="H63" s="15">
        <f t="shared" si="0"/>
        <v>0</v>
      </c>
      <c r="I63" s="4">
        <f t="shared" si="1"/>
        <v>0</v>
      </c>
      <c r="J63" s="9"/>
      <c r="K63" s="4">
        <f t="shared" si="2"/>
        <v>0</v>
      </c>
      <c r="L63" s="5" t="str">
        <f>IF(Z63="◎",COUNTIF($Z$30:Z63,"◎"),"")</f>
        <v/>
      </c>
      <c r="W63" s="388" t="str">
        <f>IF(B63="個別病床",はじめに入力してください!$K$50,IF(B63="共通使用",はじめに入力してください!$K$52,""))</f>
        <v/>
      </c>
      <c r="Y63" s="12">
        <v>34</v>
      </c>
      <c r="Z63" s="367" t="str">
        <f t="shared" si="3"/>
        <v>○</v>
      </c>
      <c r="AA63" s="388" t="str">
        <f t="shared" si="4"/>
        <v>整備しない場合は入力不要です。</v>
      </c>
    </row>
    <row r="64" spans="1:27">
      <c r="A64" s="12">
        <v>35</v>
      </c>
      <c r="B64" s="6"/>
      <c r="C64" s="6"/>
      <c r="D64" s="6"/>
      <c r="E64" s="10"/>
      <c r="F64" s="7"/>
      <c r="G64" s="531"/>
      <c r="H64" s="15">
        <f t="shared" si="0"/>
        <v>0</v>
      </c>
      <c r="I64" s="4">
        <f t="shared" si="1"/>
        <v>0</v>
      </c>
      <c r="J64" s="9"/>
      <c r="K64" s="4">
        <f t="shared" si="2"/>
        <v>0</v>
      </c>
      <c r="L64" s="5" t="str">
        <f>IF(Z64="◎",COUNTIF($Z$30:Z64,"◎"),"")</f>
        <v/>
      </c>
      <c r="W64" s="388" t="str">
        <f>IF(B64="個別病床",はじめに入力してください!$K$50,IF(B64="共通使用",はじめに入力してください!$K$52,""))</f>
        <v/>
      </c>
      <c r="Y64" s="12">
        <v>35</v>
      </c>
      <c r="Z64" s="367" t="str">
        <f t="shared" si="3"/>
        <v>○</v>
      </c>
      <c r="AA64" s="388" t="str">
        <f t="shared" si="4"/>
        <v>整備しない場合は入力不要です。</v>
      </c>
    </row>
    <row r="65" spans="1:27">
      <c r="A65" s="12">
        <v>36</v>
      </c>
      <c r="B65" s="6"/>
      <c r="C65" s="6"/>
      <c r="D65" s="6"/>
      <c r="E65" s="10"/>
      <c r="F65" s="7"/>
      <c r="G65" s="531"/>
      <c r="H65" s="15">
        <f t="shared" si="0"/>
        <v>0</v>
      </c>
      <c r="I65" s="4">
        <f t="shared" si="1"/>
        <v>0</v>
      </c>
      <c r="J65" s="9"/>
      <c r="K65" s="4">
        <f t="shared" si="2"/>
        <v>0</v>
      </c>
      <c r="L65" s="5" t="str">
        <f>IF(Z65="◎",COUNTIF($Z$30:Z65,"◎"),"")</f>
        <v/>
      </c>
      <c r="W65" s="388" t="str">
        <f>IF(B65="個別病床",はじめに入力してください!$K$50,IF(B65="共通使用",はじめに入力してください!$K$52,""))</f>
        <v/>
      </c>
      <c r="Y65" s="12">
        <v>36</v>
      </c>
      <c r="Z65" s="367" t="str">
        <f t="shared" si="3"/>
        <v>○</v>
      </c>
      <c r="AA65" s="388" t="str">
        <f t="shared" si="4"/>
        <v>整備しない場合は入力不要です。</v>
      </c>
    </row>
    <row r="66" spans="1:27">
      <c r="A66" s="12">
        <v>37</v>
      </c>
      <c r="B66" s="6"/>
      <c r="C66" s="6"/>
      <c r="D66" s="6"/>
      <c r="E66" s="10"/>
      <c r="F66" s="7"/>
      <c r="G66" s="531"/>
      <c r="H66" s="15">
        <f t="shared" si="0"/>
        <v>0</v>
      </c>
      <c r="I66" s="4">
        <f t="shared" si="1"/>
        <v>0</v>
      </c>
      <c r="J66" s="9"/>
      <c r="K66" s="4">
        <f t="shared" si="2"/>
        <v>0</v>
      </c>
      <c r="L66" s="5" t="str">
        <f>IF(Z66="◎",COUNTIF($Z$30:Z66,"◎"),"")</f>
        <v/>
      </c>
      <c r="W66" s="388" t="str">
        <f>IF(B66="個別病床",はじめに入力してください!$K$50,IF(B66="共通使用",はじめに入力してください!$K$52,""))</f>
        <v/>
      </c>
      <c r="Y66" s="12">
        <v>37</v>
      </c>
      <c r="Z66" s="367" t="str">
        <f t="shared" si="3"/>
        <v>○</v>
      </c>
      <c r="AA66" s="388" t="str">
        <f t="shared" si="4"/>
        <v>整備しない場合は入力不要です。</v>
      </c>
    </row>
    <row r="67" spans="1:27">
      <c r="A67" s="12">
        <v>38</v>
      </c>
      <c r="B67" s="6"/>
      <c r="C67" s="6"/>
      <c r="D67" s="6"/>
      <c r="E67" s="10"/>
      <c r="F67" s="7"/>
      <c r="G67" s="531"/>
      <c r="H67" s="15">
        <f t="shared" si="0"/>
        <v>0</v>
      </c>
      <c r="I67" s="4">
        <f t="shared" si="1"/>
        <v>0</v>
      </c>
      <c r="J67" s="9"/>
      <c r="K67" s="4">
        <f t="shared" si="2"/>
        <v>0</v>
      </c>
      <c r="L67" s="5" t="str">
        <f>IF(Z67="◎",COUNTIF($Z$30:Z67,"◎"),"")</f>
        <v/>
      </c>
      <c r="W67" s="388" t="str">
        <f>IF(B67="個別病床",はじめに入力してください!$K$50,IF(B67="共通使用",はじめに入力してください!$K$52,""))</f>
        <v/>
      </c>
      <c r="Y67" s="12">
        <v>38</v>
      </c>
      <c r="Z67" s="367" t="str">
        <f t="shared" si="3"/>
        <v>○</v>
      </c>
      <c r="AA67" s="388" t="str">
        <f t="shared" si="4"/>
        <v>整備しない場合は入力不要です。</v>
      </c>
    </row>
    <row r="68" spans="1:27">
      <c r="A68" s="12">
        <v>39</v>
      </c>
      <c r="B68" s="6"/>
      <c r="C68" s="6"/>
      <c r="D68" s="6"/>
      <c r="E68" s="10"/>
      <c r="F68" s="7"/>
      <c r="G68" s="531"/>
      <c r="H68" s="15">
        <f t="shared" si="0"/>
        <v>0</v>
      </c>
      <c r="I68" s="4">
        <f t="shared" si="1"/>
        <v>0</v>
      </c>
      <c r="J68" s="9"/>
      <c r="K68" s="4">
        <f t="shared" si="2"/>
        <v>0</v>
      </c>
      <c r="L68" s="5" t="str">
        <f>IF(Z68="◎",COUNTIF($Z$30:Z68,"◎"),"")</f>
        <v/>
      </c>
      <c r="W68" s="388" t="str">
        <f>IF(B68="個別病床",はじめに入力してください!$K$50,IF(B68="共通使用",はじめに入力してください!$K$52,""))</f>
        <v/>
      </c>
      <c r="Y68" s="12">
        <v>39</v>
      </c>
      <c r="Z68" s="367" t="str">
        <f t="shared" si="3"/>
        <v>○</v>
      </c>
      <c r="AA68" s="388" t="str">
        <f t="shared" si="4"/>
        <v>整備しない場合は入力不要です。</v>
      </c>
    </row>
    <row r="69" spans="1:27">
      <c r="A69" s="12">
        <v>40</v>
      </c>
      <c r="B69" s="6"/>
      <c r="C69" s="6"/>
      <c r="D69" s="6"/>
      <c r="E69" s="10"/>
      <c r="F69" s="7"/>
      <c r="G69" s="531"/>
      <c r="H69" s="15">
        <f t="shared" si="0"/>
        <v>0</v>
      </c>
      <c r="I69" s="4">
        <f t="shared" si="1"/>
        <v>0</v>
      </c>
      <c r="J69" s="9"/>
      <c r="K69" s="4">
        <f t="shared" si="2"/>
        <v>0</v>
      </c>
      <c r="L69" s="5" t="str">
        <f>IF(Z69="◎",COUNTIF($Z$30:Z69,"◎"),"")</f>
        <v/>
      </c>
      <c r="W69" s="388" t="str">
        <f>IF(B69="個別病床",はじめに入力してください!$K$50,IF(B69="共通使用",はじめに入力してください!$K$52,""))</f>
        <v/>
      </c>
      <c r="Y69" s="12">
        <v>40</v>
      </c>
      <c r="Z69" s="367" t="str">
        <f t="shared" si="3"/>
        <v>○</v>
      </c>
      <c r="AA69" s="388" t="str">
        <f t="shared" si="4"/>
        <v>整備しない場合は入力不要です。</v>
      </c>
    </row>
    <row r="70" spans="1:27">
      <c r="A70" s="12">
        <v>41</v>
      </c>
      <c r="B70" s="6"/>
      <c r="C70" s="6"/>
      <c r="D70" s="6"/>
      <c r="E70" s="10"/>
      <c r="F70" s="7"/>
      <c r="G70" s="531"/>
      <c r="H70" s="15">
        <f t="shared" si="0"/>
        <v>0</v>
      </c>
      <c r="I70" s="4">
        <f t="shared" si="1"/>
        <v>0</v>
      </c>
      <c r="J70" s="9"/>
      <c r="K70" s="4">
        <f t="shared" si="2"/>
        <v>0</v>
      </c>
      <c r="L70" s="5" t="str">
        <f>IF(Z70="◎",COUNTIF($Z$30:Z70,"◎"),"")</f>
        <v/>
      </c>
      <c r="W70" s="388" t="str">
        <f>IF(B70="個別病床",はじめに入力してください!$K$50,IF(B70="共通使用",はじめに入力してください!$K$52,""))</f>
        <v/>
      </c>
      <c r="Y70" s="12">
        <v>41</v>
      </c>
      <c r="Z70" s="367" t="str">
        <f t="shared" si="3"/>
        <v>○</v>
      </c>
      <c r="AA70" s="388" t="str">
        <f t="shared" si="4"/>
        <v>整備しない場合は入力不要です。</v>
      </c>
    </row>
    <row r="71" spans="1:27">
      <c r="A71" s="12">
        <v>42</v>
      </c>
      <c r="B71" s="6"/>
      <c r="C71" s="6"/>
      <c r="D71" s="6"/>
      <c r="E71" s="10"/>
      <c r="F71" s="7"/>
      <c r="G71" s="531"/>
      <c r="H71" s="15">
        <f t="shared" si="0"/>
        <v>0</v>
      </c>
      <c r="I71" s="4">
        <f t="shared" si="1"/>
        <v>0</v>
      </c>
      <c r="J71" s="9"/>
      <c r="K71" s="4">
        <f t="shared" si="2"/>
        <v>0</v>
      </c>
      <c r="L71" s="5" t="str">
        <f>IF(Z71="◎",COUNTIF($Z$30:Z71,"◎"),"")</f>
        <v/>
      </c>
      <c r="W71" s="388" t="str">
        <f>IF(B71="個別病床",はじめに入力してください!$K$50,IF(B71="共通使用",はじめに入力してください!$K$52,""))</f>
        <v/>
      </c>
      <c r="Y71" s="12">
        <v>42</v>
      </c>
      <c r="Z71" s="367" t="str">
        <f t="shared" si="3"/>
        <v>○</v>
      </c>
      <c r="AA71" s="388" t="str">
        <f t="shared" si="4"/>
        <v>整備しない場合は入力不要です。</v>
      </c>
    </row>
    <row r="72" spans="1:27">
      <c r="A72" s="12">
        <v>43</v>
      </c>
      <c r="B72" s="6"/>
      <c r="C72" s="6"/>
      <c r="D72" s="6"/>
      <c r="E72" s="10"/>
      <c r="F72" s="7"/>
      <c r="G72" s="531"/>
      <c r="H72" s="15">
        <f t="shared" si="0"/>
        <v>0</v>
      </c>
      <c r="I72" s="4">
        <f t="shared" si="1"/>
        <v>0</v>
      </c>
      <c r="J72" s="9"/>
      <c r="K72" s="4">
        <f t="shared" si="2"/>
        <v>0</v>
      </c>
      <c r="L72" s="5" t="str">
        <f>IF(Z72="◎",COUNTIF($Z$30:Z72,"◎"),"")</f>
        <v/>
      </c>
      <c r="W72" s="388" t="str">
        <f>IF(B72="個別病床",はじめに入力してください!$K$50,IF(B72="共通使用",はじめに入力してください!$K$52,""))</f>
        <v/>
      </c>
      <c r="Y72" s="12">
        <v>43</v>
      </c>
      <c r="Z72" s="367" t="str">
        <f t="shared" si="3"/>
        <v>○</v>
      </c>
      <c r="AA72" s="388" t="str">
        <f t="shared" si="4"/>
        <v>整備しない場合は入力不要です。</v>
      </c>
    </row>
    <row r="73" spans="1:27">
      <c r="A73" s="12">
        <v>44</v>
      </c>
      <c r="B73" s="6"/>
      <c r="C73" s="6"/>
      <c r="D73" s="6"/>
      <c r="E73" s="10"/>
      <c r="F73" s="7"/>
      <c r="G73" s="531"/>
      <c r="H73" s="15">
        <f t="shared" si="0"/>
        <v>0</v>
      </c>
      <c r="I73" s="4">
        <f t="shared" si="1"/>
        <v>0</v>
      </c>
      <c r="J73" s="9"/>
      <c r="K73" s="4">
        <f t="shared" si="2"/>
        <v>0</v>
      </c>
      <c r="L73" s="5" t="str">
        <f>IF(Z73="◎",COUNTIF($Z$30:Z73,"◎"),"")</f>
        <v/>
      </c>
      <c r="W73" s="388" t="str">
        <f>IF(B73="個別病床",はじめに入力してください!$K$50,IF(B73="共通使用",はじめに入力してください!$K$52,""))</f>
        <v/>
      </c>
      <c r="Y73" s="12">
        <v>44</v>
      </c>
      <c r="Z73" s="367" t="str">
        <f t="shared" si="3"/>
        <v>○</v>
      </c>
      <c r="AA73" s="388" t="str">
        <f t="shared" si="4"/>
        <v>整備しない場合は入力不要です。</v>
      </c>
    </row>
    <row r="74" spans="1:27">
      <c r="A74" s="12">
        <v>45</v>
      </c>
      <c r="B74" s="6"/>
      <c r="C74" s="6"/>
      <c r="D74" s="6"/>
      <c r="E74" s="10"/>
      <c r="F74" s="7"/>
      <c r="G74" s="531"/>
      <c r="H74" s="15">
        <f t="shared" si="0"/>
        <v>0</v>
      </c>
      <c r="I74" s="4">
        <f t="shared" si="1"/>
        <v>0</v>
      </c>
      <c r="J74" s="9"/>
      <c r="K74" s="4">
        <f t="shared" si="2"/>
        <v>0</v>
      </c>
      <c r="L74" s="5" t="str">
        <f>IF(Z74="◎",COUNTIF($Z$30:Z74,"◎"),"")</f>
        <v/>
      </c>
      <c r="W74" s="388" t="str">
        <f>IF(B74="個別病床",はじめに入力してください!$K$50,IF(B74="共通使用",はじめに入力してください!$K$52,""))</f>
        <v/>
      </c>
      <c r="Y74" s="12">
        <v>45</v>
      </c>
      <c r="Z74" s="367" t="str">
        <f t="shared" si="3"/>
        <v>○</v>
      </c>
      <c r="AA74" s="388" t="str">
        <f t="shared" si="4"/>
        <v>整備しない場合は入力不要です。</v>
      </c>
    </row>
  </sheetData>
  <mergeCells count="23">
    <mergeCell ref="K1:M1"/>
    <mergeCell ref="B22:L22"/>
    <mergeCell ref="B2:D3"/>
    <mergeCell ref="Z3:Z5"/>
    <mergeCell ref="AA3:AA5"/>
    <mergeCell ref="Z7:Z8"/>
    <mergeCell ref="AA7:AA8"/>
    <mergeCell ref="B10:L10"/>
    <mergeCell ref="B13:L13"/>
    <mergeCell ref="B14:L14"/>
    <mergeCell ref="B15:L15"/>
    <mergeCell ref="B18:L21"/>
    <mergeCell ref="B7:L7"/>
    <mergeCell ref="B9:C9"/>
    <mergeCell ref="B12:L12"/>
    <mergeCell ref="B26:L26"/>
    <mergeCell ref="Z27:Z28"/>
    <mergeCell ref="AA27:AA28"/>
    <mergeCell ref="B28:D28"/>
    <mergeCell ref="E28:F28"/>
    <mergeCell ref="G28:J28"/>
    <mergeCell ref="K28:K29"/>
    <mergeCell ref="L28:L29"/>
  </mergeCells>
  <phoneticPr fontId="9"/>
  <conditionalFormatting sqref="Z29:Z1048576 Z1:Z2 Z11:Z21 Z6 Z23:Z27">
    <cfRule type="containsText" dxfId="37" priority="8" operator="containsText" text="×">
      <formula>NOT(ISERROR(SEARCH("×",Z1)))</formula>
    </cfRule>
  </conditionalFormatting>
  <conditionalFormatting sqref="AA1:AA2 AA11:AA21 AA29:AA1048576 AA6 AA23:AA27">
    <cfRule type="containsText" dxfId="36" priority="7" operator="containsText" text="要修正">
      <formula>NOT(ISERROR(SEARCH("要修正",AA1)))</formula>
    </cfRule>
  </conditionalFormatting>
  <conditionalFormatting sqref="Z22">
    <cfRule type="containsText" dxfId="35" priority="6" operator="containsText" text="×">
      <formula>NOT(ISERROR(SEARCH("×",Z22)))</formula>
    </cfRule>
  </conditionalFormatting>
  <conditionalFormatting sqref="AA22">
    <cfRule type="containsText" dxfId="34" priority="5" operator="containsText" text="要修正">
      <formula>NOT(ISERROR(SEARCH("要修正",AA22)))</formula>
    </cfRule>
  </conditionalFormatting>
  <conditionalFormatting sqref="Z9:Z10 Z7">
    <cfRule type="containsText" dxfId="33" priority="4" operator="containsText" text="×">
      <formula>NOT(ISERROR(SEARCH("×",Z7)))</formula>
    </cfRule>
  </conditionalFormatting>
  <conditionalFormatting sqref="AA9:AA10 AA7">
    <cfRule type="containsText" dxfId="32" priority="3" operator="containsText" text="要修正">
      <formula>NOT(ISERROR(SEARCH("要修正",AA7)))</formula>
    </cfRule>
  </conditionalFormatting>
  <conditionalFormatting sqref="Z3:Z4">
    <cfRule type="containsText" dxfId="31" priority="2" operator="containsText" text="×">
      <formula>NOT(ISERROR(SEARCH("×",Z3)))</formula>
    </cfRule>
  </conditionalFormatting>
  <conditionalFormatting sqref="AA3:AA4">
    <cfRule type="containsText" dxfId="30" priority="1" operator="containsText" text="要修正">
      <formula>NOT(ISERROR(SEARCH("要修正",AA3)))</formula>
    </cfRule>
  </conditionalFormatting>
  <dataValidations count="10">
    <dataValidation type="list" allowBlank="1" showInputMessage="1" showErrorMessage="1" promptTitle="補助対象の該当非該当" prompt="コロナ対応病床の初度設備に係る経費が対象となります。_x000a_共用部分の設備、備品や医療用消耗品等は補助対象外なので「対象外」を選択してください。_x000a_審査において確認、対象外と認めたものについては対象外として補正をお願いする場合があります。" sqref="J30:J74" xr:uid="{0F299383-769A-442F-BCC9-B86C54A607FE}">
      <formula1>"補助対象,補助対象外"</formula1>
    </dataValidation>
    <dataValidation allowBlank="1" showInputMessage="1" showErrorMessage="1" promptTitle="金額の表示" prompt="数式が入力されているため、自動計算されます。" sqref="K30:K74 I30:I74" xr:uid="{72D69702-C1A2-450F-8841-9ED40F9BCFAC}"/>
    <dataValidation allowBlank="1" showInputMessage="1" showErrorMessage="1" promptTitle="添付書類番号" prompt="種類、規格、数量、単価が全て適切に入力され、右の「判定」が「◎」と表示されると自動で番号が表示されます。" sqref="L30:L74" xr:uid="{6170A825-70DF-46A9-89A0-E0E64A238534}"/>
    <dataValidation allowBlank="1" showInputMessage="1" showErrorMessage="1" promptTitle="単価の入力" prompt="税抜額または税込額のいずれかを入力してください。_x000a_入力しない方は「0」は入力せず、空欄としてください。" sqref="H30:H74" xr:uid="{0081B7E4-1E24-40A1-80A8-5894EDB1910F}"/>
    <dataValidation allowBlank="1" showInputMessage="1" showErrorMessage="1" promptTitle="規格及び数量の入力" prompt="補助対象経費を計上する際、いずれも入力してください。" sqref="E30:E74" xr:uid="{A55C3BA1-3178-454F-8DDA-E952A08AD353}"/>
    <dataValidation allowBlank="1" showInputMessage="1" showErrorMessage="1" promptTitle="補助対象金額" prompt="補助対象額×（見積書金額-割引額）/見積書金額_x000a_で算出されます。" sqref="J3" xr:uid="{00000000-0002-0000-1800-000005000000}"/>
    <dataValidation allowBlank="1" showInputMessage="1" showErrorMessage="1" promptTitle="割引額がある場合は入力" prompt="割引がない場合は「0円」のままとしてください。" sqref="I3" xr:uid="{00000000-0002-0000-1800-000006000000}"/>
    <dataValidation type="list" allowBlank="1" showInputMessage="1" showErrorMessage="1" promptTitle="設備、備品、その他の別を選択" prompt="当該行に記載する品目が_x000a_・「設備」（設備本体）_x000a_・備品（本体設備と別の構成をなすもの）_x000a_・その他（上記の該当しないもの）_x000a_の別をプルダウンから選択してください。" sqref="D30:D74" xr:uid="{4F6499FC-D378-4C9D-BA55-16E6BAA1DCFE}">
      <formula1>"設備,備品,その他"</formula1>
    </dataValidation>
    <dataValidation type="decimal" operator="greaterThanOrEqual" allowBlank="1" showInputMessage="1" showErrorMessage="1" promptTitle="単価の入力" prompt="税抜額または税込額のいずれかを入力してください。_x000a_入力しない方は「0」は入力せず、空欄としてください。" sqref="G30:G74" xr:uid="{751242D6-CB3B-4BB7-9B9D-5EC2DE08AD79}">
      <formula1>0</formula1>
    </dataValidation>
    <dataValidation type="whole" operator="greaterThanOrEqual" allowBlank="1" showInputMessage="1" showErrorMessage="1" errorTitle="数値のみを入力してください。" error="「個」、「枚」等の単位入力は不要です。" promptTitle="規格及び数量の入力" prompt="補助対象経費を計上する際、いずれも入力してください。" sqref="F30:F74" xr:uid="{116710CB-C5F7-4071-BDE6-70FB42B05AF5}">
      <formula1>0</formula1>
    </dataValidation>
  </dataValidations>
  <pageMargins left="0.7" right="0.7" top="0.75" bottom="0.75" header="0.3" footer="0.3"/>
  <pageSetup paperSize="9" scale="55"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promptTitle="配備先の別を選択" prompt="確保病床の共通使用のものか、個別のベッドに配備するものか選択してください。" xr:uid="{53A84808-325D-4B27-9F5D-DBF82349414B}">
          <x14:formula1>
            <xm:f>テーブル!$X$48:$X$49</xm:f>
          </x14:formula1>
          <xm:sqref>B30:B74</xm:sqref>
        </x14:dataValidation>
        <x14:dataValidation type="list" allowBlank="1" showInputMessage="1" showErrorMessage="1" promptTitle="「用途先」病床の選択（左の「病床」を選択しないと表示されません。" prompt="ベッドに必ずしも紐付けるものではありませんが、１病床１台で紐付けした場合、整備する病床に番号付けをした場合の番号を選択してください。" xr:uid="{4D8C5B2B-E002-4166-962A-294BDD904ED5}">
          <x14:formula1>
            <xm:f>OFFSET(テーブル!$X$48, 0, MATCH(B30,テーブル!$Y$47:$Z$47,0), COUNTA(OFFSET(テーブル!$X$48,0,MATCH(B30,テーブル!$Y$47:$Z$47,0),$W$30,1)),1)</xm:f>
          </x14:formula1>
          <xm:sqref>C30:C74</xm:sqref>
        </x14:dataValidation>
        <x14:dataValidation type="list" allowBlank="1" showInputMessage="1" showErrorMessage="1" xr:uid="{00000000-0002-0000-1800-000008000000}">
          <x14:formula1>
            <xm:f>テーブル!$M$37:$M$51</xm:f>
          </x14:formula1>
          <xm:sqref>B2:D2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dimension ref="B2:AG322"/>
  <sheetViews>
    <sheetView workbookViewId="0"/>
  </sheetViews>
  <sheetFormatPr defaultColWidth="9" defaultRowHeight="9.75"/>
  <cols>
    <col min="1" max="1" width="9" style="20"/>
    <col min="2" max="2" width="9" style="62"/>
    <col min="3" max="16384" width="9" style="20"/>
  </cols>
  <sheetData>
    <row r="2" spans="2:10">
      <c r="B2" s="64"/>
      <c r="C2" s="66" t="s">
        <v>974</v>
      </c>
      <c r="D2" s="104" t="s">
        <v>981</v>
      </c>
      <c r="E2" s="66" t="s">
        <v>975</v>
      </c>
      <c r="F2" s="66" t="s">
        <v>976</v>
      </c>
      <c r="G2" s="66" t="s">
        <v>977</v>
      </c>
      <c r="H2" s="104" t="s">
        <v>978</v>
      </c>
      <c r="I2" s="104" t="s">
        <v>979</v>
      </c>
      <c r="J2" s="66" t="s">
        <v>980</v>
      </c>
    </row>
    <row r="3" spans="2:10">
      <c r="B3" s="102" t="s">
        <v>99</v>
      </c>
      <c r="C3" s="101">
        <f>初度設備!J3</f>
        <v>0</v>
      </c>
      <c r="D3" s="103" t="s">
        <v>982</v>
      </c>
      <c r="E3" s="103" t="s">
        <v>982</v>
      </c>
      <c r="F3" s="103" t="s">
        <v>982</v>
      </c>
      <c r="G3" s="103" t="s">
        <v>982</v>
      </c>
      <c r="H3" s="101">
        <f>D20</f>
        <v>0</v>
      </c>
      <c r="I3" s="65"/>
      <c r="J3" s="65"/>
    </row>
    <row r="4" spans="2:10">
      <c r="B4" s="102" t="s">
        <v>103</v>
      </c>
      <c r="C4" s="101">
        <f>人工呼吸器!J3</f>
        <v>0</v>
      </c>
      <c r="D4" s="103" t="s">
        <v>982</v>
      </c>
      <c r="E4" s="103" t="s">
        <v>982</v>
      </c>
      <c r="F4" s="103" t="s">
        <v>982</v>
      </c>
      <c r="G4" s="103" t="s">
        <v>982</v>
      </c>
      <c r="H4" s="101">
        <f>F20</f>
        <v>0</v>
      </c>
      <c r="I4" s="65"/>
      <c r="J4" s="65"/>
    </row>
    <row r="5" spans="2:10">
      <c r="B5" s="102" t="s">
        <v>107</v>
      </c>
      <c r="C5" s="101" t="e">
        <f>#REF!</f>
        <v>#REF!</v>
      </c>
      <c r="D5" s="103" t="s">
        <v>982</v>
      </c>
      <c r="E5" s="103" t="s">
        <v>982</v>
      </c>
      <c r="F5" s="103" t="s">
        <v>982</v>
      </c>
      <c r="G5" s="103" t="s">
        <v>982</v>
      </c>
      <c r="H5" s="101" t="s">
        <v>982</v>
      </c>
      <c r="I5" s="65"/>
      <c r="J5" s="65"/>
    </row>
    <row r="6" spans="2:10">
      <c r="B6" s="102" t="s">
        <v>528</v>
      </c>
      <c r="C6" s="101">
        <f>簡易陰圧装置!J3</f>
        <v>0</v>
      </c>
      <c r="D6" s="103" t="s">
        <v>982</v>
      </c>
      <c r="E6" s="103" t="s">
        <v>982</v>
      </c>
      <c r="F6" s="103" t="s">
        <v>982</v>
      </c>
      <c r="G6" s="103" t="s">
        <v>982</v>
      </c>
      <c r="H6" s="101">
        <f>J20</f>
        <v>0</v>
      </c>
      <c r="I6" s="65"/>
      <c r="J6" s="65"/>
    </row>
    <row r="7" spans="2:10">
      <c r="B7" s="102" t="s">
        <v>530</v>
      </c>
      <c r="C7" s="101" t="e">
        <f>#REF!</f>
        <v>#REF!</v>
      </c>
      <c r="D7" s="103" t="s">
        <v>982</v>
      </c>
      <c r="E7" s="103" t="s">
        <v>982</v>
      </c>
      <c r="F7" s="103" t="s">
        <v>982</v>
      </c>
      <c r="G7" s="103" t="s">
        <v>982</v>
      </c>
      <c r="H7" s="101">
        <f>L20</f>
        <v>0</v>
      </c>
      <c r="I7" s="65"/>
      <c r="J7" s="65"/>
    </row>
    <row r="8" spans="2:10">
      <c r="B8" s="102" t="s">
        <v>507</v>
      </c>
      <c r="C8" s="101">
        <f>体外式膜型人工肺!J3</f>
        <v>0</v>
      </c>
      <c r="D8" s="103" t="s">
        <v>982</v>
      </c>
      <c r="E8" s="103" t="s">
        <v>982</v>
      </c>
      <c r="F8" s="103" t="s">
        <v>982</v>
      </c>
      <c r="G8" s="103" t="s">
        <v>982</v>
      </c>
      <c r="H8" s="101">
        <f>N20</f>
        <v>0</v>
      </c>
      <c r="I8" s="65"/>
      <c r="J8" s="65"/>
    </row>
    <row r="9" spans="2:10">
      <c r="B9" s="102" t="s">
        <v>110</v>
      </c>
      <c r="C9" s="101">
        <f>簡易病室!J3</f>
        <v>0</v>
      </c>
      <c r="D9" s="103" t="s">
        <v>982</v>
      </c>
      <c r="E9" s="103" t="s">
        <v>982</v>
      </c>
      <c r="F9" s="103" t="s">
        <v>982</v>
      </c>
      <c r="G9" s="103" t="s">
        <v>982</v>
      </c>
      <c r="H9" s="101" t="s">
        <v>982</v>
      </c>
      <c r="I9" s="65"/>
      <c r="J9" s="65"/>
    </row>
    <row r="10" spans="2:10">
      <c r="B10" s="102" t="s">
        <v>511</v>
      </c>
      <c r="C10" s="101">
        <f>紫外線照射装置!J3</f>
        <v>0</v>
      </c>
      <c r="D10" s="103" t="s">
        <v>982</v>
      </c>
      <c r="E10" s="103" t="s">
        <v>982</v>
      </c>
      <c r="F10" s="103" t="s">
        <v>982</v>
      </c>
      <c r="G10" s="103" t="s">
        <v>982</v>
      </c>
      <c r="H10" s="101">
        <f>R20</f>
        <v>0</v>
      </c>
      <c r="I10" s="65"/>
      <c r="J10" s="65"/>
    </row>
    <row r="11" spans="2:10">
      <c r="B11" s="102" t="s">
        <v>113</v>
      </c>
      <c r="C11" s="101">
        <f>超音波画像診断装置!J3</f>
        <v>30800000</v>
      </c>
      <c r="D11" s="103" t="s">
        <v>982</v>
      </c>
      <c r="E11" s="103" t="s">
        <v>982</v>
      </c>
      <c r="F11" s="103" t="s">
        <v>982</v>
      </c>
      <c r="G11" s="103" t="s">
        <v>982</v>
      </c>
      <c r="H11" s="101">
        <f>U20</f>
        <v>22000000</v>
      </c>
      <c r="I11" s="65"/>
      <c r="J11" s="65"/>
    </row>
    <row r="12" spans="2:10">
      <c r="B12" s="102" t="s">
        <v>116</v>
      </c>
      <c r="C12" s="101">
        <f>血液浄化装置!J3</f>
        <v>35200000</v>
      </c>
      <c r="D12" s="103" t="s">
        <v>982</v>
      </c>
      <c r="E12" s="103" t="s">
        <v>982</v>
      </c>
      <c r="F12" s="103" t="s">
        <v>982</v>
      </c>
      <c r="G12" s="103" t="s">
        <v>982</v>
      </c>
      <c r="H12" s="101">
        <f>W20</f>
        <v>13200000</v>
      </c>
      <c r="I12" s="65"/>
      <c r="J12" s="65"/>
    </row>
    <row r="13" spans="2:10">
      <c r="B13" s="102" t="s">
        <v>119</v>
      </c>
      <c r="C13" s="101">
        <f>気管支鏡!J3</f>
        <v>39600000</v>
      </c>
      <c r="D13" s="103" t="s">
        <v>982</v>
      </c>
      <c r="E13" s="103" t="s">
        <v>982</v>
      </c>
      <c r="F13" s="103" t="s">
        <v>982</v>
      </c>
      <c r="G13" s="103" t="s">
        <v>982</v>
      </c>
      <c r="H13" s="101">
        <f>Y20</f>
        <v>11000000</v>
      </c>
      <c r="I13" s="65"/>
      <c r="J13" s="65"/>
    </row>
    <row r="14" spans="2:10">
      <c r="B14" s="102" t="s">
        <v>532</v>
      </c>
      <c r="C14" s="101">
        <f>CT撮影装置!J3</f>
        <v>12124200000</v>
      </c>
      <c r="D14" s="103" t="s">
        <v>982</v>
      </c>
      <c r="E14" s="103" t="s">
        <v>982</v>
      </c>
      <c r="F14" s="103" t="s">
        <v>982</v>
      </c>
      <c r="G14" s="103" t="s">
        <v>982</v>
      </c>
      <c r="H14" s="101">
        <f>AA20</f>
        <v>90200000</v>
      </c>
      <c r="I14" s="65"/>
      <c r="J14" s="65"/>
    </row>
    <row r="15" spans="2:10">
      <c r="B15" s="102" t="s">
        <v>516</v>
      </c>
      <c r="C15" s="101">
        <f>生体情報モニタ!J3</f>
        <v>39600000</v>
      </c>
      <c r="D15" s="103" t="s">
        <v>982</v>
      </c>
      <c r="E15" s="103" t="s">
        <v>982</v>
      </c>
      <c r="F15" s="103" t="s">
        <v>982</v>
      </c>
      <c r="G15" s="103" t="s">
        <v>982</v>
      </c>
      <c r="H15" s="101">
        <f>AC20</f>
        <v>2200000</v>
      </c>
      <c r="I15" s="65"/>
      <c r="J15" s="65"/>
    </row>
    <row r="16" spans="2:10">
      <c r="B16" s="102" t="s">
        <v>126</v>
      </c>
      <c r="C16" s="101">
        <f>分娩監視装置!J3</f>
        <v>42900000</v>
      </c>
      <c r="D16" s="103" t="s">
        <v>982</v>
      </c>
      <c r="E16" s="103" t="s">
        <v>982</v>
      </c>
      <c r="F16" s="103" t="s">
        <v>982</v>
      </c>
      <c r="G16" s="103" t="s">
        <v>982</v>
      </c>
      <c r="H16" s="101">
        <f>AE20</f>
        <v>4400000</v>
      </c>
      <c r="I16" s="65"/>
      <c r="J16" s="65"/>
    </row>
    <row r="17" spans="2:33">
      <c r="B17" s="102" t="s">
        <v>129</v>
      </c>
      <c r="C17" s="101">
        <f>新生児モニタ!J3</f>
        <v>46200000</v>
      </c>
      <c r="D17" s="103" t="s">
        <v>982</v>
      </c>
      <c r="E17" s="103" t="s">
        <v>982</v>
      </c>
      <c r="F17" s="103" t="s">
        <v>982</v>
      </c>
      <c r="G17" s="103" t="s">
        <v>982</v>
      </c>
      <c r="H17" s="101">
        <f>AG20</f>
        <v>2200000</v>
      </c>
      <c r="I17" s="65"/>
      <c r="J17" s="65"/>
    </row>
    <row r="20" spans="2:33" s="21" customFormat="1" ht="9.75" customHeight="1">
      <c r="B20" s="27"/>
      <c r="C20" s="823" t="s">
        <v>546</v>
      </c>
      <c r="D20" s="97">
        <f>SUM(D23:D322)</f>
        <v>0</v>
      </c>
      <c r="E20" s="823" t="s">
        <v>970</v>
      </c>
      <c r="F20" s="825">
        <f>SUM(F23:F322)</f>
        <v>0</v>
      </c>
      <c r="G20" s="826"/>
      <c r="H20" s="827"/>
      <c r="I20" s="823" t="s">
        <v>549</v>
      </c>
      <c r="J20" s="97">
        <f>SUM(J23:J322)</f>
        <v>0</v>
      </c>
      <c r="K20" s="823" t="s">
        <v>550</v>
      </c>
      <c r="L20" s="97">
        <f>SUM(L23:L322)</f>
        <v>0</v>
      </c>
      <c r="M20" s="823" t="s">
        <v>973</v>
      </c>
      <c r="N20" s="825">
        <f>SUM(N23:N322)</f>
        <v>0</v>
      </c>
      <c r="O20" s="826"/>
      <c r="P20" s="827"/>
      <c r="Q20" s="823" t="s">
        <v>551</v>
      </c>
      <c r="R20" s="825">
        <f>MIN(SUM(R23:R322),8000000*1/2)</f>
        <v>0</v>
      </c>
      <c r="S20" s="827"/>
      <c r="T20" s="823" t="s">
        <v>552</v>
      </c>
      <c r="U20" s="97">
        <f>SUM(U23:U322)</f>
        <v>22000000</v>
      </c>
      <c r="V20" s="823" t="s">
        <v>553</v>
      </c>
      <c r="W20" s="97">
        <f>SUM(W23:W322)</f>
        <v>13200000</v>
      </c>
      <c r="X20" s="823" t="s">
        <v>554</v>
      </c>
      <c r="Y20" s="97">
        <f>SUM(Y23:Y322)</f>
        <v>11000000</v>
      </c>
      <c r="Z20" s="823" t="s">
        <v>555</v>
      </c>
      <c r="AA20" s="97">
        <f>SUM(AA23:AA322)</f>
        <v>90200000</v>
      </c>
      <c r="AB20" s="823" t="s">
        <v>556</v>
      </c>
      <c r="AC20" s="97">
        <f>SUM(AC23:AC322)</f>
        <v>2200000</v>
      </c>
      <c r="AD20" s="823" t="s">
        <v>557</v>
      </c>
      <c r="AE20" s="97">
        <f>SUM(AE23:AE322)</f>
        <v>4400000</v>
      </c>
      <c r="AF20" s="823" t="s">
        <v>558</v>
      </c>
      <c r="AG20" s="97">
        <f>SUM(AG23:AG322)</f>
        <v>2200000</v>
      </c>
    </row>
    <row r="21" spans="2:33" s="100" customFormat="1" ht="9.75" customHeight="1">
      <c r="B21" s="98"/>
      <c r="C21" s="824"/>
      <c r="D21" s="99">
        <v>133000</v>
      </c>
      <c r="E21" s="824"/>
      <c r="F21" s="828">
        <v>5000000</v>
      </c>
      <c r="G21" s="826"/>
      <c r="H21" s="827"/>
      <c r="I21" s="824"/>
      <c r="J21" s="99">
        <v>4320000</v>
      </c>
      <c r="K21" s="824"/>
      <c r="L21" s="99">
        <v>51400</v>
      </c>
      <c r="M21" s="824"/>
      <c r="N21" s="828">
        <v>21000000</v>
      </c>
      <c r="O21" s="826"/>
      <c r="P21" s="827"/>
      <c r="Q21" s="824"/>
      <c r="R21" s="828">
        <v>8000000</v>
      </c>
      <c r="S21" s="827"/>
      <c r="T21" s="824"/>
      <c r="U21" s="99">
        <v>11000000</v>
      </c>
      <c r="V21" s="824"/>
      <c r="W21" s="99">
        <v>6600000</v>
      </c>
      <c r="X21" s="824"/>
      <c r="Y21" s="99">
        <v>5500000</v>
      </c>
      <c r="Z21" s="824"/>
      <c r="AA21" s="99">
        <v>66000000</v>
      </c>
      <c r="AB21" s="824"/>
      <c r="AC21" s="99">
        <v>1100000</v>
      </c>
      <c r="AD21" s="824"/>
      <c r="AE21" s="99">
        <v>2200000</v>
      </c>
      <c r="AF21" s="824"/>
      <c r="AG21" s="99">
        <v>1100000</v>
      </c>
    </row>
    <row r="22" spans="2:33">
      <c r="B22" s="64"/>
      <c r="C22" s="66" t="s">
        <v>547</v>
      </c>
      <c r="D22" s="66" t="s">
        <v>548</v>
      </c>
      <c r="E22" s="66" t="s">
        <v>547</v>
      </c>
      <c r="F22" s="66" t="s">
        <v>548</v>
      </c>
      <c r="G22" s="96" t="s">
        <v>971</v>
      </c>
      <c r="H22" s="96" t="s">
        <v>972</v>
      </c>
      <c r="I22" s="66" t="s">
        <v>547</v>
      </c>
      <c r="J22" s="66" t="s">
        <v>548</v>
      </c>
      <c r="K22" s="66" t="s">
        <v>547</v>
      </c>
      <c r="L22" s="66" t="s">
        <v>548</v>
      </c>
      <c r="M22" s="66" t="s">
        <v>547</v>
      </c>
      <c r="N22" s="66" t="s">
        <v>548</v>
      </c>
      <c r="O22" s="96" t="s">
        <v>971</v>
      </c>
      <c r="P22" s="96" t="s">
        <v>972</v>
      </c>
      <c r="Q22" s="66" t="s">
        <v>547</v>
      </c>
      <c r="R22" s="66" t="s">
        <v>548</v>
      </c>
      <c r="S22" s="66" t="s">
        <v>972</v>
      </c>
      <c r="T22" s="66" t="s">
        <v>547</v>
      </c>
      <c r="U22" s="66" t="s">
        <v>548</v>
      </c>
      <c r="V22" s="66" t="s">
        <v>547</v>
      </c>
      <c r="W22" s="66" t="s">
        <v>548</v>
      </c>
      <c r="X22" s="66" t="s">
        <v>547</v>
      </c>
      <c r="Y22" s="66" t="s">
        <v>548</v>
      </c>
      <c r="Z22" s="66" t="s">
        <v>547</v>
      </c>
      <c r="AA22" s="66" t="s">
        <v>548</v>
      </c>
      <c r="AB22" s="66" t="s">
        <v>547</v>
      </c>
      <c r="AC22" s="66" t="s">
        <v>548</v>
      </c>
      <c r="AD22" s="66" t="s">
        <v>547</v>
      </c>
      <c r="AE22" s="66" t="s">
        <v>548</v>
      </c>
      <c r="AF22" s="66" t="s">
        <v>547</v>
      </c>
      <c r="AG22" s="66" t="s">
        <v>548</v>
      </c>
    </row>
    <row r="23" spans="2:33">
      <c r="B23" s="64" t="s">
        <v>670</v>
      </c>
      <c r="C23" s="67">
        <f>IFERROR(SUMIF(初度設備!$C$30:$C$74,B23,初度設備!$N$30:$N$74)*((初度設備!$H$3-初度設備!$I$3)/初度設備!$H$3),0)</f>
        <v>0</v>
      </c>
      <c r="D23" s="68">
        <f>ROUNDDOWN(MIN(C23,$D$21),-3)</f>
        <v>0</v>
      </c>
      <c r="E23" s="67">
        <f>IFERROR(SUMIF(人工呼吸器!$C$30:$C$74,B23,人工呼吸器!$N$30:$N$74)*((人工呼吸器!$H$3-人工呼吸器!$I$3)/人工呼吸器!$H$3),0)</f>
        <v>0</v>
      </c>
      <c r="F23" s="68">
        <f>ROUNDDOWN(E23,-3)</f>
        <v>0</v>
      </c>
      <c r="G23" s="68">
        <f>IF(F23&gt;=5000000,5000000,F23)</f>
        <v>0</v>
      </c>
      <c r="H23" s="68">
        <f>IF(G23=5000000,F23-5000000,0)</f>
        <v>0</v>
      </c>
      <c r="I23" s="67">
        <f>IFERROR(SUMIF(簡易陰圧装置!$C$30:$C$74,B23,簡易陰圧装置!$N$30:$N$74)*((簡易陰圧装置!$H$3-簡易陰圧装置!$I$3)/簡易陰圧装置!$H$3),0)</f>
        <v>0</v>
      </c>
      <c r="J23" s="68">
        <f>ROUNDDOWN(MIN(I23,$J$21),-3)</f>
        <v>0</v>
      </c>
      <c r="K23" s="67">
        <f>IFERROR(SUMIF(#REF!,B23,#REF!)*((#REF!-#REF!)/#REF!),0)</f>
        <v>0</v>
      </c>
      <c r="L23" s="68">
        <f>ROUNDDOWN(MIN(K23,$L$21),-3)</f>
        <v>0</v>
      </c>
      <c r="M23" s="67">
        <f>IFERROR(SUMIF(体外式膜型人工肺!$C$30:$C$74,B23,体外式膜型人工肺!$N$30:$N$74)*((体外式膜型人工肺!$H$3-体外式膜型人工肺!$I$3)/体外式膜型人工肺!$H$3),0)</f>
        <v>0</v>
      </c>
      <c r="N23" s="68">
        <f>ROUNDDOWN(M23,-3)</f>
        <v>0</v>
      </c>
      <c r="O23" s="68">
        <f>IF(N23&gt;=21000000,21000000,N23)</f>
        <v>0</v>
      </c>
      <c r="P23" s="68">
        <f>IF(O23=21000000,N23-21000000,0)</f>
        <v>0</v>
      </c>
      <c r="Q23" s="67">
        <f>IFERROR(SUMIF(紫外線照射装置!$C$30:$C$74,B23,紫外線照射装置!$N$30:$N$74)*((紫外線照射装置!$H$3-紫外線照射装置!$I$3)/紫外線照射装置!$H$3),0)</f>
        <v>0</v>
      </c>
      <c r="R23" s="68">
        <f>IFERROR(ROUNDDOWN(MIN(Q23,$R$21)/2,-3),0)</f>
        <v>0</v>
      </c>
      <c r="S23" s="101">
        <f>R23</f>
        <v>0</v>
      </c>
      <c r="T23" s="67">
        <f>IFERROR(SUMIF(超音波画像診断装置!$C$30:$C$74,B23,超音波画像診断装置!$K$30:$K$74)*((超音波画像診断装置!$H$3-超音波画像診断装置!$I$3)/超音波画像診断装置!$H$3),0)</f>
        <v>15400000</v>
      </c>
      <c r="U23" s="68">
        <f>ROUNDDOWN(MIN(T23,$U$21),-3)</f>
        <v>11000000</v>
      </c>
      <c r="V23" s="67">
        <f>IFERROR(SUMIF(血液浄化装置!$C$30:$C$74,B23,血液浄化装置!$K$30:$K$74)*((血液浄化装置!$H$3-血液浄化装置!$I$3)/血液浄化装置!$H$3),0)</f>
        <v>17600000</v>
      </c>
      <c r="W23" s="68">
        <f>ROUNDDOWN(MIN(V23,$W$21),-3)</f>
        <v>6600000</v>
      </c>
      <c r="X23" s="67">
        <f>IFERROR(SUMIF(気管支鏡!$C$30:$C$74,B23,気管支鏡!$K$30:$K$74)*((気管支鏡!$H$3-気管支鏡!$I$3)/気管支鏡!$H$3),0)</f>
        <v>19800000</v>
      </c>
      <c r="Y23" s="68">
        <f t="shared" ref="Y23:Y86" si="0">ROUNDDOWN(MIN(X23,$Y$21),-3)</f>
        <v>5500000</v>
      </c>
      <c r="Z23" s="67">
        <f>IFERROR(SUMIF(CT撮影装置!$C$30:$C$74,B23,CT撮影装置!$K$30:$K$74)*((CT撮影装置!$H$3-CT撮影装置!$I$3)/CT撮影装置!$H$3),0)</f>
        <v>12100000000</v>
      </c>
      <c r="AA23" s="68">
        <f>ROUNDDOWN(MIN(Z23,$AA$21),-3)</f>
        <v>66000000</v>
      </c>
      <c r="AB23" s="67">
        <f>IFERROR(SUMIF(生体情報モニタ!$C$30:$C$74,B23,生体情報モニタ!$K$30:$K$74)*((生体情報モニタ!$H$3-生体情報モニタ!$I$3)/生体情報モニタ!$H$3),0)</f>
        <v>13200000</v>
      </c>
      <c r="AC23" s="68">
        <f t="shared" ref="AC23:AC86" si="1">ROUNDDOWN(MIN(AB23,$AC$21),-3)</f>
        <v>1100000</v>
      </c>
      <c r="AD23" s="67">
        <f>IFERROR(SUMIF(分娩監視装置!$C$30:$C$74,B23,分娩監視装置!$K$30:$K$74)*((分娩監視装置!$H$3-分娩監視装置!$I$3)/分娩監視装置!$H$3),0)</f>
        <v>14300000</v>
      </c>
      <c r="AE23" s="68">
        <f>ROUNDDOWN(MIN(AD23,$AE$21),-3)</f>
        <v>2200000</v>
      </c>
      <c r="AF23" s="67">
        <f>IFERROR(SUMIF(新生児モニタ!$C$30:$C$74,B23,新生児モニタ!$K$30:$K$74)*((新生児モニタ!$H$3-新生児モニタ!$I$3)/新生児モニタ!$H$3),0)</f>
        <v>15400000</v>
      </c>
      <c r="AG23" s="68">
        <f>ROUNDDOWN(MIN(AF23,$AG$21),-3)</f>
        <v>1100000</v>
      </c>
    </row>
    <row r="24" spans="2:33">
      <c r="B24" s="64" t="s">
        <v>671</v>
      </c>
      <c r="C24" s="67">
        <f>IFERROR(SUMIF(初度設備!$C$30:$C$74,B24,初度設備!$N$30:$N$74)*((初度設備!$H$3-初度設備!$I$3)/初度設備!$H$3),0)</f>
        <v>0</v>
      </c>
      <c r="D24" s="68">
        <f t="shared" ref="D24:D87" si="2">ROUNDDOWN(MIN(C24,$D$21),-3)</f>
        <v>0</v>
      </c>
      <c r="E24" s="67">
        <f>IFERROR(SUMIF(人工呼吸器!$C$30:$C$74,B24,人工呼吸器!$N$30:$N$74)*((人工呼吸器!$H$3-人工呼吸器!$I$3)/人工呼吸器!$H$3),0)</f>
        <v>0</v>
      </c>
      <c r="F24" s="68">
        <f t="shared" ref="F24:F87" si="3">ROUNDDOWN(E24,-3)</f>
        <v>0</v>
      </c>
      <c r="G24" s="68">
        <f t="shared" ref="G24:G87" si="4">IF(F24&gt;=5000000,5000000,F24)</f>
        <v>0</v>
      </c>
      <c r="H24" s="68">
        <f t="shared" ref="H24:H87" si="5">IF(G24=5000000,F24-5000000,0)</f>
        <v>0</v>
      </c>
      <c r="I24" s="67">
        <f>IFERROR(SUMIF(簡易陰圧装置!$C$30:$C$74,B24,簡易陰圧装置!$N$30:$N$74)*((簡易陰圧装置!$H$3-簡易陰圧装置!$I$3)/簡易陰圧装置!$H$3),0)</f>
        <v>0</v>
      </c>
      <c r="J24" s="68">
        <f t="shared" ref="J24:J87" si="6">ROUNDDOWN(MIN(I24,$J$21),-3)</f>
        <v>0</v>
      </c>
      <c r="K24" s="67">
        <f>IFERROR(SUMIF(#REF!,B24,#REF!)*((#REF!-#REF!)/#REF!),0)</f>
        <v>0</v>
      </c>
      <c r="L24" s="68">
        <f t="shared" ref="L24:L87" si="7">ROUNDDOWN(MIN(K24,$L$21),-3)</f>
        <v>0</v>
      </c>
      <c r="M24" s="67">
        <f>IFERROR(SUMIF(体外式膜型人工肺!$C$30:$C$74,B24,体外式膜型人工肺!$N$30:$N$74)*((体外式膜型人工肺!$H$3-体外式膜型人工肺!$I$3)/体外式膜型人工肺!$H$3),0)</f>
        <v>0</v>
      </c>
      <c r="N24" s="68">
        <f t="shared" ref="N24:N87" si="8">ROUNDDOWN(M24,-3)</f>
        <v>0</v>
      </c>
      <c r="O24" s="68">
        <f t="shared" ref="O24:O87" si="9">IF(N24&gt;=21000000,21000000,N24)</f>
        <v>0</v>
      </c>
      <c r="P24" s="68">
        <f t="shared" ref="P24:P87" si="10">IF(O24=21000000,N24-21000000,0)</f>
        <v>0</v>
      </c>
      <c r="Q24" s="67">
        <f>IFERROR(SUMIF(紫外線照射装置!$C$30:$C$74,B24,紫外線照射装置!$N$30:$N$74)*((紫外線照射装置!$H$3-紫外線照射装置!$I$3)/紫外線照射装置!$H$3),0)</f>
        <v>0</v>
      </c>
      <c r="R24" s="68">
        <f t="shared" ref="R24:R87" si="11">IFERROR(ROUNDDOWN(MIN(Q24,$R$21)/2,-3),0)</f>
        <v>0</v>
      </c>
      <c r="S24" s="101">
        <f t="shared" ref="S24:S87" si="12">R24</f>
        <v>0</v>
      </c>
      <c r="T24" s="67">
        <f>IFERROR(SUMIF(超音波画像診断装置!$C$30:$C$74,B24,超音波画像診断装置!$K$30:$K$74)*((超音波画像診断装置!$H$3-超音波画像診断装置!$I$3)/超音波画像診断装置!$H$3),0)</f>
        <v>0</v>
      </c>
      <c r="U24" s="68">
        <f t="shared" ref="U24:U87" si="13">ROUNDDOWN(MIN(T24,$U$21),-3)</f>
        <v>0</v>
      </c>
      <c r="V24" s="67">
        <f>IFERROR(SUMIF(血液浄化装置!$C$30:$C$74,B24,血液浄化装置!$K$30:$K$74)*((血液浄化装置!$H$3-血液浄化装置!$I$3)/血液浄化装置!$H$3),0)</f>
        <v>0</v>
      </c>
      <c r="W24" s="68">
        <f t="shared" ref="W24:W87" si="14">ROUNDDOWN(MIN(V24,$W$21),-3)</f>
        <v>0</v>
      </c>
      <c r="X24" s="67">
        <f>IFERROR(SUMIF(気管支鏡!$C$30:$C$74,B24,気管支鏡!$K$30:$K$74)*((気管支鏡!$H$3-気管支鏡!$I$3)/気管支鏡!$H$3),0)</f>
        <v>0</v>
      </c>
      <c r="Y24" s="68">
        <f t="shared" si="0"/>
        <v>0</v>
      </c>
      <c r="Z24" s="67">
        <f>IFERROR(SUMIF(CT撮影装置!$C$30:$C$74,B24,CT撮影装置!$K$30:$K$74)*((CT撮影装置!$H$3-CT撮影装置!$I$3)/CT撮影装置!$H$3),0)</f>
        <v>0</v>
      </c>
      <c r="AA24" s="68">
        <f t="shared" ref="AA24:AA87" si="15">ROUNDDOWN(MIN(Z24,$AA$21),-3)</f>
        <v>0</v>
      </c>
      <c r="AB24" s="67">
        <f>IFERROR(SUMIF(生体情報モニタ!$C$30:$C$74,B24,生体情報モニタ!$K$30:$K$74)*((生体情報モニタ!$H$3-生体情報モニタ!$I$3)/生体情報モニタ!$H$3),0)</f>
        <v>0</v>
      </c>
      <c r="AC24" s="68">
        <f t="shared" si="1"/>
        <v>0</v>
      </c>
      <c r="AD24" s="67">
        <f>IFERROR(SUMIF(分娩監視装置!$C$30:$C$74,B24,分娩監視装置!$K$30:$K$74)*((分娩監視装置!$H$3-分娩監視装置!$I$3)/分娩監視装置!$H$3),0)</f>
        <v>0</v>
      </c>
      <c r="AE24" s="68">
        <f t="shared" ref="AE24:AE87" si="16">ROUNDDOWN(MIN(AD24,$AE$21),-3)</f>
        <v>0</v>
      </c>
      <c r="AF24" s="67">
        <f>IFERROR(SUMIF(新生児モニタ!$C$30:$C$74,B24,新生児モニタ!$K$30:$K$74)*((新生児モニタ!$H$3-新生児モニタ!$I$3)/新生児モニタ!$H$3),0)</f>
        <v>0</v>
      </c>
      <c r="AG24" s="68">
        <f t="shared" ref="AG24:AG87" si="17">ROUNDDOWN(MIN(AF24,$AG$21),-3)</f>
        <v>0</v>
      </c>
    </row>
    <row r="25" spans="2:33">
      <c r="B25" s="64" t="s">
        <v>672</v>
      </c>
      <c r="C25" s="67">
        <f>IFERROR(SUMIF(初度設備!$C$30:$C$74,B25,初度設備!$N$30:$N$74)*((初度設備!$H$3-初度設備!$I$3)/初度設備!$H$3),0)</f>
        <v>0</v>
      </c>
      <c r="D25" s="68">
        <f t="shared" si="2"/>
        <v>0</v>
      </c>
      <c r="E25" s="67">
        <f>IFERROR(SUMIF(人工呼吸器!$C$30:$C$74,B25,人工呼吸器!$N$30:$N$74)*((人工呼吸器!$H$3-人工呼吸器!$I$3)/人工呼吸器!$H$3),0)</f>
        <v>0</v>
      </c>
      <c r="F25" s="68">
        <f t="shared" si="3"/>
        <v>0</v>
      </c>
      <c r="G25" s="68">
        <f t="shared" si="4"/>
        <v>0</v>
      </c>
      <c r="H25" s="68">
        <f t="shared" si="5"/>
        <v>0</v>
      </c>
      <c r="I25" s="67">
        <f>IFERROR(SUMIF(簡易陰圧装置!$C$30:$C$74,B25,簡易陰圧装置!$N$30:$N$74)*((簡易陰圧装置!$H$3-簡易陰圧装置!$I$3)/簡易陰圧装置!$H$3),0)</f>
        <v>0</v>
      </c>
      <c r="J25" s="68">
        <f t="shared" si="6"/>
        <v>0</v>
      </c>
      <c r="K25" s="67">
        <f>IFERROR(SUMIF(#REF!,B25,#REF!)*((#REF!-#REF!)/#REF!),0)</f>
        <v>0</v>
      </c>
      <c r="L25" s="68">
        <f t="shared" si="7"/>
        <v>0</v>
      </c>
      <c r="M25" s="67">
        <f>IFERROR(SUMIF(体外式膜型人工肺!$C$30:$C$74,B25,体外式膜型人工肺!$N$30:$N$74)*((体外式膜型人工肺!$H$3-体外式膜型人工肺!$I$3)/体外式膜型人工肺!$H$3),0)</f>
        <v>0</v>
      </c>
      <c r="N25" s="68">
        <f t="shared" si="8"/>
        <v>0</v>
      </c>
      <c r="O25" s="68">
        <f t="shared" si="9"/>
        <v>0</v>
      </c>
      <c r="P25" s="68">
        <f t="shared" si="10"/>
        <v>0</v>
      </c>
      <c r="Q25" s="67">
        <f>IFERROR(SUMIF(紫外線照射装置!$C$30:$C$74,B25,紫外線照射装置!$N$30:$N$74)*((紫外線照射装置!$H$3-紫外線照射装置!$I$3)/紫外線照射装置!$H$3),0)</f>
        <v>0</v>
      </c>
      <c r="R25" s="68">
        <f t="shared" si="11"/>
        <v>0</v>
      </c>
      <c r="S25" s="101">
        <f t="shared" si="12"/>
        <v>0</v>
      </c>
      <c r="T25" s="67">
        <f>IFERROR(SUMIF(超音波画像診断装置!$C$30:$C$74,B25,超音波画像診断装置!$K$30:$K$74)*((超音波画像診断装置!$H$3-超音波画像診断装置!$I$3)/超音波画像診断装置!$H$3),0)</f>
        <v>0</v>
      </c>
      <c r="U25" s="68">
        <f t="shared" si="13"/>
        <v>0</v>
      </c>
      <c r="V25" s="67">
        <f>IFERROR(SUMIF(血液浄化装置!$C$30:$C$74,B25,血液浄化装置!$K$30:$K$74)*((血液浄化装置!$H$3-血液浄化装置!$I$3)/血液浄化装置!$H$3),0)</f>
        <v>0</v>
      </c>
      <c r="W25" s="68">
        <f t="shared" si="14"/>
        <v>0</v>
      </c>
      <c r="X25" s="67">
        <f>IFERROR(SUMIF(気管支鏡!$C$30:$C$74,B25,気管支鏡!$K$30:$K$74)*((気管支鏡!$H$3-気管支鏡!$I$3)/気管支鏡!$H$3),0)</f>
        <v>0</v>
      </c>
      <c r="Y25" s="68">
        <f t="shared" si="0"/>
        <v>0</v>
      </c>
      <c r="Z25" s="67">
        <f>IFERROR(SUMIF(CT撮影装置!$C$30:$C$74,B25,CT撮影装置!$K$30:$K$74)*((CT撮影装置!$H$3-CT撮影装置!$I$3)/CT撮影装置!$H$3),0)</f>
        <v>0</v>
      </c>
      <c r="AA25" s="68">
        <f t="shared" si="15"/>
        <v>0</v>
      </c>
      <c r="AB25" s="67">
        <f>IFERROR(SUMIF(生体情報モニタ!$C$30:$C$74,B25,生体情報モニタ!$K$30:$K$74)*((生体情報モニタ!$H$3-生体情報モニタ!$I$3)/生体情報モニタ!$H$3),0)</f>
        <v>0</v>
      </c>
      <c r="AC25" s="68">
        <f t="shared" si="1"/>
        <v>0</v>
      </c>
      <c r="AD25" s="67">
        <f>IFERROR(SUMIF(分娩監視装置!$C$30:$C$74,B25,分娩監視装置!$K$30:$K$74)*((分娩監視装置!$H$3-分娩監視装置!$I$3)/分娩監視装置!$H$3),0)</f>
        <v>0</v>
      </c>
      <c r="AE25" s="68">
        <f t="shared" si="16"/>
        <v>0</v>
      </c>
      <c r="AF25" s="67">
        <f>IFERROR(SUMIF(新生児モニタ!$C$30:$C$74,B25,新生児モニタ!$K$30:$K$74)*((新生児モニタ!$H$3-新生児モニタ!$I$3)/新生児モニタ!$H$3),0)</f>
        <v>0</v>
      </c>
      <c r="AG25" s="68">
        <f t="shared" si="17"/>
        <v>0</v>
      </c>
    </row>
    <row r="26" spans="2:33">
      <c r="B26" s="64" t="s">
        <v>673</v>
      </c>
      <c r="C26" s="67">
        <f>IFERROR(SUMIF(初度設備!$C$30:$C$74,B26,初度設備!$N$30:$N$74)*((初度設備!$H$3-初度設備!$I$3)/初度設備!$H$3),0)</f>
        <v>0</v>
      </c>
      <c r="D26" s="68">
        <f t="shared" si="2"/>
        <v>0</v>
      </c>
      <c r="E26" s="67">
        <f>IFERROR(SUMIF(人工呼吸器!$C$30:$C$74,B26,人工呼吸器!$N$30:$N$74)*((人工呼吸器!$H$3-人工呼吸器!$I$3)/人工呼吸器!$H$3),0)</f>
        <v>0</v>
      </c>
      <c r="F26" s="68">
        <f t="shared" si="3"/>
        <v>0</v>
      </c>
      <c r="G26" s="68">
        <f t="shared" si="4"/>
        <v>0</v>
      </c>
      <c r="H26" s="68">
        <f t="shared" si="5"/>
        <v>0</v>
      </c>
      <c r="I26" s="67">
        <f>IFERROR(SUMIF(簡易陰圧装置!$C$30:$C$74,B26,簡易陰圧装置!$N$30:$N$74)*((簡易陰圧装置!$H$3-簡易陰圧装置!$I$3)/簡易陰圧装置!$H$3),0)</f>
        <v>0</v>
      </c>
      <c r="J26" s="68">
        <f t="shared" si="6"/>
        <v>0</v>
      </c>
      <c r="K26" s="67">
        <f>IFERROR(SUMIF(#REF!,B26,#REF!)*((#REF!-#REF!)/#REF!),0)</f>
        <v>0</v>
      </c>
      <c r="L26" s="68">
        <f t="shared" si="7"/>
        <v>0</v>
      </c>
      <c r="M26" s="67">
        <f>IFERROR(SUMIF(体外式膜型人工肺!$C$30:$C$74,B26,体外式膜型人工肺!$N$30:$N$74)*((体外式膜型人工肺!$H$3-体外式膜型人工肺!$I$3)/体外式膜型人工肺!$H$3),0)</f>
        <v>0</v>
      </c>
      <c r="N26" s="68">
        <f t="shared" si="8"/>
        <v>0</v>
      </c>
      <c r="O26" s="68">
        <f t="shared" si="9"/>
        <v>0</v>
      </c>
      <c r="P26" s="68">
        <f t="shared" si="10"/>
        <v>0</v>
      </c>
      <c r="Q26" s="67">
        <f>IFERROR(SUMIF(紫外線照射装置!$C$30:$C$74,B26,紫外線照射装置!$N$30:$N$74)*((紫外線照射装置!$H$3-紫外線照射装置!$I$3)/紫外線照射装置!$H$3),0)</f>
        <v>0</v>
      </c>
      <c r="R26" s="68">
        <f t="shared" si="11"/>
        <v>0</v>
      </c>
      <c r="S26" s="101">
        <f t="shared" si="12"/>
        <v>0</v>
      </c>
      <c r="T26" s="67">
        <f>IFERROR(SUMIF(超音波画像診断装置!$C$30:$C$74,B26,超音波画像診断装置!$K$30:$K$74)*((超音波画像診断装置!$H$3-超音波画像診断装置!$I$3)/超音波画像診断装置!$H$3),0)</f>
        <v>0</v>
      </c>
      <c r="U26" s="68">
        <f t="shared" si="13"/>
        <v>0</v>
      </c>
      <c r="V26" s="67">
        <f>IFERROR(SUMIF(血液浄化装置!$C$30:$C$74,B26,血液浄化装置!$K$30:$K$74)*((血液浄化装置!$H$3-血液浄化装置!$I$3)/血液浄化装置!$H$3),0)</f>
        <v>0</v>
      </c>
      <c r="W26" s="68">
        <f t="shared" si="14"/>
        <v>0</v>
      </c>
      <c r="X26" s="67">
        <f>IFERROR(SUMIF(気管支鏡!$C$30:$C$74,B26,気管支鏡!$K$30:$K$74)*((気管支鏡!$H$3-気管支鏡!$I$3)/気管支鏡!$H$3),0)</f>
        <v>0</v>
      </c>
      <c r="Y26" s="68">
        <f t="shared" si="0"/>
        <v>0</v>
      </c>
      <c r="Z26" s="67">
        <f>IFERROR(SUMIF(CT撮影装置!$C$30:$C$74,B26,CT撮影装置!$K$30:$K$74)*((CT撮影装置!$H$3-CT撮影装置!$I$3)/CT撮影装置!$H$3),0)</f>
        <v>0</v>
      </c>
      <c r="AA26" s="68">
        <f t="shared" si="15"/>
        <v>0</v>
      </c>
      <c r="AB26" s="67">
        <f>IFERROR(SUMIF(生体情報モニタ!$C$30:$C$74,B26,生体情報モニタ!$K$30:$K$74)*((生体情報モニタ!$H$3-生体情報モニタ!$I$3)/生体情報モニタ!$H$3),0)</f>
        <v>0</v>
      </c>
      <c r="AC26" s="68">
        <f t="shared" si="1"/>
        <v>0</v>
      </c>
      <c r="AD26" s="67">
        <f>IFERROR(SUMIF(分娩監視装置!$C$30:$C$74,B26,分娩監視装置!$K$30:$K$74)*((分娩監視装置!$H$3-分娩監視装置!$I$3)/分娩監視装置!$H$3),0)</f>
        <v>0</v>
      </c>
      <c r="AE26" s="68">
        <f t="shared" si="16"/>
        <v>0</v>
      </c>
      <c r="AF26" s="67">
        <f>IFERROR(SUMIF(新生児モニタ!$C$30:$C$74,B26,新生児モニタ!$K$30:$K$74)*((新生児モニタ!$H$3-新生児モニタ!$I$3)/新生児モニタ!$H$3),0)</f>
        <v>0</v>
      </c>
      <c r="AG26" s="68">
        <f t="shared" si="17"/>
        <v>0</v>
      </c>
    </row>
    <row r="27" spans="2:33">
      <c r="B27" s="64" t="s">
        <v>674</v>
      </c>
      <c r="C27" s="67">
        <f>IFERROR(SUMIF(初度設備!$C$30:$C$74,B27,初度設備!$N$30:$N$74)*((初度設備!$H$3-初度設備!$I$3)/初度設備!$H$3),0)</f>
        <v>0</v>
      </c>
      <c r="D27" s="68">
        <f t="shared" si="2"/>
        <v>0</v>
      </c>
      <c r="E27" s="67">
        <f>IFERROR(SUMIF(人工呼吸器!$C$30:$C$74,B27,人工呼吸器!$N$30:$N$74)*((人工呼吸器!$H$3-人工呼吸器!$I$3)/人工呼吸器!$H$3),0)</f>
        <v>0</v>
      </c>
      <c r="F27" s="68">
        <f t="shared" si="3"/>
        <v>0</v>
      </c>
      <c r="G27" s="68">
        <f t="shared" si="4"/>
        <v>0</v>
      </c>
      <c r="H27" s="68">
        <f t="shared" si="5"/>
        <v>0</v>
      </c>
      <c r="I27" s="67">
        <f>IFERROR(SUMIF(簡易陰圧装置!$C$30:$C$74,B27,簡易陰圧装置!$N$30:$N$74)*((簡易陰圧装置!$H$3-簡易陰圧装置!$I$3)/簡易陰圧装置!$H$3),0)</f>
        <v>0</v>
      </c>
      <c r="J27" s="68">
        <f t="shared" si="6"/>
        <v>0</v>
      </c>
      <c r="K27" s="67">
        <f>IFERROR(SUMIF(#REF!,B27,#REF!)*((#REF!-#REF!)/#REF!),0)</f>
        <v>0</v>
      </c>
      <c r="L27" s="68">
        <f t="shared" si="7"/>
        <v>0</v>
      </c>
      <c r="M27" s="67">
        <f>IFERROR(SUMIF(体外式膜型人工肺!$C$30:$C$74,B27,体外式膜型人工肺!$N$30:$N$74)*((体外式膜型人工肺!$H$3-体外式膜型人工肺!$I$3)/体外式膜型人工肺!$H$3),0)</f>
        <v>0</v>
      </c>
      <c r="N27" s="68">
        <f t="shared" si="8"/>
        <v>0</v>
      </c>
      <c r="O27" s="68">
        <f t="shared" si="9"/>
        <v>0</v>
      </c>
      <c r="P27" s="68">
        <f t="shared" si="10"/>
        <v>0</v>
      </c>
      <c r="Q27" s="67">
        <f>IFERROR(SUMIF(紫外線照射装置!$C$30:$C$74,B27,紫外線照射装置!$N$30:$N$74)*((紫外線照射装置!$H$3-紫外線照射装置!$I$3)/紫外線照射装置!$H$3),0)</f>
        <v>0</v>
      </c>
      <c r="R27" s="68">
        <f t="shared" si="11"/>
        <v>0</v>
      </c>
      <c r="S27" s="101">
        <f t="shared" si="12"/>
        <v>0</v>
      </c>
      <c r="T27" s="67">
        <f>IFERROR(SUMIF(超音波画像診断装置!$C$30:$C$74,B27,超音波画像診断装置!$K$30:$K$74)*((超音波画像診断装置!$H$3-超音波画像診断装置!$I$3)/超音波画像診断装置!$H$3),0)</f>
        <v>0</v>
      </c>
      <c r="U27" s="68">
        <f t="shared" si="13"/>
        <v>0</v>
      </c>
      <c r="V27" s="67">
        <f>IFERROR(SUMIF(血液浄化装置!$C$30:$C$74,B27,血液浄化装置!$K$30:$K$74)*((血液浄化装置!$H$3-血液浄化装置!$I$3)/血液浄化装置!$H$3),0)</f>
        <v>0</v>
      </c>
      <c r="W27" s="68">
        <f t="shared" si="14"/>
        <v>0</v>
      </c>
      <c r="X27" s="67">
        <f>IFERROR(SUMIF(気管支鏡!$C$30:$C$74,B27,気管支鏡!$K$30:$K$74)*((気管支鏡!$H$3-気管支鏡!$I$3)/気管支鏡!$H$3),0)</f>
        <v>0</v>
      </c>
      <c r="Y27" s="68">
        <f t="shared" si="0"/>
        <v>0</v>
      </c>
      <c r="Z27" s="67">
        <f>IFERROR(SUMIF(CT撮影装置!$C$30:$C$74,B27,CT撮影装置!$K$30:$K$74)*((CT撮影装置!$H$3-CT撮影装置!$I$3)/CT撮影装置!$H$3),0)</f>
        <v>0</v>
      </c>
      <c r="AA27" s="68">
        <f t="shared" si="15"/>
        <v>0</v>
      </c>
      <c r="AB27" s="67">
        <f>IFERROR(SUMIF(生体情報モニタ!$C$30:$C$74,B27,生体情報モニタ!$K$30:$K$74)*((生体情報モニタ!$H$3-生体情報モニタ!$I$3)/生体情報モニタ!$H$3),0)</f>
        <v>0</v>
      </c>
      <c r="AC27" s="68">
        <f t="shared" si="1"/>
        <v>0</v>
      </c>
      <c r="AD27" s="67">
        <f>IFERROR(SUMIF(分娩監視装置!$C$30:$C$74,B27,分娩監視装置!$K$30:$K$74)*((分娩監視装置!$H$3-分娩監視装置!$I$3)/分娩監視装置!$H$3),0)</f>
        <v>0</v>
      </c>
      <c r="AE27" s="68">
        <f t="shared" si="16"/>
        <v>0</v>
      </c>
      <c r="AF27" s="67">
        <f>IFERROR(SUMIF(新生児モニタ!$C$30:$C$74,B27,新生児モニタ!$K$30:$K$74)*((新生児モニタ!$H$3-新生児モニタ!$I$3)/新生児モニタ!$H$3),0)</f>
        <v>0</v>
      </c>
      <c r="AG27" s="68">
        <f t="shared" si="17"/>
        <v>0</v>
      </c>
    </row>
    <row r="28" spans="2:33">
      <c r="B28" s="64" t="s">
        <v>675</v>
      </c>
      <c r="C28" s="67">
        <f>IFERROR(SUMIF(初度設備!$C$30:$C$74,B28,初度設備!$N$30:$N$74)*((初度設備!$H$3-初度設備!$I$3)/初度設備!$H$3),0)</f>
        <v>0</v>
      </c>
      <c r="D28" s="68">
        <f t="shared" si="2"/>
        <v>0</v>
      </c>
      <c r="E28" s="67">
        <f>IFERROR(SUMIF(人工呼吸器!$C$30:$C$74,B28,人工呼吸器!$N$30:$N$74)*((人工呼吸器!$H$3-人工呼吸器!$I$3)/人工呼吸器!$H$3),0)</f>
        <v>0</v>
      </c>
      <c r="F28" s="68">
        <f t="shared" si="3"/>
        <v>0</v>
      </c>
      <c r="G28" s="68">
        <f t="shared" si="4"/>
        <v>0</v>
      </c>
      <c r="H28" s="68">
        <f t="shared" si="5"/>
        <v>0</v>
      </c>
      <c r="I28" s="67">
        <f>IFERROR(SUMIF(簡易陰圧装置!$C$30:$C$74,B28,簡易陰圧装置!$N$30:$N$74)*((簡易陰圧装置!$H$3-簡易陰圧装置!$I$3)/簡易陰圧装置!$H$3),0)</f>
        <v>0</v>
      </c>
      <c r="J28" s="68">
        <f t="shared" si="6"/>
        <v>0</v>
      </c>
      <c r="K28" s="67">
        <f>IFERROR(SUMIF(#REF!,B28,#REF!)*((#REF!-#REF!)/#REF!),0)</f>
        <v>0</v>
      </c>
      <c r="L28" s="68">
        <f t="shared" si="7"/>
        <v>0</v>
      </c>
      <c r="M28" s="67">
        <f>IFERROR(SUMIF(体外式膜型人工肺!$C$30:$C$74,B28,体外式膜型人工肺!$N$30:$N$74)*((体外式膜型人工肺!$H$3-体外式膜型人工肺!$I$3)/体外式膜型人工肺!$H$3),0)</f>
        <v>0</v>
      </c>
      <c r="N28" s="68">
        <f t="shared" si="8"/>
        <v>0</v>
      </c>
      <c r="O28" s="68">
        <f t="shared" si="9"/>
        <v>0</v>
      </c>
      <c r="P28" s="68">
        <f t="shared" si="10"/>
        <v>0</v>
      </c>
      <c r="Q28" s="67">
        <f>IFERROR(SUMIF(紫外線照射装置!$C$30:$C$74,B28,紫外線照射装置!$N$30:$N$74)*((紫外線照射装置!$H$3-紫外線照射装置!$I$3)/紫外線照射装置!$H$3),0)</f>
        <v>0</v>
      </c>
      <c r="R28" s="68">
        <f t="shared" si="11"/>
        <v>0</v>
      </c>
      <c r="S28" s="101">
        <f t="shared" si="12"/>
        <v>0</v>
      </c>
      <c r="T28" s="67">
        <f>IFERROR(SUMIF(超音波画像診断装置!$C$30:$C$74,B28,超音波画像診断装置!$K$30:$K$74)*((超音波画像診断装置!$H$3-超音波画像診断装置!$I$3)/超音波画像診断装置!$H$3),0)</f>
        <v>0</v>
      </c>
      <c r="U28" s="68">
        <f t="shared" si="13"/>
        <v>0</v>
      </c>
      <c r="V28" s="67">
        <f>IFERROR(SUMIF(血液浄化装置!$C$30:$C$74,B28,血液浄化装置!$K$30:$K$74)*((血液浄化装置!$H$3-血液浄化装置!$I$3)/血液浄化装置!$H$3),0)</f>
        <v>0</v>
      </c>
      <c r="W28" s="68">
        <f t="shared" si="14"/>
        <v>0</v>
      </c>
      <c r="X28" s="67">
        <f>IFERROR(SUMIF(気管支鏡!$C$30:$C$74,B28,気管支鏡!$K$30:$K$74)*((気管支鏡!$H$3-気管支鏡!$I$3)/気管支鏡!$H$3),0)</f>
        <v>0</v>
      </c>
      <c r="Y28" s="68">
        <f t="shared" si="0"/>
        <v>0</v>
      </c>
      <c r="Z28" s="67">
        <f>IFERROR(SUMIF(CT撮影装置!$C$30:$C$74,B28,CT撮影装置!$K$30:$K$74)*((CT撮影装置!$H$3-CT撮影装置!$I$3)/CT撮影装置!$H$3),0)</f>
        <v>0</v>
      </c>
      <c r="AA28" s="68">
        <f t="shared" si="15"/>
        <v>0</v>
      </c>
      <c r="AB28" s="67">
        <f>IFERROR(SUMIF(生体情報モニタ!$C$30:$C$74,B28,生体情報モニタ!$K$30:$K$74)*((生体情報モニタ!$H$3-生体情報モニタ!$I$3)/生体情報モニタ!$H$3),0)</f>
        <v>0</v>
      </c>
      <c r="AC28" s="68">
        <f t="shared" si="1"/>
        <v>0</v>
      </c>
      <c r="AD28" s="67">
        <f>IFERROR(SUMIF(分娩監視装置!$C$30:$C$74,B28,分娩監視装置!$K$30:$K$74)*((分娩監視装置!$H$3-分娩監視装置!$I$3)/分娩監視装置!$H$3),0)</f>
        <v>0</v>
      </c>
      <c r="AE28" s="68">
        <f t="shared" si="16"/>
        <v>0</v>
      </c>
      <c r="AF28" s="67">
        <f>IFERROR(SUMIF(新生児モニタ!$C$30:$C$74,B28,新生児モニタ!$K$30:$K$74)*((新生児モニタ!$H$3-新生児モニタ!$I$3)/新生児モニタ!$H$3),0)</f>
        <v>0</v>
      </c>
      <c r="AG28" s="68">
        <f t="shared" si="17"/>
        <v>0</v>
      </c>
    </row>
    <row r="29" spans="2:33">
      <c r="B29" s="64" t="s">
        <v>676</v>
      </c>
      <c r="C29" s="67">
        <f>IFERROR(SUMIF(初度設備!$C$30:$C$74,B29,初度設備!$N$30:$N$74)*((初度設備!$H$3-初度設備!$I$3)/初度設備!$H$3),0)</f>
        <v>0</v>
      </c>
      <c r="D29" s="68">
        <f t="shared" si="2"/>
        <v>0</v>
      </c>
      <c r="E29" s="67">
        <f>IFERROR(SUMIF(人工呼吸器!$C$30:$C$74,B29,人工呼吸器!$N$30:$N$74)*((人工呼吸器!$H$3-人工呼吸器!$I$3)/人工呼吸器!$H$3),0)</f>
        <v>0</v>
      </c>
      <c r="F29" s="68">
        <f t="shared" si="3"/>
        <v>0</v>
      </c>
      <c r="G29" s="68">
        <f t="shared" si="4"/>
        <v>0</v>
      </c>
      <c r="H29" s="68">
        <f t="shared" si="5"/>
        <v>0</v>
      </c>
      <c r="I29" s="67">
        <f>IFERROR(SUMIF(簡易陰圧装置!$C$30:$C$74,B29,簡易陰圧装置!$N$30:$N$74)*((簡易陰圧装置!$H$3-簡易陰圧装置!$I$3)/簡易陰圧装置!$H$3),0)</f>
        <v>0</v>
      </c>
      <c r="J29" s="68">
        <f t="shared" si="6"/>
        <v>0</v>
      </c>
      <c r="K29" s="67">
        <f>IFERROR(SUMIF(#REF!,B29,#REF!)*((#REF!-#REF!)/#REF!),0)</f>
        <v>0</v>
      </c>
      <c r="L29" s="68">
        <f t="shared" si="7"/>
        <v>0</v>
      </c>
      <c r="M29" s="67">
        <f>IFERROR(SUMIF(体外式膜型人工肺!$C$30:$C$74,B29,体外式膜型人工肺!$N$30:$N$74)*((体外式膜型人工肺!$H$3-体外式膜型人工肺!$I$3)/体外式膜型人工肺!$H$3),0)</f>
        <v>0</v>
      </c>
      <c r="N29" s="68">
        <f t="shared" si="8"/>
        <v>0</v>
      </c>
      <c r="O29" s="68">
        <f t="shared" si="9"/>
        <v>0</v>
      </c>
      <c r="P29" s="68">
        <f t="shared" si="10"/>
        <v>0</v>
      </c>
      <c r="Q29" s="67">
        <f>IFERROR(SUMIF(紫外線照射装置!$C$30:$C$74,B29,紫外線照射装置!$N$30:$N$74)*((紫外線照射装置!$H$3-紫外線照射装置!$I$3)/紫外線照射装置!$H$3),0)</f>
        <v>0</v>
      </c>
      <c r="R29" s="68">
        <f t="shared" si="11"/>
        <v>0</v>
      </c>
      <c r="S29" s="101">
        <f t="shared" si="12"/>
        <v>0</v>
      </c>
      <c r="T29" s="67">
        <f>IFERROR(SUMIF(超音波画像診断装置!$C$30:$C$74,B29,超音波画像診断装置!$K$30:$K$74)*((超音波画像診断装置!$H$3-超音波画像診断装置!$I$3)/超音波画像診断装置!$H$3),0)</f>
        <v>0</v>
      </c>
      <c r="U29" s="68">
        <f t="shared" si="13"/>
        <v>0</v>
      </c>
      <c r="V29" s="67">
        <f>IFERROR(SUMIF(血液浄化装置!$C$30:$C$74,B29,血液浄化装置!$K$30:$K$74)*((血液浄化装置!$H$3-血液浄化装置!$I$3)/血液浄化装置!$H$3),0)</f>
        <v>0</v>
      </c>
      <c r="W29" s="68">
        <f t="shared" si="14"/>
        <v>0</v>
      </c>
      <c r="X29" s="67">
        <f>IFERROR(SUMIF(気管支鏡!$C$30:$C$74,B29,気管支鏡!$K$30:$K$74)*((気管支鏡!$H$3-気管支鏡!$I$3)/気管支鏡!$H$3),0)</f>
        <v>0</v>
      </c>
      <c r="Y29" s="68">
        <f t="shared" si="0"/>
        <v>0</v>
      </c>
      <c r="Z29" s="67">
        <f>IFERROR(SUMIF(CT撮影装置!$C$30:$C$74,B29,CT撮影装置!$K$30:$K$74)*((CT撮影装置!$H$3-CT撮影装置!$I$3)/CT撮影装置!$H$3),0)</f>
        <v>0</v>
      </c>
      <c r="AA29" s="68">
        <f t="shared" si="15"/>
        <v>0</v>
      </c>
      <c r="AB29" s="67">
        <f>IFERROR(SUMIF(生体情報モニタ!$C$30:$C$74,B29,生体情報モニタ!$K$30:$K$74)*((生体情報モニタ!$H$3-生体情報モニタ!$I$3)/生体情報モニタ!$H$3),0)</f>
        <v>0</v>
      </c>
      <c r="AC29" s="68">
        <f t="shared" si="1"/>
        <v>0</v>
      </c>
      <c r="AD29" s="67">
        <f>IFERROR(SUMIF(分娩監視装置!$C$30:$C$74,B29,分娩監視装置!$K$30:$K$74)*((分娩監視装置!$H$3-分娩監視装置!$I$3)/分娩監視装置!$H$3),0)</f>
        <v>0</v>
      </c>
      <c r="AE29" s="68">
        <f t="shared" si="16"/>
        <v>0</v>
      </c>
      <c r="AF29" s="67">
        <f>IFERROR(SUMIF(新生児モニタ!$C$30:$C$74,B29,新生児モニタ!$K$30:$K$74)*((新生児モニタ!$H$3-新生児モニタ!$I$3)/新生児モニタ!$H$3),0)</f>
        <v>0</v>
      </c>
      <c r="AG29" s="68">
        <f t="shared" si="17"/>
        <v>0</v>
      </c>
    </row>
    <row r="30" spans="2:33">
      <c r="B30" s="64" t="s">
        <v>677</v>
      </c>
      <c r="C30" s="67">
        <f>IFERROR(SUMIF(初度設備!$C$30:$C$74,B30,初度設備!$N$30:$N$74)*((初度設備!$H$3-初度設備!$I$3)/初度設備!$H$3),0)</f>
        <v>0</v>
      </c>
      <c r="D30" s="68">
        <f t="shared" si="2"/>
        <v>0</v>
      </c>
      <c r="E30" s="67">
        <f>IFERROR(SUMIF(人工呼吸器!$C$30:$C$74,B30,人工呼吸器!$N$30:$N$74)*((人工呼吸器!$H$3-人工呼吸器!$I$3)/人工呼吸器!$H$3),0)</f>
        <v>0</v>
      </c>
      <c r="F30" s="68">
        <f t="shared" si="3"/>
        <v>0</v>
      </c>
      <c r="G30" s="68">
        <f t="shared" si="4"/>
        <v>0</v>
      </c>
      <c r="H30" s="68">
        <f t="shared" si="5"/>
        <v>0</v>
      </c>
      <c r="I30" s="67">
        <f>IFERROR(SUMIF(簡易陰圧装置!$C$30:$C$74,B30,簡易陰圧装置!$N$30:$N$74)*((簡易陰圧装置!$H$3-簡易陰圧装置!$I$3)/簡易陰圧装置!$H$3),0)</f>
        <v>0</v>
      </c>
      <c r="J30" s="68">
        <f t="shared" si="6"/>
        <v>0</v>
      </c>
      <c r="K30" s="67">
        <f>IFERROR(SUMIF(#REF!,B30,#REF!)*((#REF!-#REF!)/#REF!),0)</f>
        <v>0</v>
      </c>
      <c r="L30" s="68">
        <f t="shared" si="7"/>
        <v>0</v>
      </c>
      <c r="M30" s="67">
        <f>IFERROR(SUMIF(体外式膜型人工肺!$C$30:$C$74,B30,体外式膜型人工肺!$N$30:$N$74)*((体外式膜型人工肺!$H$3-体外式膜型人工肺!$I$3)/体外式膜型人工肺!$H$3),0)</f>
        <v>0</v>
      </c>
      <c r="N30" s="68">
        <f t="shared" si="8"/>
        <v>0</v>
      </c>
      <c r="O30" s="68">
        <f t="shared" si="9"/>
        <v>0</v>
      </c>
      <c r="P30" s="68">
        <f t="shared" si="10"/>
        <v>0</v>
      </c>
      <c r="Q30" s="67">
        <f>IFERROR(SUMIF(紫外線照射装置!$C$30:$C$74,B30,紫外線照射装置!$N$30:$N$74)*((紫外線照射装置!$H$3-紫外線照射装置!$I$3)/紫外線照射装置!$H$3),0)</f>
        <v>0</v>
      </c>
      <c r="R30" s="68">
        <f t="shared" si="11"/>
        <v>0</v>
      </c>
      <c r="S30" s="101">
        <f t="shared" si="12"/>
        <v>0</v>
      </c>
      <c r="T30" s="67">
        <f>IFERROR(SUMIF(超音波画像診断装置!$C$30:$C$74,B30,超音波画像診断装置!$K$30:$K$74)*((超音波画像診断装置!$H$3-超音波画像診断装置!$I$3)/超音波画像診断装置!$H$3),0)</f>
        <v>0</v>
      </c>
      <c r="U30" s="68">
        <f t="shared" si="13"/>
        <v>0</v>
      </c>
      <c r="V30" s="67">
        <f>IFERROR(SUMIF(血液浄化装置!$C$30:$C$74,B30,血液浄化装置!$K$30:$K$74)*((血液浄化装置!$H$3-血液浄化装置!$I$3)/血液浄化装置!$H$3),0)</f>
        <v>0</v>
      </c>
      <c r="W30" s="68">
        <f t="shared" si="14"/>
        <v>0</v>
      </c>
      <c r="X30" s="67">
        <f>IFERROR(SUMIF(気管支鏡!$C$30:$C$74,B30,気管支鏡!$K$30:$K$74)*((気管支鏡!$H$3-気管支鏡!$I$3)/気管支鏡!$H$3),0)</f>
        <v>0</v>
      </c>
      <c r="Y30" s="68">
        <f t="shared" si="0"/>
        <v>0</v>
      </c>
      <c r="Z30" s="67">
        <f>IFERROR(SUMIF(CT撮影装置!$C$30:$C$74,B30,CT撮影装置!$K$30:$K$74)*((CT撮影装置!$H$3-CT撮影装置!$I$3)/CT撮影装置!$H$3),0)</f>
        <v>0</v>
      </c>
      <c r="AA30" s="68">
        <f t="shared" si="15"/>
        <v>0</v>
      </c>
      <c r="AB30" s="67">
        <f>IFERROR(SUMIF(生体情報モニタ!$C$30:$C$74,B30,生体情報モニタ!$K$30:$K$74)*((生体情報モニタ!$H$3-生体情報モニタ!$I$3)/生体情報モニタ!$H$3),0)</f>
        <v>0</v>
      </c>
      <c r="AC30" s="68">
        <f t="shared" si="1"/>
        <v>0</v>
      </c>
      <c r="AD30" s="67">
        <f>IFERROR(SUMIF(分娩監視装置!$C$30:$C$74,B30,分娩監視装置!$K$30:$K$74)*((分娩監視装置!$H$3-分娩監視装置!$I$3)/分娩監視装置!$H$3),0)</f>
        <v>0</v>
      </c>
      <c r="AE30" s="68">
        <f t="shared" si="16"/>
        <v>0</v>
      </c>
      <c r="AF30" s="67">
        <f>IFERROR(SUMIF(新生児モニタ!$C$30:$C$74,B30,新生児モニタ!$K$30:$K$74)*((新生児モニタ!$H$3-新生児モニタ!$I$3)/新生児モニタ!$H$3),0)</f>
        <v>0</v>
      </c>
      <c r="AG30" s="68">
        <f t="shared" si="17"/>
        <v>0</v>
      </c>
    </row>
    <row r="31" spans="2:33">
      <c r="B31" s="64" t="s">
        <v>678</v>
      </c>
      <c r="C31" s="67">
        <f>IFERROR(SUMIF(初度設備!$C$30:$C$74,B31,初度設備!$N$30:$N$74)*((初度設備!$H$3-初度設備!$I$3)/初度設備!$H$3),0)</f>
        <v>0</v>
      </c>
      <c r="D31" s="68">
        <f t="shared" si="2"/>
        <v>0</v>
      </c>
      <c r="E31" s="67">
        <f>IFERROR(SUMIF(人工呼吸器!$C$30:$C$74,B31,人工呼吸器!$N$30:$N$74)*((人工呼吸器!$H$3-人工呼吸器!$I$3)/人工呼吸器!$H$3),0)</f>
        <v>0</v>
      </c>
      <c r="F31" s="68">
        <f t="shared" si="3"/>
        <v>0</v>
      </c>
      <c r="G31" s="68">
        <f t="shared" si="4"/>
        <v>0</v>
      </c>
      <c r="H31" s="68">
        <f t="shared" si="5"/>
        <v>0</v>
      </c>
      <c r="I31" s="67">
        <f>IFERROR(SUMIF(簡易陰圧装置!$C$30:$C$74,B31,簡易陰圧装置!$N$30:$N$74)*((簡易陰圧装置!$H$3-簡易陰圧装置!$I$3)/簡易陰圧装置!$H$3),0)</f>
        <v>0</v>
      </c>
      <c r="J31" s="68">
        <f t="shared" si="6"/>
        <v>0</v>
      </c>
      <c r="K31" s="67">
        <f>IFERROR(SUMIF(#REF!,B31,#REF!)*((#REF!-#REF!)/#REF!),0)</f>
        <v>0</v>
      </c>
      <c r="L31" s="68">
        <f t="shared" si="7"/>
        <v>0</v>
      </c>
      <c r="M31" s="67">
        <f>IFERROR(SUMIF(体外式膜型人工肺!$C$30:$C$74,B31,体外式膜型人工肺!$N$30:$N$74)*((体外式膜型人工肺!$H$3-体外式膜型人工肺!$I$3)/体外式膜型人工肺!$H$3),0)</f>
        <v>0</v>
      </c>
      <c r="N31" s="68">
        <f t="shared" si="8"/>
        <v>0</v>
      </c>
      <c r="O31" s="68">
        <f t="shared" si="9"/>
        <v>0</v>
      </c>
      <c r="P31" s="68">
        <f t="shared" si="10"/>
        <v>0</v>
      </c>
      <c r="Q31" s="67">
        <f>IFERROR(SUMIF(紫外線照射装置!$C$30:$C$74,B31,紫外線照射装置!$N$30:$N$74)*((紫外線照射装置!$H$3-紫外線照射装置!$I$3)/紫外線照射装置!$H$3),0)</f>
        <v>0</v>
      </c>
      <c r="R31" s="68">
        <f t="shared" si="11"/>
        <v>0</v>
      </c>
      <c r="S31" s="101">
        <f t="shared" si="12"/>
        <v>0</v>
      </c>
      <c r="T31" s="67">
        <f>IFERROR(SUMIF(超音波画像診断装置!$C$30:$C$74,B31,超音波画像診断装置!$K$30:$K$74)*((超音波画像診断装置!$H$3-超音波画像診断装置!$I$3)/超音波画像診断装置!$H$3),0)</f>
        <v>0</v>
      </c>
      <c r="U31" s="68">
        <f t="shared" si="13"/>
        <v>0</v>
      </c>
      <c r="V31" s="67">
        <f>IFERROR(SUMIF(血液浄化装置!$C$30:$C$74,B31,血液浄化装置!$K$30:$K$74)*((血液浄化装置!$H$3-血液浄化装置!$I$3)/血液浄化装置!$H$3),0)</f>
        <v>0</v>
      </c>
      <c r="W31" s="68">
        <f t="shared" si="14"/>
        <v>0</v>
      </c>
      <c r="X31" s="67">
        <f>IFERROR(SUMIF(気管支鏡!$C$30:$C$74,B31,気管支鏡!$K$30:$K$74)*((気管支鏡!$H$3-気管支鏡!$I$3)/気管支鏡!$H$3),0)</f>
        <v>0</v>
      </c>
      <c r="Y31" s="68">
        <f t="shared" si="0"/>
        <v>0</v>
      </c>
      <c r="Z31" s="67">
        <f>IFERROR(SUMIF(CT撮影装置!$C$30:$C$74,B31,CT撮影装置!$K$30:$K$74)*((CT撮影装置!$H$3-CT撮影装置!$I$3)/CT撮影装置!$H$3),0)</f>
        <v>0</v>
      </c>
      <c r="AA31" s="68">
        <f t="shared" si="15"/>
        <v>0</v>
      </c>
      <c r="AB31" s="67">
        <f>IFERROR(SUMIF(生体情報モニタ!$C$30:$C$74,B31,生体情報モニタ!$K$30:$K$74)*((生体情報モニタ!$H$3-生体情報モニタ!$I$3)/生体情報モニタ!$H$3),0)</f>
        <v>0</v>
      </c>
      <c r="AC31" s="68">
        <f t="shared" si="1"/>
        <v>0</v>
      </c>
      <c r="AD31" s="67">
        <f>IFERROR(SUMIF(分娩監視装置!$C$30:$C$74,B31,分娩監視装置!$K$30:$K$74)*((分娩監視装置!$H$3-分娩監視装置!$I$3)/分娩監視装置!$H$3),0)</f>
        <v>0</v>
      </c>
      <c r="AE31" s="68">
        <f t="shared" si="16"/>
        <v>0</v>
      </c>
      <c r="AF31" s="67">
        <f>IFERROR(SUMIF(新生児モニタ!$C$30:$C$74,B31,新生児モニタ!$K$30:$K$74)*((新生児モニタ!$H$3-新生児モニタ!$I$3)/新生児モニタ!$H$3),0)</f>
        <v>0</v>
      </c>
      <c r="AG31" s="68">
        <f t="shared" si="17"/>
        <v>0</v>
      </c>
    </row>
    <row r="32" spans="2:33">
      <c r="B32" s="64" t="s">
        <v>679</v>
      </c>
      <c r="C32" s="67">
        <f>IFERROR(SUMIF(初度設備!$C$30:$C$74,B32,初度設備!$N$30:$N$74)*((初度設備!$H$3-初度設備!$I$3)/初度設備!$H$3),0)</f>
        <v>0</v>
      </c>
      <c r="D32" s="68">
        <f t="shared" si="2"/>
        <v>0</v>
      </c>
      <c r="E32" s="67">
        <f>IFERROR(SUMIF(人工呼吸器!$C$30:$C$74,B32,人工呼吸器!$N$30:$N$74)*((人工呼吸器!$H$3-人工呼吸器!$I$3)/人工呼吸器!$H$3),0)</f>
        <v>0</v>
      </c>
      <c r="F32" s="68">
        <f t="shared" si="3"/>
        <v>0</v>
      </c>
      <c r="G32" s="68">
        <f t="shared" si="4"/>
        <v>0</v>
      </c>
      <c r="H32" s="68">
        <f t="shared" si="5"/>
        <v>0</v>
      </c>
      <c r="I32" s="67">
        <f>IFERROR(SUMIF(簡易陰圧装置!$C$30:$C$74,B32,簡易陰圧装置!$N$30:$N$74)*((簡易陰圧装置!$H$3-簡易陰圧装置!$I$3)/簡易陰圧装置!$H$3),0)</f>
        <v>0</v>
      </c>
      <c r="J32" s="68">
        <f t="shared" si="6"/>
        <v>0</v>
      </c>
      <c r="K32" s="67">
        <f>IFERROR(SUMIF(#REF!,B32,#REF!)*((#REF!-#REF!)/#REF!),0)</f>
        <v>0</v>
      </c>
      <c r="L32" s="68">
        <f t="shared" si="7"/>
        <v>0</v>
      </c>
      <c r="M32" s="67">
        <f>IFERROR(SUMIF(体外式膜型人工肺!$C$30:$C$74,B32,体外式膜型人工肺!$N$30:$N$74)*((体外式膜型人工肺!$H$3-体外式膜型人工肺!$I$3)/体外式膜型人工肺!$H$3),0)</f>
        <v>0</v>
      </c>
      <c r="N32" s="68">
        <f t="shared" si="8"/>
        <v>0</v>
      </c>
      <c r="O32" s="68">
        <f t="shared" si="9"/>
        <v>0</v>
      </c>
      <c r="P32" s="68">
        <f t="shared" si="10"/>
        <v>0</v>
      </c>
      <c r="Q32" s="67">
        <f>IFERROR(SUMIF(紫外線照射装置!$C$30:$C$74,B32,紫外線照射装置!$N$30:$N$74)*((紫外線照射装置!$H$3-紫外線照射装置!$I$3)/紫外線照射装置!$H$3),0)</f>
        <v>0</v>
      </c>
      <c r="R32" s="68">
        <f t="shared" si="11"/>
        <v>0</v>
      </c>
      <c r="S32" s="101">
        <f t="shared" si="12"/>
        <v>0</v>
      </c>
      <c r="T32" s="67">
        <f>IFERROR(SUMIF(超音波画像診断装置!$C$30:$C$74,B32,超音波画像診断装置!$K$30:$K$74)*((超音波画像診断装置!$H$3-超音波画像診断装置!$I$3)/超音波画像診断装置!$H$3),0)</f>
        <v>0</v>
      </c>
      <c r="U32" s="68">
        <f t="shared" si="13"/>
        <v>0</v>
      </c>
      <c r="V32" s="67">
        <f>IFERROR(SUMIF(血液浄化装置!$C$30:$C$74,B32,血液浄化装置!$K$30:$K$74)*((血液浄化装置!$H$3-血液浄化装置!$I$3)/血液浄化装置!$H$3),0)</f>
        <v>0</v>
      </c>
      <c r="W32" s="68">
        <f t="shared" si="14"/>
        <v>0</v>
      </c>
      <c r="X32" s="67">
        <f>IFERROR(SUMIF(気管支鏡!$C$30:$C$74,B32,気管支鏡!$K$30:$K$74)*((気管支鏡!$H$3-気管支鏡!$I$3)/気管支鏡!$H$3),0)</f>
        <v>0</v>
      </c>
      <c r="Y32" s="68">
        <f t="shared" si="0"/>
        <v>0</v>
      </c>
      <c r="Z32" s="67">
        <f>IFERROR(SUMIF(CT撮影装置!$C$30:$C$74,B32,CT撮影装置!$K$30:$K$74)*((CT撮影装置!$H$3-CT撮影装置!$I$3)/CT撮影装置!$H$3),0)</f>
        <v>0</v>
      </c>
      <c r="AA32" s="68">
        <f t="shared" si="15"/>
        <v>0</v>
      </c>
      <c r="AB32" s="67">
        <f>IFERROR(SUMIF(生体情報モニタ!$C$30:$C$74,B32,生体情報モニタ!$K$30:$K$74)*((生体情報モニタ!$H$3-生体情報モニタ!$I$3)/生体情報モニタ!$H$3),0)</f>
        <v>0</v>
      </c>
      <c r="AC32" s="68">
        <f t="shared" si="1"/>
        <v>0</v>
      </c>
      <c r="AD32" s="67">
        <f>IFERROR(SUMIF(分娩監視装置!$C$30:$C$74,B32,分娩監視装置!$K$30:$K$74)*((分娩監視装置!$H$3-分娩監視装置!$I$3)/分娩監視装置!$H$3),0)</f>
        <v>0</v>
      </c>
      <c r="AE32" s="68">
        <f t="shared" si="16"/>
        <v>0</v>
      </c>
      <c r="AF32" s="67">
        <f>IFERROR(SUMIF(新生児モニタ!$C$30:$C$74,B32,新生児モニタ!$K$30:$K$74)*((新生児モニタ!$H$3-新生児モニタ!$I$3)/新生児モニタ!$H$3),0)</f>
        <v>0</v>
      </c>
      <c r="AG32" s="68">
        <f t="shared" si="17"/>
        <v>0</v>
      </c>
    </row>
    <row r="33" spans="2:33">
      <c r="B33" s="64" t="s">
        <v>680</v>
      </c>
      <c r="C33" s="67">
        <f>IFERROR(SUMIF(初度設備!$C$30:$C$74,B33,初度設備!$N$30:$N$74)*((初度設備!$H$3-初度設備!$I$3)/初度設備!$H$3),0)</f>
        <v>0</v>
      </c>
      <c r="D33" s="68">
        <f t="shared" si="2"/>
        <v>0</v>
      </c>
      <c r="E33" s="67">
        <f>IFERROR(SUMIF(人工呼吸器!$C$30:$C$74,B33,人工呼吸器!$N$30:$N$74)*((人工呼吸器!$H$3-人工呼吸器!$I$3)/人工呼吸器!$H$3),0)</f>
        <v>0</v>
      </c>
      <c r="F33" s="68">
        <f t="shared" si="3"/>
        <v>0</v>
      </c>
      <c r="G33" s="68">
        <f t="shared" si="4"/>
        <v>0</v>
      </c>
      <c r="H33" s="68">
        <f t="shared" si="5"/>
        <v>0</v>
      </c>
      <c r="I33" s="67">
        <f>IFERROR(SUMIF(簡易陰圧装置!$C$30:$C$74,B33,簡易陰圧装置!$N$30:$N$74)*((簡易陰圧装置!$H$3-簡易陰圧装置!$I$3)/簡易陰圧装置!$H$3),0)</f>
        <v>0</v>
      </c>
      <c r="J33" s="68">
        <f t="shared" si="6"/>
        <v>0</v>
      </c>
      <c r="K33" s="67">
        <f>IFERROR(SUMIF(#REF!,B33,#REF!)*((#REF!-#REF!)/#REF!),0)</f>
        <v>0</v>
      </c>
      <c r="L33" s="68">
        <f t="shared" si="7"/>
        <v>0</v>
      </c>
      <c r="M33" s="67">
        <f>IFERROR(SUMIF(体外式膜型人工肺!$C$30:$C$74,B33,体外式膜型人工肺!$N$30:$N$74)*((体外式膜型人工肺!$H$3-体外式膜型人工肺!$I$3)/体外式膜型人工肺!$H$3),0)</f>
        <v>0</v>
      </c>
      <c r="N33" s="68">
        <f t="shared" si="8"/>
        <v>0</v>
      </c>
      <c r="O33" s="68">
        <f t="shared" si="9"/>
        <v>0</v>
      </c>
      <c r="P33" s="68">
        <f t="shared" si="10"/>
        <v>0</v>
      </c>
      <c r="Q33" s="67">
        <f>IFERROR(SUMIF(紫外線照射装置!$C$30:$C$74,B33,紫外線照射装置!$N$30:$N$74)*((紫外線照射装置!$H$3-紫外線照射装置!$I$3)/紫外線照射装置!$H$3),0)</f>
        <v>0</v>
      </c>
      <c r="R33" s="68">
        <f t="shared" si="11"/>
        <v>0</v>
      </c>
      <c r="S33" s="101">
        <f t="shared" si="12"/>
        <v>0</v>
      </c>
      <c r="T33" s="67">
        <f>IFERROR(SUMIF(超音波画像診断装置!$C$30:$C$74,B33,超音波画像診断装置!$K$30:$K$74)*((超音波画像診断装置!$H$3-超音波画像診断装置!$I$3)/超音波画像診断装置!$H$3),0)</f>
        <v>0</v>
      </c>
      <c r="U33" s="68">
        <f t="shared" si="13"/>
        <v>0</v>
      </c>
      <c r="V33" s="67">
        <f>IFERROR(SUMIF(血液浄化装置!$C$30:$C$74,B33,血液浄化装置!$K$30:$K$74)*((血液浄化装置!$H$3-血液浄化装置!$I$3)/血液浄化装置!$H$3),0)</f>
        <v>0</v>
      </c>
      <c r="W33" s="68">
        <f t="shared" si="14"/>
        <v>0</v>
      </c>
      <c r="X33" s="67">
        <f>IFERROR(SUMIF(気管支鏡!$C$30:$C$74,B33,気管支鏡!$K$30:$K$74)*((気管支鏡!$H$3-気管支鏡!$I$3)/気管支鏡!$H$3),0)</f>
        <v>0</v>
      </c>
      <c r="Y33" s="68">
        <f t="shared" si="0"/>
        <v>0</v>
      </c>
      <c r="Z33" s="67">
        <f>IFERROR(SUMIF(CT撮影装置!$C$30:$C$74,B33,CT撮影装置!$K$30:$K$74)*((CT撮影装置!$H$3-CT撮影装置!$I$3)/CT撮影装置!$H$3),0)</f>
        <v>0</v>
      </c>
      <c r="AA33" s="68">
        <f t="shared" si="15"/>
        <v>0</v>
      </c>
      <c r="AB33" s="67">
        <f>IFERROR(SUMIF(生体情報モニタ!$C$30:$C$74,B33,生体情報モニタ!$K$30:$K$74)*((生体情報モニタ!$H$3-生体情報モニタ!$I$3)/生体情報モニタ!$H$3),0)</f>
        <v>0</v>
      </c>
      <c r="AC33" s="68">
        <f t="shared" si="1"/>
        <v>0</v>
      </c>
      <c r="AD33" s="67">
        <f>IFERROR(SUMIF(分娩監視装置!$C$30:$C$74,B33,分娩監視装置!$K$30:$K$74)*((分娩監視装置!$H$3-分娩監視装置!$I$3)/分娩監視装置!$H$3),0)</f>
        <v>0</v>
      </c>
      <c r="AE33" s="68">
        <f t="shared" si="16"/>
        <v>0</v>
      </c>
      <c r="AF33" s="67">
        <f>IFERROR(SUMIF(新生児モニタ!$C$30:$C$74,B33,新生児モニタ!$K$30:$K$74)*((新生児モニタ!$H$3-新生児モニタ!$I$3)/新生児モニタ!$H$3),0)</f>
        <v>0</v>
      </c>
      <c r="AG33" s="68">
        <f t="shared" si="17"/>
        <v>0</v>
      </c>
    </row>
    <row r="34" spans="2:33">
      <c r="B34" s="64" t="s">
        <v>681</v>
      </c>
      <c r="C34" s="67">
        <f>IFERROR(SUMIF(初度設備!$C$30:$C$74,B34,初度設備!$N$30:$N$74)*((初度設備!$H$3-初度設備!$I$3)/初度設備!$H$3),0)</f>
        <v>0</v>
      </c>
      <c r="D34" s="68">
        <f t="shared" si="2"/>
        <v>0</v>
      </c>
      <c r="E34" s="67">
        <f>IFERROR(SUMIF(人工呼吸器!$C$30:$C$74,B34,人工呼吸器!$N$30:$N$74)*((人工呼吸器!$H$3-人工呼吸器!$I$3)/人工呼吸器!$H$3),0)</f>
        <v>0</v>
      </c>
      <c r="F34" s="68">
        <f t="shared" si="3"/>
        <v>0</v>
      </c>
      <c r="G34" s="68">
        <f t="shared" si="4"/>
        <v>0</v>
      </c>
      <c r="H34" s="68">
        <f t="shared" si="5"/>
        <v>0</v>
      </c>
      <c r="I34" s="67">
        <f>IFERROR(SUMIF(簡易陰圧装置!$C$30:$C$74,B34,簡易陰圧装置!$N$30:$N$74)*((簡易陰圧装置!$H$3-簡易陰圧装置!$I$3)/簡易陰圧装置!$H$3),0)</f>
        <v>0</v>
      </c>
      <c r="J34" s="68">
        <f t="shared" si="6"/>
        <v>0</v>
      </c>
      <c r="K34" s="67">
        <f>IFERROR(SUMIF(#REF!,B34,#REF!)*((#REF!-#REF!)/#REF!),0)</f>
        <v>0</v>
      </c>
      <c r="L34" s="68">
        <f t="shared" si="7"/>
        <v>0</v>
      </c>
      <c r="M34" s="67">
        <f>IFERROR(SUMIF(体外式膜型人工肺!$C$30:$C$74,B34,体外式膜型人工肺!$N$30:$N$74)*((体外式膜型人工肺!$H$3-体外式膜型人工肺!$I$3)/体外式膜型人工肺!$H$3),0)</f>
        <v>0</v>
      </c>
      <c r="N34" s="68">
        <f t="shared" si="8"/>
        <v>0</v>
      </c>
      <c r="O34" s="68">
        <f t="shared" si="9"/>
        <v>0</v>
      </c>
      <c r="P34" s="68">
        <f t="shared" si="10"/>
        <v>0</v>
      </c>
      <c r="Q34" s="67">
        <f>IFERROR(SUMIF(紫外線照射装置!$C$30:$C$74,B34,紫外線照射装置!$N$30:$N$74)*((紫外線照射装置!$H$3-紫外線照射装置!$I$3)/紫外線照射装置!$H$3),0)</f>
        <v>0</v>
      </c>
      <c r="R34" s="68">
        <f t="shared" si="11"/>
        <v>0</v>
      </c>
      <c r="S34" s="101">
        <f t="shared" si="12"/>
        <v>0</v>
      </c>
      <c r="T34" s="67">
        <f>IFERROR(SUMIF(超音波画像診断装置!$C$30:$C$74,B34,超音波画像診断装置!$K$30:$K$74)*((超音波画像診断装置!$H$3-超音波画像診断装置!$I$3)/超音波画像診断装置!$H$3),0)</f>
        <v>0</v>
      </c>
      <c r="U34" s="68">
        <f t="shared" si="13"/>
        <v>0</v>
      </c>
      <c r="V34" s="67">
        <f>IFERROR(SUMIF(血液浄化装置!$C$30:$C$74,B34,血液浄化装置!$K$30:$K$74)*((血液浄化装置!$H$3-血液浄化装置!$I$3)/血液浄化装置!$H$3),0)</f>
        <v>0</v>
      </c>
      <c r="W34" s="68">
        <f t="shared" si="14"/>
        <v>0</v>
      </c>
      <c r="X34" s="67">
        <f>IFERROR(SUMIF(気管支鏡!$C$30:$C$74,B34,気管支鏡!$K$30:$K$74)*((気管支鏡!$H$3-気管支鏡!$I$3)/気管支鏡!$H$3),0)</f>
        <v>0</v>
      </c>
      <c r="Y34" s="68">
        <f t="shared" si="0"/>
        <v>0</v>
      </c>
      <c r="Z34" s="67">
        <f>IFERROR(SUMIF(CT撮影装置!$C$30:$C$74,B34,CT撮影装置!$K$30:$K$74)*((CT撮影装置!$H$3-CT撮影装置!$I$3)/CT撮影装置!$H$3),0)</f>
        <v>0</v>
      </c>
      <c r="AA34" s="68">
        <f t="shared" si="15"/>
        <v>0</v>
      </c>
      <c r="AB34" s="67">
        <f>IFERROR(SUMIF(生体情報モニタ!$C$30:$C$74,B34,生体情報モニタ!$K$30:$K$74)*((生体情報モニタ!$H$3-生体情報モニタ!$I$3)/生体情報モニタ!$H$3),0)</f>
        <v>0</v>
      </c>
      <c r="AC34" s="68">
        <f t="shared" si="1"/>
        <v>0</v>
      </c>
      <c r="AD34" s="67">
        <f>IFERROR(SUMIF(分娩監視装置!$C$30:$C$74,B34,分娩監視装置!$K$30:$K$74)*((分娩監視装置!$H$3-分娩監視装置!$I$3)/分娩監視装置!$H$3),0)</f>
        <v>0</v>
      </c>
      <c r="AE34" s="68">
        <f t="shared" si="16"/>
        <v>0</v>
      </c>
      <c r="AF34" s="67">
        <f>IFERROR(SUMIF(新生児モニタ!$C$30:$C$74,B34,新生児モニタ!$K$30:$K$74)*((新生児モニタ!$H$3-新生児モニタ!$I$3)/新生児モニタ!$H$3),0)</f>
        <v>0</v>
      </c>
      <c r="AG34" s="68">
        <f t="shared" si="17"/>
        <v>0</v>
      </c>
    </row>
    <row r="35" spans="2:33">
      <c r="B35" s="64" t="s">
        <v>682</v>
      </c>
      <c r="C35" s="67">
        <f>IFERROR(SUMIF(初度設備!$C$30:$C$74,B35,初度設備!$N$30:$N$74)*((初度設備!$H$3-初度設備!$I$3)/初度設備!$H$3),0)</f>
        <v>0</v>
      </c>
      <c r="D35" s="68">
        <f t="shared" si="2"/>
        <v>0</v>
      </c>
      <c r="E35" s="67">
        <f>IFERROR(SUMIF(人工呼吸器!$C$30:$C$74,B35,人工呼吸器!$N$30:$N$74)*((人工呼吸器!$H$3-人工呼吸器!$I$3)/人工呼吸器!$H$3),0)</f>
        <v>0</v>
      </c>
      <c r="F35" s="68">
        <f t="shared" si="3"/>
        <v>0</v>
      </c>
      <c r="G35" s="68">
        <f t="shared" si="4"/>
        <v>0</v>
      </c>
      <c r="H35" s="68">
        <f t="shared" si="5"/>
        <v>0</v>
      </c>
      <c r="I35" s="67">
        <f>IFERROR(SUMIF(簡易陰圧装置!$C$30:$C$74,B35,簡易陰圧装置!$N$30:$N$74)*((簡易陰圧装置!$H$3-簡易陰圧装置!$I$3)/簡易陰圧装置!$H$3),0)</f>
        <v>0</v>
      </c>
      <c r="J35" s="68">
        <f t="shared" si="6"/>
        <v>0</v>
      </c>
      <c r="K35" s="67">
        <f>IFERROR(SUMIF(#REF!,B35,#REF!)*((#REF!-#REF!)/#REF!),0)</f>
        <v>0</v>
      </c>
      <c r="L35" s="68">
        <f t="shared" si="7"/>
        <v>0</v>
      </c>
      <c r="M35" s="67">
        <f>IFERROR(SUMIF(体外式膜型人工肺!$C$30:$C$74,B35,体外式膜型人工肺!$N$30:$N$74)*((体外式膜型人工肺!$H$3-体外式膜型人工肺!$I$3)/体外式膜型人工肺!$H$3),0)</f>
        <v>0</v>
      </c>
      <c r="N35" s="68">
        <f t="shared" si="8"/>
        <v>0</v>
      </c>
      <c r="O35" s="68">
        <f t="shared" si="9"/>
        <v>0</v>
      </c>
      <c r="P35" s="68">
        <f t="shared" si="10"/>
        <v>0</v>
      </c>
      <c r="Q35" s="67">
        <f>IFERROR(SUMIF(紫外線照射装置!$C$30:$C$74,B35,紫外線照射装置!$N$30:$N$74)*((紫外線照射装置!$H$3-紫外線照射装置!$I$3)/紫外線照射装置!$H$3),0)</f>
        <v>0</v>
      </c>
      <c r="R35" s="68">
        <f t="shared" si="11"/>
        <v>0</v>
      </c>
      <c r="S35" s="101">
        <f t="shared" si="12"/>
        <v>0</v>
      </c>
      <c r="T35" s="67">
        <f>IFERROR(SUMIF(超音波画像診断装置!$C$30:$C$74,B35,超音波画像診断装置!$K$30:$K$74)*((超音波画像診断装置!$H$3-超音波画像診断装置!$I$3)/超音波画像診断装置!$H$3),0)</f>
        <v>0</v>
      </c>
      <c r="U35" s="68">
        <f t="shared" si="13"/>
        <v>0</v>
      </c>
      <c r="V35" s="67">
        <f>IFERROR(SUMIF(血液浄化装置!$C$30:$C$74,B35,血液浄化装置!$K$30:$K$74)*((血液浄化装置!$H$3-血液浄化装置!$I$3)/血液浄化装置!$H$3),0)</f>
        <v>0</v>
      </c>
      <c r="W35" s="68">
        <f t="shared" si="14"/>
        <v>0</v>
      </c>
      <c r="X35" s="67">
        <f>IFERROR(SUMIF(気管支鏡!$C$30:$C$74,B35,気管支鏡!$K$30:$K$74)*((気管支鏡!$H$3-気管支鏡!$I$3)/気管支鏡!$H$3),0)</f>
        <v>0</v>
      </c>
      <c r="Y35" s="68">
        <f t="shared" si="0"/>
        <v>0</v>
      </c>
      <c r="Z35" s="67">
        <f>IFERROR(SUMIF(CT撮影装置!$C$30:$C$74,B35,CT撮影装置!$K$30:$K$74)*((CT撮影装置!$H$3-CT撮影装置!$I$3)/CT撮影装置!$H$3),0)</f>
        <v>0</v>
      </c>
      <c r="AA35" s="68">
        <f t="shared" si="15"/>
        <v>0</v>
      </c>
      <c r="AB35" s="67">
        <f>IFERROR(SUMIF(生体情報モニタ!$C$30:$C$74,B35,生体情報モニタ!$K$30:$K$74)*((生体情報モニタ!$H$3-生体情報モニタ!$I$3)/生体情報モニタ!$H$3),0)</f>
        <v>0</v>
      </c>
      <c r="AC35" s="68">
        <f t="shared" si="1"/>
        <v>0</v>
      </c>
      <c r="AD35" s="67">
        <f>IFERROR(SUMIF(分娩監視装置!$C$30:$C$74,B35,分娩監視装置!$K$30:$K$74)*((分娩監視装置!$H$3-分娩監視装置!$I$3)/分娩監視装置!$H$3),0)</f>
        <v>0</v>
      </c>
      <c r="AE35" s="68">
        <f t="shared" si="16"/>
        <v>0</v>
      </c>
      <c r="AF35" s="67">
        <f>IFERROR(SUMIF(新生児モニタ!$C$30:$C$74,B35,新生児モニタ!$K$30:$K$74)*((新生児モニタ!$H$3-新生児モニタ!$I$3)/新生児モニタ!$H$3),0)</f>
        <v>0</v>
      </c>
      <c r="AG35" s="68">
        <f t="shared" si="17"/>
        <v>0</v>
      </c>
    </row>
    <row r="36" spans="2:33">
      <c r="B36" s="64" t="s">
        <v>683</v>
      </c>
      <c r="C36" s="67">
        <f>IFERROR(SUMIF(初度設備!$C$30:$C$74,B36,初度設備!$N$30:$N$74)*((初度設備!$H$3-初度設備!$I$3)/初度設備!$H$3),0)</f>
        <v>0</v>
      </c>
      <c r="D36" s="68">
        <f t="shared" si="2"/>
        <v>0</v>
      </c>
      <c r="E36" s="67">
        <f>IFERROR(SUMIF(人工呼吸器!$C$30:$C$74,B36,人工呼吸器!$N$30:$N$74)*((人工呼吸器!$H$3-人工呼吸器!$I$3)/人工呼吸器!$H$3),0)</f>
        <v>0</v>
      </c>
      <c r="F36" s="68">
        <f t="shared" si="3"/>
        <v>0</v>
      </c>
      <c r="G36" s="68">
        <f t="shared" si="4"/>
        <v>0</v>
      </c>
      <c r="H36" s="68">
        <f t="shared" si="5"/>
        <v>0</v>
      </c>
      <c r="I36" s="67">
        <f>IFERROR(SUMIF(簡易陰圧装置!$C$30:$C$74,B36,簡易陰圧装置!$N$30:$N$74)*((簡易陰圧装置!$H$3-簡易陰圧装置!$I$3)/簡易陰圧装置!$H$3),0)</f>
        <v>0</v>
      </c>
      <c r="J36" s="68">
        <f t="shared" si="6"/>
        <v>0</v>
      </c>
      <c r="K36" s="67">
        <f>IFERROR(SUMIF(#REF!,B36,#REF!)*((#REF!-#REF!)/#REF!),0)</f>
        <v>0</v>
      </c>
      <c r="L36" s="68">
        <f t="shared" si="7"/>
        <v>0</v>
      </c>
      <c r="M36" s="67">
        <f>IFERROR(SUMIF(体外式膜型人工肺!$C$30:$C$74,B36,体外式膜型人工肺!$N$30:$N$74)*((体外式膜型人工肺!$H$3-体外式膜型人工肺!$I$3)/体外式膜型人工肺!$H$3),0)</f>
        <v>0</v>
      </c>
      <c r="N36" s="68">
        <f t="shared" si="8"/>
        <v>0</v>
      </c>
      <c r="O36" s="68">
        <f t="shared" si="9"/>
        <v>0</v>
      </c>
      <c r="P36" s="68">
        <f t="shared" si="10"/>
        <v>0</v>
      </c>
      <c r="Q36" s="67">
        <f>IFERROR(SUMIF(紫外線照射装置!$C$30:$C$74,B36,紫外線照射装置!$N$30:$N$74)*((紫外線照射装置!$H$3-紫外線照射装置!$I$3)/紫外線照射装置!$H$3),0)</f>
        <v>0</v>
      </c>
      <c r="R36" s="68">
        <f t="shared" si="11"/>
        <v>0</v>
      </c>
      <c r="S36" s="101">
        <f t="shared" si="12"/>
        <v>0</v>
      </c>
      <c r="T36" s="67">
        <f>IFERROR(SUMIF(超音波画像診断装置!$C$30:$C$74,B36,超音波画像診断装置!$K$30:$K$74)*((超音波画像診断装置!$H$3-超音波画像診断装置!$I$3)/超音波画像診断装置!$H$3),0)</f>
        <v>0</v>
      </c>
      <c r="U36" s="68">
        <f t="shared" si="13"/>
        <v>0</v>
      </c>
      <c r="V36" s="67">
        <f>IFERROR(SUMIF(血液浄化装置!$C$30:$C$74,B36,血液浄化装置!$K$30:$K$74)*((血液浄化装置!$H$3-血液浄化装置!$I$3)/血液浄化装置!$H$3),0)</f>
        <v>0</v>
      </c>
      <c r="W36" s="68">
        <f t="shared" si="14"/>
        <v>0</v>
      </c>
      <c r="X36" s="67">
        <f>IFERROR(SUMIF(気管支鏡!$C$30:$C$74,B36,気管支鏡!$K$30:$K$74)*((気管支鏡!$H$3-気管支鏡!$I$3)/気管支鏡!$H$3),0)</f>
        <v>0</v>
      </c>
      <c r="Y36" s="68">
        <f t="shared" si="0"/>
        <v>0</v>
      </c>
      <c r="Z36" s="67">
        <f>IFERROR(SUMIF(CT撮影装置!$C$30:$C$74,B36,CT撮影装置!$K$30:$K$74)*((CT撮影装置!$H$3-CT撮影装置!$I$3)/CT撮影装置!$H$3),0)</f>
        <v>0</v>
      </c>
      <c r="AA36" s="68">
        <f t="shared" si="15"/>
        <v>0</v>
      </c>
      <c r="AB36" s="67">
        <f>IFERROR(SUMIF(生体情報モニタ!$C$30:$C$74,B36,生体情報モニタ!$K$30:$K$74)*((生体情報モニタ!$H$3-生体情報モニタ!$I$3)/生体情報モニタ!$H$3),0)</f>
        <v>0</v>
      </c>
      <c r="AC36" s="68">
        <f t="shared" si="1"/>
        <v>0</v>
      </c>
      <c r="AD36" s="67">
        <f>IFERROR(SUMIF(分娩監視装置!$C$30:$C$74,B36,分娩監視装置!$K$30:$K$74)*((分娩監視装置!$H$3-分娩監視装置!$I$3)/分娩監視装置!$H$3),0)</f>
        <v>0</v>
      </c>
      <c r="AE36" s="68">
        <f t="shared" si="16"/>
        <v>0</v>
      </c>
      <c r="AF36" s="67">
        <f>IFERROR(SUMIF(新生児モニタ!$C$30:$C$74,B36,新生児モニタ!$K$30:$K$74)*((新生児モニタ!$H$3-新生児モニタ!$I$3)/新生児モニタ!$H$3),0)</f>
        <v>0</v>
      </c>
      <c r="AG36" s="68">
        <f t="shared" si="17"/>
        <v>0</v>
      </c>
    </row>
    <row r="37" spans="2:33">
      <c r="B37" s="64" t="s">
        <v>684</v>
      </c>
      <c r="C37" s="67">
        <f>IFERROR(SUMIF(初度設備!$C$30:$C$74,B37,初度設備!$N$30:$N$74)*((初度設備!$H$3-初度設備!$I$3)/初度設備!$H$3),0)</f>
        <v>0</v>
      </c>
      <c r="D37" s="68">
        <f t="shared" si="2"/>
        <v>0</v>
      </c>
      <c r="E37" s="67">
        <f>IFERROR(SUMIF(人工呼吸器!$C$30:$C$74,B37,人工呼吸器!$N$30:$N$74)*((人工呼吸器!$H$3-人工呼吸器!$I$3)/人工呼吸器!$H$3),0)</f>
        <v>0</v>
      </c>
      <c r="F37" s="68">
        <f t="shared" si="3"/>
        <v>0</v>
      </c>
      <c r="G37" s="68">
        <f t="shared" si="4"/>
        <v>0</v>
      </c>
      <c r="H37" s="68">
        <f t="shared" si="5"/>
        <v>0</v>
      </c>
      <c r="I37" s="67">
        <f>IFERROR(SUMIF(簡易陰圧装置!$C$30:$C$74,B37,簡易陰圧装置!$N$30:$N$74)*((簡易陰圧装置!$H$3-簡易陰圧装置!$I$3)/簡易陰圧装置!$H$3),0)</f>
        <v>0</v>
      </c>
      <c r="J37" s="68">
        <f t="shared" si="6"/>
        <v>0</v>
      </c>
      <c r="K37" s="67">
        <f>IFERROR(SUMIF(#REF!,B37,#REF!)*((#REF!-#REF!)/#REF!),0)</f>
        <v>0</v>
      </c>
      <c r="L37" s="68">
        <f t="shared" si="7"/>
        <v>0</v>
      </c>
      <c r="M37" s="67">
        <f>IFERROR(SUMIF(体外式膜型人工肺!$C$30:$C$74,B37,体外式膜型人工肺!$N$30:$N$74)*((体外式膜型人工肺!$H$3-体外式膜型人工肺!$I$3)/体外式膜型人工肺!$H$3),0)</f>
        <v>0</v>
      </c>
      <c r="N37" s="68">
        <f t="shared" si="8"/>
        <v>0</v>
      </c>
      <c r="O37" s="68">
        <f t="shared" si="9"/>
        <v>0</v>
      </c>
      <c r="P37" s="68">
        <f t="shared" si="10"/>
        <v>0</v>
      </c>
      <c r="Q37" s="67">
        <f>IFERROR(SUMIF(紫外線照射装置!$C$30:$C$74,B37,紫外線照射装置!$N$30:$N$74)*((紫外線照射装置!$H$3-紫外線照射装置!$I$3)/紫外線照射装置!$H$3),0)</f>
        <v>0</v>
      </c>
      <c r="R37" s="68">
        <f t="shared" si="11"/>
        <v>0</v>
      </c>
      <c r="S37" s="101">
        <f t="shared" si="12"/>
        <v>0</v>
      </c>
      <c r="T37" s="67">
        <f>IFERROR(SUMIF(超音波画像診断装置!$C$30:$C$74,B37,超音波画像診断装置!$K$30:$K$74)*((超音波画像診断装置!$H$3-超音波画像診断装置!$I$3)/超音波画像診断装置!$H$3),0)</f>
        <v>0</v>
      </c>
      <c r="U37" s="68">
        <f t="shared" si="13"/>
        <v>0</v>
      </c>
      <c r="V37" s="67">
        <f>IFERROR(SUMIF(血液浄化装置!$C$30:$C$74,B37,血液浄化装置!$K$30:$K$74)*((血液浄化装置!$H$3-血液浄化装置!$I$3)/血液浄化装置!$H$3),0)</f>
        <v>0</v>
      </c>
      <c r="W37" s="68">
        <f t="shared" si="14"/>
        <v>0</v>
      </c>
      <c r="X37" s="67">
        <f>IFERROR(SUMIF(気管支鏡!$C$30:$C$74,B37,気管支鏡!$K$30:$K$74)*((気管支鏡!$H$3-気管支鏡!$I$3)/気管支鏡!$H$3),0)</f>
        <v>0</v>
      </c>
      <c r="Y37" s="68">
        <f t="shared" si="0"/>
        <v>0</v>
      </c>
      <c r="Z37" s="67">
        <f>IFERROR(SUMIF(CT撮影装置!$C$30:$C$74,B37,CT撮影装置!$K$30:$K$74)*((CT撮影装置!$H$3-CT撮影装置!$I$3)/CT撮影装置!$H$3),0)</f>
        <v>0</v>
      </c>
      <c r="AA37" s="68">
        <f t="shared" si="15"/>
        <v>0</v>
      </c>
      <c r="AB37" s="67">
        <f>IFERROR(SUMIF(生体情報モニタ!$C$30:$C$74,B37,生体情報モニタ!$K$30:$K$74)*((生体情報モニタ!$H$3-生体情報モニタ!$I$3)/生体情報モニタ!$H$3),0)</f>
        <v>0</v>
      </c>
      <c r="AC37" s="68">
        <f t="shared" si="1"/>
        <v>0</v>
      </c>
      <c r="AD37" s="67">
        <f>IFERROR(SUMIF(分娩監視装置!$C$30:$C$74,B37,分娩監視装置!$K$30:$K$74)*((分娩監視装置!$H$3-分娩監視装置!$I$3)/分娩監視装置!$H$3),0)</f>
        <v>0</v>
      </c>
      <c r="AE37" s="68">
        <f t="shared" si="16"/>
        <v>0</v>
      </c>
      <c r="AF37" s="67">
        <f>IFERROR(SUMIF(新生児モニタ!$C$30:$C$74,B37,新生児モニタ!$K$30:$K$74)*((新生児モニタ!$H$3-新生児モニタ!$I$3)/新生児モニタ!$H$3),0)</f>
        <v>0</v>
      </c>
      <c r="AG37" s="68">
        <f t="shared" si="17"/>
        <v>0</v>
      </c>
    </row>
    <row r="38" spans="2:33">
      <c r="B38" s="64" t="s">
        <v>685</v>
      </c>
      <c r="C38" s="67">
        <f>IFERROR(SUMIF(初度設備!$C$30:$C$74,B38,初度設備!$N$30:$N$74)*((初度設備!$H$3-初度設備!$I$3)/初度設備!$H$3),0)</f>
        <v>0</v>
      </c>
      <c r="D38" s="68">
        <f t="shared" si="2"/>
        <v>0</v>
      </c>
      <c r="E38" s="67">
        <f>IFERROR(SUMIF(人工呼吸器!$C$30:$C$74,B38,人工呼吸器!$N$30:$N$74)*((人工呼吸器!$H$3-人工呼吸器!$I$3)/人工呼吸器!$H$3),0)</f>
        <v>0</v>
      </c>
      <c r="F38" s="68">
        <f t="shared" si="3"/>
        <v>0</v>
      </c>
      <c r="G38" s="68">
        <f t="shared" si="4"/>
        <v>0</v>
      </c>
      <c r="H38" s="68">
        <f t="shared" si="5"/>
        <v>0</v>
      </c>
      <c r="I38" s="67">
        <f>IFERROR(SUMIF(簡易陰圧装置!$C$30:$C$74,B38,簡易陰圧装置!$N$30:$N$74)*((簡易陰圧装置!$H$3-簡易陰圧装置!$I$3)/簡易陰圧装置!$H$3),0)</f>
        <v>0</v>
      </c>
      <c r="J38" s="68">
        <f t="shared" si="6"/>
        <v>0</v>
      </c>
      <c r="K38" s="67">
        <f>IFERROR(SUMIF(#REF!,B38,#REF!)*((#REF!-#REF!)/#REF!),0)</f>
        <v>0</v>
      </c>
      <c r="L38" s="68">
        <f t="shared" si="7"/>
        <v>0</v>
      </c>
      <c r="M38" s="67">
        <f>IFERROR(SUMIF(体外式膜型人工肺!$C$30:$C$74,B38,体外式膜型人工肺!$N$30:$N$74)*((体外式膜型人工肺!$H$3-体外式膜型人工肺!$I$3)/体外式膜型人工肺!$H$3),0)</f>
        <v>0</v>
      </c>
      <c r="N38" s="68">
        <f t="shared" si="8"/>
        <v>0</v>
      </c>
      <c r="O38" s="68">
        <f t="shared" si="9"/>
        <v>0</v>
      </c>
      <c r="P38" s="68">
        <f t="shared" si="10"/>
        <v>0</v>
      </c>
      <c r="Q38" s="67">
        <f>IFERROR(SUMIF(紫外線照射装置!$C$30:$C$74,B38,紫外線照射装置!$N$30:$N$74)*((紫外線照射装置!$H$3-紫外線照射装置!$I$3)/紫外線照射装置!$H$3),0)</f>
        <v>0</v>
      </c>
      <c r="R38" s="68">
        <f t="shared" si="11"/>
        <v>0</v>
      </c>
      <c r="S38" s="101">
        <f t="shared" si="12"/>
        <v>0</v>
      </c>
      <c r="T38" s="67">
        <f>IFERROR(SUMIF(超音波画像診断装置!$C$30:$C$74,B38,超音波画像診断装置!$K$30:$K$74)*((超音波画像診断装置!$H$3-超音波画像診断装置!$I$3)/超音波画像診断装置!$H$3),0)</f>
        <v>0</v>
      </c>
      <c r="U38" s="68">
        <f t="shared" si="13"/>
        <v>0</v>
      </c>
      <c r="V38" s="67">
        <f>IFERROR(SUMIF(血液浄化装置!$C$30:$C$74,B38,血液浄化装置!$K$30:$K$74)*((血液浄化装置!$H$3-血液浄化装置!$I$3)/血液浄化装置!$H$3),0)</f>
        <v>0</v>
      </c>
      <c r="W38" s="68">
        <f t="shared" si="14"/>
        <v>0</v>
      </c>
      <c r="X38" s="67">
        <f>IFERROR(SUMIF(気管支鏡!$C$30:$C$74,B38,気管支鏡!$K$30:$K$74)*((気管支鏡!$H$3-気管支鏡!$I$3)/気管支鏡!$H$3),0)</f>
        <v>0</v>
      </c>
      <c r="Y38" s="68">
        <f t="shared" si="0"/>
        <v>0</v>
      </c>
      <c r="Z38" s="67">
        <f>IFERROR(SUMIF(CT撮影装置!$C$30:$C$74,B38,CT撮影装置!$K$30:$K$74)*((CT撮影装置!$H$3-CT撮影装置!$I$3)/CT撮影装置!$H$3),0)</f>
        <v>0</v>
      </c>
      <c r="AA38" s="68">
        <f t="shared" si="15"/>
        <v>0</v>
      </c>
      <c r="AB38" s="67">
        <f>IFERROR(SUMIF(生体情報モニタ!$C$30:$C$74,B38,生体情報モニタ!$K$30:$K$74)*((生体情報モニタ!$H$3-生体情報モニタ!$I$3)/生体情報モニタ!$H$3),0)</f>
        <v>0</v>
      </c>
      <c r="AC38" s="68">
        <f t="shared" si="1"/>
        <v>0</v>
      </c>
      <c r="AD38" s="67">
        <f>IFERROR(SUMIF(分娩監視装置!$C$30:$C$74,B38,分娩監視装置!$K$30:$K$74)*((分娩監視装置!$H$3-分娩監視装置!$I$3)/分娩監視装置!$H$3),0)</f>
        <v>0</v>
      </c>
      <c r="AE38" s="68">
        <f t="shared" si="16"/>
        <v>0</v>
      </c>
      <c r="AF38" s="67">
        <f>IFERROR(SUMIF(新生児モニタ!$C$30:$C$74,B38,新生児モニタ!$K$30:$K$74)*((新生児モニタ!$H$3-新生児モニタ!$I$3)/新生児モニタ!$H$3),0)</f>
        <v>0</v>
      </c>
      <c r="AG38" s="68">
        <f t="shared" si="17"/>
        <v>0</v>
      </c>
    </row>
    <row r="39" spans="2:33">
      <c r="B39" s="64" t="s">
        <v>686</v>
      </c>
      <c r="C39" s="67">
        <f>IFERROR(SUMIF(初度設備!$C$30:$C$74,B39,初度設備!$N$30:$N$74)*((初度設備!$H$3-初度設備!$I$3)/初度設備!$H$3),0)</f>
        <v>0</v>
      </c>
      <c r="D39" s="68">
        <f t="shared" si="2"/>
        <v>0</v>
      </c>
      <c r="E39" s="67">
        <f>IFERROR(SUMIF(人工呼吸器!$C$30:$C$74,B39,人工呼吸器!$N$30:$N$74)*((人工呼吸器!$H$3-人工呼吸器!$I$3)/人工呼吸器!$H$3),0)</f>
        <v>0</v>
      </c>
      <c r="F39" s="68">
        <f t="shared" si="3"/>
        <v>0</v>
      </c>
      <c r="G39" s="68">
        <f t="shared" si="4"/>
        <v>0</v>
      </c>
      <c r="H39" s="68">
        <f t="shared" si="5"/>
        <v>0</v>
      </c>
      <c r="I39" s="67">
        <f>IFERROR(SUMIF(簡易陰圧装置!$C$30:$C$74,B39,簡易陰圧装置!$N$30:$N$74)*((簡易陰圧装置!$H$3-簡易陰圧装置!$I$3)/簡易陰圧装置!$H$3),0)</f>
        <v>0</v>
      </c>
      <c r="J39" s="68">
        <f t="shared" si="6"/>
        <v>0</v>
      </c>
      <c r="K39" s="67">
        <f>IFERROR(SUMIF(#REF!,B39,#REF!)*((#REF!-#REF!)/#REF!),0)</f>
        <v>0</v>
      </c>
      <c r="L39" s="68">
        <f t="shared" si="7"/>
        <v>0</v>
      </c>
      <c r="M39" s="67">
        <f>IFERROR(SUMIF(体外式膜型人工肺!$C$30:$C$74,B39,体外式膜型人工肺!$N$30:$N$74)*((体外式膜型人工肺!$H$3-体外式膜型人工肺!$I$3)/体外式膜型人工肺!$H$3),0)</f>
        <v>0</v>
      </c>
      <c r="N39" s="68">
        <f t="shared" si="8"/>
        <v>0</v>
      </c>
      <c r="O39" s="68">
        <f t="shared" si="9"/>
        <v>0</v>
      </c>
      <c r="P39" s="68">
        <f t="shared" si="10"/>
        <v>0</v>
      </c>
      <c r="Q39" s="67">
        <f>IFERROR(SUMIF(紫外線照射装置!$C$30:$C$74,B39,紫外線照射装置!$N$30:$N$74)*((紫外線照射装置!$H$3-紫外線照射装置!$I$3)/紫外線照射装置!$H$3),0)</f>
        <v>0</v>
      </c>
      <c r="R39" s="68">
        <f t="shared" si="11"/>
        <v>0</v>
      </c>
      <c r="S39" s="101">
        <f t="shared" si="12"/>
        <v>0</v>
      </c>
      <c r="T39" s="67">
        <f>IFERROR(SUMIF(超音波画像診断装置!$C$30:$C$74,B39,超音波画像診断装置!$K$30:$K$74)*((超音波画像診断装置!$H$3-超音波画像診断装置!$I$3)/超音波画像診断装置!$H$3),0)</f>
        <v>0</v>
      </c>
      <c r="U39" s="68">
        <f t="shared" si="13"/>
        <v>0</v>
      </c>
      <c r="V39" s="67">
        <f>IFERROR(SUMIF(血液浄化装置!$C$30:$C$74,B39,血液浄化装置!$K$30:$K$74)*((血液浄化装置!$H$3-血液浄化装置!$I$3)/血液浄化装置!$H$3),0)</f>
        <v>0</v>
      </c>
      <c r="W39" s="68">
        <f t="shared" si="14"/>
        <v>0</v>
      </c>
      <c r="X39" s="67">
        <f>IFERROR(SUMIF(気管支鏡!$C$30:$C$74,B39,気管支鏡!$K$30:$K$74)*((気管支鏡!$H$3-気管支鏡!$I$3)/気管支鏡!$H$3),0)</f>
        <v>0</v>
      </c>
      <c r="Y39" s="68">
        <f t="shared" si="0"/>
        <v>0</v>
      </c>
      <c r="Z39" s="67">
        <f>IFERROR(SUMIF(CT撮影装置!$C$30:$C$74,B39,CT撮影装置!$K$30:$K$74)*((CT撮影装置!$H$3-CT撮影装置!$I$3)/CT撮影装置!$H$3),0)</f>
        <v>0</v>
      </c>
      <c r="AA39" s="68">
        <f t="shared" si="15"/>
        <v>0</v>
      </c>
      <c r="AB39" s="67">
        <f>IFERROR(SUMIF(生体情報モニタ!$C$30:$C$74,B39,生体情報モニタ!$K$30:$K$74)*((生体情報モニタ!$H$3-生体情報モニタ!$I$3)/生体情報モニタ!$H$3),0)</f>
        <v>0</v>
      </c>
      <c r="AC39" s="68">
        <f t="shared" si="1"/>
        <v>0</v>
      </c>
      <c r="AD39" s="67">
        <f>IFERROR(SUMIF(分娩監視装置!$C$30:$C$74,B39,分娩監視装置!$K$30:$K$74)*((分娩監視装置!$H$3-分娩監視装置!$I$3)/分娩監視装置!$H$3),0)</f>
        <v>0</v>
      </c>
      <c r="AE39" s="68">
        <f t="shared" si="16"/>
        <v>0</v>
      </c>
      <c r="AF39" s="67">
        <f>IFERROR(SUMIF(新生児モニタ!$C$30:$C$74,B39,新生児モニタ!$K$30:$K$74)*((新生児モニタ!$H$3-新生児モニタ!$I$3)/新生児モニタ!$H$3),0)</f>
        <v>0</v>
      </c>
      <c r="AG39" s="68">
        <f t="shared" si="17"/>
        <v>0</v>
      </c>
    </row>
    <row r="40" spans="2:33">
      <c r="B40" s="64" t="s">
        <v>687</v>
      </c>
      <c r="C40" s="67">
        <f>IFERROR(SUMIF(初度設備!$C$30:$C$74,B40,初度設備!$N$30:$N$74)*((初度設備!$H$3-初度設備!$I$3)/初度設備!$H$3),0)</f>
        <v>0</v>
      </c>
      <c r="D40" s="68">
        <f t="shared" si="2"/>
        <v>0</v>
      </c>
      <c r="E40" s="67">
        <f>IFERROR(SUMIF(人工呼吸器!$C$30:$C$74,B40,人工呼吸器!$N$30:$N$74)*((人工呼吸器!$H$3-人工呼吸器!$I$3)/人工呼吸器!$H$3),0)</f>
        <v>0</v>
      </c>
      <c r="F40" s="68">
        <f t="shared" si="3"/>
        <v>0</v>
      </c>
      <c r="G40" s="68">
        <f t="shared" si="4"/>
        <v>0</v>
      </c>
      <c r="H40" s="68">
        <f t="shared" si="5"/>
        <v>0</v>
      </c>
      <c r="I40" s="67">
        <f>IFERROR(SUMIF(簡易陰圧装置!$C$30:$C$74,B40,簡易陰圧装置!$N$30:$N$74)*((簡易陰圧装置!$H$3-簡易陰圧装置!$I$3)/簡易陰圧装置!$H$3),0)</f>
        <v>0</v>
      </c>
      <c r="J40" s="68">
        <f t="shared" si="6"/>
        <v>0</v>
      </c>
      <c r="K40" s="67">
        <f>IFERROR(SUMIF(#REF!,B40,#REF!)*((#REF!-#REF!)/#REF!),0)</f>
        <v>0</v>
      </c>
      <c r="L40" s="68">
        <f t="shared" si="7"/>
        <v>0</v>
      </c>
      <c r="M40" s="67">
        <f>IFERROR(SUMIF(体外式膜型人工肺!$C$30:$C$74,B40,体外式膜型人工肺!$N$30:$N$74)*((体外式膜型人工肺!$H$3-体外式膜型人工肺!$I$3)/体外式膜型人工肺!$H$3),0)</f>
        <v>0</v>
      </c>
      <c r="N40" s="68">
        <f t="shared" si="8"/>
        <v>0</v>
      </c>
      <c r="O40" s="68">
        <f t="shared" si="9"/>
        <v>0</v>
      </c>
      <c r="P40" s="68">
        <f t="shared" si="10"/>
        <v>0</v>
      </c>
      <c r="Q40" s="67">
        <f>IFERROR(SUMIF(紫外線照射装置!$C$30:$C$74,B40,紫外線照射装置!$N$30:$N$74)*((紫外線照射装置!$H$3-紫外線照射装置!$I$3)/紫外線照射装置!$H$3),0)</f>
        <v>0</v>
      </c>
      <c r="R40" s="68">
        <f t="shared" si="11"/>
        <v>0</v>
      </c>
      <c r="S40" s="101">
        <f t="shared" si="12"/>
        <v>0</v>
      </c>
      <c r="T40" s="67">
        <f>IFERROR(SUMIF(超音波画像診断装置!$C$30:$C$74,B40,超音波画像診断装置!$K$30:$K$74)*((超音波画像診断装置!$H$3-超音波画像診断装置!$I$3)/超音波画像診断装置!$H$3),0)</f>
        <v>0</v>
      </c>
      <c r="U40" s="68">
        <f t="shared" si="13"/>
        <v>0</v>
      </c>
      <c r="V40" s="67">
        <f>IFERROR(SUMIF(血液浄化装置!$C$30:$C$74,B40,血液浄化装置!$K$30:$K$74)*((血液浄化装置!$H$3-血液浄化装置!$I$3)/血液浄化装置!$H$3),0)</f>
        <v>0</v>
      </c>
      <c r="W40" s="68">
        <f t="shared" si="14"/>
        <v>0</v>
      </c>
      <c r="X40" s="67">
        <f>IFERROR(SUMIF(気管支鏡!$C$30:$C$74,B40,気管支鏡!$K$30:$K$74)*((気管支鏡!$H$3-気管支鏡!$I$3)/気管支鏡!$H$3),0)</f>
        <v>0</v>
      </c>
      <c r="Y40" s="68">
        <f t="shared" si="0"/>
        <v>0</v>
      </c>
      <c r="Z40" s="67">
        <f>IFERROR(SUMIF(CT撮影装置!$C$30:$C$74,B40,CT撮影装置!$K$30:$K$74)*((CT撮影装置!$H$3-CT撮影装置!$I$3)/CT撮影装置!$H$3),0)</f>
        <v>0</v>
      </c>
      <c r="AA40" s="68">
        <f t="shared" si="15"/>
        <v>0</v>
      </c>
      <c r="AB40" s="67">
        <f>IFERROR(SUMIF(生体情報モニタ!$C$30:$C$74,B40,生体情報モニタ!$K$30:$K$74)*((生体情報モニタ!$H$3-生体情報モニタ!$I$3)/生体情報モニタ!$H$3),0)</f>
        <v>0</v>
      </c>
      <c r="AC40" s="68">
        <f t="shared" si="1"/>
        <v>0</v>
      </c>
      <c r="AD40" s="67">
        <f>IFERROR(SUMIF(分娩監視装置!$C$30:$C$74,B40,分娩監視装置!$K$30:$K$74)*((分娩監視装置!$H$3-分娩監視装置!$I$3)/分娩監視装置!$H$3),0)</f>
        <v>0</v>
      </c>
      <c r="AE40" s="68">
        <f t="shared" si="16"/>
        <v>0</v>
      </c>
      <c r="AF40" s="67">
        <f>IFERROR(SUMIF(新生児モニタ!$C$30:$C$74,B40,新生児モニタ!$K$30:$K$74)*((新生児モニタ!$H$3-新生児モニタ!$I$3)/新生児モニタ!$H$3),0)</f>
        <v>0</v>
      </c>
      <c r="AG40" s="68">
        <f t="shared" si="17"/>
        <v>0</v>
      </c>
    </row>
    <row r="41" spans="2:33">
      <c r="B41" s="64" t="s">
        <v>688</v>
      </c>
      <c r="C41" s="67">
        <f>IFERROR(SUMIF(初度設備!$C$30:$C$74,B41,初度設備!$N$30:$N$74)*((初度設備!$H$3-初度設備!$I$3)/初度設備!$H$3),0)</f>
        <v>0</v>
      </c>
      <c r="D41" s="68">
        <f t="shared" si="2"/>
        <v>0</v>
      </c>
      <c r="E41" s="67">
        <f>IFERROR(SUMIF(人工呼吸器!$C$30:$C$74,B41,人工呼吸器!$N$30:$N$74)*((人工呼吸器!$H$3-人工呼吸器!$I$3)/人工呼吸器!$H$3),0)</f>
        <v>0</v>
      </c>
      <c r="F41" s="68">
        <f t="shared" si="3"/>
        <v>0</v>
      </c>
      <c r="G41" s="68">
        <f t="shared" si="4"/>
        <v>0</v>
      </c>
      <c r="H41" s="68">
        <f t="shared" si="5"/>
        <v>0</v>
      </c>
      <c r="I41" s="67">
        <f>IFERROR(SUMIF(簡易陰圧装置!$C$30:$C$74,B41,簡易陰圧装置!$N$30:$N$74)*((簡易陰圧装置!$H$3-簡易陰圧装置!$I$3)/簡易陰圧装置!$H$3),0)</f>
        <v>0</v>
      </c>
      <c r="J41" s="68">
        <f t="shared" si="6"/>
        <v>0</v>
      </c>
      <c r="K41" s="67">
        <f>IFERROR(SUMIF(#REF!,B41,#REF!)*((#REF!-#REF!)/#REF!),0)</f>
        <v>0</v>
      </c>
      <c r="L41" s="68">
        <f t="shared" si="7"/>
        <v>0</v>
      </c>
      <c r="M41" s="67">
        <f>IFERROR(SUMIF(体外式膜型人工肺!$C$30:$C$74,B41,体外式膜型人工肺!$N$30:$N$74)*((体外式膜型人工肺!$H$3-体外式膜型人工肺!$I$3)/体外式膜型人工肺!$H$3),0)</f>
        <v>0</v>
      </c>
      <c r="N41" s="68">
        <f t="shared" si="8"/>
        <v>0</v>
      </c>
      <c r="O41" s="68">
        <f t="shared" si="9"/>
        <v>0</v>
      </c>
      <c r="P41" s="68">
        <f t="shared" si="10"/>
        <v>0</v>
      </c>
      <c r="Q41" s="67">
        <f>IFERROR(SUMIF(紫外線照射装置!$C$30:$C$74,B41,紫外線照射装置!$N$30:$N$74)*((紫外線照射装置!$H$3-紫外線照射装置!$I$3)/紫外線照射装置!$H$3),0)</f>
        <v>0</v>
      </c>
      <c r="R41" s="68">
        <f t="shared" si="11"/>
        <v>0</v>
      </c>
      <c r="S41" s="101">
        <f t="shared" si="12"/>
        <v>0</v>
      </c>
      <c r="T41" s="67">
        <f>IFERROR(SUMIF(超音波画像診断装置!$C$30:$C$74,B41,超音波画像診断装置!$K$30:$K$74)*((超音波画像診断装置!$H$3-超音波画像診断装置!$I$3)/超音波画像診断装置!$H$3),0)</f>
        <v>0</v>
      </c>
      <c r="U41" s="68">
        <f t="shared" si="13"/>
        <v>0</v>
      </c>
      <c r="V41" s="67">
        <f>IFERROR(SUMIF(血液浄化装置!$C$30:$C$74,B41,血液浄化装置!$K$30:$K$74)*((血液浄化装置!$H$3-血液浄化装置!$I$3)/血液浄化装置!$H$3),0)</f>
        <v>0</v>
      </c>
      <c r="W41" s="68">
        <f t="shared" si="14"/>
        <v>0</v>
      </c>
      <c r="X41" s="67">
        <f>IFERROR(SUMIF(気管支鏡!$C$30:$C$74,B41,気管支鏡!$K$30:$K$74)*((気管支鏡!$H$3-気管支鏡!$I$3)/気管支鏡!$H$3),0)</f>
        <v>0</v>
      </c>
      <c r="Y41" s="68">
        <f t="shared" si="0"/>
        <v>0</v>
      </c>
      <c r="Z41" s="67">
        <f>IFERROR(SUMIF(CT撮影装置!$C$30:$C$74,B41,CT撮影装置!$K$30:$K$74)*((CT撮影装置!$H$3-CT撮影装置!$I$3)/CT撮影装置!$H$3),0)</f>
        <v>0</v>
      </c>
      <c r="AA41" s="68">
        <f t="shared" si="15"/>
        <v>0</v>
      </c>
      <c r="AB41" s="67">
        <f>IFERROR(SUMIF(生体情報モニタ!$C$30:$C$74,B41,生体情報モニタ!$K$30:$K$74)*((生体情報モニタ!$H$3-生体情報モニタ!$I$3)/生体情報モニタ!$H$3),0)</f>
        <v>0</v>
      </c>
      <c r="AC41" s="68">
        <f t="shared" si="1"/>
        <v>0</v>
      </c>
      <c r="AD41" s="67">
        <f>IFERROR(SUMIF(分娩監視装置!$C$30:$C$74,B41,分娩監視装置!$K$30:$K$74)*((分娩監視装置!$H$3-分娩監視装置!$I$3)/分娩監視装置!$H$3),0)</f>
        <v>0</v>
      </c>
      <c r="AE41" s="68">
        <f t="shared" si="16"/>
        <v>0</v>
      </c>
      <c r="AF41" s="67">
        <f>IFERROR(SUMIF(新生児モニタ!$C$30:$C$74,B41,新生児モニタ!$K$30:$K$74)*((新生児モニタ!$H$3-新生児モニタ!$I$3)/新生児モニタ!$H$3),0)</f>
        <v>0</v>
      </c>
      <c r="AG41" s="68">
        <f t="shared" si="17"/>
        <v>0</v>
      </c>
    </row>
    <row r="42" spans="2:33">
      <c r="B42" s="64" t="s">
        <v>689</v>
      </c>
      <c r="C42" s="67">
        <f>IFERROR(SUMIF(初度設備!$C$30:$C$74,B42,初度設備!$N$30:$N$74)*((初度設備!$H$3-初度設備!$I$3)/初度設備!$H$3),0)</f>
        <v>0</v>
      </c>
      <c r="D42" s="68">
        <f t="shared" si="2"/>
        <v>0</v>
      </c>
      <c r="E42" s="67">
        <f>IFERROR(SUMIF(人工呼吸器!$C$30:$C$74,B42,人工呼吸器!$N$30:$N$74)*((人工呼吸器!$H$3-人工呼吸器!$I$3)/人工呼吸器!$H$3),0)</f>
        <v>0</v>
      </c>
      <c r="F42" s="68">
        <f t="shared" si="3"/>
        <v>0</v>
      </c>
      <c r="G42" s="68">
        <f t="shared" si="4"/>
        <v>0</v>
      </c>
      <c r="H42" s="68">
        <f t="shared" si="5"/>
        <v>0</v>
      </c>
      <c r="I42" s="67">
        <f>IFERROR(SUMIF(簡易陰圧装置!$C$30:$C$74,B42,簡易陰圧装置!$N$30:$N$74)*((簡易陰圧装置!$H$3-簡易陰圧装置!$I$3)/簡易陰圧装置!$H$3),0)</f>
        <v>0</v>
      </c>
      <c r="J42" s="68">
        <f t="shared" si="6"/>
        <v>0</v>
      </c>
      <c r="K42" s="67">
        <f>IFERROR(SUMIF(#REF!,B42,#REF!)*((#REF!-#REF!)/#REF!),0)</f>
        <v>0</v>
      </c>
      <c r="L42" s="68">
        <f t="shared" si="7"/>
        <v>0</v>
      </c>
      <c r="M42" s="67">
        <f>IFERROR(SUMIF(体外式膜型人工肺!$C$30:$C$74,B42,体外式膜型人工肺!$N$30:$N$74)*((体外式膜型人工肺!$H$3-体外式膜型人工肺!$I$3)/体外式膜型人工肺!$H$3),0)</f>
        <v>0</v>
      </c>
      <c r="N42" s="68">
        <f t="shared" si="8"/>
        <v>0</v>
      </c>
      <c r="O42" s="68">
        <f t="shared" si="9"/>
        <v>0</v>
      </c>
      <c r="P42" s="68">
        <f t="shared" si="10"/>
        <v>0</v>
      </c>
      <c r="Q42" s="67">
        <f>IFERROR(SUMIF(紫外線照射装置!$C$30:$C$74,B42,紫外線照射装置!$N$30:$N$74)*((紫外線照射装置!$H$3-紫外線照射装置!$I$3)/紫外線照射装置!$H$3),0)</f>
        <v>0</v>
      </c>
      <c r="R42" s="68">
        <f t="shared" si="11"/>
        <v>0</v>
      </c>
      <c r="S42" s="101">
        <f t="shared" si="12"/>
        <v>0</v>
      </c>
      <c r="T42" s="67">
        <f>IFERROR(SUMIF(超音波画像診断装置!$C$30:$C$74,B42,超音波画像診断装置!$K$30:$K$74)*((超音波画像診断装置!$H$3-超音波画像診断装置!$I$3)/超音波画像診断装置!$H$3),0)</f>
        <v>0</v>
      </c>
      <c r="U42" s="68">
        <f t="shared" si="13"/>
        <v>0</v>
      </c>
      <c r="V42" s="67">
        <f>IFERROR(SUMIF(血液浄化装置!$C$30:$C$74,B42,血液浄化装置!$K$30:$K$74)*((血液浄化装置!$H$3-血液浄化装置!$I$3)/血液浄化装置!$H$3),0)</f>
        <v>0</v>
      </c>
      <c r="W42" s="68">
        <f t="shared" si="14"/>
        <v>0</v>
      </c>
      <c r="X42" s="67">
        <f>IFERROR(SUMIF(気管支鏡!$C$30:$C$74,B42,気管支鏡!$K$30:$K$74)*((気管支鏡!$H$3-気管支鏡!$I$3)/気管支鏡!$H$3),0)</f>
        <v>0</v>
      </c>
      <c r="Y42" s="68">
        <f t="shared" si="0"/>
        <v>0</v>
      </c>
      <c r="Z42" s="67">
        <f>IFERROR(SUMIF(CT撮影装置!$C$30:$C$74,B42,CT撮影装置!$K$30:$K$74)*((CT撮影装置!$H$3-CT撮影装置!$I$3)/CT撮影装置!$H$3),0)</f>
        <v>0</v>
      </c>
      <c r="AA42" s="68">
        <f t="shared" si="15"/>
        <v>0</v>
      </c>
      <c r="AB42" s="67">
        <f>IFERROR(SUMIF(生体情報モニタ!$C$30:$C$74,B42,生体情報モニタ!$K$30:$K$74)*((生体情報モニタ!$H$3-生体情報モニタ!$I$3)/生体情報モニタ!$H$3),0)</f>
        <v>0</v>
      </c>
      <c r="AC42" s="68">
        <f t="shared" si="1"/>
        <v>0</v>
      </c>
      <c r="AD42" s="67">
        <f>IFERROR(SUMIF(分娩監視装置!$C$30:$C$74,B42,分娩監視装置!$K$30:$K$74)*((分娩監視装置!$H$3-分娩監視装置!$I$3)/分娩監視装置!$H$3),0)</f>
        <v>0</v>
      </c>
      <c r="AE42" s="68">
        <f t="shared" si="16"/>
        <v>0</v>
      </c>
      <c r="AF42" s="67">
        <f>IFERROR(SUMIF(新生児モニタ!$C$30:$C$74,B42,新生児モニタ!$K$30:$K$74)*((新生児モニタ!$H$3-新生児モニタ!$I$3)/新生児モニタ!$H$3),0)</f>
        <v>0</v>
      </c>
      <c r="AG42" s="68">
        <f t="shared" si="17"/>
        <v>0</v>
      </c>
    </row>
    <row r="43" spans="2:33">
      <c r="B43" s="64" t="s">
        <v>690</v>
      </c>
      <c r="C43" s="67">
        <f>IFERROR(SUMIF(初度設備!$C$30:$C$74,B43,初度設備!$N$30:$N$74)*((初度設備!$H$3-初度設備!$I$3)/初度設備!$H$3),0)</f>
        <v>0</v>
      </c>
      <c r="D43" s="68">
        <f t="shared" si="2"/>
        <v>0</v>
      </c>
      <c r="E43" s="67">
        <f>IFERROR(SUMIF(人工呼吸器!$C$30:$C$74,B43,人工呼吸器!$N$30:$N$74)*((人工呼吸器!$H$3-人工呼吸器!$I$3)/人工呼吸器!$H$3),0)</f>
        <v>0</v>
      </c>
      <c r="F43" s="68">
        <f t="shared" si="3"/>
        <v>0</v>
      </c>
      <c r="G43" s="68">
        <f t="shared" si="4"/>
        <v>0</v>
      </c>
      <c r="H43" s="68">
        <f t="shared" si="5"/>
        <v>0</v>
      </c>
      <c r="I43" s="67">
        <f>IFERROR(SUMIF(簡易陰圧装置!$C$30:$C$74,B43,簡易陰圧装置!$N$30:$N$74)*((簡易陰圧装置!$H$3-簡易陰圧装置!$I$3)/簡易陰圧装置!$H$3),0)</f>
        <v>0</v>
      </c>
      <c r="J43" s="68">
        <f t="shared" si="6"/>
        <v>0</v>
      </c>
      <c r="K43" s="67">
        <f>IFERROR(SUMIF(#REF!,B43,#REF!)*((#REF!-#REF!)/#REF!),0)</f>
        <v>0</v>
      </c>
      <c r="L43" s="68">
        <f t="shared" si="7"/>
        <v>0</v>
      </c>
      <c r="M43" s="67">
        <f>IFERROR(SUMIF(体外式膜型人工肺!$C$30:$C$74,B43,体外式膜型人工肺!$N$30:$N$74)*((体外式膜型人工肺!$H$3-体外式膜型人工肺!$I$3)/体外式膜型人工肺!$H$3),0)</f>
        <v>0</v>
      </c>
      <c r="N43" s="68">
        <f t="shared" si="8"/>
        <v>0</v>
      </c>
      <c r="O43" s="68">
        <f t="shared" si="9"/>
        <v>0</v>
      </c>
      <c r="P43" s="68">
        <f t="shared" si="10"/>
        <v>0</v>
      </c>
      <c r="Q43" s="67">
        <f>IFERROR(SUMIF(紫外線照射装置!$C$30:$C$74,B43,紫外線照射装置!$N$30:$N$74)*((紫外線照射装置!$H$3-紫外線照射装置!$I$3)/紫外線照射装置!$H$3),0)</f>
        <v>0</v>
      </c>
      <c r="R43" s="68">
        <f t="shared" si="11"/>
        <v>0</v>
      </c>
      <c r="S43" s="101">
        <f t="shared" si="12"/>
        <v>0</v>
      </c>
      <c r="T43" s="67">
        <f>IFERROR(SUMIF(超音波画像診断装置!$C$30:$C$74,B43,超音波画像診断装置!$K$30:$K$74)*((超音波画像診断装置!$H$3-超音波画像診断装置!$I$3)/超音波画像診断装置!$H$3),0)</f>
        <v>0</v>
      </c>
      <c r="U43" s="68">
        <f t="shared" si="13"/>
        <v>0</v>
      </c>
      <c r="V43" s="67">
        <f>IFERROR(SUMIF(血液浄化装置!$C$30:$C$74,B43,血液浄化装置!$K$30:$K$74)*((血液浄化装置!$H$3-血液浄化装置!$I$3)/血液浄化装置!$H$3),0)</f>
        <v>0</v>
      </c>
      <c r="W43" s="68">
        <f t="shared" si="14"/>
        <v>0</v>
      </c>
      <c r="X43" s="67">
        <f>IFERROR(SUMIF(気管支鏡!$C$30:$C$74,B43,気管支鏡!$K$30:$K$74)*((気管支鏡!$H$3-気管支鏡!$I$3)/気管支鏡!$H$3),0)</f>
        <v>0</v>
      </c>
      <c r="Y43" s="68">
        <f t="shared" si="0"/>
        <v>0</v>
      </c>
      <c r="Z43" s="67">
        <f>IFERROR(SUMIF(CT撮影装置!$C$30:$C$74,B43,CT撮影装置!$K$30:$K$74)*((CT撮影装置!$H$3-CT撮影装置!$I$3)/CT撮影装置!$H$3),0)</f>
        <v>0</v>
      </c>
      <c r="AA43" s="68">
        <f t="shared" si="15"/>
        <v>0</v>
      </c>
      <c r="AB43" s="67">
        <f>IFERROR(SUMIF(生体情報モニタ!$C$30:$C$74,B43,生体情報モニタ!$K$30:$K$74)*((生体情報モニタ!$H$3-生体情報モニタ!$I$3)/生体情報モニタ!$H$3),0)</f>
        <v>0</v>
      </c>
      <c r="AC43" s="68">
        <f t="shared" si="1"/>
        <v>0</v>
      </c>
      <c r="AD43" s="67">
        <f>IFERROR(SUMIF(分娩監視装置!$C$30:$C$74,B43,分娩監視装置!$K$30:$K$74)*((分娩監視装置!$H$3-分娩監視装置!$I$3)/分娩監視装置!$H$3),0)</f>
        <v>0</v>
      </c>
      <c r="AE43" s="68">
        <f t="shared" si="16"/>
        <v>0</v>
      </c>
      <c r="AF43" s="67">
        <f>IFERROR(SUMIF(新生児モニタ!$C$30:$C$74,B43,新生児モニタ!$K$30:$K$74)*((新生児モニタ!$H$3-新生児モニタ!$I$3)/新生児モニタ!$H$3),0)</f>
        <v>0</v>
      </c>
      <c r="AG43" s="68">
        <f t="shared" si="17"/>
        <v>0</v>
      </c>
    </row>
    <row r="44" spans="2:33">
      <c r="B44" s="64" t="s">
        <v>691</v>
      </c>
      <c r="C44" s="67">
        <f>IFERROR(SUMIF(初度設備!$C$30:$C$74,B44,初度設備!$N$30:$N$74)*((初度設備!$H$3-初度設備!$I$3)/初度設備!$H$3),0)</f>
        <v>0</v>
      </c>
      <c r="D44" s="68">
        <f t="shared" si="2"/>
        <v>0</v>
      </c>
      <c r="E44" s="67">
        <f>IFERROR(SUMIF(人工呼吸器!$C$30:$C$74,B44,人工呼吸器!$N$30:$N$74)*((人工呼吸器!$H$3-人工呼吸器!$I$3)/人工呼吸器!$H$3),0)</f>
        <v>0</v>
      </c>
      <c r="F44" s="68">
        <f t="shared" si="3"/>
        <v>0</v>
      </c>
      <c r="G44" s="68">
        <f t="shared" si="4"/>
        <v>0</v>
      </c>
      <c r="H44" s="68">
        <f t="shared" si="5"/>
        <v>0</v>
      </c>
      <c r="I44" s="67">
        <f>IFERROR(SUMIF(簡易陰圧装置!$C$30:$C$74,B44,簡易陰圧装置!$N$30:$N$74)*((簡易陰圧装置!$H$3-簡易陰圧装置!$I$3)/簡易陰圧装置!$H$3),0)</f>
        <v>0</v>
      </c>
      <c r="J44" s="68">
        <f t="shared" si="6"/>
        <v>0</v>
      </c>
      <c r="K44" s="67">
        <f>IFERROR(SUMIF(#REF!,B44,#REF!)*((#REF!-#REF!)/#REF!),0)</f>
        <v>0</v>
      </c>
      <c r="L44" s="68">
        <f t="shared" si="7"/>
        <v>0</v>
      </c>
      <c r="M44" s="67">
        <f>IFERROR(SUMIF(体外式膜型人工肺!$C$30:$C$74,B44,体外式膜型人工肺!$N$30:$N$74)*((体外式膜型人工肺!$H$3-体外式膜型人工肺!$I$3)/体外式膜型人工肺!$H$3),0)</f>
        <v>0</v>
      </c>
      <c r="N44" s="68">
        <f t="shared" si="8"/>
        <v>0</v>
      </c>
      <c r="O44" s="68">
        <f t="shared" si="9"/>
        <v>0</v>
      </c>
      <c r="P44" s="68">
        <f t="shared" si="10"/>
        <v>0</v>
      </c>
      <c r="Q44" s="67">
        <f>IFERROR(SUMIF(紫外線照射装置!$C$30:$C$74,B44,紫外線照射装置!$N$30:$N$74)*((紫外線照射装置!$H$3-紫外線照射装置!$I$3)/紫外線照射装置!$H$3),0)</f>
        <v>0</v>
      </c>
      <c r="R44" s="68">
        <f t="shared" si="11"/>
        <v>0</v>
      </c>
      <c r="S44" s="101">
        <f t="shared" si="12"/>
        <v>0</v>
      </c>
      <c r="T44" s="67">
        <f>IFERROR(SUMIF(超音波画像診断装置!$C$30:$C$74,B44,超音波画像診断装置!$K$30:$K$74)*((超音波画像診断装置!$H$3-超音波画像診断装置!$I$3)/超音波画像診断装置!$H$3),0)</f>
        <v>0</v>
      </c>
      <c r="U44" s="68">
        <f t="shared" si="13"/>
        <v>0</v>
      </c>
      <c r="V44" s="67">
        <f>IFERROR(SUMIF(血液浄化装置!$C$30:$C$74,B44,血液浄化装置!$K$30:$K$74)*((血液浄化装置!$H$3-血液浄化装置!$I$3)/血液浄化装置!$H$3),0)</f>
        <v>0</v>
      </c>
      <c r="W44" s="68">
        <f t="shared" si="14"/>
        <v>0</v>
      </c>
      <c r="X44" s="67">
        <f>IFERROR(SUMIF(気管支鏡!$C$30:$C$74,B44,気管支鏡!$K$30:$K$74)*((気管支鏡!$H$3-気管支鏡!$I$3)/気管支鏡!$H$3),0)</f>
        <v>0</v>
      </c>
      <c r="Y44" s="68">
        <f t="shared" si="0"/>
        <v>0</v>
      </c>
      <c r="Z44" s="67">
        <f>IFERROR(SUMIF(CT撮影装置!$C$30:$C$74,B44,CT撮影装置!$K$30:$K$74)*((CT撮影装置!$H$3-CT撮影装置!$I$3)/CT撮影装置!$H$3),0)</f>
        <v>0</v>
      </c>
      <c r="AA44" s="68">
        <f t="shared" si="15"/>
        <v>0</v>
      </c>
      <c r="AB44" s="67">
        <f>IFERROR(SUMIF(生体情報モニタ!$C$30:$C$74,B44,生体情報モニタ!$K$30:$K$74)*((生体情報モニタ!$H$3-生体情報モニタ!$I$3)/生体情報モニタ!$H$3),0)</f>
        <v>0</v>
      </c>
      <c r="AC44" s="68">
        <f t="shared" si="1"/>
        <v>0</v>
      </c>
      <c r="AD44" s="67">
        <f>IFERROR(SUMIF(分娩監視装置!$C$30:$C$74,B44,分娩監視装置!$K$30:$K$74)*((分娩監視装置!$H$3-分娩監視装置!$I$3)/分娩監視装置!$H$3),0)</f>
        <v>0</v>
      </c>
      <c r="AE44" s="68">
        <f t="shared" si="16"/>
        <v>0</v>
      </c>
      <c r="AF44" s="67">
        <f>IFERROR(SUMIF(新生児モニタ!$C$30:$C$74,B44,新生児モニタ!$K$30:$K$74)*((新生児モニタ!$H$3-新生児モニタ!$I$3)/新生児モニタ!$H$3),0)</f>
        <v>0</v>
      </c>
      <c r="AG44" s="68">
        <f t="shared" si="17"/>
        <v>0</v>
      </c>
    </row>
    <row r="45" spans="2:33">
      <c r="B45" s="64" t="s">
        <v>692</v>
      </c>
      <c r="C45" s="67">
        <f>IFERROR(SUMIF(初度設備!$C$30:$C$74,B45,初度設備!$N$30:$N$74)*((初度設備!$H$3-初度設備!$I$3)/初度設備!$H$3),0)</f>
        <v>0</v>
      </c>
      <c r="D45" s="68">
        <f t="shared" si="2"/>
        <v>0</v>
      </c>
      <c r="E45" s="67">
        <f>IFERROR(SUMIF(人工呼吸器!$C$30:$C$74,B45,人工呼吸器!$N$30:$N$74)*((人工呼吸器!$H$3-人工呼吸器!$I$3)/人工呼吸器!$H$3),0)</f>
        <v>0</v>
      </c>
      <c r="F45" s="68">
        <f t="shared" si="3"/>
        <v>0</v>
      </c>
      <c r="G45" s="68">
        <f t="shared" si="4"/>
        <v>0</v>
      </c>
      <c r="H45" s="68">
        <f t="shared" si="5"/>
        <v>0</v>
      </c>
      <c r="I45" s="67">
        <f>IFERROR(SUMIF(簡易陰圧装置!$C$30:$C$74,B45,簡易陰圧装置!$N$30:$N$74)*((簡易陰圧装置!$H$3-簡易陰圧装置!$I$3)/簡易陰圧装置!$H$3),0)</f>
        <v>0</v>
      </c>
      <c r="J45" s="68">
        <f t="shared" si="6"/>
        <v>0</v>
      </c>
      <c r="K45" s="67">
        <f>IFERROR(SUMIF(#REF!,B45,#REF!)*((#REF!-#REF!)/#REF!),0)</f>
        <v>0</v>
      </c>
      <c r="L45" s="68">
        <f t="shared" si="7"/>
        <v>0</v>
      </c>
      <c r="M45" s="67">
        <f>IFERROR(SUMIF(体外式膜型人工肺!$C$30:$C$74,B45,体外式膜型人工肺!$N$30:$N$74)*((体外式膜型人工肺!$H$3-体外式膜型人工肺!$I$3)/体外式膜型人工肺!$H$3),0)</f>
        <v>0</v>
      </c>
      <c r="N45" s="68">
        <f t="shared" si="8"/>
        <v>0</v>
      </c>
      <c r="O45" s="68">
        <f t="shared" si="9"/>
        <v>0</v>
      </c>
      <c r="P45" s="68">
        <f t="shared" si="10"/>
        <v>0</v>
      </c>
      <c r="Q45" s="67">
        <f>IFERROR(SUMIF(紫外線照射装置!$C$30:$C$74,B45,紫外線照射装置!$N$30:$N$74)*((紫外線照射装置!$H$3-紫外線照射装置!$I$3)/紫外線照射装置!$H$3),0)</f>
        <v>0</v>
      </c>
      <c r="R45" s="68">
        <f t="shared" si="11"/>
        <v>0</v>
      </c>
      <c r="S45" s="101">
        <f t="shared" si="12"/>
        <v>0</v>
      </c>
      <c r="T45" s="67">
        <f>IFERROR(SUMIF(超音波画像診断装置!$C$30:$C$74,B45,超音波画像診断装置!$K$30:$K$74)*((超音波画像診断装置!$H$3-超音波画像診断装置!$I$3)/超音波画像診断装置!$H$3),0)</f>
        <v>0</v>
      </c>
      <c r="U45" s="68">
        <f t="shared" si="13"/>
        <v>0</v>
      </c>
      <c r="V45" s="67">
        <f>IFERROR(SUMIF(血液浄化装置!$C$30:$C$74,B45,血液浄化装置!$K$30:$K$74)*((血液浄化装置!$H$3-血液浄化装置!$I$3)/血液浄化装置!$H$3),0)</f>
        <v>0</v>
      </c>
      <c r="W45" s="68">
        <f t="shared" si="14"/>
        <v>0</v>
      </c>
      <c r="X45" s="67">
        <f>IFERROR(SUMIF(気管支鏡!$C$30:$C$74,B45,気管支鏡!$K$30:$K$74)*((気管支鏡!$H$3-気管支鏡!$I$3)/気管支鏡!$H$3),0)</f>
        <v>0</v>
      </c>
      <c r="Y45" s="68">
        <f t="shared" si="0"/>
        <v>0</v>
      </c>
      <c r="Z45" s="67">
        <f>IFERROR(SUMIF(CT撮影装置!$C$30:$C$74,B45,CT撮影装置!$K$30:$K$74)*((CT撮影装置!$H$3-CT撮影装置!$I$3)/CT撮影装置!$H$3),0)</f>
        <v>0</v>
      </c>
      <c r="AA45" s="68">
        <f t="shared" si="15"/>
        <v>0</v>
      </c>
      <c r="AB45" s="67">
        <f>IFERROR(SUMIF(生体情報モニタ!$C$30:$C$74,B45,生体情報モニタ!$K$30:$K$74)*((生体情報モニタ!$H$3-生体情報モニタ!$I$3)/生体情報モニタ!$H$3),0)</f>
        <v>0</v>
      </c>
      <c r="AC45" s="68">
        <f t="shared" si="1"/>
        <v>0</v>
      </c>
      <c r="AD45" s="67">
        <f>IFERROR(SUMIF(分娩監視装置!$C$30:$C$74,B45,分娩監視装置!$K$30:$K$74)*((分娩監視装置!$H$3-分娩監視装置!$I$3)/分娩監視装置!$H$3),0)</f>
        <v>0</v>
      </c>
      <c r="AE45" s="68">
        <f t="shared" si="16"/>
        <v>0</v>
      </c>
      <c r="AF45" s="67">
        <f>IFERROR(SUMIF(新生児モニタ!$C$30:$C$74,B45,新生児モニタ!$K$30:$K$74)*((新生児モニタ!$H$3-新生児モニタ!$I$3)/新生児モニタ!$H$3),0)</f>
        <v>0</v>
      </c>
      <c r="AG45" s="68">
        <f t="shared" si="17"/>
        <v>0</v>
      </c>
    </row>
    <row r="46" spans="2:33">
      <c r="B46" s="64" t="s">
        <v>693</v>
      </c>
      <c r="C46" s="67">
        <f>IFERROR(SUMIF(初度設備!$C$30:$C$74,B46,初度設備!$N$30:$N$74)*((初度設備!$H$3-初度設備!$I$3)/初度設備!$H$3),0)</f>
        <v>0</v>
      </c>
      <c r="D46" s="68">
        <f t="shared" si="2"/>
        <v>0</v>
      </c>
      <c r="E46" s="67">
        <f>IFERROR(SUMIF(人工呼吸器!$C$30:$C$74,B46,人工呼吸器!$N$30:$N$74)*((人工呼吸器!$H$3-人工呼吸器!$I$3)/人工呼吸器!$H$3),0)</f>
        <v>0</v>
      </c>
      <c r="F46" s="68">
        <f t="shared" si="3"/>
        <v>0</v>
      </c>
      <c r="G46" s="68">
        <f t="shared" si="4"/>
        <v>0</v>
      </c>
      <c r="H46" s="68">
        <f t="shared" si="5"/>
        <v>0</v>
      </c>
      <c r="I46" s="67">
        <f>IFERROR(SUMIF(簡易陰圧装置!$C$30:$C$74,B46,簡易陰圧装置!$N$30:$N$74)*((簡易陰圧装置!$H$3-簡易陰圧装置!$I$3)/簡易陰圧装置!$H$3),0)</f>
        <v>0</v>
      </c>
      <c r="J46" s="68">
        <f t="shared" si="6"/>
        <v>0</v>
      </c>
      <c r="K46" s="67">
        <f>IFERROR(SUMIF(#REF!,B46,#REF!)*((#REF!-#REF!)/#REF!),0)</f>
        <v>0</v>
      </c>
      <c r="L46" s="68">
        <f t="shared" si="7"/>
        <v>0</v>
      </c>
      <c r="M46" s="67">
        <f>IFERROR(SUMIF(体外式膜型人工肺!$C$30:$C$74,B46,体外式膜型人工肺!$N$30:$N$74)*((体外式膜型人工肺!$H$3-体外式膜型人工肺!$I$3)/体外式膜型人工肺!$H$3),0)</f>
        <v>0</v>
      </c>
      <c r="N46" s="68">
        <f t="shared" si="8"/>
        <v>0</v>
      </c>
      <c r="O46" s="68">
        <f t="shared" si="9"/>
        <v>0</v>
      </c>
      <c r="P46" s="68">
        <f t="shared" si="10"/>
        <v>0</v>
      </c>
      <c r="Q46" s="67">
        <f>IFERROR(SUMIF(紫外線照射装置!$C$30:$C$74,B46,紫外線照射装置!$N$30:$N$74)*((紫外線照射装置!$H$3-紫外線照射装置!$I$3)/紫外線照射装置!$H$3),0)</f>
        <v>0</v>
      </c>
      <c r="R46" s="68">
        <f t="shared" si="11"/>
        <v>0</v>
      </c>
      <c r="S46" s="101">
        <f t="shared" si="12"/>
        <v>0</v>
      </c>
      <c r="T46" s="67">
        <f>IFERROR(SUMIF(超音波画像診断装置!$C$30:$C$74,B46,超音波画像診断装置!$K$30:$K$74)*((超音波画像診断装置!$H$3-超音波画像診断装置!$I$3)/超音波画像診断装置!$H$3),0)</f>
        <v>0</v>
      </c>
      <c r="U46" s="68">
        <f t="shared" si="13"/>
        <v>0</v>
      </c>
      <c r="V46" s="67">
        <f>IFERROR(SUMIF(血液浄化装置!$C$30:$C$74,B46,血液浄化装置!$K$30:$K$74)*((血液浄化装置!$H$3-血液浄化装置!$I$3)/血液浄化装置!$H$3),0)</f>
        <v>0</v>
      </c>
      <c r="W46" s="68">
        <f t="shared" si="14"/>
        <v>0</v>
      </c>
      <c r="X46" s="67">
        <f>IFERROR(SUMIF(気管支鏡!$C$30:$C$74,B46,気管支鏡!$K$30:$K$74)*((気管支鏡!$H$3-気管支鏡!$I$3)/気管支鏡!$H$3),0)</f>
        <v>0</v>
      </c>
      <c r="Y46" s="68">
        <f t="shared" si="0"/>
        <v>0</v>
      </c>
      <c r="Z46" s="67">
        <f>IFERROR(SUMIF(CT撮影装置!$C$30:$C$74,B46,CT撮影装置!$K$30:$K$74)*((CT撮影装置!$H$3-CT撮影装置!$I$3)/CT撮影装置!$H$3),0)</f>
        <v>0</v>
      </c>
      <c r="AA46" s="68">
        <f t="shared" si="15"/>
        <v>0</v>
      </c>
      <c r="AB46" s="67">
        <f>IFERROR(SUMIF(生体情報モニタ!$C$30:$C$74,B46,生体情報モニタ!$K$30:$K$74)*((生体情報モニタ!$H$3-生体情報モニタ!$I$3)/生体情報モニタ!$H$3),0)</f>
        <v>0</v>
      </c>
      <c r="AC46" s="68">
        <f t="shared" si="1"/>
        <v>0</v>
      </c>
      <c r="AD46" s="67">
        <f>IFERROR(SUMIF(分娩監視装置!$C$30:$C$74,B46,分娩監視装置!$K$30:$K$74)*((分娩監視装置!$H$3-分娩監視装置!$I$3)/分娩監視装置!$H$3),0)</f>
        <v>0</v>
      </c>
      <c r="AE46" s="68">
        <f t="shared" si="16"/>
        <v>0</v>
      </c>
      <c r="AF46" s="67">
        <f>IFERROR(SUMIF(新生児モニタ!$C$30:$C$74,B46,新生児モニタ!$K$30:$K$74)*((新生児モニタ!$H$3-新生児モニタ!$I$3)/新生児モニタ!$H$3),0)</f>
        <v>0</v>
      </c>
      <c r="AG46" s="68">
        <f t="shared" si="17"/>
        <v>0</v>
      </c>
    </row>
    <row r="47" spans="2:33">
      <c r="B47" s="64" t="s">
        <v>694</v>
      </c>
      <c r="C47" s="67">
        <f>IFERROR(SUMIF(初度設備!$C$30:$C$74,B47,初度設備!$N$30:$N$74)*((初度設備!$H$3-初度設備!$I$3)/初度設備!$H$3),0)</f>
        <v>0</v>
      </c>
      <c r="D47" s="68">
        <f t="shared" si="2"/>
        <v>0</v>
      </c>
      <c r="E47" s="67">
        <f>IFERROR(SUMIF(人工呼吸器!$C$30:$C$74,B47,人工呼吸器!$N$30:$N$74)*((人工呼吸器!$H$3-人工呼吸器!$I$3)/人工呼吸器!$H$3),0)</f>
        <v>0</v>
      </c>
      <c r="F47" s="68">
        <f t="shared" si="3"/>
        <v>0</v>
      </c>
      <c r="G47" s="68">
        <f t="shared" si="4"/>
        <v>0</v>
      </c>
      <c r="H47" s="68">
        <f t="shared" si="5"/>
        <v>0</v>
      </c>
      <c r="I47" s="67">
        <f>IFERROR(SUMIF(簡易陰圧装置!$C$30:$C$74,B47,簡易陰圧装置!$N$30:$N$74)*((簡易陰圧装置!$H$3-簡易陰圧装置!$I$3)/簡易陰圧装置!$H$3),0)</f>
        <v>0</v>
      </c>
      <c r="J47" s="68">
        <f t="shared" si="6"/>
        <v>0</v>
      </c>
      <c r="K47" s="67">
        <f>IFERROR(SUMIF(#REF!,B47,#REF!)*((#REF!-#REF!)/#REF!),0)</f>
        <v>0</v>
      </c>
      <c r="L47" s="68">
        <f t="shared" si="7"/>
        <v>0</v>
      </c>
      <c r="M47" s="67">
        <f>IFERROR(SUMIF(体外式膜型人工肺!$C$30:$C$74,B47,体外式膜型人工肺!$N$30:$N$74)*((体外式膜型人工肺!$H$3-体外式膜型人工肺!$I$3)/体外式膜型人工肺!$H$3),0)</f>
        <v>0</v>
      </c>
      <c r="N47" s="68">
        <f t="shared" si="8"/>
        <v>0</v>
      </c>
      <c r="O47" s="68">
        <f t="shared" si="9"/>
        <v>0</v>
      </c>
      <c r="P47" s="68">
        <f t="shared" si="10"/>
        <v>0</v>
      </c>
      <c r="Q47" s="67">
        <f>IFERROR(SUMIF(紫外線照射装置!$C$30:$C$74,B47,紫外線照射装置!$N$30:$N$74)*((紫外線照射装置!$H$3-紫外線照射装置!$I$3)/紫外線照射装置!$H$3),0)</f>
        <v>0</v>
      </c>
      <c r="R47" s="68">
        <f t="shared" si="11"/>
        <v>0</v>
      </c>
      <c r="S47" s="101">
        <f t="shared" si="12"/>
        <v>0</v>
      </c>
      <c r="T47" s="67">
        <f>IFERROR(SUMIF(超音波画像診断装置!$C$30:$C$74,B47,超音波画像診断装置!$K$30:$K$74)*((超音波画像診断装置!$H$3-超音波画像診断装置!$I$3)/超音波画像診断装置!$H$3),0)</f>
        <v>0</v>
      </c>
      <c r="U47" s="68">
        <f t="shared" si="13"/>
        <v>0</v>
      </c>
      <c r="V47" s="67">
        <f>IFERROR(SUMIF(血液浄化装置!$C$30:$C$74,B47,血液浄化装置!$K$30:$K$74)*((血液浄化装置!$H$3-血液浄化装置!$I$3)/血液浄化装置!$H$3),0)</f>
        <v>0</v>
      </c>
      <c r="W47" s="68">
        <f t="shared" si="14"/>
        <v>0</v>
      </c>
      <c r="X47" s="67">
        <f>IFERROR(SUMIF(気管支鏡!$C$30:$C$74,B47,気管支鏡!$K$30:$K$74)*((気管支鏡!$H$3-気管支鏡!$I$3)/気管支鏡!$H$3),0)</f>
        <v>0</v>
      </c>
      <c r="Y47" s="68">
        <f t="shared" si="0"/>
        <v>0</v>
      </c>
      <c r="Z47" s="67">
        <f>IFERROR(SUMIF(CT撮影装置!$C$30:$C$74,B47,CT撮影装置!$K$30:$K$74)*((CT撮影装置!$H$3-CT撮影装置!$I$3)/CT撮影装置!$H$3),0)</f>
        <v>0</v>
      </c>
      <c r="AA47" s="68">
        <f t="shared" si="15"/>
        <v>0</v>
      </c>
      <c r="AB47" s="67">
        <f>IFERROR(SUMIF(生体情報モニタ!$C$30:$C$74,B47,生体情報モニタ!$K$30:$K$74)*((生体情報モニタ!$H$3-生体情報モニタ!$I$3)/生体情報モニタ!$H$3),0)</f>
        <v>0</v>
      </c>
      <c r="AC47" s="68">
        <f t="shared" si="1"/>
        <v>0</v>
      </c>
      <c r="AD47" s="67">
        <f>IFERROR(SUMIF(分娩監視装置!$C$30:$C$74,B47,分娩監視装置!$K$30:$K$74)*((分娩監視装置!$H$3-分娩監視装置!$I$3)/分娩監視装置!$H$3),0)</f>
        <v>0</v>
      </c>
      <c r="AE47" s="68">
        <f t="shared" si="16"/>
        <v>0</v>
      </c>
      <c r="AF47" s="67">
        <f>IFERROR(SUMIF(新生児モニタ!$C$30:$C$74,B47,新生児モニタ!$K$30:$K$74)*((新生児モニタ!$H$3-新生児モニタ!$I$3)/新生児モニタ!$H$3),0)</f>
        <v>0</v>
      </c>
      <c r="AG47" s="68">
        <f t="shared" si="17"/>
        <v>0</v>
      </c>
    </row>
    <row r="48" spans="2:33">
      <c r="B48" s="64" t="s">
        <v>695</v>
      </c>
      <c r="C48" s="67">
        <f>IFERROR(SUMIF(初度設備!$C$30:$C$74,B48,初度設備!$N$30:$N$74)*((初度設備!$H$3-初度設備!$I$3)/初度設備!$H$3),0)</f>
        <v>0</v>
      </c>
      <c r="D48" s="68">
        <f t="shared" si="2"/>
        <v>0</v>
      </c>
      <c r="E48" s="67">
        <f>IFERROR(SUMIF(人工呼吸器!$C$30:$C$74,B48,人工呼吸器!$N$30:$N$74)*((人工呼吸器!$H$3-人工呼吸器!$I$3)/人工呼吸器!$H$3),0)</f>
        <v>0</v>
      </c>
      <c r="F48" s="68">
        <f t="shared" si="3"/>
        <v>0</v>
      </c>
      <c r="G48" s="68">
        <f t="shared" si="4"/>
        <v>0</v>
      </c>
      <c r="H48" s="68">
        <f t="shared" si="5"/>
        <v>0</v>
      </c>
      <c r="I48" s="67">
        <f>IFERROR(SUMIF(簡易陰圧装置!$C$30:$C$74,B48,簡易陰圧装置!$N$30:$N$74)*((簡易陰圧装置!$H$3-簡易陰圧装置!$I$3)/簡易陰圧装置!$H$3),0)</f>
        <v>0</v>
      </c>
      <c r="J48" s="68">
        <f t="shared" si="6"/>
        <v>0</v>
      </c>
      <c r="K48" s="67">
        <f>IFERROR(SUMIF(#REF!,B48,#REF!)*((#REF!-#REF!)/#REF!),0)</f>
        <v>0</v>
      </c>
      <c r="L48" s="68">
        <f t="shared" si="7"/>
        <v>0</v>
      </c>
      <c r="M48" s="67">
        <f>IFERROR(SUMIF(体外式膜型人工肺!$C$30:$C$74,B48,体外式膜型人工肺!$N$30:$N$74)*((体外式膜型人工肺!$H$3-体外式膜型人工肺!$I$3)/体外式膜型人工肺!$H$3),0)</f>
        <v>0</v>
      </c>
      <c r="N48" s="68">
        <f t="shared" si="8"/>
        <v>0</v>
      </c>
      <c r="O48" s="68">
        <f t="shared" si="9"/>
        <v>0</v>
      </c>
      <c r="P48" s="68">
        <f t="shared" si="10"/>
        <v>0</v>
      </c>
      <c r="Q48" s="67">
        <f>IFERROR(SUMIF(紫外線照射装置!$C$30:$C$74,B48,紫外線照射装置!$N$30:$N$74)*((紫外線照射装置!$H$3-紫外線照射装置!$I$3)/紫外線照射装置!$H$3),0)</f>
        <v>0</v>
      </c>
      <c r="R48" s="68">
        <f t="shared" si="11"/>
        <v>0</v>
      </c>
      <c r="S48" s="101">
        <f t="shared" si="12"/>
        <v>0</v>
      </c>
      <c r="T48" s="67">
        <f>IFERROR(SUMIF(超音波画像診断装置!$C$30:$C$74,B48,超音波画像診断装置!$K$30:$K$74)*((超音波画像診断装置!$H$3-超音波画像診断装置!$I$3)/超音波画像診断装置!$H$3),0)</f>
        <v>0</v>
      </c>
      <c r="U48" s="68">
        <f t="shared" si="13"/>
        <v>0</v>
      </c>
      <c r="V48" s="67">
        <f>IFERROR(SUMIF(血液浄化装置!$C$30:$C$74,B48,血液浄化装置!$K$30:$K$74)*((血液浄化装置!$H$3-血液浄化装置!$I$3)/血液浄化装置!$H$3),0)</f>
        <v>0</v>
      </c>
      <c r="W48" s="68">
        <f t="shared" si="14"/>
        <v>0</v>
      </c>
      <c r="X48" s="67">
        <f>IFERROR(SUMIF(気管支鏡!$C$30:$C$74,B48,気管支鏡!$K$30:$K$74)*((気管支鏡!$H$3-気管支鏡!$I$3)/気管支鏡!$H$3),0)</f>
        <v>0</v>
      </c>
      <c r="Y48" s="68">
        <f t="shared" si="0"/>
        <v>0</v>
      </c>
      <c r="Z48" s="67">
        <f>IFERROR(SUMIF(CT撮影装置!$C$30:$C$74,B48,CT撮影装置!$K$30:$K$74)*((CT撮影装置!$H$3-CT撮影装置!$I$3)/CT撮影装置!$H$3),0)</f>
        <v>0</v>
      </c>
      <c r="AA48" s="68">
        <f t="shared" si="15"/>
        <v>0</v>
      </c>
      <c r="AB48" s="67">
        <f>IFERROR(SUMIF(生体情報モニタ!$C$30:$C$74,B48,生体情報モニタ!$K$30:$K$74)*((生体情報モニタ!$H$3-生体情報モニタ!$I$3)/生体情報モニタ!$H$3),0)</f>
        <v>0</v>
      </c>
      <c r="AC48" s="68">
        <f t="shared" si="1"/>
        <v>0</v>
      </c>
      <c r="AD48" s="67">
        <f>IFERROR(SUMIF(分娩監視装置!$C$30:$C$74,B48,分娩監視装置!$K$30:$K$74)*((分娩監視装置!$H$3-分娩監視装置!$I$3)/分娩監視装置!$H$3),0)</f>
        <v>0</v>
      </c>
      <c r="AE48" s="68">
        <f t="shared" si="16"/>
        <v>0</v>
      </c>
      <c r="AF48" s="67">
        <f>IFERROR(SUMIF(新生児モニタ!$C$30:$C$74,B48,新生児モニタ!$K$30:$K$74)*((新生児モニタ!$H$3-新生児モニタ!$I$3)/新生児モニタ!$H$3),0)</f>
        <v>0</v>
      </c>
      <c r="AG48" s="68">
        <f t="shared" si="17"/>
        <v>0</v>
      </c>
    </row>
    <row r="49" spans="2:33">
      <c r="B49" s="64" t="s">
        <v>696</v>
      </c>
      <c r="C49" s="67">
        <f>IFERROR(SUMIF(初度設備!$C$30:$C$74,B49,初度設備!$N$30:$N$74)*((初度設備!$H$3-初度設備!$I$3)/初度設備!$H$3),0)</f>
        <v>0</v>
      </c>
      <c r="D49" s="68">
        <f t="shared" si="2"/>
        <v>0</v>
      </c>
      <c r="E49" s="67">
        <f>IFERROR(SUMIF(人工呼吸器!$C$30:$C$74,B49,人工呼吸器!$N$30:$N$74)*((人工呼吸器!$H$3-人工呼吸器!$I$3)/人工呼吸器!$H$3),0)</f>
        <v>0</v>
      </c>
      <c r="F49" s="68">
        <f t="shared" si="3"/>
        <v>0</v>
      </c>
      <c r="G49" s="68">
        <f t="shared" si="4"/>
        <v>0</v>
      </c>
      <c r="H49" s="68">
        <f t="shared" si="5"/>
        <v>0</v>
      </c>
      <c r="I49" s="67">
        <f>IFERROR(SUMIF(簡易陰圧装置!$C$30:$C$74,B49,簡易陰圧装置!$N$30:$N$74)*((簡易陰圧装置!$H$3-簡易陰圧装置!$I$3)/簡易陰圧装置!$H$3),0)</f>
        <v>0</v>
      </c>
      <c r="J49" s="68">
        <f t="shared" si="6"/>
        <v>0</v>
      </c>
      <c r="K49" s="67">
        <f>IFERROR(SUMIF(#REF!,B49,#REF!)*((#REF!-#REF!)/#REF!),0)</f>
        <v>0</v>
      </c>
      <c r="L49" s="68">
        <f t="shared" si="7"/>
        <v>0</v>
      </c>
      <c r="M49" s="67">
        <f>IFERROR(SUMIF(体外式膜型人工肺!$C$30:$C$74,B49,体外式膜型人工肺!$N$30:$N$74)*((体外式膜型人工肺!$H$3-体外式膜型人工肺!$I$3)/体外式膜型人工肺!$H$3),0)</f>
        <v>0</v>
      </c>
      <c r="N49" s="68">
        <f t="shared" si="8"/>
        <v>0</v>
      </c>
      <c r="O49" s="68">
        <f t="shared" si="9"/>
        <v>0</v>
      </c>
      <c r="P49" s="68">
        <f t="shared" si="10"/>
        <v>0</v>
      </c>
      <c r="Q49" s="67">
        <f>IFERROR(SUMIF(紫外線照射装置!$C$30:$C$74,B49,紫外線照射装置!$N$30:$N$74)*((紫外線照射装置!$H$3-紫外線照射装置!$I$3)/紫外線照射装置!$H$3),0)</f>
        <v>0</v>
      </c>
      <c r="R49" s="68">
        <f t="shared" si="11"/>
        <v>0</v>
      </c>
      <c r="S49" s="101">
        <f t="shared" si="12"/>
        <v>0</v>
      </c>
      <c r="T49" s="67">
        <f>IFERROR(SUMIF(超音波画像診断装置!$C$30:$C$74,B49,超音波画像診断装置!$K$30:$K$74)*((超音波画像診断装置!$H$3-超音波画像診断装置!$I$3)/超音波画像診断装置!$H$3),0)</f>
        <v>0</v>
      </c>
      <c r="U49" s="68">
        <f t="shared" si="13"/>
        <v>0</v>
      </c>
      <c r="V49" s="67">
        <f>IFERROR(SUMIF(血液浄化装置!$C$30:$C$74,B49,血液浄化装置!$K$30:$K$74)*((血液浄化装置!$H$3-血液浄化装置!$I$3)/血液浄化装置!$H$3),0)</f>
        <v>0</v>
      </c>
      <c r="W49" s="68">
        <f t="shared" si="14"/>
        <v>0</v>
      </c>
      <c r="X49" s="67">
        <f>IFERROR(SUMIF(気管支鏡!$C$30:$C$74,B49,気管支鏡!$K$30:$K$74)*((気管支鏡!$H$3-気管支鏡!$I$3)/気管支鏡!$H$3),0)</f>
        <v>0</v>
      </c>
      <c r="Y49" s="68">
        <f t="shared" si="0"/>
        <v>0</v>
      </c>
      <c r="Z49" s="67">
        <f>IFERROR(SUMIF(CT撮影装置!$C$30:$C$74,B49,CT撮影装置!$K$30:$K$74)*((CT撮影装置!$H$3-CT撮影装置!$I$3)/CT撮影装置!$H$3),0)</f>
        <v>0</v>
      </c>
      <c r="AA49" s="68">
        <f t="shared" si="15"/>
        <v>0</v>
      </c>
      <c r="AB49" s="67">
        <f>IFERROR(SUMIF(生体情報モニタ!$C$30:$C$74,B49,生体情報モニタ!$K$30:$K$74)*((生体情報モニタ!$H$3-生体情報モニタ!$I$3)/生体情報モニタ!$H$3),0)</f>
        <v>0</v>
      </c>
      <c r="AC49" s="68">
        <f t="shared" si="1"/>
        <v>0</v>
      </c>
      <c r="AD49" s="67">
        <f>IFERROR(SUMIF(分娩監視装置!$C$30:$C$74,B49,分娩監視装置!$K$30:$K$74)*((分娩監視装置!$H$3-分娩監視装置!$I$3)/分娩監視装置!$H$3),0)</f>
        <v>0</v>
      </c>
      <c r="AE49" s="68">
        <f t="shared" si="16"/>
        <v>0</v>
      </c>
      <c r="AF49" s="67">
        <f>IFERROR(SUMIF(新生児モニタ!$C$30:$C$74,B49,新生児モニタ!$K$30:$K$74)*((新生児モニタ!$H$3-新生児モニタ!$I$3)/新生児モニタ!$H$3),0)</f>
        <v>0</v>
      </c>
      <c r="AG49" s="68">
        <f t="shared" si="17"/>
        <v>0</v>
      </c>
    </row>
    <row r="50" spans="2:33">
      <c r="B50" s="64" t="s">
        <v>697</v>
      </c>
      <c r="C50" s="67">
        <f>IFERROR(SUMIF(初度設備!$C$30:$C$74,B50,初度設備!$N$30:$N$74)*((初度設備!$H$3-初度設備!$I$3)/初度設備!$H$3),0)</f>
        <v>0</v>
      </c>
      <c r="D50" s="68">
        <f t="shared" si="2"/>
        <v>0</v>
      </c>
      <c r="E50" s="67">
        <f>IFERROR(SUMIF(人工呼吸器!$C$30:$C$74,B50,人工呼吸器!$N$30:$N$74)*((人工呼吸器!$H$3-人工呼吸器!$I$3)/人工呼吸器!$H$3),0)</f>
        <v>0</v>
      </c>
      <c r="F50" s="68">
        <f t="shared" si="3"/>
        <v>0</v>
      </c>
      <c r="G50" s="68">
        <f t="shared" si="4"/>
        <v>0</v>
      </c>
      <c r="H50" s="68">
        <f t="shared" si="5"/>
        <v>0</v>
      </c>
      <c r="I50" s="67">
        <f>IFERROR(SUMIF(簡易陰圧装置!$C$30:$C$74,B50,簡易陰圧装置!$N$30:$N$74)*((簡易陰圧装置!$H$3-簡易陰圧装置!$I$3)/簡易陰圧装置!$H$3),0)</f>
        <v>0</v>
      </c>
      <c r="J50" s="68">
        <f t="shared" si="6"/>
        <v>0</v>
      </c>
      <c r="K50" s="67">
        <f>IFERROR(SUMIF(#REF!,B50,#REF!)*((#REF!-#REF!)/#REF!),0)</f>
        <v>0</v>
      </c>
      <c r="L50" s="68">
        <f t="shared" si="7"/>
        <v>0</v>
      </c>
      <c r="M50" s="67">
        <f>IFERROR(SUMIF(体外式膜型人工肺!$C$30:$C$74,B50,体外式膜型人工肺!$N$30:$N$74)*((体外式膜型人工肺!$H$3-体外式膜型人工肺!$I$3)/体外式膜型人工肺!$H$3),0)</f>
        <v>0</v>
      </c>
      <c r="N50" s="68">
        <f t="shared" si="8"/>
        <v>0</v>
      </c>
      <c r="O50" s="68">
        <f t="shared" si="9"/>
        <v>0</v>
      </c>
      <c r="P50" s="68">
        <f t="shared" si="10"/>
        <v>0</v>
      </c>
      <c r="Q50" s="67">
        <f>IFERROR(SUMIF(紫外線照射装置!$C$30:$C$74,B50,紫外線照射装置!$N$30:$N$74)*((紫外線照射装置!$H$3-紫外線照射装置!$I$3)/紫外線照射装置!$H$3),0)</f>
        <v>0</v>
      </c>
      <c r="R50" s="68">
        <f t="shared" si="11"/>
        <v>0</v>
      </c>
      <c r="S50" s="101">
        <f t="shared" si="12"/>
        <v>0</v>
      </c>
      <c r="T50" s="67">
        <f>IFERROR(SUMIF(超音波画像診断装置!$C$30:$C$74,B50,超音波画像診断装置!$K$30:$K$74)*((超音波画像診断装置!$H$3-超音波画像診断装置!$I$3)/超音波画像診断装置!$H$3),0)</f>
        <v>0</v>
      </c>
      <c r="U50" s="68">
        <f t="shared" si="13"/>
        <v>0</v>
      </c>
      <c r="V50" s="67">
        <f>IFERROR(SUMIF(血液浄化装置!$C$30:$C$74,B50,血液浄化装置!$K$30:$K$74)*((血液浄化装置!$H$3-血液浄化装置!$I$3)/血液浄化装置!$H$3),0)</f>
        <v>0</v>
      </c>
      <c r="W50" s="68">
        <f t="shared" si="14"/>
        <v>0</v>
      </c>
      <c r="X50" s="67">
        <f>IFERROR(SUMIF(気管支鏡!$C$30:$C$74,B50,気管支鏡!$K$30:$K$74)*((気管支鏡!$H$3-気管支鏡!$I$3)/気管支鏡!$H$3),0)</f>
        <v>0</v>
      </c>
      <c r="Y50" s="68">
        <f t="shared" si="0"/>
        <v>0</v>
      </c>
      <c r="Z50" s="67">
        <f>IFERROR(SUMIF(CT撮影装置!$C$30:$C$74,B50,CT撮影装置!$K$30:$K$74)*((CT撮影装置!$H$3-CT撮影装置!$I$3)/CT撮影装置!$H$3),0)</f>
        <v>0</v>
      </c>
      <c r="AA50" s="68">
        <f t="shared" si="15"/>
        <v>0</v>
      </c>
      <c r="AB50" s="67">
        <f>IFERROR(SUMIF(生体情報モニタ!$C$30:$C$74,B50,生体情報モニタ!$K$30:$K$74)*((生体情報モニタ!$H$3-生体情報モニタ!$I$3)/生体情報モニタ!$H$3),0)</f>
        <v>0</v>
      </c>
      <c r="AC50" s="68">
        <f t="shared" si="1"/>
        <v>0</v>
      </c>
      <c r="AD50" s="67">
        <f>IFERROR(SUMIF(分娩監視装置!$C$30:$C$74,B50,分娩監視装置!$K$30:$K$74)*((分娩監視装置!$H$3-分娩監視装置!$I$3)/分娩監視装置!$H$3),0)</f>
        <v>0</v>
      </c>
      <c r="AE50" s="68">
        <f t="shared" si="16"/>
        <v>0</v>
      </c>
      <c r="AF50" s="67">
        <f>IFERROR(SUMIF(新生児モニタ!$C$30:$C$74,B50,新生児モニタ!$K$30:$K$74)*((新生児モニタ!$H$3-新生児モニタ!$I$3)/新生児モニタ!$H$3),0)</f>
        <v>0</v>
      </c>
      <c r="AG50" s="68">
        <f t="shared" si="17"/>
        <v>0</v>
      </c>
    </row>
    <row r="51" spans="2:33">
      <c r="B51" s="64" t="s">
        <v>698</v>
      </c>
      <c r="C51" s="67">
        <f>IFERROR(SUMIF(初度設備!$C$30:$C$74,B51,初度設備!$N$30:$N$74)*((初度設備!$H$3-初度設備!$I$3)/初度設備!$H$3),0)</f>
        <v>0</v>
      </c>
      <c r="D51" s="68">
        <f t="shared" si="2"/>
        <v>0</v>
      </c>
      <c r="E51" s="67">
        <f>IFERROR(SUMIF(人工呼吸器!$C$30:$C$74,B51,人工呼吸器!$N$30:$N$74)*((人工呼吸器!$H$3-人工呼吸器!$I$3)/人工呼吸器!$H$3),0)</f>
        <v>0</v>
      </c>
      <c r="F51" s="68">
        <f t="shared" si="3"/>
        <v>0</v>
      </c>
      <c r="G51" s="68">
        <f t="shared" si="4"/>
        <v>0</v>
      </c>
      <c r="H51" s="68">
        <f t="shared" si="5"/>
        <v>0</v>
      </c>
      <c r="I51" s="67">
        <f>IFERROR(SUMIF(簡易陰圧装置!$C$30:$C$74,B51,簡易陰圧装置!$N$30:$N$74)*((簡易陰圧装置!$H$3-簡易陰圧装置!$I$3)/簡易陰圧装置!$H$3),0)</f>
        <v>0</v>
      </c>
      <c r="J51" s="68">
        <f t="shared" si="6"/>
        <v>0</v>
      </c>
      <c r="K51" s="67">
        <f>IFERROR(SUMIF(#REF!,B51,#REF!)*((#REF!-#REF!)/#REF!),0)</f>
        <v>0</v>
      </c>
      <c r="L51" s="68">
        <f t="shared" si="7"/>
        <v>0</v>
      </c>
      <c r="M51" s="67">
        <f>IFERROR(SUMIF(体外式膜型人工肺!$C$30:$C$74,B51,体外式膜型人工肺!$N$30:$N$74)*((体外式膜型人工肺!$H$3-体外式膜型人工肺!$I$3)/体外式膜型人工肺!$H$3),0)</f>
        <v>0</v>
      </c>
      <c r="N51" s="68">
        <f t="shared" si="8"/>
        <v>0</v>
      </c>
      <c r="O51" s="68">
        <f t="shared" si="9"/>
        <v>0</v>
      </c>
      <c r="P51" s="68">
        <f t="shared" si="10"/>
        <v>0</v>
      </c>
      <c r="Q51" s="67">
        <f>IFERROR(SUMIF(紫外線照射装置!$C$30:$C$74,B51,紫外線照射装置!$N$30:$N$74)*((紫外線照射装置!$H$3-紫外線照射装置!$I$3)/紫外線照射装置!$H$3),0)</f>
        <v>0</v>
      </c>
      <c r="R51" s="68">
        <f t="shared" si="11"/>
        <v>0</v>
      </c>
      <c r="S51" s="101">
        <f t="shared" si="12"/>
        <v>0</v>
      </c>
      <c r="T51" s="67">
        <f>IFERROR(SUMIF(超音波画像診断装置!$C$30:$C$74,B51,超音波画像診断装置!$K$30:$K$74)*((超音波画像診断装置!$H$3-超音波画像診断装置!$I$3)/超音波画像診断装置!$H$3),0)</f>
        <v>0</v>
      </c>
      <c r="U51" s="68">
        <f t="shared" si="13"/>
        <v>0</v>
      </c>
      <c r="V51" s="67">
        <f>IFERROR(SUMIF(血液浄化装置!$C$30:$C$74,B51,血液浄化装置!$K$30:$K$74)*((血液浄化装置!$H$3-血液浄化装置!$I$3)/血液浄化装置!$H$3),0)</f>
        <v>0</v>
      </c>
      <c r="W51" s="68">
        <f t="shared" si="14"/>
        <v>0</v>
      </c>
      <c r="X51" s="67">
        <f>IFERROR(SUMIF(気管支鏡!$C$30:$C$74,B51,気管支鏡!$K$30:$K$74)*((気管支鏡!$H$3-気管支鏡!$I$3)/気管支鏡!$H$3),0)</f>
        <v>0</v>
      </c>
      <c r="Y51" s="68">
        <f t="shared" si="0"/>
        <v>0</v>
      </c>
      <c r="Z51" s="67">
        <f>IFERROR(SUMIF(CT撮影装置!$C$30:$C$74,B51,CT撮影装置!$K$30:$K$74)*((CT撮影装置!$H$3-CT撮影装置!$I$3)/CT撮影装置!$H$3),0)</f>
        <v>0</v>
      </c>
      <c r="AA51" s="68">
        <f t="shared" si="15"/>
        <v>0</v>
      </c>
      <c r="AB51" s="67">
        <f>IFERROR(SUMIF(生体情報モニタ!$C$30:$C$74,B51,生体情報モニタ!$K$30:$K$74)*((生体情報モニタ!$H$3-生体情報モニタ!$I$3)/生体情報モニタ!$H$3),0)</f>
        <v>0</v>
      </c>
      <c r="AC51" s="68">
        <f t="shared" si="1"/>
        <v>0</v>
      </c>
      <c r="AD51" s="67">
        <f>IFERROR(SUMIF(分娩監視装置!$C$30:$C$74,B51,分娩監視装置!$K$30:$K$74)*((分娩監視装置!$H$3-分娩監視装置!$I$3)/分娩監視装置!$H$3),0)</f>
        <v>0</v>
      </c>
      <c r="AE51" s="68">
        <f t="shared" si="16"/>
        <v>0</v>
      </c>
      <c r="AF51" s="67">
        <f>IFERROR(SUMIF(新生児モニタ!$C$30:$C$74,B51,新生児モニタ!$K$30:$K$74)*((新生児モニタ!$H$3-新生児モニタ!$I$3)/新生児モニタ!$H$3),0)</f>
        <v>0</v>
      </c>
      <c r="AG51" s="68">
        <f t="shared" si="17"/>
        <v>0</v>
      </c>
    </row>
    <row r="52" spans="2:33">
      <c r="B52" s="64" t="s">
        <v>699</v>
      </c>
      <c r="C52" s="67">
        <f>IFERROR(SUMIF(初度設備!$C$30:$C$74,B52,初度設備!$N$30:$N$74)*((初度設備!$H$3-初度設備!$I$3)/初度設備!$H$3),0)</f>
        <v>0</v>
      </c>
      <c r="D52" s="68">
        <f t="shared" si="2"/>
        <v>0</v>
      </c>
      <c r="E52" s="67">
        <f>IFERROR(SUMIF(人工呼吸器!$C$30:$C$74,B52,人工呼吸器!$N$30:$N$74)*((人工呼吸器!$H$3-人工呼吸器!$I$3)/人工呼吸器!$H$3),0)</f>
        <v>0</v>
      </c>
      <c r="F52" s="68">
        <f t="shared" si="3"/>
        <v>0</v>
      </c>
      <c r="G52" s="68">
        <f t="shared" si="4"/>
        <v>0</v>
      </c>
      <c r="H52" s="68">
        <f t="shared" si="5"/>
        <v>0</v>
      </c>
      <c r="I52" s="67">
        <f>IFERROR(SUMIF(簡易陰圧装置!$C$30:$C$74,B52,簡易陰圧装置!$N$30:$N$74)*((簡易陰圧装置!$H$3-簡易陰圧装置!$I$3)/簡易陰圧装置!$H$3),0)</f>
        <v>0</v>
      </c>
      <c r="J52" s="68">
        <f t="shared" si="6"/>
        <v>0</v>
      </c>
      <c r="K52" s="67">
        <f>IFERROR(SUMIF(#REF!,B52,#REF!)*((#REF!-#REF!)/#REF!),0)</f>
        <v>0</v>
      </c>
      <c r="L52" s="68">
        <f t="shared" si="7"/>
        <v>0</v>
      </c>
      <c r="M52" s="67">
        <f>IFERROR(SUMIF(体外式膜型人工肺!$C$30:$C$74,B52,体外式膜型人工肺!$N$30:$N$74)*((体外式膜型人工肺!$H$3-体外式膜型人工肺!$I$3)/体外式膜型人工肺!$H$3),0)</f>
        <v>0</v>
      </c>
      <c r="N52" s="68">
        <f t="shared" si="8"/>
        <v>0</v>
      </c>
      <c r="O52" s="68">
        <f t="shared" si="9"/>
        <v>0</v>
      </c>
      <c r="P52" s="68">
        <f t="shared" si="10"/>
        <v>0</v>
      </c>
      <c r="Q52" s="67">
        <f>IFERROR(SUMIF(紫外線照射装置!$C$30:$C$74,B52,紫外線照射装置!$N$30:$N$74)*((紫外線照射装置!$H$3-紫外線照射装置!$I$3)/紫外線照射装置!$H$3),0)</f>
        <v>0</v>
      </c>
      <c r="R52" s="68">
        <f t="shared" si="11"/>
        <v>0</v>
      </c>
      <c r="S52" s="101">
        <f t="shared" si="12"/>
        <v>0</v>
      </c>
      <c r="T52" s="67">
        <f>IFERROR(SUMIF(超音波画像診断装置!$C$30:$C$74,B52,超音波画像診断装置!$K$30:$K$74)*((超音波画像診断装置!$H$3-超音波画像診断装置!$I$3)/超音波画像診断装置!$H$3),0)</f>
        <v>0</v>
      </c>
      <c r="U52" s="68">
        <f t="shared" si="13"/>
        <v>0</v>
      </c>
      <c r="V52" s="67">
        <f>IFERROR(SUMIF(血液浄化装置!$C$30:$C$74,B52,血液浄化装置!$K$30:$K$74)*((血液浄化装置!$H$3-血液浄化装置!$I$3)/血液浄化装置!$H$3),0)</f>
        <v>0</v>
      </c>
      <c r="W52" s="68">
        <f t="shared" si="14"/>
        <v>0</v>
      </c>
      <c r="X52" s="67">
        <f>IFERROR(SUMIF(気管支鏡!$C$30:$C$74,B52,気管支鏡!$K$30:$K$74)*((気管支鏡!$H$3-気管支鏡!$I$3)/気管支鏡!$H$3),0)</f>
        <v>0</v>
      </c>
      <c r="Y52" s="68">
        <f t="shared" si="0"/>
        <v>0</v>
      </c>
      <c r="Z52" s="67">
        <f>IFERROR(SUMIF(CT撮影装置!$C$30:$C$74,B52,CT撮影装置!$K$30:$K$74)*((CT撮影装置!$H$3-CT撮影装置!$I$3)/CT撮影装置!$H$3),0)</f>
        <v>0</v>
      </c>
      <c r="AA52" s="68">
        <f t="shared" si="15"/>
        <v>0</v>
      </c>
      <c r="AB52" s="67">
        <f>IFERROR(SUMIF(生体情報モニタ!$C$30:$C$74,B52,生体情報モニタ!$K$30:$K$74)*((生体情報モニタ!$H$3-生体情報モニタ!$I$3)/生体情報モニタ!$H$3),0)</f>
        <v>0</v>
      </c>
      <c r="AC52" s="68">
        <f t="shared" si="1"/>
        <v>0</v>
      </c>
      <c r="AD52" s="67">
        <f>IFERROR(SUMIF(分娩監視装置!$C$30:$C$74,B52,分娩監視装置!$K$30:$K$74)*((分娩監視装置!$H$3-分娩監視装置!$I$3)/分娩監視装置!$H$3),0)</f>
        <v>0</v>
      </c>
      <c r="AE52" s="68">
        <f t="shared" si="16"/>
        <v>0</v>
      </c>
      <c r="AF52" s="67">
        <f>IFERROR(SUMIF(新生児モニタ!$C$30:$C$74,B52,新生児モニタ!$K$30:$K$74)*((新生児モニタ!$H$3-新生児モニタ!$I$3)/新生児モニタ!$H$3),0)</f>
        <v>0</v>
      </c>
      <c r="AG52" s="68">
        <f t="shared" si="17"/>
        <v>0</v>
      </c>
    </row>
    <row r="53" spans="2:33">
      <c r="B53" s="64" t="s">
        <v>700</v>
      </c>
      <c r="C53" s="67">
        <f>IFERROR(SUMIF(初度設備!$C$30:$C$74,B53,初度設備!$N$30:$N$74)*((初度設備!$H$3-初度設備!$I$3)/初度設備!$H$3),0)</f>
        <v>0</v>
      </c>
      <c r="D53" s="68">
        <f t="shared" si="2"/>
        <v>0</v>
      </c>
      <c r="E53" s="67">
        <f>IFERROR(SUMIF(人工呼吸器!$C$30:$C$74,B53,人工呼吸器!$N$30:$N$74)*((人工呼吸器!$H$3-人工呼吸器!$I$3)/人工呼吸器!$H$3),0)</f>
        <v>0</v>
      </c>
      <c r="F53" s="68">
        <f t="shared" si="3"/>
        <v>0</v>
      </c>
      <c r="G53" s="68">
        <f t="shared" si="4"/>
        <v>0</v>
      </c>
      <c r="H53" s="68">
        <f t="shared" si="5"/>
        <v>0</v>
      </c>
      <c r="I53" s="67">
        <f>IFERROR(SUMIF(簡易陰圧装置!$C$30:$C$74,B53,簡易陰圧装置!$N$30:$N$74)*((簡易陰圧装置!$H$3-簡易陰圧装置!$I$3)/簡易陰圧装置!$H$3),0)</f>
        <v>0</v>
      </c>
      <c r="J53" s="68">
        <f t="shared" si="6"/>
        <v>0</v>
      </c>
      <c r="K53" s="67">
        <f>IFERROR(SUMIF(#REF!,B53,#REF!)*((#REF!-#REF!)/#REF!),0)</f>
        <v>0</v>
      </c>
      <c r="L53" s="68">
        <f t="shared" si="7"/>
        <v>0</v>
      </c>
      <c r="M53" s="67">
        <f>IFERROR(SUMIF(体外式膜型人工肺!$C$30:$C$74,B53,体外式膜型人工肺!$N$30:$N$74)*((体外式膜型人工肺!$H$3-体外式膜型人工肺!$I$3)/体外式膜型人工肺!$H$3),0)</f>
        <v>0</v>
      </c>
      <c r="N53" s="68">
        <f t="shared" si="8"/>
        <v>0</v>
      </c>
      <c r="O53" s="68">
        <f t="shared" si="9"/>
        <v>0</v>
      </c>
      <c r="P53" s="68">
        <f t="shared" si="10"/>
        <v>0</v>
      </c>
      <c r="Q53" s="67">
        <f>IFERROR(SUMIF(紫外線照射装置!$C$30:$C$74,B53,紫外線照射装置!$N$30:$N$74)*((紫外線照射装置!$H$3-紫外線照射装置!$I$3)/紫外線照射装置!$H$3),0)</f>
        <v>0</v>
      </c>
      <c r="R53" s="68">
        <f t="shared" si="11"/>
        <v>0</v>
      </c>
      <c r="S53" s="101">
        <f t="shared" si="12"/>
        <v>0</v>
      </c>
      <c r="T53" s="67">
        <f>IFERROR(SUMIF(超音波画像診断装置!$C$30:$C$74,B53,超音波画像診断装置!$K$30:$K$74)*((超音波画像診断装置!$H$3-超音波画像診断装置!$I$3)/超音波画像診断装置!$H$3),0)</f>
        <v>0</v>
      </c>
      <c r="U53" s="68">
        <f t="shared" si="13"/>
        <v>0</v>
      </c>
      <c r="V53" s="67">
        <f>IFERROR(SUMIF(血液浄化装置!$C$30:$C$74,B53,血液浄化装置!$K$30:$K$74)*((血液浄化装置!$H$3-血液浄化装置!$I$3)/血液浄化装置!$H$3),0)</f>
        <v>0</v>
      </c>
      <c r="W53" s="68">
        <f t="shared" si="14"/>
        <v>0</v>
      </c>
      <c r="X53" s="67">
        <f>IFERROR(SUMIF(気管支鏡!$C$30:$C$74,B53,気管支鏡!$K$30:$K$74)*((気管支鏡!$H$3-気管支鏡!$I$3)/気管支鏡!$H$3),0)</f>
        <v>0</v>
      </c>
      <c r="Y53" s="68">
        <f t="shared" si="0"/>
        <v>0</v>
      </c>
      <c r="Z53" s="67">
        <f>IFERROR(SUMIF(CT撮影装置!$C$30:$C$74,B53,CT撮影装置!$K$30:$K$74)*((CT撮影装置!$H$3-CT撮影装置!$I$3)/CT撮影装置!$H$3),0)</f>
        <v>0</v>
      </c>
      <c r="AA53" s="68">
        <f t="shared" si="15"/>
        <v>0</v>
      </c>
      <c r="AB53" s="67">
        <f>IFERROR(SUMIF(生体情報モニタ!$C$30:$C$74,B53,生体情報モニタ!$K$30:$K$74)*((生体情報モニタ!$H$3-生体情報モニタ!$I$3)/生体情報モニタ!$H$3),0)</f>
        <v>0</v>
      </c>
      <c r="AC53" s="68">
        <f t="shared" si="1"/>
        <v>0</v>
      </c>
      <c r="AD53" s="67">
        <f>IFERROR(SUMIF(分娩監視装置!$C$30:$C$74,B53,分娩監視装置!$K$30:$K$74)*((分娩監視装置!$H$3-分娩監視装置!$I$3)/分娩監視装置!$H$3),0)</f>
        <v>0</v>
      </c>
      <c r="AE53" s="68">
        <f t="shared" si="16"/>
        <v>0</v>
      </c>
      <c r="AF53" s="67">
        <f>IFERROR(SUMIF(新生児モニタ!$C$30:$C$74,B53,新生児モニタ!$K$30:$K$74)*((新生児モニタ!$H$3-新生児モニタ!$I$3)/新生児モニタ!$H$3),0)</f>
        <v>0</v>
      </c>
      <c r="AG53" s="68">
        <f t="shared" si="17"/>
        <v>0</v>
      </c>
    </row>
    <row r="54" spans="2:33">
      <c r="B54" s="64" t="s">
        <v>701</v>
      </c>
      <c r="C54" s="67">
        <f>IFERROR(SUMIF(初度設備!$C$30:$C$74,B54,初度設備!$N$30:$N$74)*((初度設備!$H$3-初度設備!$I$3)/初度設備!$H$3),0)</f>
        <v>0</v>
      </c>
      <c r="D54" s="68">
        <f t="shared" si="2"/>
        <v>0</v>
      </c>
      <c r="E54" s="67">
        <f>IFERROR(SUMIF(人工呼吸器!$C$30:$C$74,B54,人工呼吸器!$N$30:$N$74)*((人工呼吸器!$H$3-人工呼吸器!$I$3)/人工呼吸器!$H$3),0)</f>
        <v>0</v>
      </c>
      <c r="F54" s="68">
        <f t="shared" si="3"/>
        <v>0</v>
      </c>
      <c r="G54" s="68">
        <f t="shared" si="4"/>
        <v>0</v>
      </c>
      <c r="H54" s="68">
        <f t="shared" si="5"/>
        <v>0</v>
      </c>
      <c r="I54" s="67">
        <f>IFERROR(SUMIF(簡易陰圧装置!$C$30:$C$74,B54,簡易陰圧装置!$N$30:$N$74)*((簡易陰圧装置!$H$3-簡易陰圧装置!$I$3)/簡易陰圧装置!$H$3),0)</f>
        <v>0</v>
      </c>
      <c r="J54" s="68">
        <f t="shared" si="6"/>
        <v>0</v>
      </c>
      <c r="K54" s="67">
        <f>IFERROR(SUMIF(#REF!,B54,#REF!)*((#REF!-#REF!)/#REF!),0)</f>
        <v>0</v>
      </c>
      <c r="L54" s="68">
        <f t="shared" si="7"/>
        <v>0</v>
      </c>
      <c r="M54" s="67">
        <f>IFERROR(SUMIF(体外式膜型人工肺!$C$30:$C$74,B54,体外式膜型人工肺!$N$30:$N$74)*((体外式膜型人工肺!$H$3-体外式膜型人工肺!$I$3)/体外式膜型人工肺!$H$3),0)</f>
        <v>0</v>
      </c>
      <c r="N54" s="68">
        <f t="shared" si="8"/>
        <v>0</v>
      </c>
      <c r="O54" s="68">
        <f t="shared" si="9"/>
        <v>0</v>
      </c>
      <c r="P54" s="68">
        <f t="shared" si="10"/>
        <v>0</v>
      </c>
      <c r="Q54" s="67">
        <f>IFERROR(SUMIF(紫外線照射装置!$C$30:$C$74,B54,紫外線照射装置!$N$30:$N$74)*((紫外線照射装置!$H$3-紫外線照射装置!$I$3)/紫外線照射装置!$H$3),0)</f>
        <v>0</v>
      </c>
      <c r="R54" s="68">
        <f t="shared" si="11"/>
        <v>0</v>
      </c>
      <c r="S54" s="101">
        <f t="shared" si="12"/>
        <v>0</v>
      </c>
      <c r="T54" s="67">
        <f>IFERROR(SUMIF(超音波画像診断装置!$C$30:$C$74,B54,超音波画像診断装置!$K$30:$K$74)*((超音波画像診断装置!$H$3-超音波画像診断装置!$I$3)/超音波画像診断装置!$H$3),0)</f>
        <v>0</v>
      </c>
      <c r="U54" s="68">
        <f t="shared" si="13"/>
        <v>0</v>
      </c>
      <c r="V54" s="67">
        <f>IFERROR(SUMIF(血液浄化装置!$C$30:$C$74,B54,血液浄化装置!$K$30:$K$74)*((血液浄化装置!$H$3-血液浄化装置!$I$3)/血液浄化装置!$H$3),0)</f>
        <v>0</v>
      </c>
      <c r="W54" s="68">
        <f t="shared" si="14"/>
        <v>0</v>
      </c>
      <c r="X54" s="67">
        <f>IFERROR(SUMIF(気管支鏡!$C$30:$C$74,B54,気管支鏡!$K$30:$K$74)*((気管支鏡!$H$3-気管支鏡!$I$3)/気管支鏡!$H$3),0)</f>
        <v>0</v>
      </c>
      <c r="Y54" s="68">
        <f t="shared" si="0"/>
        <v>0</v>
      </c>
      <c r="Z54" s="67">
        <f>IFERROR(SUMIF(CT撮影装置!$C$30:$C$74,B54,CT撮影装置!$K$30:$K$74)*((CT撮影装置!$H$3-CT撮影装置!$I$3)/CT撮影装置!$H$3),0)</f>
        <v>0</v>
      </c>
      <c r="AA54" s="68">
        <f t="shared" si="15"/>
        <v>0</v>
      </c>
      <c r="AB54" s="67">
        <f>IFERROR(SUMIF(生体情報モニタ!$C$30:$C$74,B54,生体情報モニタ!$K$30:$K$74)*((生体情報モニタ!$H$3-生体情報モニタ!$I$3)/生体情報モニタ!$H$3),0)</f>
        <v>0</v>
      </c>
      <c r="AC54" s="68">
        <f t="shared" si="1"/>
        <v>0</v>
      </c>
      <c r="AD54" s="67">
        <f>IFERROR(SUMIF(分娩監視装置!$C$30:$C$74,B54,分娩監視装置!$K$30:$K$74)*((分娩監視装置!$H$3-分娩監視装置!$I$3)/分娩監視装置!$H$3),0)</f>
        <v>0</v>
      </c>
      <c r="AE54" s="68">
        <f t="shared" si="16"/>
        <v>0</v>
      </c>
      <c r="AF54" s="67">
        <f>IFERROR(SUMIF(新生児モニタ!$C$30:$C$74,B54,新生児モニタ!$K$30:$K$74)*((新生児モニタ!$H$3-新生児モニタ!$I$3)/新生児モニタ!$H$3),0)</f>
        <v>0</v>
      </c>
      <c r="AG54" s="68">
        <f t="shared" si="17"/>
        <v>0</v>
      </c>
    </row>
    <row r="55" spans="2:33">
      <c r="B55" s="64" t="s">
        <v>702</v>
      </c>
      <c r="C55" s="67">
        <f>IFERROR(SUMIF(初度設備!$C$30:$C$74,B55,初度設備!$N$30:$N$74)*((初度設備!$H$3-初度設備!$I$3)/初度設備!$H$3),0)</f>
        <v>0</v>
      </c>
      <c r="D55" s="68">
        <f t="shared" si="2"/>
        <v>0</v>
      </c>
      <c r="E55" s="67">
        <f>IFERROR(SUMIF(人工呼吸器!$C$30:$C$74,B55,人工呼吸器!$N$30:$N$74)*((人工呼吸器!$H$3-人工呼吸器!$I$3)/人工呼吸器!$H$3),0)</f>
        <v>0</v>
      </c>
      <c r="F55" s="68">
        <f t="shared" si="3"/>
        <v>0</v>
      </c>
      <c r="G55" s="68">
        <f t="shared" si="4"/>
        <v>0</v>
      </c>
      <c r="H55" s="68">
        <f t="shared" si="5"/>
        <v>0</v>
      </c>
      <c r="I55" s="67">
        <f>IFERROR(SUMIF(簡易陰圧装置!$C$30:$C$74,B55,簡易陰圧装置!$N$30:$N$74)*((簡易陰圧装置!$H$3-簡易陰圧装置!$I$3)/簡易陰圧装置!$H$3),0)</f>
        <v>0</v>
      </c>
      <c r="J55" s="68">
        <f t="shared" si="6"/>
        <v>0</v>
      </c>
      <c r="K55" s="67">
        <f>IFERROR(SUMIF(#REF!,B55,#REF!)*((#REF!-#REF!)/#REF!),0)</f>
        <v>0</v>
      </c>
      <c r="L55" s="68">
        <f t="shared" si="7"/>
        <v>0</v>
      </c>
      <c r="M55" s="67">
        <f>IFERROR(SUMIF(体外式膜型人工肺!$C$30:$C$74,B55,体外式膜型人工肺!$N$30:$N$74)*((体外式膜型人工肺!$H$3-体外式膜型人工肺!$I$3)/体外式膜型人工肺!$H$3),0)</f>
        <v>0</v>
      </c>
      <c r="N55" s="68">
        <f t="shared" si="8"/>
        <v>0</v>
      </c>
      <c r="O55" s="68">
        <f t="shared" si="9"/>
        <v>0</v>
      </c>
      <c r="P55" s="68">
        <f t="shared" si="10"/>
        <v>0</v>
      </c>
      <c r="Q55" s="67">
        <f>IFERROR(SUMIF(紫外線照射装置!$C$30:$C$74,B55,紫外線照射装置!$N$30:$N$74)*((紫外線照射装置!$H$3-紫外線照射装置!$I$3)/紫外線照射装置!$H$3),0)</f>
        <v>0</v>
      </c>
      <c r="R55" s="68">
        <f t="shared" si="11"/>
        <v>0</v>
      </c>
      <c r="S55" s="101">
        <f t="shared" si="12"/>
        <v>0</v>
      </c>
      <c r="T55" s="67">
        <f>IFERROR(SUMIF(超音波画像診断装置!$C$30:$C$74,B55,超音波画像診断装置!$K$30:$K$74)*((超音波画像診断装置!$H$3-超音波画像診断装置!$I$3)/超音波画像診断装置!$H$3),0)</f>
        <v>0</v>
      </c>
      <c r="U55" s="68">
        <f t="shared" si="13"/>
        <v>0</v>
      </c>
      <c r="V55" s="67">
        <f>IFERROR(SUMIF(血液浄化装置!$C$30:$C$74,B55,血液浄化装置!$K$30:$K$74)*((血液浄化装置!$H$3-血液浄化装置!$I$3)/血液浄化装置!$H$3),0)</f>
        <v>0</v>
      </c>
      <c r="W55" s="68">
        <f t="shared" si="14"/>
        <v>0</v>
      </c>
      <c r="X55" s="67">
        <f>IFERROR(SUMIF(気管支鏡!$C$30:$C$74,B55,気管支鏡!$K$30:$K$74)*((気管支鏡!$H$3-気管支鏡!$I$3)/気管支鏡!$H$3),0)</f>
        <v>0</v>
      </c>
      <c r="Y55" s="68">
        <f t="shared" si="0"/>
        <v>0</v>
      </c>
      <c r="Z55" s="67">
        <f>IFERROR(SUMIF(CT撮影装置!$C$30:$C$74,B55,CT撮影装置!$K$30:$K$74)*((CT撮影装置!$H$3-CT撮影装置!$I$3)/CT撮影装置!$H$3),0)</f>
        <v>0</v>
      </c>
      <c r="AA55" s="68">
        <f t="shared" si="15"/>
        <v>0</v>
      </c>
      <c r="AB55" s="67">
        <f>IFERROR(SUMIF(生体情報モニタ!$C$30:$C$74,B55,生体情報モニタ!$K$30:$K$74)*((生体情報モニタ!$H$3-生体情報モニタ!$I$3)/生体情報モニタ!$H$3),0)</f>
        <v>0</v>
      </c>
      <c r="AC55" s="68">
        <f t="shared" si="1"/>
        <v>0</v>
      </c>
      <c r="AD55" s="67">
        <f>IFERROR(SUMIF(分娩監視装置!$C$30:$C$74,B55,分娩監視装置!$K$30:$K$74)*((分娩監視装置!$H$3-分娩監視装置!$I$3)/分娩監視装置!$H$3),0)</f>
        <v>0</v>
      </c>
      <c r="AE55" s="68">
        <f t="shared" si="16"/>
        <v>0</v>
      </c>
      <c r="AF55" s="67">
        <f>IFERROR(SUMIF(新生児モニタ!$C$30:$C$74,B55,新生児モニタ!$K$30:$K$74)*((新生児モニタ!$H$3-新生児モニタ!$I$3)/新生児モニタ!$H$3),0)</f>
        <v>0</v>
      </c>
      <c r="AG55" s="68">
        <f t="shared" si="17"/>
        <v>0</v>
      </c>
    </row>
    <row r="56" spans="2:33">
      <c r="B56" s="64" t="s">
        <v>703</v>
      </c>
      <c r="C56" s="67">
        <f>IFERROR(SUMIF(初度設備!$C$30:$C$74,B56,初度設備!$N$30:$N$74)*((初度設備!$H$3-初度設備!$I$3)/初度設備!$H$3),0)</f>
        <v>0</v>
      </c>
      <c r="D56" s="68">
        <f t="shared" si="2"/>
        <v>0</v>
      </c>
      <c r="E56" s="67">
        <f>IFERROR(SUMIF(人工呼吸器!$C$30:$C$74,B56,人工呼吸器!$N$30:$N$74)*((人工呼吸器!$H$3-人工呼吸器!$I$3)/人工呼吸器!$H$3),0)</f>
        <v>0</v>
      </c>
      <c r="F56" s="68">
        <f t="shared" si="3"/>
        <v>0</v>
      </c>
      <c r="G56" s="68">
        <f t="shared" si="4"/>
        <v>0</v>
      </c>
      <c r="H56" s="68">
        <f t="shared" si="5"/>
        <v>0</v>
      </c>
      <c r="I56" s="67">
        <f>IFERROR(SUMIF(簡易陰圧装置!$C$30:$C$74,B56,簡易陰圧装置!$N$30:$N$74)*((簡易陰圧装置!$H$3-簡易陰圧装置!$I$3)/簡易陰圧装置!$H$3),0)</f>
        <v>0</v>
      </c>
      <c r="J56" s="68">
        <f t="shared" si="6"/>
        <v>0</v>
      </c>
      <c r="K56" s="67">
        <f>IFERROR(SUMIF(#REF!,B56,#REF!)*((#REF!-#REF!)/#REF!),0)</f>
        <v>0</v>
      </c>
      <c r="L56" s="68">
        <f t="shared" si="7"/>
        <v>0</v>
      </c>
      <c r="M56" s="67">
        <f>IFERROR(SUMIF(体外式膜型人工肺!$C$30:$C$74,B56,体外式膜型人工肺!$N$30:$N$74)*((体外式膜型人工肺!$H$3-体外式膜型人工肺!$I$3)/体外式膜型人工肺!$H$3),0)</f>
        <v>0</v>
      </c>
      <c r="N56" s="68">
        <f t="shared" si="8"/>
        <v>0</v>
      </c>
      <c r="O56" s="68">
        <f t="shared" si="9"/>
        <v>0</v>
      </c>
      <c r="P56" s="68">
        <f t="shared" si="10"/>
        <v>0</v>
      </c>
      <c r="Q56" s="67">
        <f>IFERROR(SUMIF(紫外線照射装置!$C$30:$C$74,B56,紫外線照射装置!$N$30:$N$74)*((紫外線照射装置!$H$3-紫外線照射装置!$I$3)/紫外線照射装置!$H$3),0)</f>
        <v>0</v>
      </c>
      <c r="R56" s="68">
        <f t="shared" si="11"/>
        <v>0</v>
      </c>
      <c r="S56" s="101">
        <f t="shared" si="12"/>
        <v>0</v>
      </c>
      <c r="T56" s="67">
        <f>IFERROR(SUMIF(超音波画像診断装置!$C$30:$C$74,B56,超音波画像診断装置!$K$30:$K$74)*((超音波画像診断装置!$H$3-超音波画像診断装置!$I$3)/超音波画像診断装置!$H$3),0)</f>
        <v>0</v>
      </c>
      <c r="U56" s="68">
        <f t="shared" si="13"/>
        <v>0</v>
      </c>
      <c r="V56" s="67">
        <f>IFERROR(SUMIF(血液浄化装置!$C$30:$C$74,B56,血液浄化装置!$K$30:$K$74)*((血液浄化装置!$H$3-血液浄化装置!$I$3)/血液浄化装置!$H$3),0)</f>
        <v>0</v>
      </c>
      <c r="W56" s="68">
        <f t="shared" si="14"/>
        <v>0</v>
      </c>
      <c r="X56" s="67">
        <f>IFERROR(SUMIF(気管支鏡!$C$30:$C$74,B56,気管支鏡!$K$30:$K$74)*((気管支鏡!$H$3-気管支鏡!$I$3)/気管支鏡!$H$3),0)</f>
        <v>0</v>
      </c>
      <c r="Y56" s="68">
        <f t="shared" si="0"/>
        <v>0</v>
      </c>
      <c r="Z56" s="67">
        <f>IFERROR(SUMIF(CT撮影装置!$C$30:$C$74,B56,CT撮影装置!$K$30:$K$74)*((CT撮影装置!$H$3-CT撮影装置!$I$3)/CT撮影装置!$H$3),0)</f>
        <v>0</v>
      </c>
      <c r="AA56" s="68">
        <f t="shared" si="15"/>
        <v>0</v>
      </c>
      <c r="AB56" s="67">
        <f>IFERROR(SUMIF(生体情報モニタ!$C$30:$C$74,B56,生体情報モニタ!$K$30:$K$74)*((生体情報モニタ!$H$3-生体情報モニタ!$I$3)/生体情報モニタ!$H$3),0)</f>
        <v>0</v>
      </c>
      <c r="AC56" s="68">
        <f t="shared" si="1"/>
        <v>0</v>
      </c>
      <c r="AD56" s="67">
        <f>IFERROR(SUMIF(分娩監視装置!$C$30:$C$74,B56,分娩監視装置!$K$30:$K$74)*((分娩監視装置!$H$3-分娩監視装置!$I$3)/分娩監視装置!$H$3),0)</f>
        <v>0</v>
      </c>
      <c r="AE56" s="68">
        <f t="shared" si="16"/>
        <v>0</v>
      </c>
      <c r="AF56" s="67">
        <f>IFERROR(SUMIF(新生児モニタ!$C$30:$C$74,B56,新生児モニタ!$K$30:$K$74)*((新生児モニタ!$H$3-新生児モニタ!$I$3)/新生児モニタ!$H$3),0)</f>
        <v>0</v>
      </c>
      <c r="AG56" s="68">
        <f t="shared" si="17"/>
        <v>0</v>
      </c>
    </row>
    <row r="57" spans="2:33">
      <c r="B57" s="64" t="s">
        <v>704</v>
      </c>
      <c r="C57" s="67">
        <f>IFERROR(SUMIF(初度設備!$C$30:$C$74,B57,初度設備!$N$30:$N$74)*((初度設備!$H$3-初度設備!$I$3)/初度設備!$H$3),0)</f>
        <v>0</v>
      </c>
      <c r="D57" s="68">
        <f t="shared" si="2"/>
        <v>0</v>
      </c>
      <c r="E57" s="67">
        <f>IFERROR(SUMIF(人工呼吸器!$C$30:$C$74,B57,人工呼吸器!$N$30:$N$74)*((人工呼吸器!$H$3-人工呼吸器!$I$3)/人工呼吸器!$H$3),0)</f>
        <v>0</v>
      </c>
      <c r="F57" s="68">
        <f t="shared" si="3"/>
        <v>0</v>
      </c>
      <c r="G57" s="68">
        <f t="shared" si="4"/>
        <v>0</v>
      </c>
      <c r="H57" s="68">
        <f t="shared" si="5"/>
        <v>0</v>
      </c>
      <c r="I57" s="67">
        <f>IFERROR(SUMIF(簡易陰圧装置!$C$30:$C$74,B57,簡易陰圧装置!$N$30:$N$74)*((簡易陰圧装置!$H$3-簡易陰圧装置!$I$3)/簡易陰圧装置!$H$3),0)</f>
        <v>0</v>
      </c>
      <c r="J57" s="68">
        <f t="shared" si="6"/>
        <v>0</v>
      </c>
      <c r="K57" s="67">
        <f>IFERROR(SUMIF(#REF!,B57,#REF!)*((#REF!-#REF!)/#REF!),0)</f>
        <v>0</v>
      </c>
      <c r="L57" s="68">
        <f t="shared" si="7"/>
        <v>0</v>
      </c>
      <c r="M57" s="67">
        <f>IFERROR(SUMIF(体外式膜型人工肺!$C$30:$C$74,B57,体外式膜型人工肺!$N$30:$N$74)*((体外式膜型人工肺!$H$3-体外式膜型人工肺!$I$3)/体外式膜型人工肺!$H$3),0)</f>
        <v>0</v>
      </c>
      <c r="N57" s="68">
        <f t="shared" si="8"/>
        <v>0</v>
      </c>
      <c r="O57" s="68">
        <f t="shared" si="9"/>
        <v>0</v>
      </c>
      <c r="P57" s="68">
        <f t="shared" si="10"/>
        <v>0</v>
      </c>
      <c r="Q57" s="67">
        <f>IFERROR(SUMIF(紫外線照射装置!$C$30:$C$74,B57,紫外線照射装置!$N$30:$N$74)*((紫外線照射装置!$H$3-紫外線照射装置!$I$3)/紫外線照射装置!$H$3),0)</f>
        <v>0</v>
      </c>
      <c r="R57" s="68">
        <f t="shared" si="11"/>
        <v>0</v>
      </c>
      <c r="S57" s="101">
        <f t="shared" si="12"/>
        <v>0</v>
      </c>
      <c r="T57" s="67">
        <f>IFERROR(SUMIF(超音波画像診断装置!$C$30:$C$74,B57,超音波画像診断装置!$K$30:$K$74)*((超音波画像診断装置!$H$3-超音波画像診断装置!$I$3)/超音波画像診断装置!$H$3),0)</f>
        <v>0</v>
      </c>
      <c r="U57" s="68">
        <f t="shared" si="13"/>
        <v>0</v>
      </c>
      <c r="V57" s="67">
        <f>IFERROR(SUMIF(血液浄化装置!$C$30:$C$74,B57,血液浄化装置!$K$30:$K$74)*((血液浄化装置!$H$3-血液浄化装置!$I$3)/血液浄化装置!$H$3),0)</f>
        <v>0</v>
      </c>
      <c r="W57" s="68">
        <f t="shared" si="14"/>
        <v>0</v>
      </c>
      <c r="X57" s="67">
        <f>IFERROR(SUMIF(気管支鏡!$C$30:$C$74,B57,気管支鏡!$K$30:$K$74)*((気管支鏡!$H$3-気管支鏡!$I$3)/気管支鏡!$H$3),0)</f>
        <v>0</v>
      </c>
      <c r="Y57" s="68">
        <f t="shared" si="0"/>
        <v>0</v>
      </c>
      <c r="Z57" s="67">
        <f>IFERROR(SUMIF(CT撮影装置!$C$30:$C$74,B57,CT撮影装置!$K$30:$K$74)*((CT撮影装置!$H$3-CT撮影装置!$I$3)/CT撮影装置!$H$3),0)</f>
        <v>0</v>
      </c>
      <c r="AA57" s="68">
        <f t="shared" si="15"/>
        <v>0</v>
      </c>
      <c r="AB57" s="67">
        <f>IFERROR(SUMIF(生体情報モニタ!$C$30:$C$74,B57,生体情報モニタ!$K$30:$K$74)*((生体情報モニタ!$H$3-生体情報モニタ!$I$3)/生体情報モニタ!$H$3),0)</f>
        <v>0</v>
      </c>
      <c r="AC57" s="68">
        <f t="shared" si="1"/>
        <v>0</v>
      </c>
      <c r="AD57" s="67">
        <f>IFERROR(SUMIF(分娩監視装置!$C$30:$C$74,B57,分娩監視装置!$K$30:$K$74)*((分娩監視装置!$H$3-分娩監視装置!$I$3)/分娩監視装置!$H$3),0)</f>
        <v>0</v>
      </c>
      <c r="AE57" s="68">
        <f t="shared" si="16"/>
        <v>0</v>
      </c>
      <c r="AF57" s="67">
        <f>IFERROR(SUMIF(新生児モニタ!$C$30:$C$74,B57,新生児モニタ!$K$30:$K$74)*((新生児モニタ!$H$3-新生児モニタ!$I$3)/新生児モニタ!$H$3),0)</f>
        <v>0</v>
      </c>
      <c r="AG57" s="68">
        <f t="shared" si="17"/>
        <v>0</v>
      </c>
    </row>
    <row r="58" spans="2:33">
      <c r="B58" s="64" t="s">
        <v>705</v>
      </c>
      <c r="C58" s="67">
        <f>IFERROR(SUMIF(初度設備!$C$30:$C$74,B58,初度設備!$N$30:$N$74)*((初度設備!$H$3-初度設備!$I$3)/初度設備!$H$3),0)</f>
        <v>0</v>
      </c>
      <c r="D58" s="68">
        <f t="shared" si="2"/>
        <v>0</v>
      </c>
      <c r="E58" s="67">
        <f>IFERROR(SUMIF(人工呼吸器!$C$30:$C$74,B58,人工呼吸器!$N$30:$N$74)*((人工呼吸器!$H$3-人工呼吸器!$I$3)/人工呼吸器!$H$3),0)</f>
        <v>0</v>
      </c>
      <c r="F58" s="68">
        <f t="shared" si="3"/>
        <v>0</v>
      </c>
      <c r="G58" s="68">
        <f t="shared" si="4"/>
        <v>0</v>
      </c>
      <c r="H58" s="68">
        <f t="shared" si="5"/>
        <v>0</v>
      </c>
      <c r="I58" s="67">
        <f>IFERROR(SUMIF(簡易陰圧装置!$C$30:$C$74,B58,簡易陰圧装置!$N$30:$N$74)*((簡易陰圧装置!$H$3-簡易陰圧装置!$I$3)/簡易陰圧装置!$H$3),0)</f>
        <v>0</v>
      </c>
      <c r="J58" s="68">
        <f t="shared" si="6"/>
        <v>0</v>
      </c>
      <c r="K58" s="67">
        <f>IFERROR(SUMIF(#REF!,B58,#REF!)*((#REF!-#REF!)/#REF!),0)</f>
        <v>0</v>
      </c>
      <c r="L58" s="68">
        <f t="shared" si="7"/>
        <v>0</v>
      </c>
      <c r="M58" s="67">
        <f>IFERROR(SUMIF(体外式膜型人工肺!$C$30:$C$74,B58,体外式膜型人工肺!$N$30:$N$74)*((体外式膜型人工肺!$H$3-体外式膜型人工肺!$I$3)/体外式膜型人工肺!$H$3),0)</f>
        <v>0</v>
      </c>
      <c r="N58" s="68">
        <f t="shared" si="8"/>
        <v>0</v>
      </c>
      <c r="O58" s="68">
        <f t="shared" si="9"/>
        <v>0</v>
      </c>
      <c r="P58" s="68">
        <f t="shared" si="10"/>
        <v>0</v>
      </c>
      <c r="Q58" s="67">
        <f>IFERROR(SUMIF(紫外線照射装置!$C$30:$C$74,B58,紫外線照射装置!$N$30:$N$74)*((紫外線照射装置!$H$3-紫外線照射装置!$I$3)/紫外線照射装置!$H$3),0)</f>
        <v>0</v>
      </c>
      <c r="R58" s="68">
        <f t="shared" si="11"/>
        <v>0</v>
      </c>
      <c r="S58" s="101">
        <f t="shared" si="12"/>
        <v>0</v>
      </c>
      <c r="T58" s="67">
        <f>IFERROR(SUMIF(超音波画像診断装置!$C$30:$C$74,B58,超音波画像診断装置!$K$30:$K$74)*((超音波画像診断装置!$H$3-超音波画像診断装置!$I$3)/超音波画像診断装置!$H$3),0)</f>
        <v>0</v>
      </c>
      <c r="U58" s="68">
        <f t="shared" si="13"/>
        <v>0</v>
      </c>
      <c r="V58" s="67">
        <f>IFERROR(SUMIF(血液浄化装置!$C$30:$C$74,B58,血液浄化装置!$K$30:$K$74)*((血液浄化装置!$H$3-血液浄化装置!$I$3)/血液浄化装置!$H$3),0)</f>
        <v>0</v>
      </c>
      <c r="W58" s="68">
        <f t="shared" si="14"/>
        <v>0</v>
      </c>
      <c r="X58" s="67">
        <f>IFERROR(SUMIF(気管支鏡!$C$30:$C$74,B58,気管支鏡!$K$30:$K$74)*((気管支鏡!$H$3-気管支鏡!$I$3)/気管支鏡!$H$3),0)</f>
        <v>0</v>
      </c>
      <c r="Y58" s="68">
        <f t="shared" si="0"/>
        <v>0</v>
      </c>
      <c r="Z58" s="67">
        <f>IFERROR(SUMIF(CT撮影装置!$C$30:$C$74,B58,CT撮影装置!$K$30:$K$74)*((CT撮影装置!$H$3-CT撮影装置!$I$3)/CT撮影装置!$H$3),0)</f>
        <v>0</v>
      </c>
      <c r="AA58" s="68">
        <f t="shared" si="15"/>
        <v>0</v>
      </c>
      <c r="AB58" s="67">
        <f>IFERROR(SUMIF(生体情報モニタ!$C$30:$C$74,B58,生体情報モニタ!$K$30:$K$74)*((生体情報モニタ!$H$3-生体情報モニタ!$I$3)/生体情報モニタ!$H$3),0)</f>
        <v>0</v>
      </c>
      <c r="AC58" s="68">
        <f t="shared" si="1"/>
        <v>0</v>
      </c>
      <c r="AD58" s="67">
        <f>IFERROR(SUMIF(分娩監視装置!$C$30:$C$74,B58,分娩監視装置!$K$30:$K$74)*((分娩監視装置!$H$3-分娩監視装置!$I$3)/分娩監視装置!$H$3),0)</f>
        <v>0</v>
      </c>
      <c r="AE58" s="68">
        <f t="shared" si="16"/>
        <v>0</v>
      </c>
      <c r="AF58" s="67">
        <f>IFERROR(SUMIF(新生児モニタ!$C$30:$C$74,B58,新生児モニタ!$K$30:$K$74)*((新生児モニタ!$H$3-新生児モニタ!$I$3)/新生児モニタ!$H$3),0)</f>
        <v>0</v>
      </c>
      <c r="AG58" s="68">
        <f t="shared" si="17"/>
        <v>0</v>
      </c>
    </row>
    <row r="59" spans="2:33">
      <c r="B59" s="64" t="s">
        <v>706</v>
      </c>
      <c r="C59" s="67">
        <f>IFERROR(SUMIF(初度設備!$C$30:$C$74,B59,初度設備!$N$30:$N$74)*((初度設備!$H$3-初度設備!$I$3)/初度設備!$H$3),0)</f>
        <v>0</v>
      </c>
      <c r="D59" s="68">
        <f t="shared" si="2"/>
        <v>0</v>
      </c>
      <c r="E59" s="67">
        <f>IFERROR(SUMIF(人工呼吸器!$C$30:$C$74,B59,人工呼吸器!$N$30:$N$74)*((人工呼吸器!$H$3-人工呼吸器!$I$3)/人工呼吸器!$H$3),0)</f>
        <v>0</v>
      </c>
      <c r="F59" s="68">
        <f t="shared" si="3"/>
        <v>0</v>
      </c>
      <c r="G59" s="68">
        <f t="shared" si="4"/>
        <v>0</v>
      </c>
      <c r="H59" s="68">
        <f t="shared" si="5"/>
        <v>0</v>
      </c>
      <c r="I59" s="67">
        <f>IFERROR(SUMIF(簡易陰圧装置!$C$30:$C$74,B59,簡易陰圧装置!$N$30:$N$74)*((簡易陰圧装置!$H$3-簡易陰圧装置!$I$3)/簡易陰圧装置!$H$3),0)</f>
        <v>0</v>
      </c>
      <c r="J59" s="68">
        <f t="shared" si="6"/>
        <v>0</v>
      </c>
      <c r="K59" s="67">
        <f>IFERROR(SUMIF(#REF!,B59,#REF!)*((#REF!-#REF!)/#REF!),0)</f>
        <v>0</v>
      </c>
      <c r="L59" s="68">
        <f t="shared" si="7"/>
        <v>0</v>
      </c>
      <c r="M59" s="67">
        <f>IFERROR(SUMIF(体外式膜型人工肺!$C$30:$C$74,B59,体外式膜型人工肺!$N$30:$N$74)*((体外式膜型人工肺!$H$3-体外式膜型人工肺!$I$3)/体外式膜型人工肺!$H$3),0)</f>
        <v>0</v>
      </c>
      <c r="N59" s="68">
        <f t="shared" si="8"/>
        <v>0</v>
      </c>
      <c r="O59" s="68">
        <f t="shared" si="9"/>
        <v>0</v>
      </c>
      <c r="P59" s="68">
        <f t="shared" si="10"/>
        <v>0</v>
      </c>
      <c r="Q59" s="67">
        <f>IFERROR(SUMIF(紫外線照射装置!$C$30:$C$74,B59,紫外線照射装置!$N$30:$N$74)*((紫外線照射装置!$H$3-紫外線照射装置!$I$3)/紫外線照射装置!$H$3),0)</f>
        <v>0</v>
      </c>
      <c r="R59" s="68">
        <f t="shared" si="11"/>
        <v>0</v>
      </c>
      <c r="S59" s="101">
        <f t="shared" si="12"/>
        <v>0</v>
      </c>
      <c r="T59" s="67">
        <f>IFERROR(SUMIF(超音波画像診断装置!$C$30:$C$74,B59,超音波画像診断装置!$K$30:$K$74)*((超音波画像診断装置!$H$3-超音波画像診断装置!$I$3)/超音波画像診断装置!$H$3),0)</f>
        <v>0</v>
      </c>
      <c r="U59" s="68">
        <f t="shared" si="13"/>
        <v>0</v>
      </c>
      <c r="V59" s="67">
        <f>IFERROR(SUMIF(血液浄化装置!$C$30:$C$74,B59,血液浄化装置!$K$30:$K$74)*((血液浄化装置!$H$3-血液浄化装置!$I$3)/血液浄化装置!$H$3),0)</f>
        <v>0</v>
      </c>
      <c r="W59" s="68">
        <f t="shared" si="14"/>
        <v>0</v>
      </c>
      <c r="X59" s="67">
        <f>IFERROR(SUMIF(気管支鏡!$C$30:$C$74,B59,気管支鏡!$K$30:$K$74)*((気管支鏡!$H$3-気管支鏡!$I$3)/気管支鏡!$H$3),0)</f>
        <v>0</v>
      </c>
      <c r="Y59" s="68">
        <f t="shared" si="0"/>
        <v>0</v>
      </c>
      <c r="Z59" s="67">
        <f>IFERROR(SUMIF(CT撮影装置!$C$30:$C$74,B59,CT撮影装置!$K$30:$K$74)*((CT撮影装置!$H$3-CT撮影装置!$I$3)/CT撮影装置!$H$3),0)</f>
        <v>0</v>
      </c>
      <c r="AA59" s="68">
        <f t="shared" si="15"/>
        <v>0</v>
      </c>
      <c r="AB59" s="67">
        <f>IFERROR(SUMIF(生体情報モニタ!$C$30:$C$74,B59,生体情報モニタ!$K$30:$K$74)*((生体情報モニタ!$H$3-生体情報モニタ!$I$3)/生体情報モニタ!$H$3),0)</f>
        <v>0</v>
      </c>
      <c r="AC59" s="68">
        <f t="shared" si="1"/>
        <v>0</v>
      </c>
      <c r="AD59" s="67">
        <f>IFERROR(SUMIF(分娩監視装置!$C$30:$C$74,B59,分娩監視装置!$K$30:$K$74)*((分娩監視装置!$H$3-分娩監視装置!$I$3)/分娩監視装置!$H$3),0)</f>
        <v>0</v>
      </c>
      <c r="AE59" s="68">
        <f t="shared" si="16"/>
        <v>0</v>
      </c>
      <c r="AF59" s="67">
        <f>IFERROR(SUMIF(新生児モニタ!$C$30:$C$74,B59,新生児モニタ!$K$30:$K$74)*((新生児モニタ!$H$3-新生児モニタ!$I$3)/新生児モニタ!$H$3),0)</f>
        <v>0</v>
      </c>
      <c r="AG59" s="68">
        <f t="shared" si="17"/>
        <v>0</v>
      </c>
    </row>
    <row r="60" spans="2:33">
      <c r="B60" s="64" t="s">
        <v>707</v>
      </c>
      <c r="C60" s="67">
        <f>IFERROR(SUMIF(初度設備!$C$30:$C$74,B60,初度設備!$N$30:$N$74)*((初度設備!$H$3-初度設備!$I$3)/初度設備!$H$3),0)</f>
        <v>0</v>
      </c>
      <c r="D60" s="68">
        <f t="shared" si="2"/>
        <v>0</v>
      </c>
      <c r="E60" s="67">
        <f>IFERROR(SUMIF(人工呼吸器!$C$30:$C$74,B60,人工呼吸器!$N$30:$N$74)*((人工呼吸器!$H$3-人工呼吸器!$I$3)/人工呼吸器!$H$3),0)</f>
        <v>0</v>
      </c>
      <c r="F60" s="68">
        <f t="shared" si="3"/>
        <v>0</v>
      </c>
      <c r="G60" s="68">
        <f t="shared" si="4"/>
        <v>0</v>
      </c>
      <c r="H60" s="68">
        <f t="shared" si="5"/>
        <v>0</v>
      </c>
      <c r="I60" s="67">
        <f>IFERROR(SUMIF(簡易陰圧装置!$C$30:$C$74,B60,簡易陰圧装置!$N$30:$N$74)*((簡易陰圧装置!$H$3-簡易陰圧装置!$I$3)/簡易陰圧装置!$H$3),0)</f>
        <v>0</v>
      </c>
      <c r="J60" s="68">
        <f t="shared" si="6"/>
        <v>0</v>
      </c>
      <c r="K60" s="67">
        <f>IFERROR(SUMIF(#REF!,B60,#REF!)*((#REF!-#REF!)/#REF!),0)</f>
        <v>0</v>
      </c>
      <c r="L60" s="68">
        <f t="shared" si="7"/>
        <v>0</v>
      </c>
      <c r="M60" s="67">
        <f>IFERROR(SUMIF(体外式膜型人工肺!$C$30:$C$74,B60,体外式膜型人工肺!$N$30:$N$74)*((体外式膜型人工肺!$H$3-体外式膜型人工肺!$I$3)/体外式膜型人工肺!$H$3),0)</f>
        <v>0</v>
      </c>
      <c r="N60" s="68">
        <f t="shared" si="8"/>
        <v>0</v>
      </c>
      <c r="O60" s="68">
        <f t="shared" si="9"/>
        <v>0</v>
      </c>
      <c r="P60" s="68">
        <f t="shared" si="10"/>
        <v>0</v>
      </c>
      <c r="Q60" s="67">
        <f>IFERROR(SUMIF(紫外線照射装置!$C$30:$C$74,B60,紫外線照射装置!$N$30:$N$74)*((紫外線照射装置!$H$3-紫外線照射装置!$I$3)/紫外線照射装置!$H$3),0)</f>
        <v>0</v>
      </c>
      <c r="R60" s="68">
        <f t="shared" si="11"/>
        <v>0</v>
      </c>
      <c r="S60" s="101">
        <f t="shared" si="12"/>
        <v>0</v>
      </c>
      <c r="T60" s="67">
        <f>IFERROR(SUMIF(超音波画像診断装置!$C$30:$C$74,B60,超音波画像診断装置!$K$30:$K$74)*((超音波画像診断装置!$H$3-超音波画像診断装置!$I$3)/超音波画像診断装置!$H$3),0)</f>
        <v>0</v>
      </c>
      <c r="U60" s="68">
        <f t="shared" si="13"/>
        <v>0</v>
      </c>
      <c r="V60" s="67">
        <f>IFERROR(SUMIF(血液浄化装置!$C$30:$C$74,B60,血液浄化装置!$K$30:$K$74)*((血液浄化装置!$H$3-血液浄化装置!$I$3)/血液浄化装置!$H$3),0)</f>
        <v>0</v>
      </c>
      <c r="W60" s="68">
        <f t="shared" si="14"/>
        <v>0</v>
      </c>
      <c r="X60" s="67">
        <f>IFERROR(SUMIF(気管支鏡!$C$30:$C$74,B60,気管支鏡!$K$30:$K$74)*((気管支鏡!$H$3-気管支鏡!$I$3)/気管支鏡!$H$3),0)</f>
        <v>0</v>
      </c>
      <c r="Y60" s="68">
        <f t="shared" si="0"/>
        <v>0</v>
      </c>
      <c r="Z60" s="67">
        <f>IFERROR(SUMIF(CT撮影装置!$C$30:$C$74,B60,CT撮影装置!$K$30:$K$74)*((CT撮影装置!$H$3-CT撮影装置!$I$3)/CT撮影装置!$H$3),0)</f>
        <v>0</v>
      </c>
      <c r="AA60" s="68">
        <f t="shared" si="15"/>
        <v>0</v>
      </c>
      <c r="AB60" s="67">
        <f>IFERROR(SUMIF(生体情報モニタ!$C$30:$C$74,B60,生体情報モニタ!$K$30:$K$74)*((生体情報モニタ!$H$3-生体情報モニタ!$I$3)/生体情報モニタ!$H$3),0)</f>
        <v>0</v>
      </c>
      <c r="AC60" s="68">
        <f t="shared" si="1"/>
        <v>0</v>
      </c>
      <c r="AD60" s="67">
        <f>IFERROR(SUMIF(分娩監視装置!$C$30:$C$74,B60,分娩監視装置!$K$30:$K$74)*((分娩監視装置!$H$3-分娩監視装置!$I$3)/分娩監視装置!$H$3),0)</f>
        <v>0</v>
      </c>
      <c r="AE60" s="68">
        <f t="shared" si="16"/>
        <v>0</v>
      </c>
      <c r="AF60" s="67">
        <f>IFERROR(SUMIF(新生児モニタ!$C$30:$C$74,B60,新生児モニタ!$K$30:$K$74)*((新生児モニタ!$H$3-新生児モニタ!$I$3)/新生児モニタ!$H$3),0)</f>
        <v>0</v>
      </c>
      <c r="AG60" s="68">
        <f t="shared" si="17"/>
        <v>0</v>
      </c>
    </row>
    <row r="61" spans="2:33">
      <c r="B61" s="64" t="s">
        <v>708</v>
      </c>
      <c r="C61" s="67">
        <f>IFERROR(SUMIF(初度設備!$C$30:$C$74,B61,初度設備!$N$30:$N$74)*((初度設備!$H$3-初度設備!$I$3)/初度設備!$H$3),0)</f>
        <v>0</v>
      </c>
      <c r="D61" s="68">
        <f t="shared" si="2"/>
        <v>0</v>
      </c>
      <c r="E61" s="67">
        <f>IFERROR(SUMIF(人工呼吸器!$C$30:$C$74,B61,人工呼吸器!$N$30:$N$74)*((人工呼吸器!$H$3-人工呼吸器!$I$3)/人工呼吸器!$H$3),0)</f>
        <v>0</v>
      </c>
      <c r="F61" s="68">
        <f t="shared" si="3"/>
        <v>0</v>
      </c>
      <c r="G61" s="68">
        <f t="shared" si="4"/>
        <v>0</v>
      </c>
      <c r="H61" s="68">
        <f t="shared" si="5"/>
        <v>0</v>
      </c>
      <c r="I61" s="67">
        <f>IFERROR(SUMIF(簡易陰圧装置!$C$30:$C$74,B61,簡易陰圧装置!$N$30:$N$74)*((簡易陰圧装置!$H$3-簡易陰圧装置!$I$3)/簡易陰圧装置!$H$3),0)</f>
        <v>0</v>
      </c>
      <c r="J61" s="68">
        <f t="shared" si="6"/>
        <v>0</v>
      </c>
      <c r="K61" s="67">
        <f>IFERROR(SUMIF(#REF!,B61,#REF!)*((#REF!-#REF!)/#REF!),0)</f>
        <v>0</v>
      </c>
      <c r="L61" s="68">
        <f t="shared" si="7"/>
        <v>0</v>
      </c>
      <c r="M61" s="67">
        <f>IFERROR(SUMIF(体外式膜型人工肺!$C$30:$C$74,B61,体外式膜型人工肺!$N$30:$N$74)*((体外式膜型人工肺!$H$3-体外式膜型人工肺!$I$3)/体外式膜型人工肺!$H$3),0)</f>
        <v>0</v>
      </c>
      <c r="N61" s="68">
        <f t="shared" si="8"/>
        <v>0</v>
      </c>
      <c r="O61" s="68">
        <f t="shared" si="9"/>
        <v>0</v>
      </c>
      <c r="P61" s="68">
        <f t="shared" si="10"/>
        <v>0</v>
      </c>
      <c r="Q61" s="67">
        <f>IFERROR(SUMIF(紫外線照射装置!$C$30:$C$74,B61,紫外線照射装置!$N$30:$N$74)*((紫外線照射装置!$H$3-紫外線照射装置!$I$3)/紫外線照射装置!$H$3),0)</f>
        <v>0</v>
      </c>
      <c r="R61" s="68">
        <f t="shared" si="11"/>
        <v>0</v>
      </c>
      <c r="S61" s="101">
        <f t="shared" si="12"/>
        <v>0</v>
      </c>
      <c r="T61" s="67">
        <f>IFERROR(SUMIF(超音波画像診断装置!$C$30:$C$74,B61,超音波画像診断装置!$K$30:$K$74)*((超音波画像診断装置!$H$3-超音波画像診断装置!$I$3)/超音波画像診断装置!$H$3),0)</f>
        <v>0</v>
      </c>
      <c r="U61" s="68">
        <f t="shared" si="13"/>
        <v>0</v>
      </c>
      <c r="V61" s="67">
        <f>IFERROR(SUMIF(血液浄化装置!$C$30:$C$74,B61,血液浄化装置!$K$30:$K$74)*((血液浄化装置!$H$3-血液浄化装置!$I$3)/血液浄化装置!$H$3),0)</f>
        <v>0</v>
      </c>
      <c r="W61" s="68">
        <f t="shared" si="14"/>
        <v>0</v>
      </c>
      <c r="X61" s="67">
        <f>IFERROR(SUMIF(気管支鏡!$C$30:$C$74,B61,気管支鏡!$K$30:$K$74)*((気管支鏡!$H$3-気管支鏡!$I$3)/気管支鏡!$H$3),0)</f>
        <v>0</v>
      </c>
      <c r="Y61" s="68">
        <f t="shared" si="0"/>
        <v>0</v>
      </c>
      <c r="Z61" s="67">
        <f>IFERROR(SUMIF(CT撮影装置!$C$30:$C$74,B61,CT撮影装置!$K$30:$K$74)*((CT撮影装置!$H$3-CT撮影装置!$I$3)/CT撮影装置!$H$3),0)</f>
        <v>0</v>
      </c>
      <c r="AA61" s="68">
        <f t="shared" si="15"/>
        <v>0</v>
      </c>
      <c r="AB61" s="67">
        <f>IFERROR(SUMIF(生体情報モニタ!$C$30:$C$74,B61,生体情報モニタ!$K$30:$K$74)*((生体情報モニタ!$H$3-生体情報モニタ!$I$3)/生体情報モニタ!$H$3),0)</f>
        <v>0</v>
      </c>
      <c r="AC61" s="68">
        <f t="shared" si="1"/>
        <v>0</v>
      </c>
      <c r="AD61" s="67">
        <f>IFERROR(SUMIF(分娩監視装置!$C$30:$C$74,B61,分娩監視装置!$K$30:$K$74)*((分娩監視装置!$H$3-分娩監視装置!$I$3)/分娩監視装置!$H$3),0)</f>
        <v>0</v>
      </c>
      <c r="AE61" s="68">
        <f t="shared" si="16"/>
        <v>0</v>
      </c>
      <c r="AF61" s="67">
        <f>IFERROR(SUMIF(新生児モニタ!$C$30:$C$74,B61,新生児モニタ!$K$30:$K$74)*((新生児モニタ!$H$3-新生児モニタ!$I$3)/新生児モニタ!$H$3),0)</f>
        <v>0</v>
      </c>
      <c r="AG61" s="68">
        <f t="shared" si="17"/>
        <v>0</v>
      </c>
    </row>
    <row r="62" spans="2:33">
      <c r="B62" s="64" t="s">
        <v>709</v>
      </c>
      <c r="C62" s="67">
        <f>IFERROR(SUMIF(初度設備!$C$30:$C$74,B62,初度設備!$N$30:$N$74)*((初度設備!$H$3-初度設備!$I$3)/初度設備!$H$3),0)</f>
        <v>0</v>
      </c>
      <c r="D62" s="68">
        <f t="shared" si="2"/>
        <v>0</v>
      </c>
      <c r="E62" s="67">
        <f>IFERROR(SUMIF(人工呼吸器!$C$30:$C$74,B62,人工呼吸器!$N$30:$N$74)*((人工呼吸器!$H$3-人工呼吸器!$I$3)/人工呼吸器!$H$3),0)</f>
        <v>0</v>
      </c>
      <c r="F62" s="68">
        <f t="shared" si="3"/>
        <v>0</v>
      </c>
      <c r="G62" s="68">
        <f t="shared" si="4"/>
        <v>0</v>
      </c>
      <c r="H62" s="68">
        <f t="shared" si="5"/>
        <v>0</v>
      </c>
      <c r="I62" s="67">
        <f>IFERROR(SUMIF(簡易陰圧装置!$C$30:$C$74,B62,簡易陰圧装置!$N$30:$N$74)*((簡易陰圧装置!$H$3-簡易陰圧装置!$I$3)/簡易陰圧装置!$H$3),0)</f>
        <v>0</v>
      </c>
      <c r="J62" s="68">
        <f t="shared" si="6"/>
        <v>0</v>
      </c>
      <c r="K62" s="67">
        <f>IFERROR(SUMIF(#REF!,B62,#REF!)*((#REF!-#REF!)/#REF!),0)</f>
        <v>0</v>
      </c>
      <c r="L62" s="68">
        <f t="shared" si="7"/>
        <v>0</v>
      </c>
      <c r="M62" s="67">
        <f>IFERROR(SUMIF(体外式膜型人工肺!$C$30:$C$74,B62,体外式膜型人工肺!$N$30:$N$74)*((体外式膜型人工肺!$H$3-体外式膜型人工肺!$I$3)/体外式膜型人工肺!$H$3),0)</f>
        <v>0</v>
      </c>
      <c r="N62" s="68">
        <f t="shared" si="8"/>
        <v>0</v>
      </c>
      <c r="O62" s="68">
        <f t="shared" si="9"/>
        <v>0</v>
      </c>
      <c r="P62" s="68">
        <f t="shared" si="10"/>
        <v>0</v>
      </c>
      <c r="Q62" s="67">
        <f>IFERROR(SUMIF(紫外線照射装置!$C$30:$C$74,B62,紫外線照射装置!$N$30:$N$74)*((紫外線照射装置!$H$3-紫外線照射装置!$I$3)/紫外線照射装置!$H$3),0)</f>
        <v>0</v>
      </c>
      <c r="R62" s="68">
        <f t="shared" si="11"/>
        <v>0</v>
      </c>
      <c r="S62" s="101">
        <f t="shared" si="12"/>
        <v>0</v>
      </c>
      <c r="T62" s="67">
        <f>IFERROR(SUMIF(超音波画像診断装置!$C$30:$C$74,B62,超音波画像診断装置!$K$30:$K$74)*((超音波画像診断装置!$H$3-超音波画像診断装置!$I$3)/超音波画像診断装置!$H$3),0)</f>
        <v>0</v>
      </c>
      <c r="U62" s="68">
        <f t="shared" si="13"/>
        <v>0</v>
      </c>
      <c r="V62" s="67">
        <f>IFERROR(SUMIF(血液浄化装置!$C$30:$C$74,B62,血液浄化装置!$K$30:$K$74)*((血液浄化装置!$H$3-血液浄化装置!$I$3)/血液浄化装置!$H$3),0)</f>
        <v>0</v>
      </c>
      <c r="W62" s="68">
        <f t="shared" si="14"/>
        <v>0</v>
      </c>
      <c r="X62" s="67">
        <f>IFERROR(SUMIF(気管支鏡!$C$30:$C$74,B62,気管支鏡!$K$30:$K$74)*((気管支鏡!$H$3-気管支鏡!$I$3)/気管支鏡!$H$3),0)</f>
        <v>0</v>
      </c>
      <c r="Y62" s="68">
        <f t="shared" si="0"/>
        <v>0</v>
      </c>
      <c r="Z62" s="67">
        <f>IFERROR(SUMIF(CT撮影装置!$C$30:$C$74,B62,CT撮影装置!$K$30:$K$74)*((CT撮影装置!$H$3-CT撮影装置!$I$3)/CT撮影装置!$H$3),0)</f>
        <v>0</v>
      </c>
      <c r="AA62" s="68">
        <f t="shared" si="15"/>
        <v>0</v>
      </c>
      <c r="AB62" s="67">
        <f>IFERROR(SUMIF(生体情報モニタ!$C$30:$C$74,B62,生体情報モニタ!$K$30:$K$74)*((生体情報モニタ!$H$3-生体情報モニタ!$I$3)/生体情報モニタ!$H$3),0)</f>
        <v>0</v>
      </c>
      <c r="AC62" s="68">
        <f t="shared" si="1"/>
        <v>0</v>
      </c>
      <c r="AD62" s="67">
        <f>IFERROR(SUMIF(分娩監視装置!$C$30:$C$74,B62,分娩監視装置!$K$30:$K$74)*((分娩監視装置!$H$3-分娩監視装置!$I$3)/分娩監視装置!$H$3),0)</f>
        <v>0</v>
      </c>
      <c r="AE62" s="68">
        <f t="shared" si="16"/>
        <v>0</v>
      </c>
      <c r="AF62" s="67">
        <f>IFERROR(SUMIF(新生児モニタ!$C$30:$C$74,B62,新生児モニタ!$K$30:$K$74)*((新生児モニタ!$H$3-新生児モニタ!$I$3)/新生児モニタ!$H$3),0)</f>
        <v>0</v>
      </c>
      <c r="AG62" s="68">
        <f t="shared" si="17"/>
        <v>0</v>
      </c>
    </row>
    <row r="63" spans="2:33">
      <c r="B63" s="64" t="s">
        <v>710</v>
      </c>
      <c r="C63" s="67">
        <f>IFERROR(SUMIF(初度設備!$C$30:$C$74,B63,初度設備!$N$30:$N$74)*((初度設備!$H$3-初度設備!$I$3)/初度設備!$H$3),0)</f>
        <v>0</v>
      </c>
      <c r="D63" s="68">
        <f t="shared" si="2"/>
        <v>0</v>
      </c>
      <c r="E63" s="67">
        <f>IFERROR(SUMIF(人工呼吸器!$C$30:$C$74,B63,人工呼吸器!$N$30:$N$74)*((人工呼吸器!$H$3-人工呼吸器!$I$3)/人工呼吸器!$H$3),0)</f>
        <v>0</v>
      </c>
      <c r="F63" s="68">
        <f t="shared" si="3"/>
        <v>0</v>
      </c>
      <c r="G63" s="68">
        <f t="shared" si="4"/>
        <v>0</v>
      </c>
      <c r="H63" s="68">
        <f t="shared" si="5"/>
        <v>0</v>
      </c>
      <c r="I63" s="67">
        <f>IFERROR(SUMIF(簡易陰圧装置!$C$30:$C$74,B63,簡易陰圧装置!$N$30:$N$74)*((簡易陰圧装置!$H$3-簡易陰圧装置!$I$3)/簡易陰圧装置!$H$3),0)</f>
        <v>0</v>
      </c>
      <c r="J63" s="68">
        <f t="shared" si="6"/>
        <v>0</v>
      </c>
      <c r="K63" s="67">
        <f>IFERROR(SUMIF(#REF!,B63,#REF!)*((#REF!-#REF!)/#REF!),0)</f>
        <v>0</v>
      </c>
      <c r="L63" s="68">
        <f t="shared" si="7"/>
        <v>0</v>
      </c>
      <c r="M63" s="67">
        <f>IFERROR(SUMIF(体外式膜型人工肺!$C$30:$C$74,B63,体外式膜型人工肺!$N$30:$N$74)*((体外式膜型人工肺!$H$3-体外式膜型人工肺!$I$3)/体外式膜型人工肺!$H$3),0)</f>
        <v>0</v>
      </c>
      <c r="N63" s="68">
        <f t="shared" si="8"/>
        <v>0</v>
      </c>
      <c r="O63" s="68">
        <f t="shared" si="9"/>
        <v>0</v>
      </c>
      <c r="P63" s="68">
        <f t="shared" si="10"/>
        <v>0</v>
      </c>
      <c r="Q63" s="67">
        <f>IFERROR(SUMIF(紫外線照射装置!$C$30:$C$74,B63,紫外線照射装置!$N$30:$N$74)*((紫外線照射装置!$H$3-紫外線照射装置!$I$3)/紫外線照射装置!$H$3),0)</f>
        <v>0</v>
      </c>
      <c r="R63" s="68">
        <f t="shared" si="11"/>
        <v>0</v>
      </c>
      <c r="S63" s="101">
        <f t="shared" si="12"/>
        <v>0</v>
      </c>
      <c r="T63" s="67">
        <f>IFERROR(SUMIF(超音波画像診断装置!$C$30:$C$74,B63,超音波画像診断装置!$K$30:$K$74)*((超音波画像診断装置!$H$3-超音波画像診断装置!$I$3)/超音波画像診断装置!$H$3),0)</f>
        <v>0</v>
      </c>
      <c r="U63" s="68">
        <f t="shared" si="13"/>
        <v>0</v>
      </c>
      <c r="V63" s="67">
        <f>IFERROR(SUMIF(血液浄化装置!$C$30:$C$74,B63,血液浄化装置!$K$30:$K$74)*((血液浄化装置!$H$3-血液浄化装置!$I$3)/血液浄化装置!$H$3),0)</f>
        <v>0</v>
      </c>
      <c r="W63" s="68">
        <f t="shared" si="14"/>
        <v>0</v>
      </c>
      <c r="X63" s="67">
        <f>IFERROR(SUMIF(気管支鏡!$C$30:$C$74,B63,気管支鏡!$K$30:$K$74)*((気管支鏡!$H$3-気管支鏡!$I$3)/気管支鏡!$H$3),0)</f>
        <v>0</v>
      </c>
      <c r="Y63" s="68">
        <f t="shared" si="0"/>
        <v>0</v>
      </c>
      <c r="Z63" s="67">
        <f>IFERROR(SUMIF(CT撮影装置!$C$30:$C$74,B63,CT撮影装置!$K$30:$K$74)*((CT撮影装置!$H$3-CT撮影装置!$I$3)/CT撮影装置!$H$3),0)</f>
        <v>0</v>
      </c>
      <c r="AA63" s="68">
        <f t="shared" si="15"/>
        <v>0</v>
      </c>
      <c r="AB63" s="67">
        <f>IFERROR(SUMIF(生体情報モニタ!$C$30:$C$74,B63,生体情報モニタ!$K$30:$K$74)*((生体情報モニタ!$H$3-生体情報モニタ!$I$3)/生体情報モニタ!$H$3),0)</f>
        <v>0</v>
      </c>
      <c r="AC63" s="68">
        <f t="shared" si="1"/>
        <v>0</v>
      </c>
      <c r="AD63" s="67">
        <f>IFERROR(SUMIF(分娩監視装置!$C$30:$C$74,B63,分娩監視装置!$K$30:$K$74)*((分娩監視装置!$H$3-分娩監視装置!$I$3)/分娩監視装置!$H$3),0)</f>
        <v>0</v>
      </c>
      <c r="AE63" s="68">
        <f t="shared" si="16"/>
        <v>0</v>
      </c>
      <c r="AF63" s="67">
        <f>IFERROR(SUMIF(新生児モニタ!$C$30:$C$74,B63,新生児モニタ!$K$30:$K$74)*((新生児モニタ!$H$3-新生児モニタ!$I$3)/新生児モニタ!$H$3),0)</f>
        <v>0</v>
      </c>
      <c r="AG63" s="68">
        <f t="shared" si="17"/>
        <v>0</v>
      </c>
    </row>
    <row r="64" spans="2:33">
      <c r="B64" s="64" t="s">
        <v>711</v>
      </c>
      <c r="C64" s="67">
        <f>IFERROR(SUMIF(初度設備!$C$30:$C$74,B64,初度設備!$N$30:$N$74)*((初度設備!$H$3-初度設備!$I$3)/初度設備!$H$3),0)</f>
        <v>0</v>
      </c>
      <c r="D64" s="68">
        <f t="shared" si="2"/>
        <v>0</v>
      </c>
      <c r="E64" s="67">
        <f>IFERROR(SUMIF(人工呼吸器!$C$30:$C$74,B64,人工呼吸器!$N$30:$N$74)*((人工呼吸器!$H$3-人工呼吸器!$I$3)/人工呼吸器!$H$3),0)</f>
        <v>0</v>
      </c>
      <c r="F64" s="68">
        <f t="shared" si="3"/>
        <v>0</v>
      </c>
      <c r="G64" s="68">
        <f t="shared" si="4"/>
        <v>0</v>
      </c>
      <c r="H64" s="68">
        <f t="shared" si="5"/>
        <v>0</v>
      </c>
      <c r="I64" s="67">
        <f>IFERROR(SUMIF(簡易陰圧装置!$C$30:$C$74,B64,簡易陰圧装置!$N$30:$N$74)*((簡易陰圧装置!$H$3-簡易陰圧装置!$I$3)/簡易陰圧装置!$H$3),0)</f>
        <v>0</v>
      </c>
      <c r="J64" s="68">
        <f t="shared" si="6"/>
        <v>0</v>
      </c>
      <c r="K64" s="67">
        <f>IFERROR(SUMIF(#REF!,B64,#REF!)*((#REF!-#REF!)/#REF!),0)</f>
        <v>0</v>
      </c>
      <c r="L64" s="68">
        <f t="shared" si="7"/>
        <v>0</v>
      </c>
      <c r="M64" s="67">
        <f>IFERROR(SUMIF(体外式膜型人工肺!$C$30:$C$74,B64,体外式膜型人工肺!$N$30:$N$74)*((体外式膜型人工肺!$H$3-体外式膜型人工肺!$I$3)/体外式膜型人工肺!$H$3),0)</f>
        <v>0</v>
      </c>
      <c r="N64" s="68">
        <f t="shared" si="8"/>
        <v>0</v>
      </c>
      <c r="O64" s="68">
        <f t="shared" si="9"/>
        <v>0</v>
      </c>
      <c r="P64" s="68">
        <f t="shared" si="10"/>
        <v>0</v>
      </c>
      <c r="Q64" s="67">
        <f>IFERROR(SUMIF(紫外線照射装置!$C$30:$C$74,B64,紫外線照射装置!$N$30:$N$74)*((紫外線照射装置!$H$3-紫外線照射装置!$I$3)/紫外線照射装置!$H$3),0)</f>
        <v>0</v>
      </c>
      <c r="R64" s="68">
        <f t="shared" si="11"/>
        <v>0</v>
      </c>
      <c r="S64" s="101">
        <f t="shared" si="12"/>
        <v>0</v>
      </c>
      <c r="T64" s="67">
        <f>IFERROR(SUMIF(超音波画像診断装置!$C$30:$C$74,B64,超音波画像診断装置!$K$30:$K$74)*((超音波画像診断装置!$H$3-超音波画像診断装置!$I$3)/超音波画像診断装置!$H$3),0)</f>
        <v>0</v>
      </c>
      <c r="U64" s="68">
        <f t="shared" si="13"/>
        <v>0</v>
      </c>
      <c r="V64" s="67">
        <f>IFERROR(SUMIF(血液浄化装置!$C$30:$C$74,B64,血液浄化装置!$K$30:$K$74)*((血液浄化装置!$H$3-血液浄化装置!$I$3)/血液浄化装置!$H$3),0)</f>
        <v>0</v>
      </c>
      <c r="W64" s="68">
        <f t="shared" si="14"/>
        <v>0</v>
      </c>
      <c r="X64" s="67">
        <f>IFERROR(SUMIF(気管支鏡!$C$30:$C$74,B64,気管支鏡!$K$30:$K$74)*((気管支鏡!$H$3-気管支鏡!$I$3)/気管支鏡!$H$3),0)</f>
        <v>0</v>
      </c>
      <c r="Y64" s="68">
        <f t="shared" si="0"/>
        <v>0</v>
      </c>
      <c r="Z64" s="67">
        <f>IFERROR(SUMIF(CT撮影装置!$C$30:$C$74,B64,CT撮影装置!$K$30:$K$74)*((CT撮影装置!$H$3-CT撮影装置!$I$3)/CT撮影装置!$H$3),0)</f>
        <v>0</v>
      </c>
      <c r="AA64" s="68">
        <f t="shared" si="15"/>
        <v>0</v>
      </c>
      <c r="AB64" s="67">
        <f>IFERROR(SUMIF(生体情報モニタ!$C$30:$C$74,B64,生体情報モニタ!$K$30:$K$74)*((生体情報モニタ!$H$3-生体情報モニタ!$I$3)/生体情報モニタ!$H$3),0)</f>
        <v>0</v>
      </c>
      <c r="AC64" s="68">
        <f t="shared" si="1"/>
        <v>0</v>
      </c>
      <c r="AD64" s="67">
        <f>IFERROR(SUMIF(分娩監視装置!$C$30:$C$74,B64,分娩監視装置!$K$30:$K$74)*((分娩監視装置!$H$3-分娩監視装置!$I$3)/分娩監視装置!$H$3),0)</f>
        <v>0</v>
      </c>
      <c r="AE64" s="68">
        <f t="shared" si="16"/>
        <v>0</v>
      </c>
      <c r="AF64" s="67">
        <f>IFERROR(SUMIF(新生児モニタ!$C$30:$C$74,B64,新生児モニタ!$K$30:$K$74)*((新生児モニタ!$H$3-新生児モニタ!$I$3)/新生児モニタ!$H$3),0)</f>
        <v>0</v>
      </c>
      <c r="AG64" s="68">
        <f t="shared" si="17"/>
        <v>0</v>
      </c>
    </row>
    <row r="65" spans="2:33">
      <c r="B65" s="64" t="s">
        <v>712</v>
      </c>
      <c r="C65" s="67">
        <f>IFERROR(SUMIF(初度設備!$C$30:$C$74,B65,初度設備!$N$30:$N$74)*((初度設備!$H$3-初度設備!$I$3)/初度設備!$H$3),0)</f>
        <v>0</v>
      </c>
      <c r="D65" s="68">
        <f t="shared" si="2"/>
        <v>0</v>
      </c>
      <c r="E65" s="67">
        <f>IFERROR(SUMIF(人工呼吸器!$C$30:$C$74,B65,人工呼吸器!$N$30:$N$74)*((人工呼吸器!$H$3-人工呼吸器!$I$3)/人工呼吸器!$H$3),0)</f>
        <v>0</v>
      </c>
      <c r="F65" s="68">
        <f t="shared" si="3"/>
        <v>0</v>
      </c>
      <c r="G65" s="68">
        <f t="shared" si="4"/>
        <v>0</v>
      </c>
      <c r="H65" s="68">
        <f t="shared" si="5"/>
        <v>0</v>
      </c>
      <c r="I65" s="67">
        <f>IFERROR(SUMIF(簡易陰圧装置!$C$30:$C$74,B65,簡易陰圧装置!$N$30:$N$74)*((簡易陰圧装置!$H$3-簡易陰圧装置!$I$3)/簡易陰圧装置!$H$3),0)</f>
        <v>0</v>
      </c>
      <c r="J65" s="68">
        <f t="shared" si="6"/>
        <v>0</v>
      </c>
      <c r="K65" s="67">
        <f>IFERROR(SUMIF(#REF!,B65,#REF!)*((#REF!-#REF!)/#REF!),0)</f>
        <v>0</v>
      </c>
      <c r="L65" s="68">
        <f t="shared" si="7"/>
        <v>0</v>
      </c>
      <c r="M65" s="67">
        <f>IFERROR(SUMIF(体外式膜型人工肺!$C$30:$C$74,B65,体外式膜型人工肺!$N$30:$N$74)*((体外式膜型人工肺!$H$3-体外式膜型人工肺!$I$3)/体外式膜型人工肺!$H$3),0)</f>
        <v>0</v>
      </c>
      <c r="N65" s="68">
        <f t="shared" si="8"/>
        <v>0</v>
      </c>
      <c r="O65" s="68">
        <f t="shared" si="9"/>
        <v>0</v>
      </c>
      <c r="P65" s="68">
        <f t="shared" si="10"/>
        <v>0</v>
      </c>
      <c r="Q65" s="67">
        <f>IFERROR(SUMIF(紫外線照射装置!$C$30:$C$74,B65,紫外線照射装置!$N$30:$N$74)*((紫外線照射装置!$H$3-紫外線照射装置!$I$3)/紫外線照射装置!$H$3),0)</f>
        <v>0</v>
      </c>
      <c r="R65" s="68">
        <f t="shared" si="11"/>
        <v>0</v>
      </c>
      <c r="S65" s="101">
        <f t="shared" si="12"/>
        <v>0</v>
      </c>
      <c r="T65" s="67">
        <f>IFERROR(SUMIF(超音波画像診断装置!$C$30:$C$74,B65,超音波画像診断装置!$K$30:$K$74)*((超音波画像診断装置!$H$3-超音波画像診断装置!$I$3)/超音波画像診断装置!$H$3),0)</f>
        <v>0</v>
      </c>
      <c r="U65" s="68">
        <f t="shared" si="13"/>
        <v>0</v>
      </c>
      <c r="V65" s="67">
        <f>IFERROR(SUMIF(血液浄化装置!$C$30:$C$74,B65,血液浄化装置!$K$30:$K$74)*((血液浄化装置!$H$3-血液浄化装置!$I$3)/血液浄化装置!$H$3),0)</f>
        <v>0</v>
      </c>
      <c r="W65" s="68">
        <f t="shared" si="14"/>
        <v>0</v>
      </c>
      <c r="X65" s="67">
        <f>IFERROR(SUMIF(気管支鏡!$C$30:$C$74,B65,気管支鏡!$K$30:$K$74)*((気管支鏡!$H$3-気管支鏡!$I$3)/気管支鏡!$H$3),0)</f>
        <v>0</v>
      </c>
      <c r="Y65" s="68">
        <f t="shared" si="0"/>
        <v>0</v>
      </c>
      <c r="Z65" s="67">
        <f>IFERROR(SUMIF(CT撮影装置!$C$30:$C$74,B65,CT撮影装置!$K$30:$K$74)*((CT撮影装置!$H$3-CT撮影装置!$I$3)/CT撮影装置!$H$3),0)</f>
        <v>0</v>
      </c>
      <c r="AA65" s="68">
        <f t="shared" si="15"/>
        <v>0</v>
      </c>
      <c r="AB65" s="67">
        <f>IFERROR(SUMIF(生体情報モニタ!$C$30:$C$74,B65,生体情報モニタ!$K$30:$K$74)*((生体情報モニタ!$H$3-生体情報モニタ!$I$3)/生体情報モニタ!$H$3),0)</f>
        <v>0</v>
      </c>
      <c r="AC65" s="68">
        <f t="shared" si="1"/>
        <v>0</v>
      </c>
      <c r="AD65" s="67">
        <f>IFERROR(SUMIF(分娩監視装置!$C$30:$C$74,B65,分娩監視装置!$K$30:$K$74)*((分娩監視装置!$H$3-分娩監視装置!$I$3)/分娩監視装置!$H$3),0)</f>
        <v>0</v>
      </c>
      <c r="AE65" s="68">
        <f t="shared" si="16"/>
        <v>0</v>
      </c>
      <c r="AF65" s="67">
        <f>IFERROR(SUMIF(新生児モニタ!$C$30:$C$74,B65,新生児モニタ!$K$30:$K$74)*((新生児モニタ!$H$3-新生児モニタ!$I$3)/新生児モニタ!$H$3),0)</f>
        <v>0</v>
      </c>
      <c r="AG65" s="68">
        <f t="shared" si="17"/>
        <v>0</v>
      </c>
    </row>
    <row r="66" spans="2:33">
      <c r="B66" s="64" t="s">
        <v>713</v>
      </c>
      <c r="C66" s="67">
        <f>IFERROR(SUMIF(初度設備!$C$30:$C$74,B66,初度設備!$N$30:$N$74)*((初度設備!$H$3-初度設備!$I$3)/初度設備!$H$3),0)</f>
        <v>0</v>
      </c>
      <c r="D66" s="68">
        <f t="shared" si="2"/>
        <v>0</v>
      </c>
      <c r="E66" s="67">
        <f>IFERROR(SUMIF(人工呼吸器!$C$30:$C$74,B66,人工呼吸器!$N$30:$N$74)*((人工呼吸器!$H$3-人工呼吸器!$I$3)/人工呼吸器!$H$3),0)</f>
        <v>0</v>
      </c>
      <c r="F66" s="68">
        <f t="shared" si="3"/>
        <v>0</v>
      </c>
      <c r="G66" s="68">
        <f t="shared" si="4"/>
        <v>0</v>
      </c>
      <c r="H66" s="68">
        <f t="shared" si="5"/>
        <v>0</v>
      </c>
      <c r="I66" s="67">
        <f>IFERROR(SUMIF(簡易陰圧装置!$C$30:$C$74,B66,簡易陰圧装置!$N$30:$N$74)*((簡易陰圧装置!$H$3-簡易陰圧装置!$I$3)/簡易陰圧装置!$H$3),0)</f>
        <v>0</v>
      </c>
      <c r="J66" s="68">
        <f t="shared" si="6"/>
        <v>0</v>
      </c>
      <c r="K66" s="67">
        <f>IFERROR(SUMIF(#REF!,B66,#REF!)*((#REF!-#REF!)/#REF!),0)</f>
        <v>0</v>
      </c>
      <c r="L66" s="68">
        <f t="shared" si="7"/>
        <v>0</v>
      </c>
      <c r="M66" s="67">
        <f>IFERROR(SUMIF(体外式膜型人工肺!$C$30:$C$74,B66,体外式膜型人工肺!$N$30:$N$74)*((体外式膜型人工肺!$H$3-体外式膜型人工肺!$I$3)/体外式膜型人工肺!$H$3),0)</f>
        <v>0</v>
      </c>
      <c r="N66" s="68">
        <f t="shared" si="8"/>
        <v>0</v>
      </c>
      <c r="O66" s="68">
        <f t="shared" si="9"/>
        <v>0</v>
      </c>
      <c r="P66" s="68">
        <f t="shared" si="10"/>
        <v>0</v>
      </c>
      <c r="Q66" s="67">
        <f>IFERROR(SUMIF(紫外線照射装置!$C$30:$C$74,B66,紫外線照射装置!$N$30:$N$74)*((紫外線照射装置!$H$3-紫外線照射装置!$I$3)/紫外線照射装置!$H$3),0)</f>
        <v>0</v>
      </c>
      <c r="R66" s="68">
        <f t="shared" si="11"/>
        <v>0</v>
      </c>
      <c r="S66" s="101">
        <f t="shared" si="12"/>
        <v>0</v>
      </c>
      <c r="T66" s="67">
        <f>IFERROR(SUMIF(超音波画像診断装置!$C$30:$C$74,B66,超音波画像診断装置!$K$30:$K$74)*((超音波画像診断装置!$H$3-超音波画像診断装置!$I$3)/超音波画像診断装置!$H$3),0)</f>
        <v>0</v>
      </c>
      <c r="U66" s="68">
        <f t="shared" si="13"/>
        <v>0</v>
      </c>
      <c r="V66" s="67">
        <f>IFERROR(SUMIF(血液浄化装置!$C$30:$C$74,B66,血液浄化装置!$K$30:$K$74)*((血液浄化装置!$H$3-血液浄化装置!$I$3)/血液浄化装置!$H$3),0)</f>
        <v>0</v>
      </c>
      <c r="W66" s="68">
        <f t="shared" si="14"/>
        <v>0</v>
      </c>
      <c r="X66" s="67">
        <f>IFERROR(SUMIF(気管支鏡!$C$30:$C$74,B66,気管支鏡!$K$30:$K$74)*((気管支鏡!$H$3-気管支鏡!$I$3)/気管支鏡!$H$3),0)</f>
        <v>0</v>
      </c>
      <c r="Y66" s="68">
        <f t="shared" si="0"/>
        <v>0</v>
      </c>
      <c r="Z66" s="67">
        <f>IFERROR(SUMIF(CT撮影装置!$C$30:$C$74,B66,CT撮影装置!$K$30:$K$74)*((CT撮影装置!$H$3-CT撮影装置!$I$3)/CT撮影装置!$H$3),0)</f>
        <v>0</v>
      </c>
      <c r="AA66" s="68">
        <f t="shared" si="15"/>
        <v>0</v>
      </c>
      <c r="AB66" s="67">
        <f>IFERROR(SUMIF(生体情報モニタ!$C$30:$C$74,B66,生体情報モニタ!$K$30:$K$74)*((生体情報モニタ!$H$3-生体情報モニタ!$I$3)/生体情報モニタ!$H$3),0)</f>
        <v>0</v>
      </c>
      <c r="AC66" s="68">
        <f t="shared" si="1"/>
        <v>0</v>
      </c>
      <c r="AD66" s="67">
        <f>IFERROR(SUMIF(分娩監視装置!$C$30:$C$74,B66,分娩監視装置!$K$30:$K$74)*((分娩監視装置!$H$3-分娩監視装置!$I$3)/分娩監視装置!$H$3),0)</f>
        <v>0</v>
      </c>
      <c r="AE66" s="68">
        <f t="shared" si="16"/>
        <v>0</v>
      </c>
      <c r="AF66" s="67">
        <f>IFERROR(SUMIF(新生児モニタ!$C$30:$C$74,B66,新生児モニタ!$K$30:$K$74)*((新生児モニタ!$H$3-新生児モニタ!$I$3)/新生児モニタ!$H$3),0)</f>
        <v>0</v>
      </c>
      <c r="AG66" s="68">
        <f t="shared" si="17"/>
        <v>0</v>
      </c>
    </row>
    <row r="67" spans="2:33">
      <c r="B67" s="64" t="s">
        <v>714</v>
      </c>
      <c r="C67" s="67">
        <f>IFERROR(SUMIF(初度設備!$C$30:$C$74,B67,初度設備!$N$30:$N$74)*((初度設備!$H$3-初度設備!$I$3)/初度設備!$H$3),0)</f>
        <v>0</v>
      </c>
      <c r="D67" s="68">
        <f t="shared" si="2"/>
        <v>0</v>
      </c>
      <c r="E67" s="67">
        <f>IFERROR(SUMIF(人工呼吸器!$C$30:$C$74,B67,人工呼吸器!$N$30:$N$74)*((人工呼吸器!$H$3-人工呼吸器!$I$3)/人工呼吸器!$H$3),0)</f>
        <v>0</v>
      </c>
      <c r="F67" s="68">
        <f t="shared" si="3"/>
        <v>0</v>
      </c>
      <c r="G67" s="68">
        <f t="shared" si="4"/>
        <v>0</v>
      </c>
      <c r="H67" s="68">
        <f t="shared" si="5"/>
        <v>0</v>
      </c>
      <c r="I67" s="67">
        <f>IFERROR(SUMIF(簡易陰圧装置!$C$30:$C$74,B67,簡易陰圧装置!$N$30:$N$74)*((簡易陰圧装置!$H$3-簡易陰圧装置!$I$3)/簡易陰圧装置!$H$3),0)</f>
        <v>0</v>
      </c>
      <c r="J67" s="68">
        <f t="shared" si="6"/>
        <v>0</v>
      </c>
      <c r="K67" s="67">
        <f>IFERROR(SUMIF(#REF!,B67,#REF!)*((#REF!-#REF!)/#REF!),0)</f>
        <v>0</v>
      </c>
      <c r="L67" s="68">
        <f t="shared" si="7"/>
        <v>0</v>
      </c>
      <c r="M67" s="67">
        <f>IFERROR(SUMIF(体外式膜型人工肺!$C$30:$C$74,B67,体外式膜型人工肺!$N$30:$N$74)*((体外式膜型人工肺!$H$3-体外式膜型人工肺!$I$3)/体外式膜型人工肺!$H$3),0)</f>
        <v>0</v>
      </c>
      <c r="N67" s="68">
        <f t="shared" si="8"/>
        <v>0</v>
      </c>
      <c r="O67" s="68">
        <f t="shared" si="9"/>
        <v>0</v>
      </c>
      <c r="P67" s="68">
        <f t="shared" si="10"/>
        <v>0</v>
      </c>
      <c r="Q67" s="67">
        <f>IFERROR(SUMIF(紫外線照射装置!$C$30:$C$74,B67,紫外線照射装置!$N$30:$N$74)*((紫外線照射装置!$H$3-紫外線照射装置!$I$3)/紫外線照射装置!$H$3),0)</f>
        <v>0</v>
      </c>
      <c r="R67" s="68">
        <f t="shared" si="11"/>
        <v>0</v>
      </c>
      <c r="S67" s="101">
        <f t="shared" si="12"/>
        <v>0</v>
      </c>
      <c r="T67" s="67">
        <f>IFERROR(SUMIF(超音波画像診断装置!$C$30:$C$74,B67,超音波画像診断装置!$K$30:$K$74)*((超音波画像診断装置!$H$3-超音波画像診断装置!$I$3)/超音波画像診断装置!$H$3),0)</f>
        <v>0</v>
      </c>
      <c r="U67" s="68">
        <f t="shared" si="13"/>
        <v>0</v>
      </c>
      <c r="V67" s="67">
        <f>IFERROR(SUMIF(血液浄化装置!$C$30:$C$74,B67,血液浄化装置!$K$30:$K$74)*((血液浄化装置!$H$3-血液浄化装置!$I$3)/血液浄化装置!$H$3),0)</f>
        <v>0</v>
      </c>
      <c r="W67" s="68">
        <f t="shared" si="14"/>
        <v>0</v>
      </c>
      <c r="X67" s="67">
        <f>IFERROR(SUMIF(気管支鏡!$C$30:$C$74,B67,気管支鏡!$K$30:$K$74)*((気管支鏡!$H$3-気管支鏡!$I$3)/気管支鏡!$H$3),0)</f>
        <v>0</v>
      </c>
      <c r="Y67" s="68">
        <f t="shared" si="0"/>
        <v>0</v>
      </c>
      <c r="Z67" s="67">
        <f>IFERROR(SUMIF(CT撮影装置!$C$30:$C$74,B67,CT撮影装置!$K$30:$K$74)*((CT撮影装置!$H$3-CT撮影装置!$I$3)/CT撮影装置!$H$3),0)</f>
        <v>0</v>
      </c>
      <c r="AA67" s="68">
        <f t="shared" si="15"/>
        <v>0</v>
      </c>
      <c r="AB67" s="67">
        <f>IFERROR(SUMIF(生体情報モニタ!$C$30:$C$74,B67,生体情報モニタ!$K$30:$K$74)*((生体情報モニタ!$H$3-生体情報モニタ!$I$3)/生体情報モニタ!$H$3),0)</f>
        <v>0</v>
      </c>
      <c r="AC67" s="68">
        <f t="shared" si="1"/>
        <v>0</v>
      </c>
      <c r="AD67" s="67">
        <f>IFERROR(SUMIF(分娩監視装置!$C$30:$C$74,B67,分娩監視装置!$K$30:$K$74)*((分娩監視装置!$H$3-分娩監視装置!$I$3)/分娩監視装置!$H$3),0)</f>
        <v>0</v>
      </c>
      <c r="AE67" s="68">
        <f t="shared" si="16"/>
        <v>0</v>
      </c>
      <c r="AF67" s="67">
        <f>IFERROR(SUMIF(新生児モニタ!$C$30:$C$74,B67,新生児モニタ!$K$30:$K$74)*((新生児モニタ!$H$3-新生児モニタ!$I$3)/新生児モニタ!$H$3),0)</f>
        <v>0</v>
      </c>
      <c r="AG67" s="68">
        <f t="shared" si="17"/>
        <v>0</v>
      </c>
    </row>
    <row r="68" spans="2:33">
      <c r="B68" s="64" t="s">
        <v>715</v>
      </c>
      <c r="C68" s="67">
        <f>IFERROR(SUMIF(初度設備!$C$30:$C$74,B68,初度設備!$N$30:$N$74)*((初度設備!$H$3-初度設備!$I$3)/初度設備!$H$3),0)</f>
        <v>0</v>
      </c>
      <c r="D68" s="68">
        <f t="shared" si="2"/>
        <v>0</v>
      </c>
      <c r="E68" s="67">
        <f>IFERROR(SUMIF(人工呼吸器!$C$30:$C$74,B68,人工呼吸器!$N$30:$N$74)*((人工呼吸器!$H$3-人工呼吸器!$I$3)/人工呼吸器!$H$3),0)</f>
        <v>0</v>
      </c>
      <c r="F68" s="68">
        <f t="shared" si="3"/>
        <v>0</v>
      </c>
      <c r="G68" s="68">
        <f t="shared" si="4"/>
        <v>0</v>
      </c>
      <c r="H68" s="68">
        <f t="shared" si="5"/>
        <v>0</v>
      </c>
      <c r="I68" s="67">
        <f>IFERROR(SUMIF(簡易陰圧装置!$C$30:$C$74,B68,簡易陰圧装置!$N$30:$N$74)*((簡易陰圧装置!$H$3-簡易陰圧装置!$I$3)/簡易陰圧装置!$H$3),0)</f>
        <v>0</v>
      </c>
      <c r="J68" s="68">
        <f t="shared" si="6"/>
        <v>0</v>
      </c>
      <c r="K68" s="67">
        <f>IFERROR(SUMIF(#REF!,B68,#REF!)*((#REF!-#REF!)/#REF!),0)</f>
        <v>0</v>
      </c>
      <c r="L68" s="68">
        <f t="shared" si="7"/>
        <v>0</v>
      </c>
      <c r="M68" s="67">
        <f>IFERROR(SUMIF(体外式膜型人工肺!$C$30:$C$74,B68,体外式膜型人工肺!$N$30:$N$74)*((体外式膜型人工肺!$H$3-体外式膜型人工肺!$I$3)/体外式膜型人工肺!$H$3),0)</f>
        <v>0</v>
      </c>
      <c r="N68" s="68">
        <f t="shared" si="8"/>
        <v>0</v>
      </c>
      <c r="O68" s="68">
        <f t="shared" si="9"/>
        <v>0</v>
      </c>
      <c r="P68" s="68">
        <f t="shared" si="10"/>
        <v>0</v>
      </c>
      <c r="Q68" s="67">
        <f>IFERROR(SUMIF(紫外線照射装置!$C$30:$C$74,B68,紫外線照射装置!$N$30:$N$74)*((紫外線照射装置!$H$3-紫外線照射装置!$I$3)/紫外線照射装置!$H$3),0)</f>
        <v>0</v>
      </c>
      <c r="R68" s="68">
        <f t="shared" si="11"/>
        <v>0</v>
      </c>
      <c r="S68" s="101">
        <f t="shared" si="12"/>
        <v>0</v>
      </c>
      <c r="T68" s="67">
        <f>IFERROR(SUMIF(超音波画像診断装置!$C$30:$C$74,B68,超音波画像診断装置!$K$30:$K$74)*((超音波画像診断装置!$H$3-超音波画像診断装置!$I$3)/超音波画像診断装置!$H$3),0)</f>
        <v>0</v>
      </c>
      <c r="U68" s="68">
        <f t="shared" si="13"/>
        <v>0</v>
      </c>
      <c r="V68" s="67">
        <f>IFERROR(SUMIF(血液浄化装置!$C$30:$C$74,B68,血液浄化装置!$K$30:$K$74)*((血液浄化装置!$H$3-血液浄化装置!$I$3)/血液浄化装置!$H$3),0)</f>
        <v>0</v>
      </c>
      <c r="W68" s="68">
        <f t="shared" si="14"/>
        <v>0</v>
      </c>
      <c r="X68" s="67">
        <f>IFERROR(SUMIF(気管支鏡!$C$30:$C$74,B68,気管支鏡!$K$30:$K$74)*((気管支鏡!$H$3-気管支鏡!$I$3)/気管支鏡!$H$3),0)</f>
        <v>0</v>
      </c>
      <c r="Y68" s="68">
        <f t="shared" si="0"/>
        <v>0</v>
      </c>
      <c r="Z68" s="67">
        <f>IFERROR(SUMIF(CT撮影装置!$C$30:$C$74,B68,CT撮影装置!$K$30:$K$74)*((CT撮影装置!$H$3-CT撮影装置!$I$3)/CT撮影装置!$H$3),0)</f>
        <v>0</v>
      </c>
      <c r="AA68" s="68">
        <f t="shared" si="15"/>
        <v>0</v>
      </c>
      <c r="AB68" s="67">
        <f>IFERROR(SUMIF(生体情報モニタ!$C$30:$C$74,B68,生体情報モニタ!$K$30:$K$74)*((生体情報モニタ!$H$3-生体情報モニタ!$I$3)/生体情報モニタ!$H$3),0)</f>
        <v>0</v>
      </c>
      <c r="AC68" s="68">
        <f t="shared" si="1"/>
        <v>0</v>
      </c>
      <c r="AD68" s="67">
        <f>IFERROR(SUMIF(分娩監視装置!$C$30:$C$74,B68,分娩監視装置!$K$30:$K$74)*((分娩監視装置!$H$3-分娩監視装置!$I$3)/分娩監視装置!$H$3),0)</f>
        <v>0</v>
      </c>
      <c r="AE68" s="68">
        <f t="shared" si="16"/>
        <v>0</v>
      </c>
      <c r="AF68" s="67">
        <f>IFERROR(SUMIF(新生児モニタ!$C$30:$C$74,B68,新生児モニタ!$K$30:$K$74)*((新生児モニタ!$H$3-新生児モニタ!$I$3)/新生児モニタ!$H$3),0)</f>
        <v>0</v>
      </c>
      <c r="AG68" s="68">
        <f t="shared" si="17"/>
        <v>0</v>
      </c>
    </row>
    <row r="69" spans="2:33">
      <c r="B69" s="64" t="s">
        <v>716</v>
      </c>
      <c r="C69" s="67">
        <f>IFERROR(SUMIF(初度設備!$C$30:$C$74,B69,初度設備!$N$30:$N$74)*((初度設備!$H$3-初度設備!$I$3)/初度設備!$H$3),0)</f>
        <v>0</v>
      </c>
      <c r="D69" s="68">
        <f t="shared" si="2"/>
        <v>0</v>
      </c>
      <c r="E69" s="67">
        <f>IFERROR(SUMIF(人工呼吸器!$C$30:$C$74,B69,人工呼吸器!$N$30:$N$74)*((人工呼吸器!$H$3-人工呼吸器!$I$3)/人工呼吸器!$H$3),0)</f>
        <v>0</v>
      </c>
      <c r="F69" s="68">
        <f t="shared" si="3"/>
        <v>0</v>
      </c>
      <c r="G69" s="68">
        <f t="shared" si="4"/>
        <v>0</v>
      </c>
      <c r="H69" s="68">
        <f t="shared" si="5"/>
        <v>0</v>
      </c>
      <c r="I69" s="67">
        <f>IFERROR(SUMIF(簡易陰圧装置!$C$30:$C$74,B69,簡易陰圧装置!$N$30:$N$74)*((簡易陰圧装置!$H$3-簡易陰圧装置!$I$3)/簡易陰圧装置!$H$3),0)</f>
        <v>0</v>
      </c>
      <c r="J69" s="68">
        <f t="shared" si="6"/>
        <v>0</v>
      </c>
      <c r="K69" s="67">
        <f>IFERROR(SUMIF(#REF!,B69,#REF!)*((#REF!-#REF!)/#REF!),0)</f>
        <v>0</v>
      </c>
      <c r="L69" s="68">
        <f t="shared" si="7"/>
        <v>0</v>
      </c>
      <c r="M69" s="67">
        <f>IFERROR(SUMIF(体外式膜型人工肺!$C$30:$C$74,B69,体外式膜型人工肺!$N$30:$N$74)*((体外式膜型人工肺!$H$3-体外式膜型人工肺!$I$3)/体外式膜型人工肺!$H$3),0)</f>
        <v>0</v>
      </c>
      <c r="N69" s="68">
        <f t="shared" si="8"/>
        <v>0</v>
      </c>
      <c r="O69" s="68">
        <f t="shared" si="9"/>
        <v>0</v>
      </c>
      <c r="P69" s="68">
        <f t="shared" si="10"/>
        <v>0</v>
      </c>
      <c r="Q69" s="67">
        <f>IFERROR(SUMIF(紫外線照射装置!$C$30:$C$74,B69,紫外線照射装置!$N$30:$N$74)*((紫外線照射装置!$H$3-紫外線照射装置!$I$3)/紫外線照射装置!$H$3),0)</f>
        <v>0</v>
      </c>
      <c r="R69" s="68">
        <f t="shared" si="11"/>
        <v>0</v>
      </c>
      <c r="S69" s="101">
        <f t="shared" si="12"/>
        <v>0</v>
      </c>
      <c r="T69" s="67">
        <f>IFERROR(SUMIF(超音波画像診断装置!$C$30:$C$74,B69,超音波画像診断装置!$K$30:$K$74)*((超音波画像診断装置!$H$3-超音波画像診断装置!$I$3)/超音波画像診断装置!$H$3),0)</f>
        <v>0</v>
      </c>
      <c r="U69" s="68">
        <f t="shared" si="13"/>
        <v>0</v>
      </c>
      <c r="V69" s="67">
        <f>IFERROR(SUMIF(血液浄化装置!$C$30:$C$74,B69,血液浄化装置!$K$30:$K$74)*((血液浄化装置!$H$3-血液浄化装置!$I$3)/血液浄化装置!$H$3),0)</f>
        <v>0</v>
      </c>
      <c r="W69" s="68">
        <f t="shared" si="14"/>
        <v>0</v>
      </c>
      <c r="X69" s="67">
        <f>IFERROR(SUMIF(気管支鏡!$C$30:$C$74,B69,気管支鏡!$K$30:$K$74)*((気管支鏡!$H$3-気管支鏡!$I$3)/気管支鏡!$H$3),0)</f>
        <v>0</v>
      </c>
      <c r="Y69" s="68">
        <f t="shared" si="0"/>
        <v>0</v>
      </c>
      <c r="Z69" s="67">
        <f>IFERROR(SUMIF(CT撮影装置!$C$30:$C$74,B69,CT撮影装置!$K$30:$K$74)*((CT撮影装置!$H$3-CT撮影装置!$I$3)/CT撮影装置!$H$3),0)</f>
        <v>0</v>
      </c>
      <c r="AA69" s="68">
        <f t="shared" si="15"/>
        <v>0</v>
      </c>
      <c r="AB69" s="67">
        <f>IFERROR(SUMIF(生体情報モニタ!$C$30:$C$74,B69,生体情報モニタ!$K$30:$K$74)*((生体情報モニタ!$H$3-生体情報モニタ!$I$3)/生体情報モニタ!$H$3),0)</f>
        <v>0</v>
      </c>
      <c r="AC69" s="68">
        <f t="shared" si="1"/>
        <v>0</v>
      </c>
      <c r="AD69" s="67">
        <f>IFERROR(SUMIF(分娩監視装置!$C$30:$C$74,B69,分娩監視装置!$K$30:$K$74)*((分娩監視装置!$H$3-分娩監視装置!$I$3)/分娩監視装置!$H$3),0)</f>
        <v>0</v>
      </c>
      <c r="AE69" s="68">
        <f t="shared" si="16"/>
        <v>0</v>
      </c>
      <c r="AF69" s="67">
        <f>IFERROR(SUMIF(新生児モニタ!$C$30:$C$74,B69,新生児モニタ!$K$30:$K$74)*((新生児モニタ!$H$3-新生児モニタ!$I$3)/新生児モニタ!$H$3),0)</f>
        <v>0</v>
      </c>
      <c r="AG69" s="68">
        <f t="shared" si="17"/>
        <v>0</v>
      </c>
    </row>
    <row r="70" spans="2:33">
      <c r="B70" s="64" t="s">
        <v>717</v>
      </c>
      <c r="C70" s="67">
        <f>IFERROR(SUMIF(初度設備!$C$30:$C$74,B70,初度設備!$N$30:$N$74)*((初度設備!$H$3-初度設備!$I$3)/初度設備!$H$3),0)</f>
        <v>0</v>
      </c>
      <c r="D70" s="68">
        <f t="shared" si="2"/>
        <v>0</v>
      </c>
      <c r="E70" s="67">
        <f>IFERROR(SUMIF(人工呼吸器!$C$30:$C$74,B70,人工呼吸器!$N$30:$N$74)*((人工呼吸器!$H$3-人工呼吸器!$I$3)/人工呼吸器!$H$3),0)</f>
        <v>0</v>
      </c>
      <c r="F70" s="68">
        <f t="shared" si="3"/>
        <v>0</v>
      </c>
      <c r="G70" s="68">
        <f t="shared" si="4"/>
        <v>0</v>
      </c>
      <c r="H70" s="68">
        <f t="shared" si="5"/>
        <v>0</v>
      </c>
      <c r="I70" s="67">
        <f>IFERROR(SUMIF(簡易陰圧装置!$C$30:$C$74,B70,簡易陰圧装置!$N$30:$N$74)*((簡易陰圧装置!$H$3-簡易陰圧装置!$I$3)/簡易陰圧装置!$H$3),0)</f>
        <v>0</v>
      </c>
      <c r="J70" s="68">
        <f t="shared" si="6"/>
        <v>0</v>
      </c>
      <c r="K70" s="67">
        <f>IFERROR(SUMIF(#REF!,B70,#REF!)*((#REF!-#REF!)/#REF!),0)</f>
        <v>0</v>
      </c>
      <c r="L70" s="68">
        <f t="shared" si="7"/>
        <v>0</v>
      </c>
      <c r="M70" s="67">
        <f>IFERROR(SUMIF(体外式膜型人工肺!$C$30:$C$74,B70,体外式膜型人工肺!$N$30:$N$74)*((体外式膜型人工肺!$H$3-体外式膜型人工肺!$I$3)/体外式膜型人工肺!$H$3),0)</f>
        <v>0</v>
      </c>
      <c r="N70" s="68">
        <f t="shared" si="8"/>
        <v>0</v>
      </c>
      <c r="O70" s="68">
        <f t="shared" si="9"/>
        <v>0</v>
      </c>
      <c r="P70" s="68">
        <f t="shared" si="10"/>
        <v>0</v>
      </c>
      <c r="Q70" s="67">
        <f>IFERROR(SUMIF(紫外線照射装置!$C$30:$C$74,B70,紫外線照射装置!$N$30:$N$74)*((紫外線照射装置!$H$3-紫外線照射装置!$I$3)/紫外線照射装置!$H$3),0)</f>
        <v>0</v>
      </c>
      <c r="R70" s="68">
        <f t="shared" si="11"/>
        <v>0</v>
      </c>
      <c r="S70" s="101">
        <f t="shared" si="12"/>
        <v>0</v>
      </c>
      <c r="T70" s="67">
        <f>IFERROR(SUMIF(超音波画像診断装置!$C$30:$C$74,B70,超音波画像診断装置!$K$30:$K$74)*((超音波画像診断装置!$H$3-超音波画像診断装置!$I$3)/超音波画像診断装置!$H$3),0)</f>
        <v>0</v>
      </c>
      <c r="U70" s="68">
        <f t="shared" si="13"/>
        <v>0</v>
      </c>
      <c r="V70" s="67">
        <f>IFERROR(SUMIF(血液浄化装置!$C$30:$C$74,B70,血液浄化装置!$K$30:$K$74)*((血液浄化装置!$H$3-血液浄化装置!$I$3)/血液浄化装置!$H$3),0)</f>
        <v>0</v>
      </c>
      <c r="W70" s="68">
        <f t="shared" si="14"/>
        <v>0</v>
      </c>
      <c r="X70" s="67">
        <f>IFERROR(SUMIF(気管支鏡!$C$30:$C$74,B70,気管支鏡!$K$30:$K$74)*((気管支鏡!$H$3-気管支鏡!$I$3)/気管支鏡!$H$3),0)</f>
        <v>0</v>
      </c>
      <c r="Y70" s="68">
        <f t="shared" si="0"/>
        <v>0</v>
      </c>
      <c r="Z70" s="67">
        <f>IFERROR(SUMIF(CT撮影装置!$C$30:$C$74,B70,CT撮影装置!$K$30:$K$74)*((CT撮影装置!$H$3-CT撮影装置!$I$3)/CT撮影装置!$H$3),0)</f>
        <v>0</v>
      </c>
      <c r="AA70" s="68">
        <f t="shared" si="15"/>
        <v>0</v>
      </c>
      <c r="AB70" s="67">
        <f>IFERROR(SUMIF(生体情報モニタ!$C$30:$C$74,B70,生体情報モニタ!$K$30:$K$74)*((生体情報モニタ!$H$3-生体情報モニタ!$I$3)/生体情報モニタ!$H$3),0)</f>
        <v>0</v>
      </c>
      <c r="AC70" s="68">
        <f t="shared" si="1"/>
        <v>0</v>
      </c>
      <c r="AD70" s="67">
        <f>IFERROR(SUMIF(分娩監視装置!$C$30:$C$74,B70,分娩監視装置!$K$30:$K$74)*((分娩監視装置!$H$3-分娩監視装置!$I$3)/分娩監視装置!$H$3),0)</f>
        <v>0</v>
      </c>
      <c r="AE70" s="68">
        <f t="shared" si="16"/>
        <v>0</v>
      </c>
      <c r="AF70" s="67">
        <f>IFERROR(SUMIF(新生児モニタ!$C$30:$C$74,B70,新生児モニタ!$K$30:$K$74)*((新生児モニタ!$H$3-新生児モニタ!$I$3)/新生児モニタ!$H$3),0)</f>
        <v>0</v>
      </c>
      <c r="AG70" s="68">
        <f t="shared" si="17"/>
        <v>0</v>
      </c>
    </row>
    <row r="71" spans="2:33">
      <c r="B71" s="64" t="s">
        <v>718</v>
      </c>
      <c r="C71" s="67">
        <f>IFERROR(SUMIF(初度設備!$C$30:$C$74,B71,初度設備!$N$30:$N$74)*((初度設備!$H$3-初度設備!$I$3)/初度設備!$H$3),0)</f>
        <v>0</v>
      </c>
      <c r="D71" s="68">
        <f t="shared" si="2"/>
        <v>0</v>
      </c>
      <c r="E71" s="67">
        <f>IFERROR(SUMIF(人工呼吸器!$C$30:$C$74,B71,人工呼吸器!$N$30:$N$74)*((人工呼吸器!$H$3-人工呼吸器!$I$3)/人工呼吸器!$H$3),0)</f>
        <v>0</v>
      </c>
      <c r="F71" s="68">
        <f t="shared" si="3"/>
        <v>0</v>
      </c>
      <c r="G71" s="68">
        <f t="shared" si="4"/>
        <v>0</v>
      </c>
      <c r="H71" s="68">
        <f t="shared" si="5"/>
        <v>0</v>
      </c>
      <c r="I71" s="67">
        <f>IFERROR(SUMIF(簡易陰圧装置!$C$30:$C$74,B71,簡易陰圧装置!$N$30:$N$74)*((簡易陰圧装置!$H$3-簡易陰圧装置!$I$3)/簡易陰圧装置!$H$3),0)</f>
        <v>0</v>
      </c>
      <c r="J71" s="68">
        <f t="shared" si="6"/>
        <v>0</v>
      </c>
      <c r="K71" s="67">
        <f>IFERROR(SUMIF(#REF!,B71,#REF!)*((#REF!-#REF!)/#REF!),0)</f>
        <v>0</v>
      </c>
      <c r="L71" s="68">
        <f t="shared" si="7"/>
        <v>0</v>
      </c>
      <c r="M71" s="67">
        <f>IFERROR(SUMIF(体外式膜型人工肺!$C$30:$C$74,B71,体外式膜型人工肺!$N$30:$N$74)*((体外式膜型人工肺!$H$3-体外式膜型人工肺!$I$3)/体外式膜型人工肺!$H$3),0)</f>
        <v>0</v>
      </c>
      <c r="N71" s="68">
        <f t="shared" si="8"/>
        <v>0</v>
      </c>
      <c r="O71" s="68">
        <f t="shared" si="9"/>
        <v>0</v>
      </c>
      <c r="P71" s="68">
        <f t="shared" si="10"/>
        <v>0</v>
      </c>
      <c r="Q71" s="67">
        <f>IFERROR(SUMIF(紫外線照射装置!$C$30:$C$74,B71,紫外線照射装置!$N$30:$N$74)*((紫外線照射装置!$H$3-紫外線照射装置!$I$3)/紫外線照射装置!$H$3),0)</f>
        <v>0</v>
      </c>
      <c r="R71" s="68">
        <f t="shared" si="11"/>
        <v>0</v>
      </c>
      <c r="S71" s="101">
        <f t="shared" si="12"/>
        <v>0</v>
      </c>
      <c r="T71" s="67">
        <f>IFERROR(SUMIF(超音波画像診断装置!$C$30:$C$74,B71,超音波画像診断装置!$K$30:$K$74)*((超音波画像診断装置!$H$3-超音波画像診断装置!$I$3)/超音波画像診断装置!$H$3),0)</f>
        <v>0</v>
      </c>
      <c r="U71" s="68">
        <f t="shared" si="13"/>
        <v>0</v>
      </c>
      <c r="V71" s="67">
        <f>IFERROR(SUMIF(血液浄化装置!$C$30:$C$74,B71,血液浄化装置!$K$30:$K$74)*((血液浄化装置!$H$3-血液浄化装置!$I$3)/血液浄化装置!$H$3),0)</f>
        <v>0</v>
      </c>
      <c r="W71" s="68">
        <f t="shared" si="14"/>
        <v>0</v>
      </c>
      <c r="X71" s="67">
        <f>IFERROR(SUMIF(気管支鏡!$C$30:$C$74,B71,気管支鏡!$K$30:$K$74)*((気管支鏡!$H$3-気管支鏡!$I$3)/気管支鏡!$H$3),0)</f>
        <v>0</v>
      </c>
      <c r="Y71" s="68">
        <f t="shared" si="0"/>
        <v>0</v>
      </c>
      <c r="Z71" s="67">
        <f>IFERROR(SUMIF(CT撮影装置!$C$30:$C$74,B71,CT撮影装置!$K$30:$K$74)*((CT撮影装置!$H$3-CT撮影装置!$I$3)/CT撮影装置!$H$3),0)</f>
        <v>0</v>
      </c>
      <c r="AA71" s="68">
        <f t="shared" si="15"/>
        <v>0</v>
      </c>
      <c r="AB71" s="67">
        <f>IFERROR(SUMIF(生体情報モニタ!$C$30:$C$74,B71,生体情報モニタ!$K$30:$K$74)*((生体情報モニタ!$H$3-生体情報モニタ!$I$3)/生体情報モニタ!$H$3),0)</f>
        <v>0</v>
      </c>
      <c r="AC71" s="68">
        <f t="shared" si="1"/>
        <v>0</v>
      </c>
      <c r="AD71" s="67">
        <f>IFERROR(SUMIF(分娩監視装置!$C$30:$C$74,B71,分娩監視装置!$K$30:$K$74)*((分娩監視装置!$H$3-分娩監視装置!$I$3)/分娩監視装置!$H$3),0)</f>
        <v>0</v>
      </c>
      <c r="AE71" s="68">
        <f t="shared" si="16"/>
        <v>0</v>
      </c>
      <c r="AF71" s="67">
        <f>IFERROR(SUMIF(新生児モニタ!$C$30:$C$74,B71,新生児モニタ!$K$30:$K$74)*((新生児モニタ!$H$3-新生児モニタ!$I$3)/新生児モニタ!$H$3),0)</f>
        <v>0</v>
      </c>
      <c r="AG71" s="68">
        <f t="shared" si="17"/>
        <v>0</v>
      </c>
    </row>
    <row r="72" spans="2:33">
      <c r="B72" s="64" t="s">
        <v>719</v>
      </c>
      <c r="C72" s="67">
        <f>IFERROR(SUMIF(初度設備!$C$30:$C$74,B72,初度設備!$N$30:$N$74)*((初度設備!$H$3-初度設備!$I$3)/初度設備!$H$3),0)</f>
        <v>0</v>
      </c>
      <c r="D72" s="68">
        <f t="shared" si="2"/>
        <v>0</v>
      </c>
      <c r="E72" s="67">
        <f>IFERROR(SUMIF(人工呼吸器!$C$30:$C$74,B72,人工呼吸器!$N$30:$N$74)*((人工呼吸器!$H$3-人工呼吸器!$I$3)/人工呼吸器!$H$3),0)</f>
        <v>0</v>
      </c>
      <c r="F72" s="68">
        <f t="shared" si="3"/>
        <v>0</v>
      </c>
      <c r="G72" s="68">
        <f t="shared" si="4"/>
        <v>0</v>
      </c>
      <c r="H72" s="68">
        <f t="shared" si="5"/>
        <v>0</v>
      </c>
      <c r="I72" s="67">
        <f>IFERROR(SUMIF(簡易陰圧装置!$C$30:$C$74,B72,簡易陰圧装置!$N$30:$N$74)*((簡易陰圧装置!$H$3-簡易陰圧装置!$I$3)/簡易陰圧装置!$H$3),0)</f>
        <v>0</v>
      </c>
      <c r="J72" s="68">
        <f t="shared" si="6"/>
        <v>0</v>
      </c>
      <c r="K72" s="67">
        <f>IFERROR(SUMIF(#REF!,B72,#REF!)*((#REF!-#REF!)/#REF!),0)</f>
        <v>0</v>
      </c>
      <c r="L72" s="68">
        <f t="shared" si="7"/>
        <v>0</v>
      </c>
      <c r="M72" s="67">
        <f>IFERROR(SUMIF(体外式膜型人工肺!$C$30:$C$74,B72,体外式膜型人工肺!$N$30:$N$74)*((体外式膜型人工肺!$H$3-体外式膜型人工肺!$I$3)/体外式膜型人工肺!$H$3),0)</f>
        <v>0</v>
      </c>
      <c r="N72" s="68">
        <f t="shared" si="8"/>
        <v>0</v>
      </c>
      <c r="O72" s="68">
        <f t="shared" si="9"/>
        <v>0</v>
      </c>
      <c r="P72" s="68">
        <f t="shared" si="10"/>
        <v>0</v>
      </c>
      <c r="Q72" s="67">
        <f>IFERROR(SUMIF(紫外線照射装置!$C$30:$C$74,B72,紫外線照射装置!$N$30:$N$74)*((紫外線照射装置!$H$3-紫外線照射装置!$I$3)/紫外線照射装置!$H$3),0)</f>
        <v>0</v>
      </c>
      <c r="R72" s="68">
        <f t="shared" si="11"/>
        <v>0</v>
      </c>
      <c r="S72" s="101">
        <f t="shared" si="12"/>
        <v>0</v>
      </c>
      <c r="T72" s="67">
        <f>IFERROR(SUMIF(超音波画像診断装置!$C$30:$C$74,B72,超音波画像診断装置!$K$30:$K$74)*((超音波画像診断装置!$H$3-超音波画像診断装置!$I$3)/超音波画像診断装置!$H$3),0)</f>
        <v>0</v>
      </c>
      <c r="U72" s="68">
        <f t="shared" si="13"/>
        <v>0</v>
      </c>
      <c r="V72" s="67">
        <f>IFERROR(SUMIF(血液浄化装置!$C$30:$C$74,B72,血液浄化装置!$K$30:$K$74)*((血液浄化装置!$H$3-血液浄化装置!$I$3)/血液浄化装置!$H$3),0)</f>
        <v>0</v>
      </c>
      <c r="W72" s="68">
        <f t="shared" si="14"/>
        <v>0</v>
      </c>
      <c r="X72" s="67">
        <f>IFERROR(SUMIF(気管支鏡!$C$30:$C$74,B72,気管支鏡!$K$30:$K$74)*((気管支鏡!$H$3-気管支鏡!$I$3)/気管支鏡!$H$3),0)</f>
        <v>0</v>
      </c>
      <c r="Y72" s="68">
        <f t="shared" si="0"/>
        <v>0</v>
      </c>
      <c r="Z72" s="67">
        <f>IFERROR(SUMIF(CT撮影装置!$C$30:$C$74,B72,CT撮影装置!$K$30:$K$74)*((CT撮影装置!$H$3-CT撮影装置!$I$3)/CT撮影装置!$H$3),0)</f>
        <v>0</v>
      </c>
      <c r="AA72" s="68">
        <f t="shared" si="15"/>
        <v>0</v>
      </c>
      <c r="AB72" s="67">
        <f>IFERROR(SUMIF(生体情報モニタ!$C$30:$C$74,B72,生体情報モニタ!$K$30:$K$74)*((生体情報モニタ!$H$3-生体情報モニタ!$I$3)/生体情報モニタ!$H$3),0)</f>
        <v>0</v>
      </c>
      <c r="AC72" s="68">
        <f t="shared" si="1"/>
        <v>0</v>
      </c>
      <c r="AD72" s="67">
        <f>IFERROR(SUMIF(分娩監視装置!$C$30:$C$74,B72,分娩監視装置!$K$30:$K$74)*((分娩監視装置!$H$3-分娩監視装置!$I$3)/分娩監視装置!$H$3),0)</f>
        <v>0</v>
      </c>
      <c r="AE72" s="68">
        <f t="shared" si="16"/>
        <v>0</v>
      </c>
      <c r="AF72" s="67">
        <f>IFERROR(SUMIF(新生児モニタ!$C$30:$C$74,B72,新生児モニタ!$K$30:$K$74)*((新生児モニタ!$H$3-新生児モニタ!$I$3)/新生児モニタ!$H$3),0)</f>
        <v>0</v>
      </c>
      <c r="AG72" s="68">
        <f t="shared" si="17"/>
        <v>0</v>
      </c>
    </row>
    <row r="73" spans="2:33">
      <c r="B73" s="64" t="s">
        <v>720</v>
      </c>
      <c r="C73" s="67">
        <f>IFERROR(SUMIF(初度設備!$C$30:$C$74,B73,初度設備!$N$30:$N$74)*((初度設備!$H$3-初度設備!$I$3)/初度設備!$H$3),0)</f>
        <v>0</v>
      </c>
      <c r="D73" s="68">
        <f t="shared" si="2"/>
        <v>0</v>
      </c>
      <c r="E73" s="67">
        <f>IFERROR(SUMIF(人工呼吸器!$C$30:$C$74,B73,人工呼吸器!$N$30:$N$74)*((人工呼吸器!$H$3-人工呼吸器!$I$3)/人工呼吸器!$H$3),0)</f>
        <v>0</v>
      </c>
      <c r="F73" s="68">
        <f t="shared" si="3"/>
        <v>0</v>
      </c>
      <c r="G73" s="68">
        <f t="shared" si="4"/>
        <v>0</v>
      </c>
      <c r="H73" s="68">
        <f t="shared" si="5"/>
        <v>0</v>
      </c>
      <c r="I73" s="67">
        <f>IFERROR(SUMIF(簡易陰圧装置!$C$30:$C$74,B73,簡易陰圧装置!$N$30:$N$74)*((簡易陰圧装置!$H$3-簡易陰圧装置!$I$3)/簡易陰圧装置!$H$3),0)</f>
        <v>0</v>
      </c>
      <c r="J73" s="68">
        <f t="shared" si="6"/>
        <v>0</v>
      </c>
      <c r="K73" s="67">
        <f>IFERROR(SUMIF(#REF!,B73,#REF!)*((#REF!-#REF!)/#REF!),0)</f>
        <v>0</v>
      </c>
      <c r="L73" s="68">
        <f t="shared" si="7"/>
        <v>0</v>
      </c>
      <c r="M73" s="67">
        <f>IFERROR(SUMIF(体外式膜型人工肺!$C$30:$C$74,B73,体外式膜型人工肺!$N$30:$N$74)*((体外式膜型人工肺!$H$3-体外式膜型人工肺!$I$3)/体外式膜型人工肺!$H$3),0)</f>
        <v>0</v>
      </c>
      <c r="N73" s="68">
        <f t="shared" si="8"/>
        <v>0</v>
      </c>
      <c r="O73" s="68">
        <f t="shared" si="9"/>
        <v>0</v>
      </c>
      <c r="P73" s="68">
        <f t="shared" si="10"/>
        <v>0</v>
      </c>
      <c r="Q73" s="67">
        <f>IFERROR(SUMIF(紫外線照射装置!$C$30:$C$74,B73,紫外線照射装置!$N$30:$N$74)*((紫外線照射装置!$H$3-紫外線照射装置!$I$3)/紫外線照射装置!$H$3),0)</f>
        <v>0</v>
      </c>
      <c r="R73" s="68">
        <f t="shared" si="11"/>
        <v>0</v>
      </c>
      <c r="S73" s="101">
        <f t="shared" si="12"/>
        <v>0</v>
      </c>
      <c r="T73" s="67">
        <f>IFERROR(SUMIF(超音波画像診断装置!$C$30:$C$74,B73,超音波画像診断装置!$K$30:$K$74)*((超音波画像診断装置!$H$3-超音波画像診断装置!$I$3)/超音波画像診断装置!$H$3),0)</f>
        <v>0</v>
      </c>
      <c r="U73" s="68">
        <f t="shared" si="13"/>
        <v>0</v>
      </c>
      <c r="V73" s="67">
        <f>IFERROR(SUMIF(血液浄化装置!$C$30:$C$74,B73,血液浄化装置!$K$30:$K$74)*((血液浄化装置!$H$3-血液浄化装置!$I$3)/血液浄化装置!$H$3),0)</f>
        <v>0</v>
      </c>
      <c r="W73" s="68">
        <f t="shared" si="14"/>
        <v>0</v>
      </c>
      <c r="X73" s="67">
        <f>IFERROR(SUMIF(気管支鏡!$C$30:$C$74,B73,気管支鏡!$K$30:$K$74)*((気管支鏡!$H$3-気管支鏡!$I$3)/気管支鏡!$H$3),0)</f>
        <v>0</v>
      </c>
      <c r="Y73" s="68">
        <f t="shared" si="0"/>
        <v>0</v>
      </c>
      <c r="Z73" s="67">
        <f>IFERROR(SUMIF(CT撮影装置!$C$30:$C$74,B73,CT撮影装置!$K$30:$K$74)*((CT撮影装置!$H$3-CT撮影装置!$I$3)/CT撮影装置!$H$3),0)</f>
        <v>0</v>
      </c>
      <c r="AA73" s="68">
        <f t="shared" si="15"/>
        <v>0</v>
      </c>
      <c r="AB73" s="67">
        <f>IFERROR(SUMIF(生体情報モニタ!$C$30:$C$74,B73,生体情報モニタ!$K$30:$K$74)*((生体情報モニタ!$H$3-生体情報モニタ!$I$3)/生体情報モニタ!$H$3),0)</f>
        <v>0</v>
      </c>
      <c r="AC73" s="68">
        <f t="shared" si="1"/>
        <v>0</v>
      </c>
      <c r="AD73" s="67">
        <f>IFERROR(SUMIF(分娩監視装置!$C$30:$C$74,B73,分娩監視装置!$K$30:$K$74)*((分娩監視装置!$H$3-分娩監視装置!$I$3)/分娩監視装置!$H$3),0)</f>
        <v>0</v>
      </c>
      <c r="AE73" s="68">
        <f t="shared" si="16"/>
        <v>0</v>
      </c>
      <c r="AF73" s="67">
        <f>IFERROR(SUMIF(新生児モニタ!$C$30:$C$74,B73,新生児モニタ!$K$30:$K$74)*((新生児モニタ!$H$3-新生児モニタ!$I$3)/新生児モニタ!$H$3),0)</f>
        <v>0</v>
      </c>
      <c r="AG73" s="68">
        <f t="shared" si="17"/>
        <v>0</v>
      </c>
    </row>
    <row r="74" spans="2:33">
      <c r="B74" s="64" t="s">
        <v>721</v>
      </c>
      <c r="C74" s="67">
        <f>IFERROR(SUMIF(初度設備!$C$30:$C$74,B74,初度設備!$N$30:$N$74)*((初度設備!$H$3-初度設備!$I$3)/初度設備!$H$3),0)</f>
        <v>0</v>
      </c>
      <c r="D74" s="68">
        <f t="shared" si="2"/>
        <v>0</v>
      </c>
      <c r="E74" s="67">
        <f>IFERROR(SUMIF(人工呼吸器!$C$30:$C$74,B74,人工呼吸器!$N$30:$N$74)*((人工呼吸器!$H$3-人工呼吸器!$I$3)/人工呼吸器!$H$3),0)</f>
        <v>0</v>
      </c>
      <c r="F74" s="68">
        <f t="shared" si="3"/>
        <v>0</v>
      </c>
      <c r="G74" s="68">
        <f t="shared" si="4"/>
        <v>0</v>
      </c>
      <c r="H74" s="68">
        <f t="shared" si="5"/>
        <v>0</v>
      </c>
      <c r="I74" s="67">
        <f>IFERROR(SUMIF(簡易陰圧装置!$C$30:$C$74,B74,簡易陰圧装置!$N$30:$N$74)*((簡易陰圧装置!$H$3-簡易陰圧装置!$I$3)/簡易陰圧装置!$H$3),0)</f>
        <v>0</v>
      </c>
      <c r="J74" s="68">
        <f t="shared" si="6"/>
        <v>0</v>
      </c>
      <c r="K74" s="67">
        <f>IFERROR(SUMIF(#REF!,B74,#REF!)*((#REF!-#REF!)/#REF!),0)</f>
        <v>0</v>
      </c>
      <c r="L74" s="68">
        <f t="shared" si="7"/>
        <v>0</v>
      </c>
      <c r="M74" s="67">
        <f>IFERROR(SUMIF(体外式膜型人工肺!$C$30:$C$74,B74,体外式膜型人工肺!$N$30:$N$74)*((体外式膜型人工肺!$H$3-体外式膜型人工肺!$I$3)/体外式膜型人工肺!$H$3),0)</f>
        <v>0</v>
      </c>
      <c r="N74" s="68">
        <f t="shared" si="8"/>
        <v>0</v>
      </c>
      <c r="O74" s="68">
        <f t="shared" si="9"/>
        <v>0</v>
      </c>
      <c r="P74" s="68">
        <f t="shared" si="10"/>
        <v>0</v>
      </c>
      <c r="Q74" s="67">
        <f>IFERROR(SUMIF(紫外線照射装置!$C$30:$C$74,B74,紫外線照射装置!$N$30:$N$74)*((紫外線照射装置!$H$3-紫外線照射装置!$I$3)/紫外線照射装置!$H$3),0)</f>
        <v>0</v>
      </c>
      <c r="R74" s="68">
        <f t="shared" si="11"/>
        <v>0</v>
      </c>
      <c r="S74" s="101">
        <f t="shared" si="12"/>
        <v>0</v>
      </c>
      <c r="T74" s="67">
        <f>IFERROR(SUMIF(超音波画像診断装置!$C$30:$C$74,B74,超音波画像診断装置!$K$30:$K$74)*((超音波画像診断装置!$H$3-超音波画像診断装置!$I$3)/超音波画像診断装置!$H$3),0)</f>
        <v>0</v>
      </c>
      <c r="U74" s="68">
        <f t="shared" si="13"/>
        <v>0</v>
      </c>
      <c r="V74" s="67">
        <f>IFERROR(SUMIF(血液浄化装置!$C$30:$C$74,B74,血液浄化装置!$K$30:$K$74)*((血液浄化装置!$H$3-血液浄化装置!$I$3)/血液浄化装置!$H$3),0)</f>
        <v>0</v>
      </c>
      <c r="W74" s="68">
        <f t="shared" si="14"/>
        <v>0</v>
      </c>
      <c r="X74" s="67">
        <f>IFERROR(SUMIF(気管支鏡!$C$30:$C$74,B74,気管支鏡!$K$30:$K$74)*((気管支鏡!$H$3-気管支鏡!$I$3)/気管支鏡!$H$3),0)</f>
        <v>0</v>
      </c>
      <c r="Y74" s="68">
        <f t="shared" si="0"/>
        <v>0</v>
      </c>
      <c r="Z74" s="67">
        <f>IFERROR(SUMIF(CT撮影装置!$C$30:$C$74,B74,CT撮影装置!$K$30:$K$74)*((CT撮影装置!$H$3-CT撮影装置!$I$3)/CT撮影装置!$H$3),0)</f>
        <v>0</v>
      </c>
      <c r="AA74" s="68">
        <f t="shared" si="15"/>
        <v>0</v>
      </c>
      <c r="AB74" s="67">
        <f>IFERROR(SUMIF(生体情報モニタ!$C$30:$C$74,B74,生体情報モニタ!$K$30:$K$74)*((生体情報モニタ!$H$3-生体情報モニタ!$I$3)/生体情報モニタ!$H$3),0)</f>
        <v>0</v>
      </c>
      <c r="AC74" s="68">
        <f t="shared" si="1"/>
        <v>0</v>
      </c>
      <c r="AD74" s="67">
        <f>IFERROR(SUMIF(分娩監視装置!$C$30:$C$74,B74,分娩監視装置!$K$30:$K$74)*((分娩監視装置!$H$3-分娩監視装置!$I$3)/分娩監視装置!$H$3),0)</f>
        <v>0</v>
      </c>
      <c r="AE74" s="68">
        <f t="shared" si="16"/>
        <v>0</v>
      </c>
      <c r="AF74" s="67">
        <f>IFERROR(SUMIF(新生児モニタ!$C$30:$C$74,B74,新生児モニタ!$K$30:$K$74)*((新生児モニタ!$H$3-新生児モニタ!$I$3)/新生児モニタ!$H$3),0)</f>
        <v>0</v>
      </c>
      <c r="AG74" s="68">
        <f t="shared" si="17"/>
        <v>0</v>
      </c>
    </row>
    <row r="75" spans="2:33">
      <c r="B75" s="64" t="s">
        <v>722</v>
      </c>
      <c r="C75" s="67">
        <f>IFERROR(SUMIF(初度設備!$C$30:$C$74,B75,初度設備!$N$30:$N$74)*((初度設備!$H$3-初度設備!$I$3)/初度設備!$H$3),0)</f>
        <v>0</v>
      </c>
      <c r="D75" s="68">
        <f t="shared" si="2"/>
        <v>0</v>
      </c>
      <c r="E75" s="67">
        <f>IFERROR(SUMIF(人工呼吸器!$C$30:$C$74,B75,人工呼吸器!$N$30:$N$74)*((人工呼吸器!$H$3-人工呼吸器!$I$3)/人工呼吸器!$H$3),0)</f>
        <v>0</v>
      </c>
      <c r="F75" s="68">
        <f t="shared" si="3"/>
        <v>0</v>
      </c>
      <c r="G75" s="68">
        <f t="shared" si="4"/>
        <v>0</v>
      </c>
      <c r="H75" s="68">
        <f t="shared" si="5"/>
        <v>0</v>
      </c>
      <c r="I75" s="67">
        <f>IFERROR(SUMIF(簡易陰圧装置!$C$30:$C$74,B75,簡易陰圧装置!$N$30:$N$74)*((簡易陰圧装置!$H$3-簡易陰圧装置!$I$3)/簡易陰圧装置!$H$3),0)</f>
        <v>0</v>
      </c>
      <c r="J75" s="68">
        <f t="shared" si="6"/>
        <v>0</v>
      </c>
      <c r="K75" s="67">
        <f>IFERROR(SUMIF(#REF!,B75,#REF!)*((#REF!-#REF!)/#REF!),0)</f>
        <v>0</v>
      </c>
      <c r="L75" s="68">
        <f t="shared" si="7"/>
        <v>0</v>
      </c>
      <c r="M75" s="67">
        <f>IFERROR(SUMIF(体外式膜型人工肺!$C$30:$C$74,B75,体外式膜型人工肺!$N$30:$N$74)*((体外式膜型人工肺!$H$3-体外式膜型人工肺!$I$3)/体外式膜型人工肺!$H$3),0)</f>
        <v>0</v>
      </c>
      <c r="N75" s="68">
        <f t="shared" si="8"/>
        <v>0</v>
      </c>
      <c r="O75" s="68">
        <f t="shared" si="9"/>
        <v>0</v>
      </c>
      <c r="P75" s="68">
        <f t="shared" si="10"/>
        <v>0</v>
      </c>
      <c r="Q75" s="67">
        <f>IFERROR(SUMIF(紫外線照射装置!$C$30:$C$74,B75,紫外線照射装置!$N$30:$N$74)*((紫外線照射装置!$H$3-紫外線照射装置!$I$3)/紫外線照射装置!$H$3),0)</f>
        <v>0</v>
      </c>
      <c r="R75" s="68">
        <f t="shared" si="11"/>
        <v>0</v>
      </c>
      <c r="S75" s="101">
        <f t="shared" si="12"/>
        <v>0</v>
      </c>
      <c r="T75" s="67">
        <f>IFERROR(SUMIF(超音波画像診断装置!$C$30:$C$74,B75,超音波画像診断装置!$K$30:$K$74)*((超音波画像診断装置!$H$3-超音波画像診断装置!$I$3)/超音波画像診断装置!$H$3),0)</f>
        <v>0</v>
      </c>
      <c r="U75" s="68">
        <f t="shared" si="13"/>
        <v>0</v>
      </c>
      <c r="V75" s="67">
        <f>IFERROR(SUMIF(血液浄化装置!$C$30:$C$74,B75,血液浄化装置!$K$30:$K$74)*((血液浄化装置!$H$3-血液浄化装置!$I$3)/血液浄化装置!$H$3),0)</f>
        <v>0</v>
      </c>
      <c r="W75" s="68">
        <f t="shared" si="14"/>
        <v>0</v>
      </c>
      <c r="X75" s="67">
        <f>IFERROR(SUMIF(気管支鏡!$C$30:$C$74,B75,気管支鏡!$K$30:$K$74)*((気管支鏡!$H$3-気管支鏡!$I$3)/気管支鏡!$H$3),0)</f>
        <v>0</v>
      </c>
      <c r="Y75" s="68">
        <f t="shared" si="0"/>
        <v>0</v>
      </c>
      <c r="Z75" s="67">
        <f>IFERROR(SUMIF(CT撮影装置!$C$30:$C$74,B75,CT撮影装置!$K$30:$K$74)*((CT撮影装置!$H$3-CT撮影装置!$I$3)/CT撮影装置!$H$3),0)</f>
        <v>0</v>
      </c>
      <c r="AA75" s="68">
        <f t="shared" si="15"/>
        <v>0</v>
      </c>
      <c r="AB75" s="67">
        <f>IFERROR(SUMIF(生体情報モニタ!$C$30:$C$74,B75,生体情報モニタ!$K$30:$K$74)*((生体情報モニタ!$H$3-生体情報モニタ!$I$3)/生体情報モニタ!$H$3),0)</f>
        <v>0</v>
      </c>
      <c r="AC75" s="68">
        <f t="shared" si="1"/>
        <v>0</v>
      </c>
      <c r="AD75" s="67">
        <f>IFERROR(SUMIF(分娩監視装置!$C$30:$C$74,B75,分娩監視装置!$K$30:$K$74)*((分娩監視装置!$H$3-分娩監視装置!$I$3)/分娩監視装置!$H$3),0)</f>
        <v>0</v>
      </c>
      <c r="AE75" s="68">
        <f t="shared" si="16"/>
        <v>0</v>
      </c>
      <c r="AF75" s="67">
        <f>IFERROR(SUMIF(新生児モニタ!$C$30:$C$74,B75,新生児モニタ!$K$30:$K$74)*((新生児モニタ!$H$3-新生児モニタ!$I$3)/新生児モニタ!$H$3),0)</f>
        <v>0</v>
      </c>
      <c r="AG75" s="68">
        <f t="shared" si="17"/>
        <v>0</v>
      </c>
    </row>
    <row r="76" spans="2:33">
      <c r="B76" s="64" t="s">
        <v>723</v>
      </c>
      <c r="C76" s="67">
        <f>IFERROR(SUMIF(初度設備!$C$30:$C$74,B76,初度設備!$N$30:$N$74)*((初度設備!$H$3-初度設備!$I$3)/初度設備!$H$3),0)</f>
        <v>0</v>
      </c>
      <c r="D76" s="68">
        <f t="shared" si="2"/>
        <v>0</v>
      </c>
      <c r="E76" s="67">
        <f>IFERROR(SUMIF(人工呼吸器!$C$30:$C$74,B76,人工呼吸器!$N$30:$N$74)*((人工呼吸器!$H$3-人工呼吸器!$I$3)/人工呼吸器!$H$3),0)</f>
        <v>0</v>
      </c>
      <c r="F76" s="68">
        <f t="shared" si="3"/>
        <v>0</v>
      </c>
      <c r="G76" s="68">
        <f t="shared" si="4"/>
        <v>0</v>
      </c>
      <c r="H76" s="68">
        <f t="shared" si="5"/>
        <v>0</v>
      </c>
      <c r="I76" s="67">
        <f>IFERROR(SUMIF(簡易陰圧装置!$C$30:$C$74,B76,簡易陰圧装置!$N$30:$N$74)*((簡易陰圧装置!$H$3-簡易陰圧装置!$I$3)/簡易陰圧装置!$H$3),0)</f>
        <v>0</v>
      </c>
      <c r="J76" s="68">
        <f t="shared" si="6"/>
        <v>0</v>
      </c>
      <c r="K76" s="67">
        <f>IFERROR(SUMIF(#REF!,B76,#REF!)*((#REF!-#REF!)/#REF!),0)</f>
        <v>0</v>
      </c>
      <c r="L76" s="68">
        <f t="shared" si="7"/>
        <v>0</v>
      </c>
      <c r="M76" s="67">
        <f>IFERROR(SUMIF(体外式膜型人工肺!$C$30:$C$74,B76,体外式膜型人工肺!$N$30:$N$74)*((体外式膜型人工肺!$H$3-体外式膜型人工肺!$I$3)/体外式膜型人工肺!$H$3),0)</f>
        <v>0</v>
      </c>
      <c r="N76" s="68">
        <f t="shared" si="8"/>
        <v>0</v>
      </c>
      <c r="O76" s="68">
        <f t="shared" si="9"/>
        <v>0</v>
      </c>
      <c r="P76" s="68">
        <f t="shared" si="10"/>
        <v>0</v>
      </c>
      <c r="Q76" s="67">
        <f>IFERROR(SUMIF(紫外線照射装置!$C$30:$C$74,B76,紫外線照射装置!$N$30:$N$74)*((紫外線照射装置!$H$3-紫外線照射装置!$I$3)/紫外線照射装置!$H$3),0)</f>
        <v>0</v>
      </c>
      <c r="R76" s="68">
        <f t="shared" si="11"/>
        <v>0</v>
      </c>
      <c r="S76" s="101">
        <f t="shared" si="12"/>
        <v>0</v>
      </c>
      <c r="T76" s="67">
        <f>IFERROR(SUMIF(超音波画像診断装置!$C$30:$C$74,B76,超音波画像診断装置!$K$30:$K$74)*((超音波画像診断装置!$H$3-超音波画像診断装置!$I$3)/超音波画像診断装置!$H$3),0)</f>
        <v>0</v>
      </c>
      <c r="U76" s="68">
        <f t="shared" si="13"/>
        <v>0</v>
      </c>
      <c r="V76" s="67">
        <f>IFERROR(SUMIF(血液浄化装置!$C$30:$C$74,B76,血液浄化装置!$K$30:$K$74)*((血液浄化装置!$H$3-血液浄化装置!$I$3)/血液浄化装置!$H$3),0)</f>
        <v>0</v>
      </c>
      <c r="W76" s="68">
        <f t="shared" si="14"/>
        <v>0</v>
      </c>
      <c r="X76" s="67">
        <f>IFERROR(SUMIF(気管支鏡!$C$30:$C$74,B76,気管支鏡!$K$30:$K$74)*((気管支鏡!$H$3-気管支鏡!$I$3)/気管支鏡!$H$3),0)</f>
        <v>0</v>
      </c>
      <c r="Y76" s="68">
        <f t="shared" si="0"/>
        <v>0</v>
      </c>
      <c r="Z76" s="67">
        <f>IFERROR(SUMIF(CT撮影装置!$C$30:$C$74,B76,CT撮影装置!$K$30:$K$74)*((CT撮影装置!$H$3-CT撮影装置!$I$3)/CT撮影装置!$H$3),0)</f>
        <v>0</v>
      </c>
      <c r="AA76" s="68">
        <f t="shared" si="15"/>
        <v>0</v>
      </c>
      <c r="AB76" s="67">
        <f>IFERROR(SUMIF(生体情報モニタ!$C$30:$C$74,B76,生体情報モニタ!$K$30:$K$74)*((生体情報モニタ!$H$3-生体情報モニタ!$I$3)/生体情報モニタ!$H$3),0)</f>
        <v>0</v>
      </c>
      <c r="AC76" s="68">
        <f t="shared" si="1"/>
        <v>0</v>
      </c>
      <c r="AD76" s="67">
        <f>IFERROR(SUMIF(分娩監視装置!$C$30:$C$74,B76,分娩監視装置!$K$30:$K$74)*((分娩監視装置!$H$3-分娩監視装置!$I$3)/分娩監視装置!$H$3),0)</f>
        <v>0</v>
      </c>
      <c r="AE76" s="68">
        <f t="shared" si="16"/>
        <v>0</v>
      </c>
      <c r="AF76" s="67">
        <f>IFERROR(SUMIF(新生児モニタ!$C$30:$C$74,B76,新生児モニタ!$K$30:$K$74)*((新生児モニタ!$H$3-新生児モニタ!$I$3)/新生児モニタ!$H$3),0)</f>
        <v>0</v>
      </c>
      <c r="AG76" s="68">
        <f t="shared" si="17"/>
        <v>0</v>
      </c>
    </row>
    <row r="77" spans="2:33">
      <c r="B77" s="64" t="s">
        <v>724</v>
      </c>
      <c r="C77" s="67">
        <f>IFERROR(SUMIF(初度設備!$C$30:$C$74,B77,初度設備!$N$30:$N$74)*((初度設備!$H$3-初度設備!$I$3)/初度設備!$H$3),0)</f>
        <v>0</v>
      </c>
      <c r="D77" s="68">
        <f t="shared" si="2"/>
        <v>0</v>
      </c>
      <c r="E77" s="67">
        <f>IFERROR(SUMIF(人工呼吸器!$C$30:$C$74,B77,人工呼吸器!$N$30:$N$74)*((人工呼吸器!$H$3-人工呼吸器!$I$3)/人工呼吸器!$H$3),0)</f>
        <v>0</v>
      </c>
      <c r="F77" s="68">
        <f t="shared" si="3"/>
        <v>0</v>
      </c>
      <c r="G77" s="68">
        <f t="shared" si="4"/>
        <v>0</v>
      </c>
      <c r="H77" s="68">
        <f t="shared" si="5"/>
        <v>0</v>
      </c>
      <c r="I77" s="67">
        <f>IFERROR(SUMIF(簡易陰圧装置!$C$30:$C$74,B77,簡易陰圧装置!$N$30:$N$74)*((簡易陰圧装置!$H$3-簡易陰圧装置!$I$3)/簡易陰圧装置!$H$3),0)</f>
        <v>0</v>
      </c>
      <c r="J77" s="68">
        <f t="shared" si="6"/>
        <v>0</v>
      </c>
      <c r="K77" s="67">
        <f>IFERROR(SUMIF(#REF!,B77,#REF!)*((#REF!-#REF!)/#REF!),0)</f>
        <v>0</v>
      </c>
      <c r="L77" s="68">
        <f t="shared" si="7"/>
        <v>0</v>
      </c>
      <c r="M77" s="67">
        <f>IFERROR(SUMIF(体外式膜型人工肺!$C$30:$C$74,B77,体外式膜型人工肺!$N$30:$N$74)*((体外式膜型人工肺!$H$3-体外式膜型人工肺!$I$3)/体外式膜型人工肺!$H$3),0)</f>
        <v>0</v>
      </c>
      <c r="N77" s="68">
        <f t="shared" si="8"/>
        <v>0</v>
      </c>
      <c r="O77" s="68">
        <f t="shared" si="9"/>
        <v>0</v>
      </c>
      <c r="P77" s="68">
        <f t="shared" si="10"/>
        <v>0</v>
      </c>
      <c r="Q77" s="67">
        <f>IFERROR(SUMIF(紫外線照射装置!$C$30:$C$74,B77,紫外線照射装置!$N$30:$N$74)*((紫外線照射装置!$H$3-紫外線照射装置!$I$3)/紫外線照射装置!$H$3),0)</f>
        <v>0</v>
      </c>
      <c r="R77" s="68">
        <f t="shared" si="11"/>
        <v>0</v>
      </c>
      <c r="S77" s="101">
        <f t="shared" si="12"/>
        <v>0</v>
      </c>
      <c r="T77" s="67">
        <f>IFERROR(SUMIF(超音波画像診断装置!$C$30:$C$74,B77,超音波画像診断装置!$K$30:$K$74)*((超音波画像診断装置!$H$3-超音波画像診断装置!$I$3)/超音波画像診断装置!$H$3),0)</f>
        <v>0</v>
      </c>
      <c r="U77" s="68">
        <f t="shared" si="13"/>
        <v>0</v>
      </c>
      <c r="V77" s="67">
        <f>IFERROR(SUMIF(血液浄化装置!$C$30:$C$74,B77,血液浄化装置!$K$30:$K$74)*((血液浄化装置!$H$3-血液浄化装置!$I$3)/血液浄化装置!$H$3),0)</f>
        <v>0</v>
      </c>
      <c r="W77" s="68">
        <f t="shared" si="14"/>
        <v>0</v>
      </c>
      <c r="X77" s="67">
        <f>IFERROR(SUMIF(気管支鏡!$C$30:$C$74,B77,気管支鏡!$K$30:$K$74)*((気管支鏡!$H$3-気管支鏡!$I$3)/気管支鏡!$H$3),0)</f>
        <v>0</v>
      </c>
      <c r="Y77" s="68">
        <f t="shared" si="0"/>
        <v>0</v>
      </c>
      <c r="Z77" s="67">
        <f>IFERROR(SUMIF(CT撮影装置!$C$30:$C$74,B77,CT撮影装置!$K$30:$K$74)*((CT撮影装置!$H$3-CT撮影装置!$I$3)/CT撮影装置!$H$3),0)</f>
        <v>0</v>
      </c>
      <c r="AA77" s="68">
        <f t="shared" si="15"/>
        <v>0</v>
      </c>
      <c r="AB77" s="67">
        <f>IFERROR(SUMIF(生体情報モニタ!$C$30:$C$74,B77,生体情報モニタ!$K$30:$K$74)*((生体情報モニタ!$H$3-生体情報モニタ!$I$3)/生体情報モニタ!$H$3),0)</f>
        <v>0</v>
      </c>
      <c r="AC77" s="68">
        <f t="shared" si="1"/>
        <v>0</v>
      </c>
      <c r="AD77" s="67">
        <f>IFERROR(SUMIF(分娩監視装置!$C$30:$C$74,B77,分娩監視装置!$K$30:$K$74)*((分娩監視装置!$H$3-分娩監視装置!$I$3)/分娩監視装置!$H$3),0)</f>
        <v>0</v>
      </c>
      <c r="AE77" s="68">
        <f t="shared" si="16"/>
        <v>0</v>
      </c>
      <c r="AF77" s="67">
        <f>IFERROR(SUMIF(新生児モニタ!$C$30:$C$74,B77,新生児モニタ!$K$30:$K$74)*((新生児モニタ!$H$3-新生児モニタ!$I$3)/新生児モニタ!$H$3),0)</f>
        <v>0</v>
      </c>
      <c r="AG77" s="68">
        <f t="shared" si="17"/>
        <v>0</v>
      </c>
    </row>
    <row r="78" spans="2:33">
      <c r="B78" s="64" t="s">
        <v>725</v>
      </c>
      <c r="C78" s="67">
        <f>IFERROR(SUMIF(初度設備!$C$30:$C$74,B78,初度設備!$N$30:$N$74)*((初度設備!$H$3-初度設備!$I$3)/初度設備!$H$3),0)</f>
        <v>0</v>
      </c>
      <c r="D78" s="68">
        <f t="shared" si="2"/>
        <v>0</v>
      </c>
      <c r="E78" s="67">
        <f>IFERROR(SUMIF(人工呼吸器!$C$30:$C$74,B78,人工呼吸器!$N$30:$N$74)*((人工呼吸器!$H$3-人工呼吸器!$I$3)/人工呼吸器!$H$3),0)</f>
        <v>0</v>
      </c>
      <c r="F78" s="68">
        <f t="shared" si="3"/>
        <v>0</v>
      </c>
      <c r="G78" s="68">
        <f t="shared" si="4"/>
        <v>0</v>
      </c>
      <c r="H78" s="68">
        <f t="shared" si="5"/>
        <v>0</v>
      </c>
      <c r="I78" s="67">
        <f>IFERROR(SUMIF(簡易陰圧装置!$C$30:$C$74,B78,簡易陰圧装置!$N$30:$N$74)*((簡易陰圧装置!$H$3-簡易陰圧装置!$I$3)/簡易陰圧装置!$H$3),0)</f>
        <v>0</v>
      </c>
      <c r="J78" s="68">
        <f t="shared" si="6"/>
        <v>0</v>
      </c>
      <c r="K78" s="67">
        <f>IFERROR(SUMIF(#REF!,B78,#REF!)*((#REF!-#REF!)/#REF!),0)</f>
        <v>0</v>
      </c>
      <c r="L78" s="68">
        <f t="shared" si="7"/>
        <v>0</v>
      </c>
      <c r="M78" s="67">
        <f>IFERROR(SUMIF(体外式膜型人工肺!$C$30:$C$74,B78,体外式膜型人工肺!$N$30:$N$74)*((体外式膜型人工肺!$H$3-体外式膜型人工肺!$I$3)/体外式膜型人工肺!$H$3),0)</f>
        <v>0</v>
      </c>
      <c r="N78" s="68">
        <f t="shared" si="8"/>
        <v>0</v>
      </c>
      <c r="O78" s="68">
        <f t="shared" si="9"/>
        <v>0</v>
      </c>
      <c r="P78" s="68">
        <f t="shared" si="10"/>
        <v>0</v>
      </c>
      <c r="Q78" s="67">
        <f>IFERROR(SUMIF(紫外線照射装置!$C$30:$C$74,B78,紫外線照射装置!$N$30:$N$74)*((紫外線照射装置!$H$3-紫外線照射装置!$I$3)/紫外線照射装置!$H$3),0)</f>
        <v>0</v>
      </c>
      <c r="R78" s="68">
        <f t="shared" si="11"/>
        <v>0</v>
      </c>
      <c r="S78" s="101">
        <f t="shared" si="12"/>
        <v>0</v>
      </c>
      <c r="T78" s="67">
        <f>IFERROR(SUMIF(超音波画像診断装置!$C$30:$C$74,B78,超音波画像診断装置!$K$30:$K$74)*((超音波画像診断装置!$H$3-超音波画像診断装置!$I$3)/超音波画像診断装置!$H$3),0)</f>
        <v>0</v>
      </c>
      <c r="U78" s="68">
        <f t="shared" si="13"/>
        <v>0</v>
      </c>
      <c r="V78" s="67">
        <f>IFERROR(SUMIF(血液浄化装置!$C$30:$C$74,B78,血液浄化装置!$K$30:$K$74)*((血液浄化装置!$H$3-血液浄化装置!$I$3)/血液浄化装置!$H$3),0)</f>
        <v>0</v>
      </c>
      <c r="W78" s="68">
        <f t="shared" si="14"/>
        <v>0</v>
      </c>
      <c r="X78" s="67">
        <f>IFERROR(SUMIF(気管支鏡!$C$30:$C$74,B78,気管支鏡!$K$30:$K$74)*((気管支鏡!$H$3-気管支鏡!$I$3)/気管支鏡!$H$3),0)</f>
        <v>0</v>
      </c>
      <c r="Y78" s="68">
        <f t="shared" si="0"/>
        <v>0</v>
      </c>
      <c r="Z78" s="67">
        <f>IFERROR(SUMIF(CT撮影装置!$C$30:$C$74,B78,CT撮影装置!$K$30:$K$74)*((CT撮影装置!$H$3-CT撮影装置!$I$3)/CT撮影装置!$H$3),0)</f>
        <v>0</v>
      </c>
      <c r="AA78" s="68">
        <f t="shared" si="15"/>
        <v>0</v>
      </c>
      <c r="AB78" s="67">
        <f>IFERROR(SUMIF(生体情報モニタ!$C$30:$C$74,B78,生体情報モニタ!$K$30:$K$74)*((生体情報モニタ!$H$3-生体情報モニタ!$I$3)/生体情報モニタ!$H$3),0)</f>
        <v>0</v>
      </c>
      <c r="AC78" s="68">
        <f t="shared" si="1"/>
        <v>0</v>
      </c>
      <c r="AD78" s="67">
        <f>IFERROR(SUMIF(分娩監視装置!$C$30:$C$74,B78,分娩監視装置!$K$30:$K$74)*((分娩監視装置!$H$3-分娩監視装置!$I$3)/分娩監視装置!$H$3),0)</f>
        <v>0</v>
      </c>
      <c r="AE78" s="68">
        <f t="shared" si="16"/>
        <v>0</v>
      </c>
      <c r="AF78" s="67">
        <f>IFERROR(SUMIF(新生児モニタ!$C$30:$C$74,B78,新生児モニタ!$K$30:$K$74)*((新生児モニタ!$H$3-新生児モニタ!$I$3)/新生児モニタ!$H$3),0)</f>
        <v>0</v>
      </c>
      <c r="AG78" s="68">
        <f t="shared" si="17"/>
        <v>0</v>
      </c>
    </row>
    <row r="79" spans="2:33">
      <c r="B79" s="64" t="s">
        <v>726</v>
      </c>
      <c r="C79" s="67">
        <f>IFERROR(SUMIF(初度設備!$C$30:$C$74,B79,初度設備!$N$30:$N$74)*((初度設備!$H$3-初度設備!$I$3)/初度設備!$H$3),0)</f>
        <v>0</v>
      </c>
      <c r="D79" s="68">
        <f t="shared" si="2"/>
        <v>0</v>
      </c>
      <c r="E79" s="67">
        <f>IFERROR(SUMIF(人工呼吸器!$C$30:$C$74,B79,人工呼吸器!$N$30:$N$74)*((人工呼吸器!$H$3-人工呼吸器!$I$3)/人工呼吸器!$H$3),0)</f>
        <v>0</v>
      </c>
      <c r="F79" s="68">
        <f t="shared" si="3"/>
        <v>0</v>
      </c>
      <c r="G79" s="68">
        <f t="shared" si="4"/>
        <v>0</v>
      </c>
      <c r="H79" s="68">
        <f t="shared" si="5"/>
        <v>0</v>
      </c>
      <c r="I79" s="67">
        <f>IFERROR(SUMIF(簡易陰圧装置!$C$30:$C$74,B79,簡易陰圧装置!$N$30:$N$74)*((簡易陰圧装置!$H$3-簡易陰圧装置!$I$3)/簡易陰圧装置!$H$3),0)</f>
        <v>0</v>
      </c>
      <c r="J79" s="68">
        <f t="shared" si="6"/>
        <v>0</v>
      </c>
      <c r="K79" s="67">
        <f>IFERROR(SUMIF(#REF!,B79,#REF!)*((#REF!-#REF!)/#REF!),0)</f>
        <v>0</v>
      </c>
      <c r="L79" s="68">
        <f t="shared" si="7"/>
        <v>0</v>
      </c>
      <c r="M79" s="67">
        <f>IFERROR(SUMIF(体外式膜型人工肺!$C$30:$C$74,B79,体外式膜型人工肺!$N$30:$N$74)*((体外式膜型人工肺!$H$3-体外式膜型人工肺!$I$3)/体外式膜型人工肺!$H$3),0)</f>
        <v>0</v>
      </c>
      <c r="N79" s="68">
        <f t="shared" si="8"/>
        <v>0</v>
      </c>
      <c r="O79" s="68">
        <f t="shared" si="9"/>
        <v>0</v>
      </c>
      <c r="P79" s="68">
        <f t="shared" si="10"/>
        <v>0</v>
      </c>
      <c r="Q79" s="67">
        <f>IFERROR(SUMIF(紫外線照射装置!$C$30:$C$74,B79,紫外線照射装置!$N$30:$N$74)*((紫外線照射装置!$H$3-紫外線照射装置!$I$3)/紫外線照射装置!$H$3),0)</f>
        <v>0</v>
      </c>
      <c r="R79" s="68">
        <f t="shared" si="11"/>
        <v>0</v>
      </c>
      <c r="S79" s="101">
        <f t="shared" si="12"/>
        <v>0</v>
      </c>
      <c r="T79" s="67">
        <f>IFERROR(SUMIF(超音波画像診断装置!$C$30:$C$74,B79,超音波画像診断装置!$K$30:$K$74)*((超音波画像診断装置!$H$3-超音波画像診断装置!$I$3)/超音波画像診断装置!$H$3),0)</f>
        <v>0</v>
      </c>
      <c r="U79" s="68">
        <f t="shared" si="13"/>
        <v>0</v>
      </c>
      <c r="V79" s="67">
        <f>IFERROR(SUMIF(血液浄化装置!$C$30:$C$74,B79,血液浄化装置!$K$30:$K$74)*((血液浄化装置!$H$3-血液浄化装置!$I$3)/血液浄化装置!$H$3),0)</f>
        <v>0</v>
      </c>
      <c r="W79" s="68">
        <f t="shared" si="14"/>
        <v>0</v>
      </c>
      <c r="X79" s="67">
        <f>IFERROR(SUMIF(気管支鏡!$C$30:$C$74,B79,気管支鏡!$K$30:$K$74)*((気管支鏡!$H$3-気管支鏡!$I$3)/気管支鏡!$H$3),0)</f>
        <v>0</v>
      </c>
      <c r="Y79" s="68">
        <f t="shared" si="0"/>
        <v>0</v>
      </c>
      <c r="Z79" s="67">
        <f>IFERROR(SUMIF(CT撮影装置!$C$30:$C$74,B79,CT撮影装置!$K$30:$K$74)*((CT撮影装置!$H$3-CT撮影装置!$I$3)/CT撮影装置!$H$3),0)</f>
        <v>0</v>
      </c>
      <c r="AA79" s="68">
        <f t="shared" si="15"/>
        <v>0</v>
      </c>
      <c r="AB79" s="67">
        <f>IFERROR(SUMIF(生体情報モニタ!$C$30:$C$74,B79,生体情報モニタ!$K$30:$K$74)*((生体情報モニタ!$H$3-生体情報モニタ!$I$3)/生体情報モニタ!$H$3),0)</f>
        <v>0</v>
      </c>
      <c r="AC79" s="68">
        <f t="shared" si="1"/>
        <v>0</v>
      </c>
      <c r="AD79" s="67">
        <f>IFERROR(SUMIF(分娩監視装置!$C$30:$C$74,B79,分娩監視装置!$K$30:$K$74)*((分娩監視装置!$H$3-分娩監視装置!$I$3)/分娩監視装置!$H$3),0)</f>
        <v>0</v>
      </c>
      <c r="AE79" s="68">
        <f t="shared" si="16"/>
        <v>0</v>
      </c>
      <c r="AF79" s="67">
        <f>IFERROR(SUMIF(新生児モニタ!$C$30:$C$74,B79,新生児モニタ!$K$30:$K$74)*((新生児モニタ!$H$3-新生児モニタ!$I$3)/新生児モニタ!$H$3),0)</f>
        <v>0</v>
      </c>
      <c r="AG79" s="68">
        <f t="shared" si="17"/>
        <v>0</v>
      </c>
    </row>
    <row r="80" spans="2:33">
      <c r="B80" s="64" t="s">
        <v>727</v>
      </c>
      <c r="C80" s="67">
        <f>IFERROR(SUMIF(初度設備!$C$30:$C$74,B80,初度設備!$N$30:$N$74)*((初度設備!$H$3-初度設備!$I$3)/初度設備!$H$3),0)</f>
        <v>0</v>
      </c>
      <c r="D80" s="68">
        <f t="shared" si="2"/>
        <v>0</v>
      </c>
      <c r="E80" s="67">
        <f>IFERROR(SUMIF(人工呼吸器!$C$30:$C$74,B80,人工呼吸器!$N$30:$N$74)*((人工呼吸器!$H$3-人工呼吸器!$I$3)/人工呼吸器!$H$3),0)</f>
        <v>0</v>
      </c>
      <c r="F80" s="68">
        <f t="shared" si="3"/>
        <v>0</v>
      </c>
      <c r="G80" s="68">
        <f t="shared" si="4"/>
        <v>0</v>
      </c>
      <c r="H80" s="68">
        <f t="shared" si="5"/>
        <v>0</v>
      </c>
      <c r="I80" s="67">
        <f>IFERROR(SUMIF(簡易陰圧装置!$C$30:$C$74,B80,簡易陰圧装置!$N$30:$N$74)*((簡易陰圧装置!$H$3-簡易陰圧装置!$I$3)/簡易陰圧装置!$H$3),0)</f>
        <v>0</v>
      </c>
      <c r="J80" s="68">
        <f t="shared" si="6"/>
        <v>0</v>
      </c>
      <c r="K80" s="67">
        <f>IFERROR(SUMIF(#REF!,B80,#REF!)*((#REF!-#REF!)/#REF!),0)</f>
        <v>0</v>
      </c>
      <c r="L80" s="68">
        <f t="shared" si="7"/>
        <v>0</v>
      </c>
      <c r="M80" s="67">
        <f>IFERROR(SUMIF(体外式膜型人工肺!$C$30:$C$74,B80,体外式膜型人工肺!$N$30:$N$74)*((体外式膜型人工肺!$H$3-体外式膜型人工肺!$I$3)/体外式膜型人工肺!$H$3),0)</f>
        <v>0</v>
      </c>
      <c r="N80" s="68">
        <f t="shared" si="8"/>
        <v>0</v>
      </c>
      <c r="O80" s="68">
        <f t="shared" si="9"/>
        <v>0</v>
      </c>
      <c r="P80" s="68">
        <f t="shared" si="10"/>
        <v>0</v>
      </c>
      <c r="Q80" s="67">
        <f>IFERROR(SUMIF(紫外線照射装置!$C$30:$C$74,B80,紫外線照射装置!$N$30:$N$74)*((紫外線照射装置!$H$3-紫外線照射装置!$I$3)/紫外線照射装置!$H$3),0)</f>
        <v>0</v>
      </c>
      <c r="R80" s="68">
        <f t="shared" si="11"/>
        <v>0</v>
      </c>
      <c r="S80" s="101">
        <f t="shared" si="12"/>
        <v>0</v>
      </c>
      <c r="T80" s="67">
        <f>IFERROR(SUMIF(超音波画像診断装置!$C$30:$C$74,B80,超音波画像診断装置!$K$30:$K$74)*((超音波画像診断装置!$H$3-超音波画像診断装置!$I$3)/超音波画像診断装置!$H$3),0)</f>
        <v>0</v>
      </c>
      <c r="U80" s="68">
        <f t="shared" si="13"/>
        <v>0</v>
      </c>
      <c r="V80" s="67">
        <f>IFERROR(SUMIF(血液浄化装置!$C$30:$C$74,B80,血液浄化装置!$K$30:$K$74)*((血液浄化装置!$H$3-血液浄化装置!$I$3)/血液浄化装置!$H$3),0)</f>
        <v>0</v>
      </c>
      <c r="W80" s="68">
        <f t="shared" si="14"/>
        <v>0</v>
      </c>
      <c r="X80" s="67">
        <f>IFERROR(SUMIF(気管支鏡!$C$30:$C$74,B80,気管支鏡!$K$30:$K$74)*((気管支鏡!$H$3-気管支鏡!$I$3)/気管支鏡!$H$3),0)</f>
        <v>0</v>
      </c>
      <c r="Y80" s="68">
        <f t="shared" si="0"/>
        <v>0</v>
      </c>
      <c r="Z80" s="67">
        <f>IFERROR(SUMIF(CT撮影装置!$C$30:$C$74,B80,CT撮影装置!$K$30:$K$74)*((CT撮影装置!$H$3-CT撮影装置!$I$3)/CT撮影装置!$H$3),0)</f>
        <v>0</v>
      </c>
      <c r="AA80" s="68">
        <f t="shared" si="15"/>
        <v>0</v>
      </c>
      <c r="AB80" s="67">
        <f>IFERROR(SUMIF(生体情報モニタ!$C$30:$C$74,B80,生体情報モニタ!$K$30:$K$74)*((生体情報モニタ!$H$3-生体情報モニタ!$I$3)/生体情報モニタ!$H$3),0)</f>
        <v>0</v>
      </c>
      <c r="AC80" s="68">
        <f t="shared" si="1"/>
        <v>0</v>
      </c>
      <c r="AD80" s="67">
        <f>IFERROR(SUMIF(分娩監視装置!$C$30:$C$74,B80,分娩監視装置!$K$30:$K$74)*((分娩監視装置!$H$3-分娩監視装置!$I$3)/分娩監視装置!$H$3),0)</f>
        <v>0</v>
      </c>
      <c r="AE80" s="68">
        <f t="shared" si="16"/>
        <v>0</v>
      </c>
      <c r="AF80" s="67">
        <f>IFERROR(SUMIF(新生児モニタ!$C$30:$C$74,B80,新生児モニタ!$K$30:$K$74)*((新生児モニタ!$H$3-新生児モニタ!$I$3)/新生児モニタ!$H$3),0)</f>
        <v>0</v>
      </c>
      <c r="AG80" s="68">
        <f t="shared" si="17"/>
        <v>0</v>
      </c>
    </row>
    <row r="81" spans="2:33">
      <c r="B81" s="64" t="s">
        <v>728</v>
      </c>
      <c r="C81" s="67">
        <f>IFERROR(SUMIF(初度設備!$C$30:$C$74,B81,初度設備!$N$30:$N$74)*((初度設備!$H$3-初度設備!$I$3)/初度設備!$H$3),0)</f>
        <v>0</v>
      </c>
      <c r="D81" s="68">
        <f t="shared" si="2"/>
        <v>0</v>
      </c>
      <c r="E81" s="67">
        <f>IFERROR(SUMIF(人工呼吸器!$C$30:$C$74,B81,人工呼吸器!$N$30:$N$74)*((人工呼吸器!$H$3-人工呼吸器!$I$3)/人工呼吸器!$H$3),0)</f>
        <v>0</v>
      </c>
      <c r="F81" s="68">
        <f t="shared" si="3"/>
        <v>0</v>
      </c>
      <c r="G81" s="68">
        <f t="shared" si="4"/>
        <v>0</v>
      </c>
      <c r="H81" s="68">
        <f t="shared" si="5"/>
        <v>0</v>
      </c>
      <c r="I81" s="67">
        <f>IFERROR(SUMIF(簡易陰圧装置!$C$30:$C$74,B81,簡易陰圧装置!$N$30:$N$74)*((簡易陰圧装置!$H$3-簡易陰圧装置!$I$3)/簡易陰圧装置!$H$3),0)</f>
        <v>0</v>
      </c>
      <c r="J81" s="68">
        <f t="shared" si="6"/>
        <v>0</v>
      </c>
      <c r="K81" s="67">
        <f>IFERROR(SUMIF(#REF!,B81,#REF!)*((#REF!-#REF!)/#REF!),0)</f>
        <v>0</v>
      </c>
      <c r="L81" s="68">
        <f t="shared" si="7"/>
        <v>0</v>
      </c>
      <c r="M81" s="67">
        <f>IFERROR(SUMIF(体外式膜型人工肺!$C$30:$C$74,B81,体外式膜型人工肺!$N$30:$N$74)*((体外式膜型人工肺!$H$3-体外式膜型人工肺!$I$3)/体外式膜型人工肺!$H$3),0)</f>
        <v>0</v>
      </c>
      <c r="N81" s="68">
        <f t="shared" si="8"/>
        <v>0</v>
      </c>
      <c r="O81" s="68">
        <f t="shared" si="9"/>
        <v>0</v>
      </c>
      <c r="P81" s="68">
        <f t="shared" si="10"/>
        <v>0</v>
      </c>
      <c r="Q81" s="67">
        <f>IFERROR(SUMIF(紫外線照射装置!$C$30:$C$74,B81,紫外線照射装置!$N$30:$N$74)*((紫外線照射装置!$H$3-紫外線照射装置!$I$3)/紫外線照射装置!$H$3),0)</f>
        <v>0</v>
      </c>
      <c r="R81" s="68">
        <f t="shared" si="11"/>
        <v>0</v>
      </c>
      <c r="S81" s="101">
        <f t="shared" si="12"/>
        <v>0</v>
      </c>
      <c r="T81" s="67">
        <f>IFERROR(SUMIF(超音波画像診断装置!$C$30:$C$74,B81,超音波画像診断装置!$K$30:$K$74)*((超音波画像診断装置!$H$3-超音波画像診断装置!$I$3)/超音波画像診断装置!$H$3),0)</f>
        <v>0</v>
      </c>
      <c r="U81" s="68">
        <f t="shared" si="13"/>
        <v>0</v>
      </c>
      <c r="V81" s="67">
        <f>IFERROR(SUMIF(血液浄化装置!$C$30:$C$74,B81,血液浄化装置!$K$30:$K$74)*((血液浄化装置!$H$3-血液浄化装置!$I$3)/血液浄化装置!$H$3),0)</f>
        <v>0</v>
      </c>
      <c r="W81" s="68">
        <f t="shared" si="14"/>
        <v>0</v>
      </c>
      <c r="X81" s="67">
        <f>IFERROR(SUMIF(気管支鏡!$C$30:$C$74,B81,気管支鏡!$K$30:$K$74)*((気管支鏡!$H$3-気管支鏡!$I$3)/気管支鏡!$H$3),0)</f>
        <v>0</v>
      </c>
      <c r="Y81" s="68">
        <f t="shared" si="0"/>
        <v>0</v>
      </c>
      <c r="Z81" s="67">
        <f>IFERROR(SUMIF(CT撮影装置!$C$30:$C$74,B81,CT撮影装置!$K$30:$K$74)*((CT撮影装置!$H$3-CT撮影装置!$I$3)/CT撮影装置!$H$3),0)</f>
        <v>0</v>
      </c>
      <c r="AA81" s="68">
        <f t="shared" si="15"/>
        <v>0</v>
      </c>
      <c r="AB81" s="67">
        <f>IFERROR(SUMIF(生体情報モニタ!$C$30:$C$74,B81,生体情報モニタ!$K$30:$K$74)*((生体情報モニタ!$H$3-生体情報モニタ!$I$3)/生体情報モニタ!$H$3),0)</f>
        <v>0</v>
      </c>
      <c r="AC81" s="68">
        <f t="shared" si="1"/>
        <v>0</v>
      </c>
      <c r="AD81" s="67">
        <f>IFERROR(SUMIF(分娩監視装置!$C$30:$C$74,B81,分娩監視装置!$K$30:$K$74)*((分娩監視装置!$H$3-分娩監視装置!$I$3)/分娩監視装置!$H$3),0)</f>
        <v>0</v>
      </c>
      <c r="AE81" s="68">
        <f t="shared" si="16"/>
        <v>0</v>
      </c>
      <c r="AF81" s="67">
        <f>IFERROR(SUMIF(新生児モニタ!$C$30:$C$74,B81,新生児モニタ!$K$30:$K$74)*((新生児モニタ!$H$3-新生児モニタ!$I$3)/新生児モニタ!$H$3),0)</f>
        <v>0</v>
      </c>
      <c r="AG81" s="68">
        <f t="shared" si="17"/>
        <v>0</v>
      </c>
    </row>
    <row r="82" spans="2:33">
      <c r="B82" s="64" t="s">
        <v>729</v>
      </c>
      <c r="C82" s="67">
        <f>IFERROR(SUMIF(初度設備!$C$30:$C$74,B82,初度設備!$N$30:$N$74)*((初度設備!$H$3-初度設備!$I$3)/初度設備!$H$3),0)</f>
        <v>0</v>
      </c>
      <c r="D82" s="68">
        <f t="shared" si="2"/>
        <v>0</v>
      </c>
      <c r="E82" s="67">
        <f>IFERROR(SUMIF(人工呼吸器!$C$30:$C$74,B82,人工呼吸器!$N$30:$N$74)*((人工呼吸器!$H$3-人工呼吸器!$I$3)/人工呼吸器!$H$3),0)</f>
        <v>0</v>
      </c>
      <c r="F82" s="68">
        <f t="shared" si="3"/>
        <v>0</v>
      </c>
      <c r="G82" s="68">
        <f t="shared" si="4"/>
        <v>0</v>
      </c>
      <c r="H82" s="68">
        <f t="shared" si="5"/>
        <v>0</v>
      </c>
      <c r="I82" s="67">
        <f>IFERROR(SUMIF(簡易陰圧装置!$C$30:$C$74,B82,簡易陰圧装置!$N$30:$N$74)*((簡易陰圧装置!$H$3-簡易陰圧装置!$I$3)/簡易陰圧装置!$H$3),0)</f>
        <v>0</v>
      </c>
      <c r="J82" s="68">
        <f t="shared" si="6"/>
        <v>0</v>
      </c>
      <c r="K82" s="67">
        <f>IFERROR(SUMIF(#REF!,B82,#REF!)*((#REF!-#REF!)/#REF!),0)</f>
        <v>0</v>
      </c>
      <c r="L82" s="68">
        <f t="shared" si="7"/>
        <v>0</v>
      </c>
      <c r="M82" s="67">
        <f>IFERROR(SUMIF(体外式膜型人工肺!$C$30:$C$74,B82,体外式膜型人工肺!$N$30:$N$74)*((体外式膜型人工肺!$H$3-体外式膜型人工肺!$I$3)/体外式膜型人工肺!$H$3),0)</f>
        <v>0</v>
      </c>
      <c r="N82" s="68">
        <f t="shared" si="8"/>
        <v>0</v>
      </c>
      <c r="O82" s="68">
        <f t="shared" si="9"/>
        <v>0</v>
      </c>
      <c r="P82" s="68">
        <f t="shared" si="10"/>
        <v>0</v>
      </c>
      <c r="Q82" s="67">
        <f>IFERROR(SUMIF(紫外線照射装置!$C$30:$C$74,B82,紫外線照射装置!$N$30:$N$74)*((紫外線照射装置!$H$3-紫外線照射装置!$I$3)/紫外線照射装置!$H$3),0)</f>
        <v>0</v>
      </c>
      <c r="R82" s="68">
        <f t="shared" si="11"/>
        <v>0</v>
      </c>
      <c r="S82" s="101">
        <f t="shared" si="12"/>
        <v>0</v>
      </c>
      <c r="T82" s="67">
        <f>IFERROR(SUMIF(超音波画像診断装置!$C$30:$C$74,B82,超音波画像診断装置!$K$30:$K$74)*((超音波画像診断装置!$H$3-超音波画像診断装置!$I$3)/超音波画像診断装置!$H$3),0)</f>
        <v>0</v>
      </c>
      <c r="U82" s="68">
        <f t="shared" si="13"/>
        <v>0</v>
      </c>
      <c r="V82" s="67">
        <f>IFERROR(SUMIF(血液浄化装置!$C$30:$C$74,B82,血液浄化装置!$K$30:$K$74)*((血液浄化装置!$H$3-血液浄化装置!$I$3)/血液浄化装置!$H$3),0)</f>
        <v>0</v>
      </c>
      <c r="W82" s="68">
        <f t="shared" si="14"/>
        <v>0</v>
      </c>
      <c r="X82" s="67">
        <f>IFERROR(SUMIF(気管支鏡!$C$30:$C$74,B82,気管支鏡!$K$30:$K$74)*((気管支鏡!$H$3-気管支鏡!$I$3)/気管支鏡!$H$3),0)</f>
        <v>0</v>
      </c>
      <c r="Y82" s="68">
        <f t="shared" si="0"/>
        <v>0</v>
      </c>
      <c r="Z82" s="67">
        <f>IFERROR(SUMIF(CT撮影装置!$C$30:$C$74,B82,CT撮影装置!$K$30:$K$74)*((CT撮影装置!$H$3-CT撮影装置!$I$3)/CT撮影装置!$H$3),0)</f>
        <v>0</v>
      </c>
      <c r="AA82" s="68">
        <f t="shared" si="15"/>
        <v>0</v>
      </c>
      <c r="AB82" s="67">
        <f>IFERROR(SUMIF(生体情報モニタ!$C$30:$C$74,B82,生体情報モニタ!$K$30:$K$74)*((生体情報モニタ!$H$3-生体情報モニタ!$I$3)/生体情報モニタ!$H$3),0)</f>
        <v>0</v>
      </c>
      <c r="AC82" s="68">
        <f t="shared" si="1"/>
        <v>0</v>
      </c>
      <c r="AD82" s="67">
        <f>IFERROR(SUMIF(分娩監視装置!$C$30:$C$74,B82,分娩監視装置!$K$30:$K$74)*((分娩監視装置!$H$3-分娩監視装置!$I$3)/分娩監視装置!$H$3),0)</f>
        <v>0</v>
      </c>
      <c r="AE82" s="68">
        <f t="shared" si="16"/>
        <v>0</v>
      </c>
      <c r="AF82" s="67">
        <f>IFERROR(SUMIF(新生児モニタ!$C$30:$C$74,B82,新生児モニタ!$K$30:$K$74)*((新生児モニタ!$H$3-新生児モニタ!$I$3)/新生児モニタ!$H$3),0)</f>
        <v>0</v>
      </c>
      <c r="AG82" s="68">
        <f t="shared" si="17"/>
        <v>0</v>
      </c>
    </row>
    <row r="83" spans="2:33">
      <c r="B83" s="64" t="s">
        <v>730</v>
      </c>
      <c r="C83" s="67">
        <f>IFERROR(SUMIF(初度設備!$C$30:$C$74,B83,初度設備!$N$30:$N$74)*((初度設備!$H$3-初度設備!$I$3)/初度設備!$H$3),0)</f>
        <v>0</v>
      </c>
      <c r="D83" s="68">
        <f t="shared" si="2"/>
        <v>0</v>
      </c>
      <c r="E83" s="67">
        <f>IFERROR(SUMIF(人工呼吸器!$C$30:$C$74,B83,人工呼吸器!$N$30:$N$74)*((人工呼吸器!$H$3-人工呼吸器!$I$3)/人工呼吸器!$H$3),0)</f>
        <v>0</v>
      </c>
      <c r="F83" s="68">
        <f t="shared" si="3"/>
        <v>0</v>
      </c>
      <c r="G83" s="68">
        <f t="shared" si="4"/>
        <v>0</v>
      </c>
      <c r="H83" s="68">
        <f t="shared" si="5"/>
        <v>0</v>
      </c>
      <c r="I83" s="67">
        <f>IFERROR(SUMIF(簡易陰圧装置!$C$30:$C$74,B83,簡易陰圧装置!$N$30:$N$74)*((簡易陰圧装置!$H$3-簡易陰圧装置!$I$3)/簡易陰圧装置!$H$3),0)</f>
        <v>0</v>
      </c>
      <c r="J83" s="68">
        <f t="shared" si="6"/>
        <v>0</v>
      </c>
      <c r="K83" s="67">
        <f>IFERROR(SUMIF(#REF!,B83,#REF!)*((#REF!-#REF!)/#REF!),0)</f>
        <v>0</v>
      </c>
      <c r="L83" s="68">
        <f t="shared" si="7"/>
        <v>0</v>
      </c>
      <c r="M83" s="67">
        <f>IFERROR(SUMIF(体外式膜型人工肺!$C$30:$C$74,B83,体外式膜型人工肺!$N$30:$N$74)*((体外式膜型人工肺!$H$3-体外式膜型人工肺!$I$3)/体外式膜型人工肺!$H$3),0)</f>
        <v>0</v>
      </c>
      <c r="N83" s="68">
        <f t="shared" si="8"/>
        <v>0</v>
      </c>
      <c r="O83" s="68">
        <f t="shared" si="9"/>
        <v>0</v>
      </c>
      <c r="P83" s="68">
        <f t="shared" si="10"/>
        <v>0</v>
      </c>
      <c r="Q83" s="67">
        <f>IFERROR(SUMIF(紫外線照射装置!$C$30:$C$74,B83,紫外線照射装置!$N$30:$N$74)*((紫外線照射装置!$H$3-紫外線照射装置!$I$3)/紫外線照射装置!$H$3),0)</f>
        <v>0</v>
      </c>
      <c r="R83" s="68">
        <f t="shared" si="11"/>
        <v>0</v>
      </c>
      <c r="S83" s="101">
        <f t="shared" si="12"/>
        <v>0</v>
      </c>
      <c r="T83" s="67">
        <f>IFERROR(SUMIF(超音波画像診断装置!$C$30:$C$74,B83,超音波画像診断装置!$K$30:$K$74)*((超音波画像診断装置!$H$3-超音波画像診断装置!$I$3)/超音波画像診断装置!$H$3),0)</f>
        <v>0</v>
      </c>
      <c r="U83" s="68">
        <f t="shared" si="13"/>
        <v>0</v>
      </c>
      <c r="V83" s="67">
        <f>IFERROR(SUMIF(血液浄化装置!$C$30:$C$74,B83,血液浄化装置!$K$30:$K$74)*((血液浄化装置!$H$3-血液浄化装置!$I$3)/血液浄化装置!$H$3),0)</f>
        <v>0</v>
      </c>
      <c r="W83" s="68">
        <f t="shared" si="14"/>
        <v>0</v>
      </c>
      <c r="X83" s="67">
        <f>IFERROR(SUMIF(気管支鏡!$C$30:$C$74,B83,気管支鏡!$K$30:$K$74)*((気管支鏡!$H$3-気管支鏡!$I$3)/気管支鏡!$H$3),0)</f>
        <v>0</v>
      </c>
      <c r="Y83" s="68">
        <f t="shared" si="0"/>
        <v>0</v>
      </c>
      <c r="Z83" s="67">
        <f>IFERROR(SUMIF(CT撮影装置!$C$30:$C$74,B83,CT撮影装置!$K$30:$K$74)*((CT撮影装置!$H$3-CT撮影装置!$I$3)/CT撮影装置!$H$3),0)</f>
        <v>0</v>
      </c>
      <c r="AA83" s="68">
        <f t="shared" si="15"/>
        <v>0</v>
      </c>
      <c r="AB83" s="67">
        <f>IFERROR(SUMIF(生体情報モニタ!$C$30:$C$74,B83,生体情報モニタ!$K$30:$K$74)*((生体情報モニタ!$H$3-生体情報モニタ!$I$3)/生体情報モニタ!$H$3),0)</f>
        <v>0</v>
      </c>
      <c r="AC83" s="68">
        <f t="shared" si="1"/>
        <v>0</v>
      </c>
      <c r="AD83" s="67">
        <f>IFERROR(SUMIF(分娩監視装置!$C$30:$C$74,B83,分娩監視装置!$K$30:$K$74)*((分娩監視装置!$H$3-分娩監視装置!$I$3)/分娩監視装置!$H$3),0)</f>
        <v>0</v>
      </c>
      <c r="AE83" s="68">
        <f t="shared" si="16"/>
        <v>0</v>
      </c>
      <c r="AF83" s="67">
        <f>IFERROR(SUMIF(新生児モニタ!$C$30:$C$74,B83,新生児モニタ!$K$30:$K$74)*((新生児モニタ!$H$3-新生児モニタ!$I$3)/新生児モニタ!$H$3),0)</f>
        <v>0</v>
      </c>
      <c r="AG83" s="68">
        <f t="shared" si="17"/>
        <v>0</v>
      </c>
    </row>
    <row r="84" spans="2:33">
      <c r="B84" s="64" t="s">
        <v>731</v>
      </c>
      <c r="C84" s="67">
        <f>IFERROR(SUMIF(初度設備!$C$30:$C$74,B84,初度設備!$N$30:$N$74)*((初度設備!$H$3-初度設備!$I$3)/初度設備!$H$3),0)</f>
        <v>0</v>
      </c>
      <c r="D84" s="68">
        <f t="shared" si="2"/>
        <v>0</v>
      </c>
      <c r="E84" s="67">
        <f>IFERROR(SUMIF(人工呼吸器!$C$30:$C$74,B84,人工呼吸器!$N$30:$N$74)*((人工呼吸器!$H$3-人工呼吸器!$I$3)/人工呼吸器!$H$3),0)</f>
        <v>0</v>
      </c>
      <c r="F84" s="68">
        <f t="shared" si="3"/>
        <v>0</v>
      </c>
      <c r="G84" s="68">
        <f t="shared" si="4"/>
        <v>0</v>
      </c>
      <c r="H84" s="68">
        <f t="shared" si="5"/>
        <v>0</v>
      </c>
      <c r="I84" s="67">
        <f>IFERROR(SUMIF(簡易陰圧装置!$C$30:$C$74,B84,簡易陰圧装置!$N$30:$N$74)*((簡易陰圧装置!$H$3-簡易陰圧装置!$I$3)/簡易陰圧装置!$H$3),0)</f>
        <v>0</v>
      </c>
      <c r="J84" s="68">
        <f t="shared" si="6"/>
        <v>0</v>
      </c>
      <c r="K84" s="67">
        <f>IFERROR(SUMIF(#REF!,B84,#REF!)*((#REF!-#REF!)/#REF!),0)</f>
        <v>0</v>
      </c>
      <c r="L84" s="68">
        <f t="shared" si="7"/>
        <v>0</v>
      </c>
      <c r="M84" s="67">
        <f>IFERROR(SUMIF(体外式膜型人工肺!$C$30:$C$74,B84,体外式膜型人工肺!$N$30:$N$74)*((体外式膜型人工肺!$H$3-体外式膜型人工肺!$I$3)/体外式膜型人工肺!$H$3),0)</f>
        <v>0</v>
      </c>
      <c r="N84" s="68">
        <f t="shared" si="8"/>
        <v>0</v>
      </c>
      <c r="O84" s="68">
        <f t="shared" si="9"/>
        <v>0</v>
      </c>
      <c r="P84" s="68">
        <f t="shared" si="10"/>
        <v>0</v>
      </c>
      <c r="Q84" s="67">
        <f>IFERROR(SUMIF(紫外線照射装置!$C$30:$C$74,B84,紫外線照射装置!$N$30:$N$74)*((紫外線照射装置!$H$3-紫外線照射装置!$I$3)/紫外線照射装置!$H$3),0)</f>
        <v>0</v>
      </c>
      <c r="R84" s="68">
        <f t="shared" si="11"/>
        <v>0</v>
      </c>
      <c r="S84" s="101">
        <f t="shared" si="12"/>
        <v>0</v>
      </c>
      <c r="T84" s="67">
        <f>IFERROR(SUMIF(超音波画像診断装置!$C$30:$C$74,B84,超音波画像診断装置!$K$30:$K$74)*((超音波画像診断装置!$H$3-超音波画像診断装置!$I$3)/超音波画像診断装置!$H$3),0)</f>
        <v>0</v>
      </c>
      <c r="U84" s="68">
        <f t="shared" si="13"/>
        <v>0</v>
      </c>
      <c r="V84" s="67">
        <f>IFERROR(SUMIF(血液浄化装置!$C$30:$C$74,B84,血液浄化装置!$K$30:$K$74)*((血液浄化装置!$H$3-血液浄化装置!$I$3)/血液浄化装置!$H$3),0)</f>
        <v>0</v>
      </c>
      <c r="W84" s="68">
        <f t="shared" si="14"/>
        <v>0</v>
      </c>
      <c r="X84" s="67">
        <f>IFERROR(SUMIF(気管支鏡!$C$30:$C$74,B84,気管支鏡!$K$30:$K$74)*((気管支鏡!$H$3-気管支鏡!$I$3)/気管支鏡!$H$3),0)</f>
        <v>0</v>
      </c>
      <c r="Y84" s="68">
        <f t="shared" si="0"/>
        <v>0</v>
      </c>
      <c r="Z84" s="67">
        <f>IFERROR(SUMIF(CT撮影装置!$C$30:$C$74,B84,CT撮影装置!$K$30:$K$74)*((CT撮影装置!$H$3-CT撮影装置!$I$3)/CT撮影装置!$H$3),0)</f>
        <v>0</v>
      </c>
      <c r="AA84" s="68">
        <f t="shared" si="15"/>
        <v>0</v>
      </c>
      <c r="AB84" s="67">
        <f>IFERROR(SUMIF(生体情報モニタ!$C$30:$C$74,B84,生体情報モニタ!$K$30:$K$74)*((生体情報モニタ!$H$3-生体情報モニタ!$I$3)/生体情報モニタ!$H$3),0)</f>
        <v>0</v>
      </c>
      <c r="AC84" s="68">
        <f t="shared" si="1"/>
        <v>0</v>
      </c>
      <c r="AD84" s="67">
        <f>IFERROR(SUMIF(分娩監視装置!$C$30:$C$74,B84,分娩監視装置!$K$30:$K$74)*((分娩監視装置!$H$3-分娩監視装置!$I$3)/分娩監視装置!$H$3),0)</f>
        <v>0</v>
      </c>
      <c r="AE84" s="68">
        <f t="shared" si="16"/>
        <v>0</v>
      </c>
      <c r="AF84" s="67">
        <f>IFERROR(SUMIF(新生児モニタ!$C$30:$C$74,B84,新生児モニタ!$K$30:$K$74)*((新生児モニタ!$H$3-新生児モニタ!$I$3)/新生児モニタ!$H$3),0)</f>
        <v>0</v>
      </c>
      <c r="AG84" s="68">
        <f t="shared" si="17"/>
        <v>0</v>
      </c>
    </row>
    <row r="85" spans="2:33">
      <c r="B85" s="64" t="s">
        <v>732</v>
      </c>
      <c r="C85" s="67">
        <f>IFERROR(SUMIF(初度設備!$C$30:$C$74,B85,初度設備!$N$30:$N$74)*((初度設備!$H$3-初度設備!$I$3)/初度設備!$H$3),0)</f>
        <v>0</v>
      </c>
      <c r="D85" s="68">
        <f t="shared" si="2"/>
        <v>0</v>
      </c>
      <c r="E85" s="67">
        <f>IFERROR(SUMIF(人工呼吸器!$C$30:$C$74,B85,人工呼吸器!$N$30:$N$74)*((人工呼吸器!$H$3-人工呼吸器!$I$3)/人工呼吸器!$H$3),0)</f>
        <v>0</v>
      </c>
      <c r="F85" s="68">
        <f t="shared" si="3"/>
        <v>0</v>
      </c>
      <c r="G85" s="68">
        <f t="shared" si="4"/>
        <v>0</v>
      </c>
      <c r="H85" s="68">
        <f t="shared" si="5"/>
        <v>0</v>
      </c>
      <c r="I85" s="67">
        <f>IFERROR(SUMIF(簡易陰圧装置!$C$30:$C$74,B85,簡易陰圧装置!$N$30:$N$74)*((簡易陰圧装置!$H$3-簡易陰圧装置!$I$3)/簡易陰圧装置!$H$3),0)</f>
        <v>0</v>
      </c>
      <c r="J85" s="68">
        <f t="shared" si="6"/>
        <v>0</v>
      </c>
      <c r="K85" s="67">
        <f>IFERROR(SUMIF(#REF!,B85,#REF!)*((#REF!-#REF!)/#REF!),0)</f>
        <v>0</v>
      </c>
      <c r="L85" s="68">
        <f t="shared" si="7"/>
        <v>0</v>
      </c>
      <c r="M85" s="67">
        <f>IFERROR(SUMIF(体外式膜型人工肺!$C$30:$C$74,B85,体外式膜型人工肺!$N$30:$N$74)*((体外式膜型人工肺!$H$3-体外式膜型人工肺!$I$3)/体外式膜型人工肺!$H$3),0)</f>
        <v>0</v>
      </c>
      <c r="N85" s="68">
        <f t="shared" si="8"/>
        <v>0</v>
      </c>
      <c r="O85" s="68">
        <f t="shared" si="9"/>
        <v>0</v>
      </c>
      <c r="P85" s="68">
        <f t="shared" si="10"/>
        <v>0</v>
      </c>
      <c r="Q85" s="67">
        <f>IFERROR(SUMIF(紫外線照射装置!$C$30:$C$74,B85,紫外線照射装置!$N$30:$N$74)*((紫外線照射装置!$H$3-紫外線照射装置!$I$3)/紫外線照射装置!$H$3),0)</f>
        <v>0</v>
      </c>
      <c r="R85" s="68">
        <f t="shared" si="11"/>
        <v>0</v>
      </c>
      <c r="S85" s="101">
        <f t="shared" si="12"/>
        <v>0</v>
      </c>
      <c r="T85" s="67">
        <f>IFERROR(SUMIF(超音波画像診断装置!$C$30:$C$74,B85,超音波画像診断装置!$K$30:$K$74)*((超音波画像診断装置!$H$3-超音波画像診断装置!$I$3)/超音波画像診断装置!$H$3),0)</f>
        <v>0</v>
      </c>
      <c r="U85" s="68">
        <f t="shared" si="13"/>
        <v>0</v>
      </c>
      <c r="V85" s="67">
        <f>IFERROR(SUMIF(血液浄化装置!$C$30:$C$74,B85,血液浄化装置!$K$30:$K$74)*((血液浄化装置!$H$3-血液浄化装置!$I$3)/血液浄化装置!$H$3),0)</f>
        <v>0</v>
      </c>
      <c r="W85" s="68">
        <f t="shared" si="14"/>
        <v>0</v>
      </c>
      <c r="X85" s="67">
        <f>IFERROR(SUMIF(気管支鏡!$C$30:$C$74,B85,気管支鏡!$K$30:$K$74)*((気管支鏡!$H$3-気管支鏡!$I$3)/気管支鏡!$H$3),0)</f>
        <v>0</v>
      </c>
      <c r="Y85" s="68">
        <f t="shared" si="0"/>
        <v>0</v>
      </c>
      <c r="Z85" s="67">
        <f>IFERROR(SUMIF(CT撮影装置!$C$30:$C$74,B85,CT撮影装置!$K$30:$K$74)*((CT撮影装置!$H$3-CT撮影装置!$I$3)/CT撮影装置!$H$3),0)</f>
        <v>0</v>
      </c>
      <c r="AA85" s="68">
        <f t="shared" si="15"/>
        <v>0</v>
      </c>
      <c r="AB85" s="67">
        <f>IFERROR(SUMIF(生体情報モニタ!$C$30:$C$74,B85,生体情報モニタ!$K$30:$K$74)*((生体情報モニタ!$H$3-生体情報モニタ!$I$3)/生体情報モニタ!$H$3),0)</f>
        <v>0</v>
      </c>
      <c r="AC85" s="68">
        <f t="shared" si="1"/>
        <v>0</v>
      </c>
      <c r="AD85" s="67">
        <f>IFERROR(SUMIF(分娩監視装置!$C$30:$C$74,B85,分娩監視装置!$K$30:$K$74)*((分娩監視装置!$H$3-分娩監視装置!$I$3)/分娩監視装置!$H$3),0)</f>
        <v>0</v>
      </c>
      <c r="AE85" s="68">
        <f t="shared" si="16"/>
        <v>0</v>
      </c>
      <c r="AF85" s="67">
        <f>IFERROR(SUMIF(新生児モニタ!$C$30:$C$74,B85,新生児モニタ!$K$30:$K$74)*((新生児モニタ!$H$3-新生児モニタ!$I$3)/新生児モニタ!$H$3),0)</f>
        <v>0</v>
      </c>
      <c r="AG85" s="68">
        <f t="shared" si="17"/>
        <v>0</v>
      </c>
    </row>
    <row r="86" spans="2:33">
      <c r="B86" s="64" t="s">
        <v>733</v>
      </c>
      <c r="C86" s="67">
        <f>IFERROR(SUMIF(初度設備!$C$30:$C$74,B86,初度設備!$N$30:$N$74)*((初度設備!$H$3-初度設備!$I$3)/初度設備!$H$3),0)</f>
        <v>0</v>
      </c>
      <c r="D86" s="68">
        <f t="shared" si="2"/>
        <v>0</v>
      </c>
      <c r="E86" s="67">
        <f>IFERROR(SUMIF(人工呼吸器!$C$30:$C$74,B86,人工呼吸器!$N$30:$N$74)*((人工呼吸器!$H$3-人工呼吸器!$I$3)/人工呼吸器!$H$3),0)</f>
        <v>0</v>
      </c>
      <c r="F86" s="68">
        <f t="shared" si="3"/>
        <v>0</v>
      </c>
      <c r="G86" s="68">
        <f t="shared" si="4"/>
        <v>0</v>
      </c>
      <c r="H86" s="68">
        <f t="shared" si="5"/>
        <v>0</v>
      </c>
      <c r="I86" s="67">
        <f>IFERROR(SUMIF(簡易陰圧装置!$C$30:$C$74,B86,簡易陰圧装置!$N$30:$N$74)*((簡易陰圧装置!$H$3-簡易陰圧装置!$I$3)/簡易陰圧装置!$H$3),0)</f>
        <v>0</v>
      </c>
      <c r="J86" s="68">
        <f t="shared" si="6"/>
        <v>0</v>
      </c>
      <c r="K86" s="67">
        <f>IFERROR(SUMIF(#REF!,B86,#REF!)*((#REF!-#REF!)/#REF!),0)</f>
        <v>0</v>
      </c>
      <c r="L86" s="68">
        <f t="shared" si="7"/>
        <v>0</v>
      </c>
      <c r="M86" s="67">
        <f>IFERROR(SUMIF(体外式膜型人工肺!$C$30:$C$74,B86,体外式膜型人工肺!$N$30:$N$74)*((体外式膜型人工肺!$H$3-体外式膜型人工肺!$I$3)/体外式膜型人工肺!$H$3),0)</f>
        <v>0</v>
      </c>
      <c r="N86" s="68">
        <f t="shared" si="8"/>
        <v>0</v>
      </c>
      <c r="O86" s="68">
        <f t="shared" si="9"/>
        <v>0</v>
      </c>
      <c r="P86" s="68">
        <f t="shared" si="10"/>
        <v>0</v>
      </c>
      <c r="Q86" s="67">
        <f>IFERROR(SUMIF(紫外線照射装置!$C$30:$C$74,B86,紫外線照射装置!$N$30:$N$74)*((紫外線照射装置!$H$3-紫外線照射装置!$I$3)/紫外線照射装置!$H$3),0)</f>
        <v>0</v>
      </c>
      <c r="R86" s="68">
        <f t="shared" si="11"/>
        <v>0</v>
      </c>
      <c r="S86" s="101">
        <f t="shared" si="12"/>
        <v>0</v>
      </c>
      <c r="T86" s="67">
        <f>IFERROR(SUMIF(超音波画像診断装置!$C$30:$C$74,B86,超音波画像診断装置!$K$30:$K$74)*((超音波画像診断装置!$H$3-超音波画像診断装置!$I$3)/超音波画像診断装置!$H$3),0)</f>
        <v>0</v>
      </c>
      <c r="U86" s="68">
        <f t="shared" si="13"/>
        <v>0</v>
      </c>
      <c r="V86" s="67">
        <f>IFERROR(SUMIF(血液浄化装置!$C$30:$C$74,B86,血液浄化装置!$K$30:$K$74)*((血液浄化装置!$H$3-血液浄化装置!$I$3)/血液浄化装置!$H$3),0)</f>
        <v>0</v>
      </c>
      <c r="W86" s="68">
        <f t="shared" si="14"/>
        <v>0</v>
      </c>
      <c r="X86" s="67">
        <f>IFERROR(SUMIF(気管支鏡!$C$30:$C$74,B86,気管支鏡!$K$30:$K$74)*((気管支鏡!$H$3-気管支鏡!$I$3)/気管支鏡!$H$3),0)</f>
        <v>0</v>
      </c>
      <c r="Y86" s="68">
        <f t="shared" si="0"/>
        <v>0</v>
      </c>
      <c r="Z86" s="67">
        <f>IFERROR(SUMIF(CT撮影装置!$C$30:$C$74,B86,CT撮影装置!$K$30:$K$74)*((CT撮影装置!$H$3-CT撮影装置!$I$3)/CT撮影装置!$H$3),0)</f>
        <v>0</v>
      </c>
      <c r="AA86" s="68">
        <f t="shared" si="15"/>
        <v>0</v>
      </c>
      <c r="AB86" s="67">
        <f>IFERROR(SUMIF(生体情報モニタ!$C$30:$C$74,B86,生体情報モニタ!$K$30:$K$74)*((生体情報モニタ!$H$3-生体情報モニタ!$I$3)/生体情報モニタ!$H$3),0)</f>
        <v>0</v>
      </c>
      <c r="AC86" s="68">
        <f t="shared" si="1"/>
        <v>0</v>
      </c>
      <c r="AD86" s="67">
        <f>IFERROR(SUMIF(分娩監視装置!$C$30:$C$74,B86,分娩監視装置!$K$30:$K$74)*((分娩監視装置!$H$3-分娩監視装置!$I$3)/分娩監視装置!$H$3),0)</f>
        <v>0</v>
      </c>
      <c r="AE86" s="68">
        <f t="shared" si="16"/>
        <v>0</v>
      </c>
      <c r="AF86" s="67">
        <f>IFERROR(SUMIF(新生児モニタ!$C$30:$C$74,B86,新生児モニタ!$K$30:$K$74)*((新生児モニタ!$H$3-新生児モニタ!$I$3)/新生児モニタ!$H$3),0)</f>
        <v>0</v>
      </c>
      <c r="AG86" s="68">
        <f t="shared" si="17"/>
        <v>0</v>
      </c>
    </row>
    <row r="87" spans="2:33">
      <c r="B87" s="64" t="s">
        <v>734</v>
      </c>
      <c r="C87" s="67">
        <f>IFERROR(SUMIF(初度設備!$C$30:$C$74,B87,初度設備!$N$30:$N$74)*((初度設備!$H$3-初度設備!$I$3)/初度設備!$H$3),0)</f>
        <v>0</v>
      </c>
      <c r="D87" s="68">
        <f t="shared" si="2"/>
        <v>0</v>
      </c>
      <c r="E87" s="67">
        <f>IFERROR(SUMIF(人工呼吸器!$C$30:$C$74,B87,人工呼吸器!$N$30:$N$74)*((人工呼吸器!$H$3-人工呼吸器!$I$3)/人工呼吸器!$H$3),0)</f>
        <v>0</v>
      </c>
      <c r="F87" s="68">
        <f t="shared" si="3"/>
        <v>0</v>
      </c>
      <c r="G87" s="68">
        <f t="shared" si="4"/>
        <v>0</v>
      </c>
      <c r="H87" s="68">
        <f t="shared" si="5"/>
        <v>0</v>
      </c>
      <c r="I87" s="67">
        <f>IFERROR(SUMIF(簡易陰圧装置!$C$30:$C$74,B87,簡易陰圧装置!$N$30:$N$74)*((簡易陰圧装置!$H$3-簡易陰圧装置!$I$3)/簡易陰圧装置!$H$3),0)</f>
        <v>0</v>
      </c>
      <c r="J87" s="68">
        <f t="shared" si="6"/>
        <v>0</v>
      </c>
      <c r="K87" s="67">
        <f>IFERROR(SUMIF(#REF!,B87,#REF!)*((#REF!-#REF!)/#REF!),0)</f>
        <v>0</v>
      </c>
      <c r="L87" s="68">
        <f t="shared" si="7"/>
        <v>0</v>
      </c>
      <c r="M87" s="67">
        <f>IFERROR(SUMIF(体外式膜型人工肺!$C$30:$C$74,B87,体外式膜型人工肺!$N$30:$N$74)*((体外式膜型人工肺!$H$3-体外式膜型人工肺!$I$3)/体外式膜型人工肺!$H$3),0)</f>
        <v>0</v>
      </c>
      <c r="N87" s="68">
        <f t="shared" si="8"/>
        <v>0</v>
      </c>
      <c r="O87" s="68">
        <f t="shared" si="9"/>
        <v>0</v>
      </c>
      <c r="P87" s="68">
        <f t="shared" si="10"/>
        <v>0</v>
      </c>
      <c r="Q87" s="67">
        <f>IFERROR(SUMIF(紫外線照射装置!$C$30:$C$74,B87,紫外線照射装置!$N$30:$N$74)*((紫外線照射装置!$H$3-紫外線照射装置!$I$3)/紫外線照射装置!$H$3),0)</f>
        <v>0</v>
      </c>
      <c r="R87" s="68">
        <f t="shared" si="11"/>
        <v>0</v>
      </c>
      <c r="S87" s="101">
        <f t="shared" si="12"/>
        <v>0</v>
      </c>
      <c r="T87" s="67">
        <f>IFERROR(SUMIF(超音波画像診断装置!$C$30:$C$74,B87,超音波画像診断装置!$K$30:$K$74)*((超音波画像診断装置!$H$3-超音波画像診断装置!$I$3)/超音波画像診断装置!$H$3),0)</f>
        <v>0</v>
      </c>
      <c r="U87" s="68">
        <f t="shared" si="13"/>
        <v>0</v>
      </c>
      <c r="V87" s="67">
        <f>IFERROR(SUMIF(血液浄化装置!$C$30:$C$74,B87,血液浄化装置!$K$30:$K$74)*((血液浄化装置!$H$3-血液浄化装置!$I$3)/血液浄化装置!$H$3),0)</f>
        <v>0</v>
      </c>
      <c r="W87" s="68">
        <f t="shared" si="14"/>
        <v>0</v>
      </c>
      <c r="X87" s="67">
        <f>IFERROR(SUMIF(気管支鏡!$C$30:$C$74,B87,気管支鏡!$K$30:$K$74)*((気管支鏡!$H$3-気管支鏡!$I$3)/気管支鏡!$H$3),0)</f>
        <v>0</v>
      </c>
      <c r="Y87" s="68">
        <f t="shared" ref="Y87:Y150" si="18">ROUNDDOWN(MIN(X87,$Y$21),-3)</f>
        <v>0</v>
      </c>
      <c r="Z87" s="67">
        <f>IFERROR(SUMIF(CT撮影装置!$C$30:$C$74,B87,CT撮影装置!$K$30:$K$74)*((CT撮影装置!$H$3-CT撮影装置!$I$3)/CT撮影装置!$H$3),0)</f>
        <v>0</v>
      </c>
      <c r="AA87" s="68">
        <f t="shared" si="15"/>
        <v>0</v>
      </c>
      <c r="AB87" s="67">
        <f>IFERROR(SUMIF(生体情報モニタ!$C$30:$C$74,B87,生体情報モニタ!$K$30:$K$74)*((生体情報モニタ!$H$3-生体情報モニタ!$I$3)/生体情報モニタ!$H$3),0)</f>
        <v>0</v>
      </c>
      <c r="AC87" s="68">
        <f t="shared" ref="AC87:AC150" si="19">ROUNDDOWN(MIN(AB87,$AC$21),-3)</f>
        <v>0</v>
      </c>
      <c r="AD87" s="67">
        <f>IFERROR(SUMIF(分娩監視装置!$C$30:$C$74,B87,分娩監視装置!$K$30:$K$74)*((分娩監視装置!$H$3-分娩監視装置!$I$3)/分娩監視装置!$H$3),0)</f>
        <v>0</v>
      </c>
      <c r="AE87" s="68">
        <f t="shared" si="16"/>
        <v>0</v>
      </c>
      <c r="AF87" s="67">
        <f>IFERROR(SUMIF(新生児モニタ!$C$30:$C$74,B87,新生児モニタ!$K$30:$K$74)*((新生児モニタ!$H$3-新生児モニタ!$I$3)/新生児モニタ!$H$3),0)</f>
        <v>0</v>
      </c>
      <c r="AG87" s="68">
        <f t="shared" si="17"/>
        <v>0</v>
      </c>
    </row>
    <row r="88" spans="2:33">
      <c r="B88" s="64" t="s">
        <v>735</v>
      </c>
      <c r="C88" s="67">
        <f>IFERROR(SUMIF(初度設備!$C$30:$C$74,B88,初度設備!$N$30:$N$74)*((初度設備!$H$3-初度設備!$I$3)/初度設備!$H$3),0)</f>
        <v>0</v>
      </c>
      <c r="D88" s="68">
        <f t="shared" ref="D88:D151" si="20">ROUNDDOWN(MIN(C88,$D$21),-3)</f>
        <v>0</v>
      </c>
      <c r="E88" s="67">
        <f>IFERROR(SUMIF(人工呼吸器!$C$30:$C$74,B88,人工呼吸器!$N$30:$N$74)*((人工呼吸器!$H$3-人工呼吸器!$I$3)/人工呼吸器!$H$3),0)</f>
        <v>0</v>
      </c>
      <c r="F88" s="68">
        <f t="shared" ref="F88:F151" si="21">ROUNDDOWN(E88,-3)</f>
        <v>0</v>
      </c>
      <c r="G88" s="68">
        <f t="shared" ref="G88:G151" si="22">IF(F88&gt;=5000000,5000000,F88)</f>
        <v>0</v>
      </c>
      <c r="H88" s="68">
        <f t="shared" ref="H88:H151" si="23">IF(G88=5000000,F88-5000000,0)</f>
        <v>0</v>
      </c>
      <c r="I88" s="67">
        <f>IFERROR(SUMIF(簡易陰圧装置!$C$30:$C$74,B88,簡易陰圧装置!$N$30:$N$74)*((簡易陰圧装置!$H$3-簡易陰圧装置!$I$3)/簡易陰圧装置!$H$3),0)</f>
        <v>0</v>
      </c>
      <c r="J88" s="68">
        <f t="shared" ref="J88:J151" si="24">ROUNDDOWN(MIN(I88,$J$21),-3)</f>
        <v>0</v>
      </c>
      <c r="K88" s="67">
        <f>IFERROR(SUMIF(#REF!,B88,#REF!)*((#REF!-#REF!)/#REF!),0)</f>
        <v>0</v>
      </c>
      <c r="L88" s="68">
        <f t="shared" ref="L88:L151" si="25">ROUNDDOWN(MIN(K88,$L$21),-3)</f>
        <v>0</v>
      </c>
      <c r="M88" s="67">
        <f>IFERROR(SUMIF(体外式膜型人工肺!$C$30:$C$74,B88,体外式膜型人工肺!$N$30:$N$74)*((体外式膜型人工肺!$H$3-体外式膜型人工肺!$I$3)/体外式膜型人工肺!$H$3),0)</f>
        <v>0</v>
      </c>
      <c r="N88" s="68">
        <f t="shared" ref="N88:N151" si="26">ROUNDDOWN(M88,-3)</f>
        <v>0</v>
      </c>
      <c r="O88" s="68">
        <f t="shared" ref="O88:O151" si="27">IF(N88&gt;=21000000,21000000,N88)</f>
        <v>0</v>
      </c>
      <c r="P88" s="68">
        <f t="shared" ref="P88:P151" si="28">IF(O88=21000000,N88-21000000,0)</f>
        <v>0</v>
      </c>
      <c r="Q88" s="67">
        <f>IFERROR(SUMIF(紫外線照射装置!$C$30:$C$74,B88,紫外線照射装置!$N$30:$N$74)*((紫外線照射装置!$H$3-紫外線照射装置!$I$3)/紫外線照射装置!$H$3),0)</f>
        <v>0</v>
      </c>
      <c r="R88" s="68">
        <f t="shared" ref="R88:R151" si="29">IFERROR(ROUNDDOWN(MIN(Q88,$R$21)/2,-3),0)</f>
        <v>0</v>
      </c>
      <c r="S88" s="101">
        <f t="shared" ref="S88:S151" si="30">R88</f>
        <v>0</v>
      </c>
      <c r="T88" s="67">
        <f>IFERROR(SUMIF(超音波画像診断装置!$C$30:$C$74,B88,超音波画像診断装置!$K$30:$K$74)*((超音波画像診断装置!$H$3-超音波画像診断装置!$I$3)/超音波画像診断装置!$H$3),0)</f>
        <v>0</v>
      </c>
      <c r="U88" s="68">
        <f t="shared" ref="U88:U151" si="31">ROUNDDOWN(MIN(T88,$U$21),-3)</f>
        <v>0</v>
      </c>
      <c r="V88" s="67">
        <f>IFERROR(SUMIF(血液浄化装置!$C$30:$C$74,B88,血液浄化装置!$K$30:$K$74)*((血液浄化装置!$H$3-血液浄化装置!$I$3)/血液浄化装置!$H$3),0)</f>
        <v>0</v>
      </c>
      <c r="W88" s="68">
        <f t="shared" ref="W88:W151" si="32">ROUNDDOWN(MIN(V88,$W$21),-3)</f>
        <v>0</v>
      </c>
      <c r="X88" s="67">
        <f>IFERROR(SUMIF(気管支鏡!$C$30:$C$74,B88,気管支鏡!$K$30:$K$74)*((気管支鏡!$H$3-気管支鏡!$I$3)/気管支鏡!$H$3),0)</f>
        <v>0</v>
      </c>
      <c r="Y88" s="68">
        <f t="shared" si="18"/>
        <v>0</v>
      </c>
      <c r="Z88" s="67">
        <f>IFERROR(SUMIF(CT撮影装置!$C$30:$C$74,B88,CT撮影装置!$K$30:$K$74)*((CT撮影装置!$H$3-CT撮影装置!$I$3)/CT撮影装置!$H$3),0)</f>
        <v>0</v>
      </c>
      <c r="AA88" s="68">
        <f t="shared" ref="AA88:AA151" si="33">ROUNDDOWN(MIN(Z88,$AA$21),-3)</f>
        <v>0</v>
      </c>
      <c r="AB88" s="67">
        <f>IFERROR(SUMIF(生体情報モニタ!$C$30:$C$74,B88,生体情報モニタ!$K$30:$K$74)*((生体情報モニタ!$H$3-生体情報モニタ!$I$3)/生体情報モニタ!$H$3),0)</f>
        <v>0</v>
      </c>
      <c r="AC88" s="68">
        <f t="shared" si="19"/>
        <v>0</v>
      </c>
      <c r="AD88" s="67">
        <f>IFERROR(SUMIF(分娩監視装置!$C$30:$C$74,B88,分娩監視装置!$K$30:$K$74)*((分娩監視装置!$H$3-分娩監視装置!$I$3)/分娩監視装置!$H$3),0)</f>
        <v>0</v>
      </c>
      <c r="AE88" s="68">
        <f t="shared" ref="AE88:AE151" si="34">ROUNDDOWN(MIN(AD88,$AE$21),-3)</f>
        <v>0</v>
      </c>
      <c r="AF88" s="67">
        <f>IFERROR(SUMIF(新生児モニタ!$C$30:$C$74,B88,新生児モニタ!$K$30:$K$74)*((新生児モニタ!$H$3-新生児モニタ!$I$3)/新生児モニタ!$H$3),0)</f>
        <v>0</v>
      </c>
      <c r="AG88" s="68">
        <f t="shared" ref="AG88:AG151" si="35">ROUNDDOWN(MIN(AF88,$AG$21),-3)</f>
        <v>0</v>
      </c>
    </row>
    <row r="89" spans="2:33">
      <c r="B89" s="64" t="s">
        <v>736</v>
      </c>
      <c r="C89" s="67">
        <f>IFERROR(SUMIF(初度設備!$C$30:$C$74,B89,初度設備!$N$30:$N$74)*((初度設備!$H$3-初度設備!$I$3)/初度設備!$H$3),0)</f>
        <v>0</v>
      </c>
      <c r="D89" s="68">
        <f t="shared" si="20"/>
        <v>0</v>
      </c>
      <c r="E89" s="67">
        <f>IFERROR(SUMIF(人工呼吸器!$C$30:$C$74,B89,人工呼吸器!$N$30:$N$74)*((人工呼吸器!$H$3-人工呼吸器!$I$3)/人工呼吸器!$H$3),0)</f>
        <v>0</v>
      </c>
      <c r="F89" s="68">
        <f t="shared" si="21"/>
        <v>0</v>
      </c>
      <c r="G89" s="68">
        <f t="shared" si="22"/>
        <v>0</v>
      </c>
      <c r="H89" s="68">
        <f t="shared" si="23"/>
        <v>0</v>
      </c>
      <c r="I89" s="67">
        <f>IFERROR(SUMIF(簡易陰圧装置!$C$30:$C$74,B89,簡易陰圧装置!$N$30:$N$74)*((簡易陰圧装置!$H$3-簡易陰圧装置!$I$3)/簡易陰圧装置!$H$3),0)</f>
        <v>0</v>
      </c>
      <c r="J89" s="68">
        <f t="shared" si="24"/>
        <v>0</v>
      </c>
      <c r="K89" s="67">
        <f>IFERROR(SUMIF(#REF!,B89,#REF!)*((#REF!-#REF!)/#REF!),0)</f>
        <v>0</v>
      </c>
      <c r="L89" s="68">
        <f t="shared" si="25"/>
        <v>0</v>
      </c>
      <c r="M89" s="67">
        <f>IFERROR(SUMIF(体外式膜型人工肺!$C$30:$C$74,B89,体外式膜型人工肺!$N$30:$N$74)*((体外式膜型人工肺!$H$3-体外式膜型人工肺!$I$3)/体外式膜型人工肺!$H$3),0)</f>
        <v>0</v>
      </c>
      <c r="N89" s="68">
        <f t="shared" si="26"/>
        <v>0</v>
      </c>
      <c r="O89" s="68">
        <f t="shared" si="27"/>
        <v>0</v>
      </c>
      <c r="P89" s="68">
        <f t="shared" si="28"/>
        <v>0</v>
      </c>
      <c r="Q89" s="67">
        <f>IFERROR(SUMIF(紫外線照射装置!$C$30:$C$74,B89,紫外線照射装置!$N$30:$N$74)*((紫外線照射装置!$H$3-紫外線照射装置!$I$3)/紫外線照射装置!$H$3),0)</f>
        <v>0</v>
      </c>
      <c r="R89" s="68">
        <f t="shared" si="29"/>
        <v>0</v>
      </c>
      <c r="S89" s="101">
        <f t="shared" si="30"/>
        <v>0</v>
      </c>
      <c r="T89" s="67">
        <f>IFERROR(SUMIF(超音波画像診断装置!$C$30:$C$74,B89,超音波画像診断装置!$K$30:$K$74)*((超音波画像診断装置!$H$3-超音波画像診断装置!$I$3)/超音波画像診断装置!$H$3),0)</f>
        <v>0</v>
      </c>
      <c r="U89" s="68">
        <f t="shared" si="31"/>
        <v>0</v>
      </c>
      <c r="V89" s="67">
        <f>IFERROR(SUMIF(血液浄化装置!$C$30:$C$74,B89,血液浄化装置!$K$30:$K$74)*((血液浄化装置!$H$3-血液浄化装置!$I$3)/血液浄化装置!$H$3),0)</f>
        <v>0</v>
      </c>
      <c r="W89" s="68">
        <f t="shared" si="32"/>
        <v>0</v>
      </c>
      <c r="X89" s="67">
        <f>IFERROR(SUMIF(気管支鏡!$C$30:$C$74,B89,気管支鏡!$K$30:$K$74)*((気管支鏡!$H$3-気管支鏡!$I$3)/気管支鏡!$H$3),0)</f>
        <v>0</v>
      </c>
      <c r="Y89" s="68">
        <f t="shared" si="18"/>
        <v>0</v>
      </c>
      <c r="Z89" s="67">
        <f>IFERROR(SUMIF(CT撮影装置!$C$30:$C$74,B89,CT撮影装置!$K$30:$K$74)*((CT撮影装置!$H$3-CT撮影装置!$I$3)/CT撮影装置!$H$3),0)</f>
        <v>0</v>
      </c>
      <c r="AA89" s="68">
        <f t="shared" si="33"/>
        <v>0</v>
      </c>
      <c r="AB89" s="67">
        <f>IFERROR(SUMIF(生体情報モニタ!$C$30:$C$74,B89,生体情報モニタ!$K$30:$K$74)*((生体情報モニタ!$H$3-生体情報モニタ!$I$3)/生体情報モニタ!$H$3),0)</f>
        <v>0</v>
      </c>
      <c r="AC89" s="68">
        <f t="shared" si="19"/>
        <v>0</v>
      </c>
      <c r="AD89" s="67">
        <f>IFERROR(SUMIF(分娩監視装置!$C$30:$C$74,B89,分娩監視装置!$K$30:$K$74)*((分娩監視装置!$H$3-分娩監視装置!$I$3)/分娩監視装置!$H$3),0)</f>
        <v>0</v>
      </c>
      <c r="AE89" s="68">
        <f t="shared" si="34"/>
        <v>0</v>
      </c>
      <c r="AF89" s="67">
        <f>IFERROR(SUMIF(新生児モニタ!$C$30:$C$74,B89,新生児モニタ!$K$30:$K$74)*((新生児モニタ!$H$3-新生児モニタ!$I$3)/新生児モニタ!$H$3),0)</f>
        <v>0</v>
      </c>
      <c r="AG89" s="68">
        <f t="shared" si="35"/>
        <v>0</v>
      </c>
    </row>
    <row r="90" spans="2:33">
      <c r="B90" s="64" t="s">
        <v>737</v>
      </c>
      <c r="C90" s="67">
        <f>IFERROR(SUMIF(初度設備!$C$30:$C$74,B90,初度設備!$N$30:$N$74)*((初度設備!$H$3-初度設備!$I$3)/初度設備!$H$3),0)</f>
        <v>0</v>
      </c>
      <c r="D90" s="68">
        <f t="shared" si="20"/>
        <v>0</v>
      </c>
      <c r="E90" s="67">
        <f>IFERROR(SUMIF(人工呼吸器!$C$30:$C$74,B90,人工呼吸器!$N$30:$N$74)*((人工呼吸器!$H$3-人工呼吸器!$I$3)/人工呼吸器!$H$3),0)</f>
        <v>0</v>
      </c>
      <c r="F90" s="68">
        <f t="shared" si="21"/>
        <v>0</v>
      </c>
      <c r="G90" s="68">
        <f t="shared" si="22"/>
        <v>0</v>
      </c>
      <c r="H90" s="68">
        <f t="shared" si="23"/>
        <v>0</v>
      </c>
      <c r="I90" s="67">
        <f>IFERROR(SUMIF(簡易陰圧装置!$C$30:$C$74,B90,簡易陰圧装置!$N$30:$N$74)*((簡易陰圧装置!$H$3-簡易陰圧装置!$I$3)/簡易陰圧装置!$H$3),0)</f>
        <v>0</v>
      </c>
      <c r="J90" s="68">
        <f t="shared" si="24"/>
        <v>0</v>
      </c>
      <c r="K90" s="67">
        <f>IFERROR(SUMIF(#REF!,B90,#REF!)*((#REF!-#REF!)/#REF!),0)</f>
        <v>0</v>
      </c>
      <c r="L90" s="68">
        <f t="shared" si="25"/>
        <v>0</v>
      </c>
      <c r="M90" s="67">
        <f>IFERROR(SUMIF(体外式膜型人工肺!$C$30:$C$74,B90,体外式膜型人工肺!$N$30:$N$74)*((体外式膜型人工肺!$H$3-体外式膜型人工肺!$I$3)/体外式膜型人工肺!$H$3),0)</f>
        <v>0</v>
      </c>
      <c r="N90" s="68">
        <f t="shared" si="26"/>
        <v>0</v>
      </c>
      <c r="O90" s="68">
        <f t="shared" si="27"/>
        <v>0</v>
      </c>
      <c r="P90" s="68">
        <f t="shared" si="28"/>
        <v>0</v>
      </c>
      <c r="Q90" s="67">
        <f>IFERROR(SUMIF(紫外線照射装置!$C$30:$C$74,B90,紫外線照射装置!$N$30:$N$74)*((紫外線照射装置!$H$3-紫外線照射装置!$I$3)/紫外線照射装置!$H$3),0)</f>
        <v>0</v>
      </c>
      <c r="R90" s="68">
        <f t="shared" si="29"/>
        <v>0</v>
      </c>
      <c r="S90" s="101">
        <f t="shared" si="30"/>
        <v>0</v>
      </c>
      <c r="T90" s="67">
        <f>IFERROR(SUMIF(超音波画像診断装置!$C$30:$C$74,B90,超音波画像診断装置!$K$30:$K$74)*((超音波画像診断装置!$H$3-超音波画像診断装置!$I$3)/超音波画像診断装置!$H$3),0)</f>
        <v>0</v>
      </c>
      <c r="U90" s="68">
        <f t="shared" si="31"/>
        <v>0</v>
      </c>
      <c r="V90" s="67">
        <f>IFERROR(SUMIF(血液浄化装置!$C$30:$C$74,B90,血液浄化装置!$K$30:$K$74)*((血液浄化装置!$H$3-血液浄化装置!$I$3)/血液浄化装置!$H$3),0)</f>
        <v>0</v>
      </c>
      <c r="W90" s="68">
        <f t="shared" si="32"/>
        <v>0</v>
      </c>
      <c r="X90" s="67">
        <f>IFERROR(SUMIF(気管支鏡!$C$30:$C$74,B90,気管支鏡!$K$30:$K$74)*((気管支鏡!$H$3-気管支鏡!$I$3)/気管支鏡!$H$3),0)</f>
        <v>0</v>
      </c>
      <c r="Y90" s="68">
        <f t="shared" si="18"/>
        <v>0</v>
      </c>
      <c r="Z90" s="67">
        <f>IFERROR(SUMIF(CT撮影装置!$C$30:$C$74,B90,CT撮影装置!$K$30:$K$74)*((CT撮影装置!$H$3-CT撮影装置!$I$3)/CT撮影装置!$H$3),0)</f>
        <v>0</v>
      </c>
      <c r="AA90" s="68">
        <f t="shared" si="33"/>
        <v>0</v>
      </c>
      <c r="AB90" s="67">
        <f>IFERROR(SUMIF(生体情報モニタ!$C$30:$C$74,B90,生体情報モニタ!$K$30:$K$74)*((生体情報モニタ!$H$3-生体情報モニタ!$I$3)/生体情報モニタ!$H$3),0)</f>
        <v>0</v>
      </c>
      <c r="AC90" s="68">
        <f t="shared" si="19"/>
        <v>0</v>
      </c>
      <c r="AD90" s="67">
        <f>IFERROR(SUMIF(分娩監視装置!$C$30:$C$74,B90,分娩監視装置!$K$30:$K$74)*((分娩監視装置!$H$3-分娩監視装置!$I$3)/分娩監視装置!$H$3),0)</f>
        <v>0</v>
      </c>
      <c r="AE90" s="68">
        <f t="shared" si="34"/>
        <v>0</v>
      </c>
      <c r="AF90" s="67">
        <f>IFERROR(SUMIF(新生児モニタ!$C$30:$C$74,B90,新生児モニタ!$K$30:$K$74)*((新生児モニタ!$H$3-新生児モニタ!$I$3)/新生児モニタ!$H$3),0)</f>
        <v>0</v>
      </c>
      <c r="AG90" s="68">
        <f t="shared" si="35"/>
        <v>0</v>
      </c>
    </row>
    <row r="91" spans="2:33">
      <c r="B91" s="64" t="s">
        <v>738</v>
      </c>
      <c r="C91" s="67">
        <f>IFERROR(SUMIF(初度設備!$C$30:$C$74,B91,初度設備!$N$30:$N$74)*((初度設備!$H$3-初度設備!$I$3)/初度設備!$H$3),0)</f>
        <v>0</v>
      </c>
      <c r="D91" s="68">
        <f t="shared" si="20"/>
        <v>0</v>
      </c>
      <c r="E91" s="67">
        <f>IFERROR(SUMIF(人工呼吸器!$C$30:$C$74,B91,人工呼吸器!$N$30:$N$74)*((人工呼吸器!$H$3-人工呼吸器!$I$3)/人工呼吸器!$H$3),0)</f>
        <v>0</v>
      </c>
      <c r="F91" s="68">
        <f t="shared" si="21"/>
        <v>0</v>
      </c>
      <c r="G91" s="68">
        <f t="shared" si="22"/>
        <v>0</v>
      </c>
      <c r="H91" s="68">
        <f t="shared" si="23"/>
        <v>0</v>
      </c>
      <c r="I91" s="67">
        <f>IFERROR(SUMIF(簡易陰圧装置!$C$30:$C$74,B91,簡易陰圧装置!$N$30:$N$74)*((簡易陰圧装置!$H$3-簡易陰圧装置!$I$3)/簡易陰圧装置!$H$3),0)</f>
        <v>0</v>
      </c>
      <c r="J91" s="68">
        <f t="shared" si="24"/>
        <v>0</v>
      </c>
      <c r="K91" s="67">
        <f>IFERROR(SUMIF(#REF!,B91,#REF!)*((#REF!-#REF!)/#REF!),0)</f>
        <v>0</v>
      </c>
      <c r="L91" s="68">
        <f t="shared" si="25"/>
        <v>0</v>
      </c>
      <c r="M91" s="67">
        <f>IFERROR(SUMIF(体外式膜型人工肺!$C$30:$C$74,B91,体外式膜型人工肺!$N$30:$N$74)*((体外式膜型人工肺!$H$3-体外式膜型人工肺!$I$3)/体外式膜型人工肺!$H$3),0)</f>
        <v>0</v>
      </c>
      <c r="N91" s="68">
        <f t="shared" si="26"/>
        <v>0</v>
      </c>
      <c r="O91" s="68">
        <f t="shared" si="27"/>
        <v>0</v>
      </c>
      <c r="P91" s="68">
        <f t="shared" si="28"/>
        <v>0</v>
      </c>
      <c r="Q91" s="67">
        <f>IFERROR(SUMIF(紫外線照射装置!$C$30:$C$74,B91,紫外線照射装置!$N$30:$N$74)*((紫外線照射装置!$H$3-紫外線照射装置!$I$3)/紫外線照射装置!$H$3),0)</f>
        <v>0</v>
      </c>
      <c r="R91" s="68">
        <f t="shared" si="29"/>
        <v>0</v>
      </c>
      <c r="S91" s="101">
        <f t="shared" si="30"/>
        <v>0</v>
      </c>
      <c r="T91" s="67">
        <f>IFERROR(SUMIF(超音波画像診断装置!$C$30:$C$74,B91,超音波画像診断装置!$K$30:$K$74)*((超音波画像診断装置!$H$3-超音波画像診断装置!$I$3)/超音波画像診断装置!$H$3),0)</f>
        <v>0</v>
      </c>
      <c r="U91" s="68">
        <f t="shared" si="31"/>
        <v>0</v>
      </c>
      <c r="V91" s="67">
        <f>IFERROR(SUMIF(血液浄化装置!$C$30:$C$74,B91,血液浄化装置!$K$30:$K$74)*((血液浄化装置!$H$3-血液浄化装置!$I$3)/血液浄化装置!$H$3),0)</f>
        <v>0</v>
      </c>
      <c r="W91" s="68">
        <f t="shared" si="32"/>
        <v>0</v>
      </c>
      <c r="X91" s="67">
        <f>IFERROR(SUMIF(気管支鏡!$C$30:$C$74,B91,気管支鏡!$K$30:$K$74)*((気管支鏡!$H$3-気管支鏡!$I$3)/気管支鏡!$H$3),0)</f>
        <v>0</v>
      </c>
      <c r="Y91" s="68">
        <f t="shared" si="18"/>
        <v>0</v>
      </c>
      <c r="Z91" s="67">
        <f>IFERROR(SUMIF(CT撮影装置!$C$30:$C$74,B91,CT撮影装置!$K$30:$K$74)*((CT撮影装置!$H$3-CT撮影装置!$I$3)/CT撮影装置!$H$3),0)</f>
        <v>0</v>
      </c>
      <c r="AA91" s="68">
        <f t="shared" si="33"/>
        <v>0</v>
      </c>
      <c r="AB91" s="67">
        <f>IFERROR(SUMIF(生体情報モニタ!$C$30:$C$74,B91,生体情報モニタ!$K$30:$K$74)*((生体情報モニタ!$H$3-生体情報モニタ!$I$3)/生体情報モニタ!$H$3),0)</f>
        <v>0</v>
      </c>
      <c r="AC91" s="68">
        <f t="shared" si="19"/>
        <v>0</v>
      </c>
      <c r="AD91" s="67">
        <f>IFERROR(SUMIF(分娩監視装置!$C$30:$C$74,B91,分娩監視装置!$K$30:$K$74)*((分娩監視装置!$H$3-分娩監視装置!$I$3)/分娩監視装置!$H$3),0)</f>
        <v>0</v>
      </c>
      <c r="AE91" s="68">
        <f t="shared" si="34"/>
        <v>0</v>
      </c>
      <c r="AF91" s="67">
        <f>IFERROR(SUMIF(新生児モニタ!$C$30:$C$74,B91,新生児モニタ!$K$30:$K$74)*((新生児モニタ!$H$3-新生児モニタ!$I$3)/新生児モニタ!$H$3),0)</f>
        <v>0</v>
      </c>
      <c r="AG91" s="68">
        <f t="shared" si="35"/>
        <v>0</v>
      </c>
    </row>
    <row r="92" spans="2:33">
      <c r="B92" s="64" t="s">
        <v>739</v>
      </c>
      <c r="C92" s="67">
        <f>IFERROR(SUMIF(初度設備!$C$30:$C$74,B92,初度設備!$N$30:$N$74)*((初度設備!$H$3-初度設備!$I$3)/初度設備!$H$3),0)</f>
        <v>0</v>
      </c>
      <c r="D92" s="68">
        <f t="shared" si="20"/>
        <v>0</v>
      </c>
      <c r="E92" s="67">
        <f>IFERROR(SUMIF(人工呼吸器!$C$30:$C$74,B92,人工呼吸器!$N$30:$N$74)*((人工呼吸器!$H$3-人工呼吸器!$I$3)/人工呼吸器!$H$3),0)</f>
        <v>0</v>
      </c>
      <c r="F92" s="68">
        <f t="shared" si="21"/>
        <v>0</v>
      </c>
      <c r="G92" s="68">
        <f t="shared" si="22"/>
        <v>0</v>
      </c>
      <c r="H92" s="68">
        <f t="shared" si="23"/>
        <v>0</v>
      </c>
      <c r="I92" s="67">
        <f>IFERROR(SUMIF(簡易陰圧装置!$C$30:$C$74,B92,簡易陰圧装置!$N$30:$N$74)*((簡易陰圧装置!$H$3-簡易陰圧装置!$I$3)/簡易陰圧装置!$H$3),0)</f>
        <v>0</v>
      </c>
      <c r="J92" s="68">
        <f t="shared" si="24"/>
        <v>0</v>
      </c>
      <c r="K92" s="67">
        <f>IFERROR(SUMIF(#REF!,B92,#REF!)*((#REF!-#REF!)/#REF!),0)</f>
        <v>0</v>
      </c>
      <c r="L92" s="68">
        <f t="shared" si="25"/>
        <v>0</v>
      </c>
      <c r="M92" s="67">
        <f>IFERROR(SUMIF(体外式膜型人工肺!$C$30:$C$74,B92,体外式膜型人工肺!$N$30:$N$74)*((体外式膜型人工肺!$H$3-体外式膜型人工肺!$I$3)/体外式膜型人工肺!$H$3),0)</f>
        <v>0</v>
      </c>
      <c r="N92" s="68">
        <f t="shared" si="26"/>
        <v>0</v>
      </c>
      <c r="O92" s="68">
        <f t="shared" si="27"/>
        <v>0</v>
      </c>
      <c r="P92" s="68">
        <f t="shared" si="28"/>
        <v>0</v>
      </c>
      <c r="Q92" s="67">
        <f>IFERROR(SUMIF(紫外線照射装置!$C$30:$C$74,B92,紫外線照射装置!$N$30:$N$74)*((紫外線照射装置!$H$3-紫外線照射装置!$I$3)/紫外線照射装置!$H$3),0)</f>
        <v>0</v>
      </c>
      <c r="R92" s="68">
        <f t="shared" si="29"/>
        <v>0</v>
      </c>
      <c r="S92" s="101">
        <f t="shared" si="30"/>
        <v>0</v>
      </c>
      <c r="T92" s="67">
        <f>IFERROR(SUMIF(超音波画像診断装置!$C$30:$C$74,B92,超音波画像診断装置!$K$30:$K$74)*((超音波画像診断装置!$H$3-超音波画像診断装置!$I$3)/超音波画像診断装置!$H$3),0)</f>
        <v>0</v>
      </c>
      <c r="U92" s="68">
        <f t="shared" si="31"/>
        <v>0</v>
      </c>
      <c r="V92" s="67">
        <f>IFERROR(SUMIF(血液浄化装置!$C$30:$C$74,B92,血液浄化装置!$K$30:$K$74)*((血液浄化装置!$H$3-血液浄化装置!$I$3)/血液浄化装置!$H$3),0)</f>
        <v>0</v>
      </c>
      <c r="W92" s="68">
        <f t="shared" si="32"/>
        <v>0</v>
      </c>
      <c r="X92" s="67">
        <f>IFERROR(SUMIF(気管支鏡!$C$30:$C$74,B92,気管支鏡!$K$30:$K$74)*((気管支鏡!$H$3-気管支鏡!$I$3)/気管支鏡!$H$3),0)</f>
        <v>0</v>
      </c>
      <c r="Y92" s="68">
        <f t="shared" si="18"/>
        <v>0</v>
      </c>
      <c r="Z92" s="67">
        <f>IFERROR(SUMIF(CT撮影装置!$C$30:$C$74,B92,CT撮影装置!$K$30:$K$74)*((CT撮影装置!$H$3-CT撮影装置!$I$3)/CT撮影装置!$H$3),0)</f>
        <v>0</v>
      </c>
      <c r="AA92" s="68">
        <f t="shared" si="33"/>
        <v>0</v>
      </c>
      <c r="AB92" s="67">
        <f>IFERROR(SUMIF(生体情報モニタ!$C$30:$C$74,B92,生体情報モニタ!$K$30:$K$74)*((生体情報モニタ!$H$3-生体情報モニタ!$I$3)/生体情報モニタ!$H$3),0)</f>
        <v>0</v>
      </c>
      <c r="AC92" s="68">
        <f t="shared" si="19"/>
        <v>0</v>
      </c>
      <c r="AD92" s="67">
        <f>IFERROR(SUMIF(分娩監視装置!$C$30:$C$74,B92,分娩監視装置!$K$30:$K$74)*((分娩監視装置!$H$3-分娩監視装置!$I$3)/分娩監視装置!$H$3),0)</f>
        <v>0</v>
      </c>
      <c r="AE92" s="68">
        <f t="shared" si="34"/>
        <v>0</v>
      </c>
      <c r="AF92" s="67">
        <f>IFERROR(SUMIF(新生児モニタ!$C$30:$C$74,B92,新生児モニタ!$K$30:$K$74)*((新生児モニタ!$H$3-新生児モニタ!$I$3)/新生児モニタ!$H$3),0)</f>
        <v>0</v>
      </c>
      <c r="AG92" s="68">
        <f t="shared" si="35"/>
        <v>0</v>
      </c>
    </row>
    <row r="93" spans="2:33">
      <c r="B93" s="64" t="s">
        <v>740</v>
      </c>
      <c r="C93" s="67">
        <f>IFERROR(SUMIF(初度設備!$C$30:$C$74,B93,初度設備!$N$30:$N$74)*((初度設備!$H$3-初度設備!$I$3)/初度設備!$H$3),0)</f>
        <v>0</v>
      </c>
      <c r="D93" s="68">
        <f t="shared" si="20"/>
        <v>0</v>
      </c>
      <c r="E93" s="67">
        <f>IFERROR(SUMIF(人工呼吸器!$C$30:$C$74,B93,人工呼吸器!$N$30:$N$74)*((人工呼吸器!$H$3-人工呼吸器!$I$3)/人工呼吸器!$H$3),0)</f>
        <v>0</v>
      </c>
      <c r="F93" s="68">
        <f t="shared" si="21"/>
        <v>0</v>
      </c>
      <c r="G93" s="68">
        <f t="shared" si="22"/>
        <v>0</v>
      </c>
      <c r="H93" s="68">
        <f t="shared" si="23"/>
        <v>0</v>
      </c>
      <c r="I93" s="67">
        <f>IFERROR(SUMIF(簡易陰圧装置!$C$30:$C$74,B93,簡易陰圧装置!$N$30:$N$74)*((簡易陰圧装置!$H$3-簡易陰圧装置!$I$3)/簡易陰圧装置!$H$3),0)</f>
        <v>0</v>
      </c>
      <c r="J93" s="68">
        <f t="shared" si="24"/>
        <v>0</v>
      </c>
      <c r="K93" s="67">
        <f>IFERROR(SUMIF(#REF!,B93,#REF!)*((#REF!-#REF!)/#REF!),0)</f>
        <v>0</v>
      </c>
      <c r="L93" s="68">
        <f t="shared" si="25"/>
        <v>0</v>
      </c>
      <c r="M93" s="67">
        <f>IFERROR(SUMIF(体外式膜型人工肺!$C$30:$C$74,B93,体外式膜型人工肺!$N$30:$N$74)*((体外式膜型人工肺!$H$3-体外式膜型人工肺!$I$3)/体外式膜型人工肺!$H$3),0)</f>
        <v>0</v>
      </c>
      <c r="N93" s="68">
        <f t="shared" si="26"/>
        <v>0</v>
      </c>
      <c r="O93" s="68">
        <f t="shared" si="27"/>
        <v>0</v>
      </c>
      <c r="P93" s="68">
        <f t="shared" si="28"/>
        <v>0</v>
      </c>
      <c r="Q93" s="67">
        <f>IFERROR(SUMIF(紫外線照射装置!$C$30:$C$74,B93,紫外線照射装置!$N$30:$N$74)*((紫外線照射装置!$H$3-紫外線照射装置!$I$3)/紫外線照射装置!$H$3),0)</f>
        <v>0</v>
      </c>
      <c r="R93" s="68">
        <f t="shared" si="29"/>
        <v>0</v>
      </c>
      <c r="S93" s="101">
        <f t="shared" si="30"/>
        <v>0</v>
      </c>
      <c r="T93" s="67">
        <f>IFERROR(SUMIF(超音波画像診断装置!$C$30:$C$74,B93,超音波画像診断装置!$K$30:$K$74)*((超音波画像診断装置!$H$3-超音波画像診断装置!$I$3)/超音波画像診断装置!$H$3),0)</f>
        <v>0</v>
      </c>
      <c r="U93" s="68">
        <f t="shared" si="31"/>
        <v>0</v>
      </c>
      <c r="V93" s="67">
        <f>IFERROR(SUMIF(血液浄化装置!$C$30:$C$74,B93,血液浄化装置!$K$30:$K$74)*((血液浄化装置!$H$3-血液浄化装置!$I$3)/血液浄化装置!$H$3),0)</f>
        <v>0</v>
      </c>
      <c r="W93" s="68">
        <f t="shared" si="32"/>
        <v>0</v>
      </c>
      <c r="X93" s="67">
        <f>IFERROR(SUMIF(気管支鏡!$C$30:$C$74,B93,気管支鏡!$K$30:$K$74)*((気管支鏡!$H$3-気管支鏡!$I$3)/気管支鏡!$H$3),0)</f>
        <v>0</v>
      </c>
      <c r="Y93" s="68">
        <f t="shared" si="18"/>
        <v>0</v>
      </c>
      <c r="Z93" s="67">
        <f>IFERROR(SUMIF(CT撮影装置!$C$30:$C$74,B93,CT撮影装置!$K$30:$K$74)*((CT撮影装置!$H$3-CT撮影装置!$I$3)/CT撮影装置!$H$3),0)</f>
        <v>0</v>
      </c>
      <c r="AA93" s="68">
        <f t="shared" si="33"/>
        <v>0</v>
      </c>
      <c r="AB93" s="67">
        <f>IFERROR(SUMIF(生体情報モニタ!$C$30:$C$74,B93,生体情報モニタ!$K$30:$K$74)*((生体情報モニタ!$H$3-生体情報モニタ!$I$3)/生体情報モニタ!$H$3),0)</f>
        <v>0</v>
      </c>
      <c r="AC93" s="68">
        <f t="shared" si="19"/>
        <v>0</v>
      </c>
      <c r="AD93" s="67">
        <f>IFERROR(SUMIF(分娩監視装置!$C$30:$C$74,B93,分娩監視装置!$K$30:$K$74)*((分娩監視装置!$H$3-分娩監視装置!$I$3)/分娩監視装置!$H$3),0)</f>
        <v>0</v>
      </c>
      <c r="AE93" s="68">
        <f t="shared" si="34"/>
        <v>0</v>
      </c>
      <c r="AF93" s="67">
        <f>IFERROR(SUMIF(新生児モニタ!$C$30:$C$74,B93,新生児モニタ!$K$30:$K$74)*((新生児モニタ!$H$3-新生児モニタ!$I$3)/新生児モニタ!$H$3),0)</f>
        <v>0</v>
      </c>
      <c r="AG93" s="68">
        <f t="shared" si="35"/>
        <v>0</v>
      </c>
    </row>
    <row r="94" spans="2:33">
      <c r="B94" s="64" t="s">
        <v>741</v>
      </c>
      <c r="C94" s="67">
        <f>IFERROR(SUMIF(初度設備!$C$30:$C$74,B94,初度設備!$N$30:$N$74)*((初度設備!$H$3-初度設備!$I$3)/初度設備!$H$3),0)</f>
        <v>0</v>
      </c>
      <c r="D94" s="68">
        <f t="shared" si="20"/>
        <v>0</v>
      </c>
      <c r="E94" s="67">
        <f>IFERROR(SUMIF(人工呼吸器!$C$30:$C$74,B94,人工呼吸器!$N$30:$N$74)*((人工呼吸器!$H$3-人工呼吸器!$I$3)/人工呼吸器!$H$3),0)</f>
        <v>0</v>
      </c>
      <c r="F94" s="68">
        <f t="shared" si="21"/>
        <v>0</v>
      </c>
      <c r="G94" s="68">
        <f t="shared" si="22"/>
        <v>0</v>
      </c>
      <c r="H94" s="68">
        <f t="shared" si="23"/>
        <v>0</v>
      </c>
      <c r="I94" s="67">
        <f>IFERROR(SUMIF(簡易陰圧装置!$C$30:$C$74,B94,簡易陰圧装置!$N$30:$N$74)*((簡易陰圧装置!$H$3-簡易陰圧装置!$I$3)/簡易陰圧装置!$H$3),0)</f>
        <v>0</v>
      </c>
      <c r="J94" s="68">
        <f t="shared" si="24"/>
        <v>0</v>
      </c>
      <c r="K94" s="67">
        <f>IFERROR(SUMIF(#REF!,B94,#REF!)*((#REF!-#REF!)/#REF!),0)</f>
        <v>0</v>
      </c>
      <c r="L94" s="68">
        <f t="shared" si="25"/>
        <v>0</v>
      </c>
      <c r="M94" s="67">
        <f>IFERROR(SUMIF(体外式膜型人工肺!$C$30:$C$74,B94,体外式膜型人工肺!$N$30:$N$74)*((体外式膜型人工肺!$H$3-体外式膜型人工肺!$I$3)/体外式膜型人工肺!$H$3),0)</f>
        <v>0</v>
      </c>
      <c r="N94" s="68">
        <f t="shared" si="26"/>
        <v>0</v>
      </c>
      <c r="O94" s="68">
        <f t="shared" si="27"/>
        <v>0</v>
      </c>
      <c r="P94" s="68">
        <f t="shared" si="28"/>
        <v>0</v>
      </c>
      <c r="Q94" s="67">
        <f>IFERROR(SUMIF(紫外線照射装置!$C$30:$C$74,B94,紫外線照射装置!$N$30:$N$74)*((紫外線照射装置!$H$3-紫外線照射装置!$I$3)/紫外線照射装置!$H$3),0)</f>
        <v>0</v>
      </c>
      <c r="R94" s="68">
        <f t="shared" si="29"/>
        <v>0</v>
      </c>
      <c r="S94" s="101">
        <f t="shared" si="30"/>
        <v>0</v>
      </c>
      <c r="T94" s="67">
        <f>IFERROR(SUMIF(超音波画像診断装置!$C$30:$C$74,B94,超音波画像診断装置!$K$30:$K$74)*((超音波画像診断装置!$H$3-超音波画像診断装置!$I$3)/超音波画像診断装置!$H$3),0)</f>
        <v>0</v>
      </c>
      <c r="U94" s="68">
        <f t="shared" si="31"/>
        <v>0</v>
      </c>
      <c r="V94" s="67">
        <f>IFERROR(SUMIF(血液浄化装置!$C$30:$C$74,B94,血液浄化装置!$K$30:$K$74)*((血液浄化装置!$H$3-血液浄化装置!$I$3)/血液浄化装置!$H$3),0)</f>
        <v>0</v>
      </c>
      <c r="W94" s="68">
        <f t="shared" si="32"/>
        <v>0</v>
      </c>
      <c r="X94" s="67">
        <f>IFERROR(SUMIF(気管支鏡!$C$30:$C$74,B94,気管支鏡!$K$30:$K$74)*((気管支鏡!$H$3-気管支鏡!$I$3)/気管支鏡!$H$3),0)</f>
        <v>0</v>
      </c>
      <c r="Y94" s="68">
        <f t="shared" si="18"/>
        <v>0</v>
      </c>
      <c r="Z94" s="67">
        <f>IFERROR(SUMIF(CT撮影装置!$C$30:$C$74,B94,CT撮影装置!$K$30:$K$74)*((CT撮影装置!$H$3-CT撮影装置!$I$3)/CT撮影装置!$H$3),0)</f>
        <v>0</v>
      </c>
      <c r="AA94" s="68">
        <f t="shared" si="33"/>
        <v>0</v>
      </c>
      <c r="AB94" s="67">
        <f>IFERROR(SUMIF(生体情報モニタ!$C$30:$C$74,B94,生体情報モニタ!$K$30:$K$74)*((生体情報モニタ!$H$3-生体情報モニタ!$I$3)/生体情報モニタ!$H$3),0)</f>
        <v>0</v>
      </c>
      <c r="AC94" s="68">
        <f t="shared" si="19"/>
        <v>0</v>
      </c>
      <c r="AD94" s="67">
        <f>IFERROR(SUMIF(分娩監視装置!$C$30:$C$74,B94,分娩監視装置!$K$30:$K$74)*((分娩監視装置!$H$3-分娩監視装置!$I$3)/分娩監視装置!$H$3),0)</f>
        <v>0</v>
      </c>
      <c r="AE94" s="68">
        <f t="shared" si="34"/>
        <v>0</v>
      </c>
      <c r="AF94" s="67">
        <f>IFERROR(SUMIF(新生児モニタ!$C$30:$C$74,B94,新生児モニタ!$K$30:$K$74)*((新生児モニタ!$H$3-新生児モニタ!$I$3)/新生児モニタ!$H$3),0)</f>
        <v>0</v>
      </c>
      <c r="AG94" s="68">
        <f t="shared" si="35"/>
        <v>0</v>
      </c>
    </row>
    <row r="95" spans="2:33">
      <c r="B95" s="64" t="s">
        <v>742</v>
      </c>
      <c r="C95" s="67">
        <f>IFERROR(SUMIF(初度設備!$C$30:$C$74,B95,初度設備!$N$30:$N$74)*((初度設備!$H$3-初度設備!$I$3)/初度設備!$H$3),0)</f>
        <v>0</v>
      </c>
      <c r="D95" s="68">
        <f t="shared" si="20"/>
        <v>0</v>
      </c>
      <c r="E95" s="67">
        <f>IFERROR(SUMIF(人工呼吸器!$C$30:$C$74,B95,人工呼吸器!$N$30:$N$74)*((人工呼吸器!$H$3-人工呼吸器!$I$3)/人工呼吸器!$H$3),0)</f>
        <v>0</v>
      </c>
      <c r="F95" s="68">
        <f t="shared" si="21"/>
        <v>0</v>
      </c>
      <c r="G95" s="68">
        <f t="shared" si="22"/>
        <v>0</v>
      </c>
      <c r="H95" s="68">
        <f t="shared" si="23"/>
        <v>0</v>
      </c>
      <c r="I95" s="67">
        <f>IFERROR(SUMIF(簡易陰圧装置!$C$30:$C$74,B95,簡易陰圧装置!$N$30:$N$74)*((簡易陰圧装置!$H$3-簡易陰圧装置!$I$3)/簡易陰圧装置!$H$3),0)</f>
        <v>0</v>
      </c>
      <c r="J95" s="68">
        <f t="shared" si="24"/>
        <v>0</v>
      </c>
      <c r="K95" s="67">
        <f>IFERROR(SUMIF(#REF!,B95,#REF!)*((#REF!-#REF!)/#REF!),0)</f>
        <v>0</v>
      </c>
      <c r="L95" s="68">
        <f t="shared" si="25"/>
        <v>0</v>
      </c>
      <c r="M95" s="67">
        <f>IFERROR(SUMIF(体外式膜型人工肺!$C$30:$C$74,B95,体外式膜型人工肺!$N$30:$N$74)*((体外式膜型人工肺!$H$3-体外式膜型人工肺!$I$3)/体外式膜型人工肺!$H$3),0)</f>
        <v>0</v>
      </c>
      <c r="N95" s="68">
        <f t="shared" si="26"/>
        <v>0</v>
      </c>
      <c r="O95" s="68">
        <f t="shared" si="27"/>
        <v>0</v>
      </c>
      <c r="P95" s="68">
        <f t="shared" si="28"/>
        <v>0</v>
      </c>
      <c r="Q95" s="67">
        <f>IFERROR(SUMIF(紫外線照射装置!$C$30:$C$74,B95,紫外線照射装置!$N$30:$N$74)*((紫外線照射装置!$H$3-紫外線照射装置!$I$3)/紫外線照射装置!$H$3),0)</f>
        <v>0</v>
      </c>
      <c r="R95" s="68">
        <f t="shared" si="29"/>
        <v>0</v>
      </c>
      <c r="S95" s="101">
        <f t="shared" si="30"/>
        <v>0</v>
      </c>
      <c r="T95" s="67">
        <f>IFERROR(SUMIF(超音波画像診断装置!$C$30:$C$74,B95,超音波画像診断装置!$K$30:$K$74)*((超音波画像診断装置!$H$3-超音波画像診断装置!$I$3)/超音波画像診断装置!$H$3),0)</f>
        <v>0</v>
      </c>
      <c r="U95" s="68">
        <f t="shared" si="31"/>
        <v>0</v>
      </c>
      <c r="V95" s="67">
        <f>IFERROR(SUMIF(血液浄化装置!$C$30:$C$74,B95,血液浄化装置!$K$30:$K$74)*((血液浄化装置!$H$3-血液浄化装置!$I$3)/血液浄化装置!$H$3),0)</f>
        <v>0</v>
      </c>
      <c r="W95" s="68">
        <f t="shared" si="32"/>
        <v>0</v>
      </c>
      <c r="X95" s="67">
        <f>IFERROR(SUMIF(気管支鏡!$C$30:$C$74,B95,気管支鏡!$K$30:$K$74)*((気管支鏡!$H$3-気管支鏡!$I$3)/気管支鏡!$H$3),0)</f>
        <v>0</v>
      </c>
      <c r="Y95" s="68">
        <f t="shared" si="18"/>
        <v>0</v>
      </c>
      <c r="Z95" s="67">
        <f>IFERROR(SUMIF(CT撮影装置!$C$30:$C$74,B95,CT撮影装置!$K$30:$K$74)*((CT撮影装置!$H$3-CT撮影装置!$I$3)/CT撮影装置!$H$3),0)</f>
        <v>0</v>
      </c>
      <c r="AA95" s="68">
        <f t="shared" si="33"/>
        <v>0</v>
      </c>
      <c r="AB95" s="67">
        <f>IFERROR(SUMIF(生体情報モニタ!$C$30:$C$74,B95,生体情報モニタ!$K$30:$K$74)*((生体情報モニタ!$H$3-生体情報モニタ!$I$3)/生体情報モニタ!$H$3),0)</f>
        <v>0</v>
      </c>
      <c r="AC95" s="68">
        <f t="shared" si="19"/>
        <v>0</v>
      </c>
      <c r="AD95" s="67">
        <f>IFERROR(SUMIF(分娩監視装置!$C$30:$C$74,B95,分娩監視装置!$K$30:$K$74)*((分娩監視装置!$H$3-分娩監視装置!$I$3)/分娩監視装置!$H$3),0)</f>
        <v>0</v>
      </c>
      <c r="AE95" s="68">
        <f t="shared" si="34"/>
        <v>0</v>
      </c>
      <c r="AF95" s="67">
        <f>IFERROR(SUMIF(新生児モニタ!$C$30:$C$74,B95,新生児モニタ!$K$30:$K$74)*((新生児モニタ!$H$3-新生児モニタ!$I$3)/新生児モニタ!$H$3),0)</f>
        <v>0</v>
      </c>
      <c r="AG95" s="68">
        <f t="shared" si="35"/>
        <v>0</v>
      </c>
    </row>
    <row r="96" spans="2:33">
      <c r="B96" s="64" t="s">
        <v>743</v>
      </c>
      <c r="C96" s="67">
        <f>IFERROR(SUMIF(初度設備!$C$30:$C$74,B96,初度設備!$N$30:$N$74)*((初度設備!$H$3-初度設備!$I$3)/初度設備!$H$3),0)</f>
        <v>0</v>
      </c>
      <c r="D96" s="68">
        <f t="shared" si="20"/>
        <v>0</v>
      </c>
      <c r="E96" s="67">
        <f>IFERROR(SUMIF(人工呼吸器!$C$30:$C$74,B96,人工呼吸器!$N$30:$N$74)*((人工呼吸器!$H$3-人工呼吸器!$I$3)/人工呼吸器!$H$3),0)</f>
        <v>0</v>
      </c>
      <c r="F96" s="68">
        <f t="shared" si="21"/>
        <v>0</v>
      </c>
      <c r="G96" s="68">
        <f t="shared" si="22"/>
        <v>0</v>
      </c>
      <c r="H96" s="68">
        <f t="shared" si="23"/>
        <v>0</v>
      </c>
      <c r="I96" s="67">
        <f>IFERROR(SUMIF(簡易陰圧装置!$C$30:$C$74,B96,簡易陰圧装置!$N$30:$N$74)*((簡易陰圧装置!$H$3-簡易陰圧装置!$I$3)/簡易陰圧装置!$H$3),0)</f>
        <v>0</v>
      </c>
      <c r="J96" s="68">
        <f t="shared" si="24"/>
        <v>0</v>
      </c>
      <c r="K96" s="67">
        <f>IFERROR(SUMIF(#REF!,B96,#REF!)*((#REF!-#REF!)/#REF!),0)</f>
        <v>0</v>
      </c>
      <c r="L96" s="68">
        <f t="shared" si="25"/>
        <v>0</v>
      </c>
      <c r="M96" s="67">
        <f>IFERROR(SUMIF(体外式膜型人工肺!$C$30:$C$74,B96,体外式膜型人工肺!$N$30:$N$74)*((体外式膜型人工肺!$H$3-体外式膜型人工肺!$I$3)/体外式膜型人工肺!$H$3),0)</f>
        <v>0</v>
      </c>
      <c r="N96" s="68">
        <f t="shared" si="26"/>
        <v>0</v>
      </c>
      <c r="O96" s="68">
        <f t="shared" si="27"/>
        <v>0</v>
      </c>
      <c r="P96" s="68">
        <f t="shared" si="28"/>
        <v>0</v>
      </c>
      <c r="Q96" s="67">
        <f>IFERROR(SUMIF(紫外線照射装置!$C$30:$C$74,B96,紫外線照射装置!$N$30:$N$74)*((紫外線照射装置!$H$3-紫外線照射装置!$I$3)/紫外線照射装置!$H$3),0)</f>
        <v>0</v>
      </c>
      <c r="R96" s="68">
        <f t="shared" si="29"/>
        <v>0</v>
      </c>
      <c r="S96" s="101">
        <f t="shared" si="30"/>
        <v>0</v>
      </c>
      <c r="T96" s="67">
        <f>IFERROR(SUMIF(超音波画像診断装置!$C$30:$C$74,B96,超音波画像診断装置!$K$30:$K$74)*((超音波画像診断装置!$H$3-超音波画像診断装置!$I$3)/超音波画像診断装置!$H$3),0)</f>
        <v>0</v>
      </c>
      <c r="U96" s="68">
        <f t="shared" si="31"/>
        <v>0</v>
      </c>
      <c r="V96" s="67">
        <f>IFERROR(SUMIF(血液浄化装置!$C$30:$C$74,B96,血液浄化装置!$K$30:$K$74)*((血液浄化装置!$H$3-血液浄化装置!$I$3)/血液浄化装置!$H$3),0)</f>
        <v>0</v>
      </c>
      <c r="W96" s="68">
        <f t="shared" si="32"/>
        <v>0</v>
      </c>
      <c r="X96" s="67">
        <f>IFERROR(SUMIF(気管支鏡!$C$30:$C$74,B96,気管支鏡!$K$30:$K$74)*((気管支鏡!$H$3-気管支鏡!$I$3)/気管支鏡!$H$3),0)</f>
        <v>0</v>
      </c>
      <c r="Y96" s="68">
        <f t="shared" si="18"/>
        <v>0</v>
      </c>
      <c r="Z96" s="67">
        <f>IFERROR(SUMIF(CT撮影装置!$C$30:$C$74,B96,CT撮影装置!$K$30:$K$74)*((CT撮影装置!$H$3-CT撮影装置!$I$3)/CT撮影装置!$H$3),0)</f>
        <v>0</v>
      </c>
      <c r="AA96" s="68">
        <f t="shared" si="33"/>
        <v>0</v>
      </c>
      <c r="AB96" s="67">
        <f>IFERROR(SUMIF(生体情報モニタ!$C$30:$C$74,B96,生体情報モニタ!$K$30:$K$74)*((生体情報モニタ!$H$3-生体情報モニタ!$I$3)/生体情報モニタ!$H$3),0)</f>
        <v>0</v>
      </c>
      <c r="AC96" s="68">
        <f t="shared" si="19"/>
        <v>0</v>
      </c>
      <c r="AD96" s="67">
        <f>IFERROR(SUMIF(分娩監視装置!$C$30:$C$74,B96,分娩監視装置!$K$30:$K$74)*((分娩監視装置!$H$3-分娩監視装置!$I$3)/分娩監視装置!$H$3),0)</f>
        <v>0</v>
      </c>
      <c r="AE96" s="68">
        <f t="shared" si="34"/>
        <v>0</v>
      </c>
      <c r="AF96" s="67">
        <f>IFERROR(SUMIF(新生児モニタ!$C$30:$C$74,B96,新生児モニタ!$K$30:$K$74)*((新生児モニタ!$H$3-新生児モニタ!$I$3)/新生児モニタ!$H$3),0)</f>
        <v>0</v>
      </c>
      <c r="AG96" s="68">
        <f t="shared" si="35"/>
        <v>0</v>
      </c>
    </row>
    <row r="97" spans="2:33">
      <c r="B97" s="64" t="s">
        <v>744</v>
      </c>
      <c r="C97" s="67">
        <f>IFERROR(SUMIF(初度設備!$C$30:$C$74,B97,初度設備!$N$30:$N$74)*((初度設備!$H$3-初度設備!$I$3)/初度設備!$H$3),0)</f>
        <v>0</v>
      </c>
      <c r="D97" s="68">
        <f t="shared" si="20"/>
        <v>0</v>
      </c>
      <c r="E97" s="67">
        <f>IFERROR(SUMIF(人工呼吸器!$C$30:$C$74,B97,人工呼吸器!$N$30:$N$74)*((人工呼吸器!$H$3-人工呼吸器!$I$3)/人工呼吸器!$H$3),0)</f>
        <v>0</v>
      </c>
      <c r="F97" s="68">
        <f t="shared" si="21"/>
        <v>0</v>
      </c>
      <c r="G97" s="68">
        <f t="shared" si="22"/>
        <v>0</v>
      </c>
      <c r="H97" s="68">
        <f t="shared" si="23"/>
        <v>0</v>
      </c>
      <c r="I97" s="67">
        <f>IFERROR(SUMIF(簡易陰圧装置!$C$30:$C$74,B97,簡易陰圧装置!$N$30:$N$74)*((簡易陰圧装置!$H$3-簡易陰圧装置!$I$3)/簡易陰圧装置!$H$3),0)</f>
        <v>0</v>
      </c>
      <c r="J97" s="68">
        <f t="shared" si="24"/>
        <v>0</v>
      </c>
      <c r="K97" s="67">
        <f>IFERROR(SUMIF(#REF!,B97,#REF!)*((#REF!-#REF!)/#REF!),0)</f>
        <v>0</v>
      </c>
      <c r="L97" s="68">
        <f t="shared" si="25"/>
        <v>0</v>
      </c>
      <c r="M97" s="67">
        <f>IFERROR(SUMIF(体外式膜型人工肺!$C$30:$C$74,B97,体外式膜型人工肺!$N$30:$N$74)*((体外式膜型人工肺!$H$3-体外式膜型人工肺!$I$3)/体外式膜型人工肺!$H$3),0)</f>
        <v>0</v>
      </c>
      <c r="N97" s="68">
        <f t="shared" si="26"/>
        <v>0</v>
      </c>
      <c r="O97" s="68">
        <f t="shared" si="27"/>
        <v>0</v>
      </c>
      <c r="P97" s="68">
        <f t="shared" si="28"/>
        <v>0</v>
      </c>
      <c r="Q97" s="67">
        <f>IFERROR(SUMIF(紫外線照射装置!$C$30:$C$74,B97,紫外線照射装置!$N$30:$N$74)*((紫外線照射装置!$H$3-紫外線照射装置!$I$3)/紫外線照射装置!$H$3),0)</f>
        <v>0</v>
      </c>
      <c r="R97" s="68">
        <f t="shared" si="29"/>
        <v>0</v>
      </c>
      <c r="S97" s="101">
        <f t="shared" si="30"/>
        <v>0</v>
      </c>
      <c r="T97" s="67">
        <f>IFERROR(SUMIF(超音波画像診断装置!$C$30:$C$74,B97,超音波画像診断装置!$K$30:$K$74)*((超音波画像診断装置!$H$3-超音波画像診断装置!$I$3)/超音波画像診断装置!$H$3),0)</f>
        <v>0</v>
      </c>
      <c r="U97" s="68">
        <f t="shared" si="31"/>
        <v>0</v>
      </c>
      <c r="V97" s="67">
        <f>IFERROR(SUMIF(血液浄化装置!$C$30:$C$74,B97,血液浄化装置!$K$30:$K$74)*((血液浄化装置!$H$3-血液浄化装置!$I$3)/血液浄化装置!$H$3),0)</f>
        <v>0</v>
      </c>
      <c r="W97" s="68">
        <f t="shared" si="32"/>
        <v>0</v>
      </c>
      <c r="X97" s="67">
        <f>IFERROR(SUMIF(気管支鏡!$C$30:$C$74,B97,気管支鏡!$K$30:$K$74)*((気管支鏡!$H$3-気管支鏡!$I$3)/気管支鏡!$H$3),0)</f>
        <v>0</v>
      </c>
      <c r="Y97" s="68">
        <f t="shared" si="18"/>
        <v>0</v>
      </c>
      <c r="Z97" s="67">
        <f>IFERROR(SUMIF(CT撮影装置!$C$30:$C$74,B97,CT撮影装置!$K$30:$K$74)*((CT撮影装置!$H$3-CT撮影装置!$I$3)/CT撮影装置!$H$3),0)</f>
        <v>0</v>
      </c>
      <c r="AA97" s="68">
        <f t="shared" si="33"/>
        <v>0</v>
      </c>
      <c r="AB97" s="67">
        <f>IFERROR(SUMIF(生体情報モニタ!$C$30:$C$74,B97,生体情報モニタ!$K$30:$K$74)*((生体情報モニタ!$H$3-生体情報モニタ!$I$3)/生体情報モニタ!$H$3),0)</f>
        <v>0</v>
      </c>
      <c r="AC97" s="68">
        <f t="shared" si="19"/>
        <v>0</v>
      </c>
      <c r="AD97" s="67">
        <f>IFERROR(SUMIF(分娩監視装置!$C$30:$C$74,B97,分娩監視装置!$K$30:$K$74)*((分娩監視装置!$H$3-分娩監視装置!$I$3)/分娩監視装置!$H$3),0)</f>
        <v>0</v>
      </c>
      <c r="AE97" s="68">
        <f t="shared" si="34"/>
        <v>0</v>
      </c>
      <c r="AF97" s="67">
        <f>IFERROR(SUMIF(新生児モニタ!$C$30:$C$74,B97,新生児モニタ!$K$30:$K$74)*((新生児モニタ!$H$3-新生児モニタ!$I$3)/新生児モニタ!$H$3),0)</f>
        <v>0</v>
      </c>
      <c r="AG97" s="68">
        <f t="shared" si="35"/>
        <v>0</v>
      </c>
    </row>
    <row r="98" spans="2:33">
      <c r="B98" s="64" t="s">
        <v>745</v>
      </c>
      <c r="C98" s="67">
        <f>IFERROR(SUMIF(初度設備!$C$30:$C$74,B98,初度設備!$N$30:$N$74)*((初度設備!$H$3-初度設備!$I$3)/初度設備!$H$3),0)</f>
        <v>0</v>
      </c>
      <c r="D98" s="68">
        <f t="shared" si="20"/>
        <v>0</v>
      </c>
      <c r="E98" s="67">
        <f>IFERROR(SUMIF(人工呼吸器!$C$30:$C$74,B98,人工呼吸器!$N$30:$N$74)*((人工呼吸器!$H$3-人工呼吸器!$I$3)/人工呼吸器!$H$3),0)</f>
        <v>0</v>
      </c>
      <c r="F98" s="68">
        <f t="shared" si="21"/>
        <v>0</v>
      </c>
      <c r="G98" s="68">
        <f t="shared" si="22"/>
        <v>0</v>
      </c>
      <c r="H98" s="68">
        <f t="shared" si="23"/>
        <v>0</v>
      </c>
      <c r="I98" s="67">
        <f>IFERROR(SUMIF(簡易陰圧装置!$C$30:$C$74,B98,簡易陰圧装置!$N$30:$N$74)*((簡易陰圧装置!$H$3-簡易陰圧装置!$I$3)/簡易陰圧装置!$H$3),0)</f>
        <v>0</v>
      </c>
      <c r="J98" s="68">
        <f t="shared" si="24"/>
        <v>0</v>
      </c>
      <c r="K98" s="67">
        <f>IFERROR(SUMIF(#REF!,B98,#REF!)*((#REF!-#REF!)/#REF!),0)</f>
        <v>0</v>
      </c>
      <c r="L98" s="68">
        <f t="shared" si="25"/>
        <v>0</v>
      </c>
      <c r="M98" s="67">
        <f>IFERROR(SUMIF(体外式膜型人工肺!$C$30:$C$74,B98,体外式膜型人工肺!$N$30:$N$74)*((体外式膜型人工肺!$H$3-体外式膜型人工肺!$I$3)/体外式膜型人工肺!$H$3),0)</f>
        <v>0</v>
      </c>
      <c r="N98" s="68">
        <f t="shared" si="26"/>
        <v>0</v>
      </c>
      <c r="O98" s="68">
        <f t="shared" si="27"/>
        <v>0</v>
      </c>
      <c r="P98" s="68">
        <f t="shared" si="28"/>
        <v>0</v>
      </c>
      <c r="Q98" s="67">
        <f>IFERROR(SUMIF(紫外線照射装置!$C$30:$C$74,B98,紫外線照射装置!$N$30:$N$74)*((紫外線照射装置!$H$3-紫外線照射装置!$I$3)/紫外線照射装置!$H$3),0)</f>
        <v>0</v>
      </c>
      <c r="R98" s="68">
        <f t="shared" si="29"/>
        <v>0</v>
      </c>
      <c r="S98" s="101">
        <f t="shared" si="30"/>
        <v>0</v>
      </c>
      <c r="T98" s="67">
        <f>IFERROR(SUMIF(超音波画像診断装置!$C$30:$C$74,B98,超音波画像診断装置!$K$30:$K$74)*((超音波画像診断装置!$H$3-超音波画像診断装置!$I$3)/超音波画像診断装置!$H$3),0)</f>
        <v>0</v>
      </c>
      <c r="U98" s="68">
        <f t="shared" si="31"/>
        <v>0</v>
      </c>
      <c r="V98" s="67">
        <f>IFERROR(SUMIF(血液浄化装置!$C$30:$C$74,B98,血液浄化装置!$K$30:$K$74)*((血液浄化装置!$H$3-血液浄化装置!$I$3)/血液浄化装置!$H$3),0)</f>
        <v>0</v>
      </c>
      <c r="W98" s="68">
        <f t="shared" si="32"/>
        <v>0</v>
      </c>
      <c r="X98" s="67">
        <f>IFERROR(SUMIF(気管支鏡!$C$30:$C$74,B98,気管支鏡!$K$30:$K$74)*((気管支鏡!$H$3-気管支鏡!$I$3)/気管支鏡!$H$3),0)</f>
        <v>0</v>
      </c>
      <c r="Y98" s="68">
        <f t="shared" si="18"/>
        <v>0</v>
      </c>
      <c r="Z98" s="67">
        <f>IFERROR(SUMIF(CT撮影装置!$C$30:$C$74,B98,CT撮影装置!$K$30:$K$74)*((CT撮影装置!$H$3-CT撮影装置!$I$3)/CT撮影装置!$H$3),0)</f>
        <v>0</v>
      </c>
      <c r="AA98" s="68">
        <f t="shared" si="33"/>
        <v>0</v>
      </c>
      <c r="AB98" s="67">
        <f>IFERROR(SUMIF(生体情報モニタ!$C$30:$C$74,B98,生体情報モニタ!$K$30:$K$74)*((生体情報モニタ!$H$3-生体情報モニタ!$I$3)/生体情報モニタ!$H$3),0)</f>
        <v>0</v>
      </c>
      <c r="AC98" s="68">
        <f t="shared" si="19"/>
        <v>0</v>
      </c>
      <c r="AD98" s="67">
        <f>IFERROR(SUMIF(分娩監視装置!$C$30:$C$74,B98,分娩監視装置!$K$30:$K$74)*((分娩監視装置!$H$3-分娩監視装置!$I$3)/分娩監視装置!$H$3),0)</f>
        <v>0</v>
      </c>
      <c r="AE98" s="68">
        <f t="shared" si="34"/>
        <v>0</v>
      </c>
      <c r="AF98" s="67">
        <f>IFERROR(SUMIF(新生児モニタ!$C$30:$C$74,B98,新生児モニタ!$K$30:$K$74)*((新生児モニタ!$H$3-新生児モニタ!$I$3)/新生児モニタ!$H$3),0)</f>
        <v>0</v>
      </c>
      <c r="AG98" s="68">
        <f t="shared" si="35"/>
        <v>0</v>
      </c>
    </row>
    <row r="99" spans="2:33">
      <c r="B99" s="64" t="s">
        <v>746</v>
      </c>
      <c r="C99" s="67">
        <f>IFERROR(SUMIF(初度設備!$C$30:$C$74,B99,初度設備!$N$30:$N$74)*((初度設備!$H$3-初度設備!$I$3)/初度設備!$H$3),0)</f>
        <v>0</v>
      </c>
      <c r="D99" s="68">
        <f t="shared" si="20"/>
        <v>0</v>
      </c>
      <c r="E99" s="67">
        <f>IFERROR(SUMIF(人工呼吸器!$C$30:$C$74,B99,人工呼吸器!$N$30:$N$74)*((人工呼吸器!$H$3-人工呼吸器!$I$3)/人工呼吸器!$H$3),0)</f>
        <v>0</v>
      </c>
      <c r="F99" s="68">
        <f t="shared" si="21"/>
        <v>0</v>
      </c>
      <c r="G99" s="68">
        <f t="shared" si="22"/>
        <v>0</v>
      </c>
      <c r="H99" s="68">
        <f t="shared" si="23"/>
        <v>0</v>
      </c>
      <c r="I99" s="67">
        <f>IFERROR(SUMIF(簡易陰圧装置!$C$30:$C$74,B99,簡易陰圧装置!$N$30:$N$74)*((簡易陰圧装置!$H$3-簡易陰圧装置!$I$3)/簡易陰圧装置!$H$3),0)</f>
        <v>0</v>
      </c>
      <c r="J99" s="68">
        <f t="shared" si="24"/>
        <v>0</v>
      </c>
      <c r="K99" s="67">
        <f>IFERROR(SUMIF(#REF!,B99,#REF!)*((#REF!-#REF!)/#REF!),0)</f>
        <v>0</v>
      </c>
      <c r="L99" s="68">
        <f t="shared" si="25"/>
        <v>0</v>
      </c>
      <c r="M99" s="67">
        <f>IFERROR(SUMIF(体外式膜型人工肺!$C$30:$C$74,B99,体外式膜型人工肺!$N$30:$N$74)*((体外式膜型人工肺!$H$3-体外式膜型人工肺!$I$3)/体外式膜型人工肺!$H$3),0)</f>
        <v>0</v>
      </c>
      <c r="N99" s="68">
        <f t="shared" si="26"/>
        <v>0</v>
      </c>
      <c r="O99" s="68">
        <f t="shared" si="27"/>
        <v>0</v>
      </c>
      <c r="P99" s="68">
        <f t="shared" si="28"/>
        <v>0</v>
      </c>
      <c r="Q99" s="67">
        <f>IFERROR(SUMIF(紫外線照射装置!$C$30:$C$74,B99,紫外線照射装置!$N$30:$N$74)*((紫外線照射装置!$H$3-紫外線照射装置!$I$3)/紫外線照射装置!$H$3),0)</f>
        <v>0</v>
      </c>
      <c r="R99" s="68">
        <f t="shared" si="29"/>
        <v>0</v>
      </c>
      <c r="S99" s="101">
        <f t="shared" si="30"/>
        <v>0</v>
      </c>
      <c r="T99" s="67">
        <f>IFERROR(SUMIF(超音波画像診断装置!$C$30:$C$74,B99,超音波画像診断装置!$K$30:$K$74)*((超音波画像診断装置!$H$3-超音波画像診断装置!$I$3)/超音波画像診断装置!$H$3),0)</f>
        <v>0</v>
      </c>
      <c r="U99" s="68">
        <f t="shared" si="31"/>
        <v>0</v>
      </c>
      <c r="V99" s="67">
        <f>IFERROR(SUMIF(血液浄化装置!$C$30:$C$74,B99,血液浄化装置!$K$30:$K$74)*((血液浄化装置!$H$3-血液浄化装置!$I$3)/血液浄化装置!$H$3),0)</f>
        <v>0</v>
      </c>
      <c r="W99" s="68">
        <f t="shared" si="32"/>
        <v>0</v>
      </c>
      <c r="X99" s="67">
        <f>IFERROR(SUMIF(気管支鏡!$C$30:$C$74,B99,気管支鏡!$K$30:$K$74)*((気管支鏡!$H$3-気管支鏡!$I$3)/気管支鏡!$H$3),0)</f>
        <v>0</v>
      </c>
      <c r="Y99" s="68">
        <f t="shared" si="18"/>
        <v>0</v>
      </c>
      <c r="Z99" s="67">
        <f>IFERROR(SUMIF(CT撮影装置!$C$30:$C$74,B99,CT撮影装置!$K$30:$K$74)*((CT撮影装置!$H$3-CT撮影装置!$I$3)/CT撮影装置!$H$3),0)</f>
        <v>0</v>
      </c>
      <c r="AA99" s="68">
        <f t="shared" si="33"/>
        <v>0</v>
      </c>
      <c r="AB99" s="67">
        <f>IFERROR(SUMIF(生体情報モニタ!$C$30:$C$74,B99,生体情報モニタ!$K$30:$K$74)*((生体情報モニタ!$H$3-生体情報モニタ!$I$3)/生体情報モニタ!$H$3),0)</f>
        <v>0</v>
      </c>
      <c r="AC99" s="68">
        <f t="shared" si="19"/>
        <v>0</v>
      </c>
      <c r="AD99" s="67">
        <f>IFERROR(SUMIF(分娩監視装置!$C$30:$C$74,B99,分娩監視装置!$K$30:$K$74)*((分娩監視装置!$H$3-分娩監視装置!$I$3)/分娩監視装置!$H$3),0)</f>
        <v>0</v>
      </c>
      <c r="AE99" s="68">
        <f t="shared" si="34"/>
        <v>0</v>
      </c>
      <c r="AF99" s="67">
        <f>IFERROR(SUMIF(新生児モニタ!$C$30:$C$74,B99,新生児モニタ!$K$30:$K$74)*((新生児モニタ!$H$3-新生児モニタ!$I$3)/新生児モニタ!$H$3),0)</f>
        <v>0</v>
      </c>
      <c r="AG99" s="68">
        <f t="shared" si="35"/>
        <v>0</v>
      </c>
    </row>
    <row r="100" spans="2:33">
      <c r="B100" s="64" t="s">
        <v>747</v>
      </c>
      <c r="C100" s="67">
        <f>IFERROR(SUMIF(初度設備!$C$30:$C$74,B100,初度設備!$N$30:$N$74)*((初度設備!$H$3-初度設備!$I$3)/初度設備!$H$3),0)</f>
        <v>0</v>
      </c>
      <c r="D100" s="68">
        <f t="shared" si="20"/>
        <v>0</v>
      </c>
      <c r="E100" s="67">
        <f>IFERROR(SUMIF(人工呼吸器!$C$30:$C$74,B100,人工呼吸器!$N$30:$N$74)*((人工呼吸器!$H$3-人工呼吸器!$I$3)/人工呼吸器!$H$3),0)</f>
        <v>0</v>
      </c>
      <c r="F100" s="68">
        <f t="shared" si="21"/>
        <v>0</v>
      </c>
      <c r="G100" s="68">
        <f t="shared" si="22"/>
        <v>0</v>
      </c>
      <c r="H100" s="68">
        <f t="shared" si="23"/>
        <v>0</v>
      </c>
      <c r="I100" s="67">
        <f>IFERROR(SUMIF(簡易陰圧装置!$C$30:$C$74,B100,簡易陰圧装置!$N$30:$N$74)*((簡易陰圧装置!$H$3-簡易陰圧装置!$I$3)/簡易陰圧装置!$H$3),0)</f>
        <v>0</v>
      </c>
      <c r="J100" s="68">
        <f t="shared" si="24"/>
        <v>0</v>
      </c>
      <c r="K100" s="67">
        <f>IFERROR(SUMIF(#REF!,B100,#REF!)*((#REF!-#REF!)/#REF!),0)</f>
        <v>0</v>
      </c>
      <c r="L100" s="68">
        <f t="shared" si="25"/>
        <v>0</v>
      </c>
      <c r="M100" s="67">
        <f>IFERROR(SUMIF(体外式膜型人工肺!$C$30:$C$74,B100,体外式膜型人工肺!$N$30:$N$74)*((体外式膜型人工肺!$H$3-体外式膜型人工肺!$I$3)/体外式膜型人工肺!$H$3),0)</f>
        <v>0</v>
      </c>
      <c r="N100" s="68">
        <f t="shared" si="26"/>
        <v>0</v>
      </c>
      <c r="O100" s="68">
        <f t="shared" si="27"/>
        <v>0</v>
      </c>
      <c r="P100" s="68">
        <f t="shared" si="28"/>
        <v>0</v>
      </c>
      <c r="Q100" s="67">
        <f>IFERROR(SUMIF(紫外線照射装置!$C$30:$C$74,B100,紫外線照射装置!$N$30:$N$74)*((紫外線照射装置!$H$3-紫外線照射装置!$I$3)/紫外線照射装置!$H$3),0)</f>
        <v>0</v>
      </c>
      <c r="R100" s="68">
        <f t="shared" si="29"/>
        <v>0</v>
      </c>
      <c r="S100" s="101">
        <f t="shared" si="30"/>
        <v>0</v>
      </c>
      <c r="T100" s="67">
        <f>IFERROR(SUMIF(超音波画像診断装置!$C$30:$C$74,B100,超音波画像診断装置!$K$30:$K$74)*((超音波画像診断装置!$H$3-超音波画像診断装置!$I$3)/超音波画像診断装置!$H$3),0)</f>
        <v>0</v>
      </c>
      <c r="U100" s="68">
        <f t="shared" si="31"/>
        <v>0</v>
      </c>
      <c r="V100" s="67">
        <f>IFERROR(SUMIF(血液浄化装置!$C$30:$C$74,B100,血液浄化装置!$K$30:$K$74)*((血液浄化装置!$H$3-血液浄化装置!$I$3)/血液浄化装置!$H$3),0)</f>
        <v>0</v>
      </c>
      <c r="W100" s="68">
        <f t="shared" si="32"/>
        <v>0</v>
      </c>
      <c r="X100" s="67">
        <f>IFERROR(SUMIF(気管支鏡!$C$30:$C$74,B100,気管支鏡!$K$30:$K$74)*((気管支鏡!$H$3-気管支鏡!$I$3)/気管支鏡!$H$3),0)</f>
        <v>0</v>
      </c>
      <c r="Y100" s="68">
        <f t="shared" si="18"/>
        <v>0</v>
      </c>
      <c r="Z100" s="67">
        <f>IFERROR(SUMIF(CT撮影装置!$C$30:$C$74,B100,CT撮影装置!$K$30:$K$74)*((CT撮影装置!$H$3-CT撮影装置!$I$3)/CT撮影装置!$H$3),0)</f>
        <v>0</v>
      </c>
      <c r="AA100" s="68">
        <f t="shared" si="33"/>
        <v>0</v>
      </c>
      <c r="AB100" s="67">
        <f>IFERROR(SUMIF(生体情報モニタ!$C$30:$C$74,B100,生体情報モニタ!$K$30:$K$74)*((生体情報モニタ!$H$3-生体情報モニタ!$I$3)/生体情報モニタ!$H$3),0)</f>
        <v>0</v>
      </c>
      <c r="AC100" s="68">
        <f t="shared" si="19"/>
        <v>0</v>
      </c>
      <c r="AD100" s="67">
        <f>IFERROR(SUMIF(分娩監視装置!$C$30:$C$74,B100,分娩監視装置!$K$30:$K$74)*((分娩監視装置!$H$3-分娩監視装置!$I$3)/分娩監視装置!$H$3),0)</f>
        <v>0</v>
      </c>
      <c r="AE100" s="68">
        <f t="shared" si="34"/>
        <v>0</v>
      </c>
      <c r="AF100" s="67">
        <f>IFERROR(SUMIF(新生児モニタ!$C$30:$C$74,B100,新生児モニタ!$K$30:$K$74)*((新生児モニタ!$H$3-新生児モニタ!$I$3)/新生児モニタ!$H$3),0)</f>
        <v>0</v>
      </c>
      <c r="AG100" s="68">
        <f t="shared" si="35"/>
        <v>0</v>
      </c>
    </row>
    <row r="101" spans="2:33">
      <c r="B101" s="64" t="s">
        <v>748</v>
      </c>
      <c r="C101" s="67">
        <f>IFERROR(SUMIF(初度設備!$C$30:$C$74,B101,初度設備!$N$30:$N$74)*((初度設備!$H$3-初度設備!$I$3)/初度設備!$H$3),0)</f>
        <v>0</v>
      </c>
      <c r="D101" s="68">
        <f t="shared" si="20"/>
        <v>0</v>
      </c>
      <c r="E101" s="67">
        <f>IFERROR(SUMIF(人工呼吸器!$C$30:$C$74,B101,人工呼吸器!$N$30:$N$74)*((人工呼吸器!$H$3-人工呼吸器!$I$3)/人工呼吸器!$H$3),0)</f>
        <v>0</v>
      </c>
      <c r="F101" s="68">
        <f t="shared" si="21"/>
        <v>0</v>
      </c>
      <c r="G101" s="68">
        <f t="shared" si="22"/>
        <v>0</v>
      </c>
      <c r="H101" s="68">
        <f t="shared" si="23"/>
        <v>0</v>
      </c>
      <c r="I101" s="67">
        <f>IFERROR(SUMIF(簡易陰圧装置!$C$30:$C$74,B101,簡易陰圧装置!$N$30:$N$74)*((簡易陰圧装置!$H$3-簡易陰圧装置!$I$3)/簡易陰圧装置!$H$3),0)</f>
        <v>0</v>
      </c>
      <c r="J101" s="68">
        <f t="shared" si="24"/>
        <v>0</v>
      </c>
      <c r="K101" s="67">
        <f>IFERROR(SUMIF(#REF!,B101,#REF!)*((#REF!-#REF!)/#REF!),0)</f>
        <v>0</v>
      </c>
      <c r="L101" s="68">
        <f t="shared" si="25"/>
        <v>0</v>
      </c>
      <c r="M101" s="67">
        <f>IFERROR(SUMIF(体外式膜型人工肺!$C$30:$C$74,B101,体外式膜型人工肺!$N$30:$N$74)*((体外式膜型人工肺!$H$3-体外式膜型人工肺!$I$3)/体外式膜型人工肺!$H$3),0)</f>
        <v>0</v>
      </c>
      <c r="N101" s="68">
        <f t="shared" si="26"/>
        <v>0</v>
      </c>
      <c r="O101" s="68">
        <f t="shared" si="27"/>
        <v>0</v>
      </c>
      <c r="P101" s="68">
        <f t="shared" si="28"/>
        <v>0</v>
      </c>
      <c r="Q101" s="67">
        <f>IFERROR(SUMIF(紫外線照射装置!$C$30:$C$74,B101,紫外線照射装置!$N$30:$N$74)*((紫外線照射装置!$H$3-紫外線照射装置!$I$3)/紫外線照射装置!$H$3),0)</f>
        <v>0</v>
      </c>
      <c r="R101" s="68">
        <f t="shared" si="29"/>
        <v>0</v>
      </c>
      <c r="S101" s="101">
        <f t="shared" si="30"/>
        <v>0</v>
      </c>
      <c r="T101" s="67">
        <f>IFERROR(SUMIF(超音波画像診断装置!$C$30:$C$74,B101,超音波画像診断装置!$K$30:$K$74)*((超音波画像診断装置!$H$3-超音波画像診断装置!$I$3)/超音波画像診断装置!$H$3),0)</f>
        <v>0</v>
      </c>
      <c r="U101" s="68">
        <f t="shared" si="31"/>
        <v>0</v>
      </c>
      <c r="V101" s="67">
        <f>IFERROR(SUMIF(血液浄化装置!$C$30:$C$74,B101,血液浄化装置!$K$30:$K$74)*((血液浄化装置!$H$3-血液浄化装置!$I$3)/血液浄化装置!$H$3),0)</f>
        <v>0</v>
      </c>
      <c r="W101" s="68">
        <f t="shared" si="32"/>
        <v>0</v>
      </c>
      <c r="X101" s="67">
        <f>IFERROR(SUMIF(気管支鏡!$C$30:$C$74,B101,気管支鏡!$K$30:$K$74)*((気管支鏡!$H$3-気管支鏡!$I$3)/気管支鏡!$H$3),0)</f>
        <v>0</v>
      </c>
      <c r="Y101" s="68">
        <f t="shared" si="18"/>
        <v>0</v>
      </c>
      <c r="Z101" s="67">
        <f>IFERROR(SUMIF(CT撮影装置!$C$30:$C$74,B101,CT撮影装置!$K$30:$K$74)*((CT撮影装置!$H$3-CT撮影装置!$I$3)/CT撮影装置!$H$3),0)</f>
        <v>0</v>
      </c>
      <c r="AA101" s="68">
        <f t="shared" si="33"/>
        <v>0</v>
      </c>
      <c r="AB101" s="67">
        <f>IFERROR(SUMIF(生体情報モニタ!$C$30:$C$74,B101,生体情報モニタ!$K$30:$K$74)*((生体情報モニタ!$H$3-生体情報モニタ!$I$3)/生体情報モニタ!$H$3),0)</f>
        <v>0</v>
      </c>
      <c r="AC101" s="68">
        <f t="shared" si="19"/>
        <v>0</v>
      </c>
      <c r="AD101" s="67">
        <f>IFERROR(SUMIF(分娩監視装置!$C$30:$C$74,B101,分娩監視装置!$K$30:$K$74)*((分娩監視装置!$H$3-分娩監視装置!$I$3)/分娩監視装置!$H$3),0)</f>
        <v>0</v>
      </c>
      <c r="AE101" s="68">
        <f t="shared" si="34"/>
        <v>0</v>
      </c>
      <c r="AF101" s="67">
        <f>IFERROR(SUMIF(新生児モニタ!$C$30:$C$74,B101,新生児モニタ!$K$30:$K$74)*((新生児モニタ!$H$3-新生児モニタ!$I$3)/新生児モニタ!$H$3),0)</f>
        <v>0</v>
      </c>
      <c r="AG101" s="68">
        <f t="shared" si="35"/>
        <v>0</v>
      </c>
    </row>
    <row r="102" spans="2:33">
      <c r="B102" s="64" t="s">
        <v>749</v>
      </c>
      <c r="C102" s="67">
        <f>IFERROR(SUMIF(初度設備!$C$30:$C$74,B102,初度設備!$N$30:$N$74)*((初度設備!$H$3-初度設備!$I$3)/初度設備!$H$3),0)</f>
        <v>0</v>
      </c>
      <c r="D102" s="68">
        <f t="shared" si="20"/>
        <v>0</v>
      </c>
      <c r="E102" s="67">
        <f>IFERROR(SUMIF(人工呼吸器!$C$30:$C$74,B102,人工呼吸器!$N$30:$N$74)*((人工呼吸器!$H$3-人工呼吸器!$I$3)/人工呼吸器!$H$3),0)</f>
        <v>0</v>
      </c>
      <c r="F102" s="68">
        <f t="shared" si="21"/>
        <v>0</v>
      </c>
      <c r="G102" s="68">
        <f t="shared" si="22"/>
        <v>0</v>
      </c>
      <c r="H102" s="68">
        <f t="shared" si="23"/>
        <v>0</v>
      </c>
      <c r="I102" s="67">
        <f>IFERROR(SUMIF(簡易陰圧装置!$C$30:$C$74,B102,簡易陰圧装置!$N$30:$N$74)*((簡易陰圧装置!$H$3-簡易陰圧装置!$I$3)/簡易陰圧装置!$H$3),0)</f>
        <v>0</v>
      </c>
      <c r="J102" s="68">
        <f t="shared" si="24"/>
        <v>0</v>
      </c>
      <c r="K102" s="67">
        <f>IFERROR(SUMIF(#REF!,B102,#REF!)*((#REF!-#REF!)/#REF!),0)</f>
        <v>0</v>
      </c>
      <c r="L102" s="68">
        <f t="shared" si="25"/>
        <v>0</v>
      </c>
      <c r="M102" s="67">
        <f>IFERROR(SUMIF(体外式膜型人工肺!$C$30:$C$74,B102,体外式膜型人工肺!$N$30:$N$74)*((体外式膜型人工肺!$H$3-体外式膜型人工肺!$I$3)/体外式膜型人工肺!$H$3),0)</f>
        <v>0</v>
      </c>
      <c r="N102" s="68">
        <f t="shared" si="26"/>
        <v>0</v>
      </c>
      <c r="O102" s="68">
        <f t="shared" si="27"/>
        <v>0</v>
      </c>
      <c r="P102" s="68">
        <f t="shared" si="28"/>
        <v>0</v>
      </c>
      <c r="Q102" s="67">
        <f>IFERROR(SUMIF(紫外線照射装置!$C$30:$C$74,B102,紫外線照射装置!$N$30:$N$74)*((紫外線照射装置!$H$3-紫外線照射装置!$I$3)/紫外線照射装置!$H$3),0)</f>
        <v>0</v>
      </c>
      <c r="R102" s="68">
        <f t="shared" si="29"/>
        <v>0</v>
      </c>
      <c r="S102" s="101">
        <f t="shared" si="30"/>
        <v>0</v>
      </c>
      <c r="T102" s="67">
        <f>IFERROR(SUMIF(超音波画像診断装置!$C$30:$C$74,B102,超音波画像診断装置!$K$30:$K$74)*((超音波画像診断装置!$H$3-超音波画像診断装置!$I$3)/超音波画像診断装置!$H$3),0)</f>
        <v>0</v>
      </c>
      <c r="U102" s="68">
        <f t="shared" si="31"/>
        <v>0</v>
      </c>
      <c r="V102" s="67">
        <f>IFERROR(SUMIF(血液浄化装置!$C$30:$C$74,B102,血液浄化装置!$K$30:$K$74)*((血液浄化装置!$H$3-血液浄化装置!$I$3)/血液浄化装置!$H$3),0)</f>
        <v>0</v>
      </c>
      <c r="W102" s="68">
        <f t="shared" si="32"/>
        <v>0</v>
      </c>
      <c r="X102" s="67">
        <f>IFERROR(SUMIF(気管支鏡!$C$30:$C$74,B102,気管支鏡!$K$30:$K$74)*((気管支鏡!$H$3-気管支鏡!$I$3)/気管支鏡!$H$3),0)</f>
        <v>0</v>
      </c>
      <c r="Y102" s="68">
        <f t="shared" si="18"/>
        <v>0</v>
      </c>
      <c r="Z102" s="67">
        <f>IFERROR(SUMIF(CT撮影装置!$C$30:$C$74,B102,CT撮影装置!$K$30:$K$74)*((CT撮影装置!$H$3-CT撮影装置!$I$3)/CT撮影装置!$H$3),0)</f>
        <v>0</v>
      </c>
      <c r="AA102" s="68">
        <f t="shared" si="33"/>
        <v>0</v>
      </c>
      <c r="AB102" s="67">
        <f>IFERROR(SUMIF(生体情報モニタ!$C$30:$C$74,B102,生体情報モニタ!$K$30:$K$74)*((生体情報モニタ!$H$3-生体情報モニタ!$I$3)/生体情報モニタ!$H$3),0)</f>
        <v>0</v>
      </c>
      <c r="AC102" s="68">
        <f t="shared" si="19"/>
        <v>0</v>
      </c>
      <c r="AD102" s="67">
        <f>IFERROR(SUMIF(分娩監視装置!$C$30:$C$74,B102,分娩監視装置!$K$30:$K$74)*((分娩監視装置!$H$3-分娩監視装置!$I$3)/分娩監視装置!$H$3),0)</f>
        <v>0</v>
      </c>
      <c r="AE102" s="68">
        <f t="shared" si="34"/>
        <v>0</v>
      </c>
      <c r="AF102" s="67">
        <f>IFERROR(SUMIF(新生児モニタ!$C$30:$C$74,B102,新生児モニタ!$K$30:$K$74)*((新生児モニタ!$H$3-新生児モニタ!$I$3)/新生児モニタ!$H$3),0)</f>
        <v>0</v>
      </c>
      <c r="AG102" s="68">
        <f t="shared" si="35"/>
        <v>0</v>
      </c>
    </row>
    <row r="103" spans="2:33">
      <c r="B103" s="64" t="s">
        <v>750</v>
      </c>
      <c r="C103" s="67">
        <f>IFERROR(SUMIF(初度設備!$C$30:$C$74,B103,初度設備!$N$30:$N$74)*((初度設備!$H$3-初度設備!$I$3)/初度設備!$H$3),0)</f>
        <v>0</v>
      </c>
      <c r="D103" s="68">
        <f t="shared" si="20"/>
        <v>0</v>
      </c>
      <c r="E103" s="67">
        <f>IFERROR(SUMIF(人工呼吸器!$C$30:$C$74,B103,人工呼吸器!$N$30:$N$74)*((人工呼吸器!$H$3-人工呼吸器!$I$3)/人工呼吸器!$H$3),0)</f>
        <v>0</v>
      </c>
      <c r="F103" s="68">
        <f t="shared" si="21"/>
        <v>0</v>
      </c>
      <c r="G103" s="68">
        <f t="shared" si="22"/>
        <v>0</v>
      </c>
      <c r="H103" s="68">
        <f t="shared" si="23"/>
        <v>0</v>
      </c>
      <c r="I103" s="67">
        <f>IFERROR(SUMIF(簡易陰圧装置!$C$30:$C$74,B103,簡易陰圧装置!$N$30:$N$74)*((簡易陰圧装置!$H$3-簡易陰圧装置!$I$3)/簡易陰圧装置!$H$3),0)</f>
        <v>0</v>
      </c>
      <c r="J103" s="68">
        <f t="shared" si="24"/>
        <v>0</v>
      </c>
      <c r="K103" s="67">
        <f>IFERROR(SUMIF(#REF!,B103,#REF!)*((#REF!-#REF!)/#REF!),0)</f>
        <v>0</v>
      </c>
      <c r="L103" s="68">
        <f t="shared" si="25"/>
        <v>0</v>
      </c>
      <c r="M103" s="67">
        <f>IFERROR(SUMIF(体外式膜型人工肺!$C$30:$C$74,B103,体外式膜型人工肺!$N$30:$N$74)*((体外式膜型人工肺!$H$3-体外式膜型人工肺!$I$3)/体外式膜型人工肺!$H$3),0)</f>
        <v>0</v>
      </c>
      <c r="N103" s="68">
        <f t="shared" si="26"/>
        <v>0</v>
      </c>
      <c r="O103" s="68">
        <f t="shared" si="27"/>
        <v>0</v>
      </c>
      <c r="P103" s="68">
        <f t="shared" si="28"/>
        <v>0</v>
      </c>
      <c r="Q103" s="67">
        <f>IFERROR(SUMIF(紫外線照射装置!$C$30:$C$74,B103,紫外線照射装置!$N$30:$N$74)*((紫外線照射装置!$H$3-紫外線照射装置!$I$3)/紫外線照射装置!$H$3),0)</f>
        <v>0</v>
      </c>
      <c r="R103" s="68">
        <f t="shared" si="29"/>
        <v>0</v>
      </c>
      <c r="S103" s="101">
        <f t="shared" si="30"/>
        <v>0</v>
      </c>
      <c r="T103" s="67">
        <f>IFERROR(SUMIF(超音波画像診断装置!$C$30:$C$74,B103,超音波画像診断装置!$K$30:$K$74)*((超音波画像診断装置!$H$3-超音波画像診断装置!$I$3)/超音波画像診断装置!$H$3),0)</f>
        <v>0</v>
      </c>
      <c r="U103" s="68">
        <f t="shared" si="31"/>
        <v>0</v>
      </c>
      <c r="V103" s="67">
        <f>IFERROR(SUMIF(血液浄化装置!$C$30:$C$74,B103,血液浄化装置!$K$30:$K$74)*((血液浄化装置!$H$3-血液浄化装置!$I$3)/血液浄化装置!$H$3),0)</f>
        <v>0</v>
      </c>
      <c r="W103" s="68">
        <f t="shared" si="32"/>
        <v>0</v>
      </c>
      <c r="X103" s="67">
        <f>IFERROR(SUMIF(気管支鏡!$C$30:$C$74,B103,気管支鏡!$K$30:$K$74)*((気管支鏡!$H$3-気管支鏡!$I$3)/気管支鏡!$H$3),0)</f>
        <v>0</v>
      </c>
      <c r="Y103" s="68">
        <f t="shared" si="18"/>
        <v>0</v>
      </c>
      <c r="Z103" s="67">
        <f>IFERROR(SUMIF(CT撮影装置!$C$30:$C$74,B103,CT撮影装置!$K$30:$K$74)*((CT撮影装置!$H$3-CT撮影装置!$I$3)/CT撮影装置!$H$3),0)</f>
        <v>0</v>
      </c>
      <c r="AA103" s="68">
        <f t="shared" si="33"/>
        <v>0</v>
      </c>
      <c r="AB103" s="67">
        <f>IFERROR(SUMIF(生体情報モニタ!$C$30:$C$74,B103,生体情報モニタ!$K$30:$K$74)*((生体情報モニタ!$H$3-生体情報モニタ!$I$3)/生体情報モニタ!$H$3),0)</f>
        <v>0</v>
      </c>
      <c r="AC103" s="68">
        <f t="shared" si="19"/>
        <v>0</v>
      </c>
      <c r="AD103" s="67">
        <f>IFERROR(SUMIF(分娩監視装置!$C$30:$C$74,B103,分娩監視装置!$K$30:$K$74)*((分娩監視装置!$H$3-分娩監視装置!$I$3)/分娩監視装置!$H$3),0)</f>
        <v>0</v>
      </c>
      <c r="AE103" s="68">
        <f t="shared" si="34"/>
        <v>0</v>
      </c>
      <c r="AF103" s="67">
        <f>IFERROR(SUMIF(新生児モニタ!$C$30:$C$74,B103,新生児モニタ!$K$30:$K$74)*((新生児モニタ!$H$3-新生児モニタ!$I$3)/新生児モニタ!$H$3),0)</f>
        <v>0</v>
      </c>
      <c r="AG103" s="68">
        <f t="shared" si="35"/>
        <v>0</v>
      </c>
    </row>
    <row r="104" spans="2:33">
      <c r="B104" s="64" t="s">
        <v>751</v>
      </c>
      <c r="C104" s="67">
        <f>IFERROR(SUMIF(初度設備!$C$30:$C$74,B104,初度設備!$N$30:$N$74)*((初度設備!$H$3-初度設備!$I$3)/初度設備!$H$3),0)</f>
        <v>0</v>
      </c>
      <c r="D104" s="68">
        <f t="shared" si="20"/>
        <v>0</v>
      </c>
      <c r="E104" s="67">
        <f>IFERROR(SUMIF(人工呼吸器!$C$30:$C$74,B104,人工呼吸器!$N$30:$N$74)*((人工呼吸器!$H$3-人工呼吸器!$I$3)/人工呼吸器!$H$3),0)</f>
        <v>0</v>
      </c>
      <c r="F104" s="68">
        <f t="shared" si="21"/>
        <v>0</v>
      </c>
      <c r="G104" s="68">
        <f t="shared" si="22"/>
        <v>0</v>
      </c>
      <c r="H104" s="68">
        <f t="shared" si="23"/>
        <v>0</v>
      </c>
      <c r="I104" s="67">
        <f>IFERROR(SUMIF(簡易陰圧装置!$C$30:$C$74,B104,簡易陰圧装置!$N$30:$N$74)*((簡易陰圧装置!$H$3-簡易陰圧装置!$I$3)/簡易陰圧装置!$H$3),0)</f>
        <v>0</v>
      </c>
      <c r="J104" s="68">
        <f t="shared" si="24"/>
        <v>0</v>
      </c>
      <c r="K104" s="67">
        <f>IFERROR(SUMIF(#REF!,B104,#REF!)*((#REF!-#REF!)/#REF!),0)</f>
        <v>0</v>
      </c>
      <c r="L104" s="68">
        <f t="shared" si="25"/>
        <v>0</v>
      </c>
      <c r="M104" s="67">
        <f>IFERROR(SUMIF(体外式膜型人工肺!$C$30:$C$74,B104,体外式膜型人工肺!$N$30:$N$74)*((体外式膜型人工肺!$H$3-体外式膜型人工肺!$I$3)/体外式膜型人工肺!$H$3),0)</f>
        <v>0</v>
      </c>
      <c r="N104" s="68">
        <f t="shared" si="26"/>
        <v>0</v>
      </c>
      <c r="O104" s="68">
        <f t="shared" si="27"/>
        <v>0</v>
      </c>
      <c r="P104" s="68">
        <f t="shared" si="28"/>
        <v>0</v>
      </c>
      <c r="Q104" s="67">
        <f>IFERROR(SUMIF(紫外線照射装置!$C$30:$C$74,B104,紫外線照射装置!$N$30:$N$74)*((紫外線照射装置!$H$3-紫外線照射装置!$I$3)/紫外線照射装置!$H$3),0)</f>
        <v>0</v>
      </c>
      <c r="R104" s="68">
        <f t="shared" si="29"/>
        <v>0</v>
      </c>
      <c r="S104" s="101">
        <f t="shared" si="30"/>
        <v>0</v>
      </c>
      <c r="T104" s="67">
        <f>IFERROR(SUMIF(超音波画像診断装置!$C$30:$C$74,B104,超音波画像診断装置!$K$30:$K$74)*((超音波画像診断装置!$H$3-超音波画像診断装置!$I$3)/超音波画像診断装置!$H$3),0)</f>
        <v>0</v>
      </c>
      <c r="U104" s="68">
        <f t="shared" si="31"/>
        <v>0</v>
      </c>
      <c r="V104" s="67">
        <f>IFERROR(SUMIF(血液浄化装置!$C$30:$C$74,B104,血液浄化装置!$K$30:$K$74)*((血液浄化装置!$H$3-血液浄化装置!$I$3)/血液浄化装置!$H$3),0)</f>
        <v>0</v>
      </c>
      <c r="W104" s="68">
        <f t="shared" si="32"/>
        <v>0</v>
      </c>
      <c r="X104" s="67">
        <f>IFERROR(SUMIF(気管支鏡!$C$30:$C$74,B104,気管支鏡!$K$30:$K$74)*((気管支鏡!$H$3-気管支鏡!$I$3)/気管支鏡!$H$3),0)</f>
        <v>0</v>
      </c>
      <c r="Y104" s="68">
        <f t="shared" si="18"/>
        <v>0</v>
      </c>
      <c r="Z104" s="67">
        <f>IFERROR(SUMIF(CT撮影装置!$C$30:$C$74,B104,CT撮影装置!$K$30:$K$74)*((CT撮影装置!$H$3-CT撮影装置!$I$3)/CT撮影装置!$H$3),0)</f>
        <v>0</v>
      </c>
      <c r="AA104" s="68">
        <f t="shared" si="33"/>
        <v>0</v>
      </c>
      <c r="AB104" s="67">
        <f>IFERROR(SUMIF(生体情報モニタ!$C$30:$C$74,B104,生体情報モニタ!$K$30:$K$74)*((生体情報モニタ!$H$3-生体情報モニタ!$I$3)/生体情報モニタ!$H$3),0)</f>
        <v>0</v>
      </c>
      <c r="AC104" s="68">
        <f t="shared" si="19"/>
        <v>0</v>
      </c>
      <c r="AD104" s="67">
        <f>IFERROR(SUMIF(分娩監視装置!$C$30:$C$74,B104,分娩監視装置!$K$30:$K$74)*((分娩監視装置!$H$3-分娩監視装置!$I$3)/分娩監視装置!$H$3),0)</f>
        <v>0</v>
      </c>
      <c r="AE104" s="68">
        <f t="shared" si="34"/>
        <v>0</v>
      </c>
      <c r="AF104" s="67">
        <f>IFERROR(SUMIF(新生児モニタ!$C$30:$C$74,B104,新生児モニタ!$K$30:$K$74)*((新生児モニタ!$H$3-新生児モニタ!$I$3)/新生児モニタ!$H$3),0)</f>
        <v>0</v>
      </c>
      <c r="AG104" s="68">
        <f t="shared" si="35"/>
        <v>0</v>
      </c>
    </row>
    <row r="105" spans="2:33">
      <c r="B105" s="64" t="s">
        <v>752</v>
      </c>
      <c r="C105" s="67">
        <f>IFERROR(SUMIF(初度設備!$C$30:$C$74,B105,初度設備!$N$30:$N$74)*((初度設備!$H$3-初度設備!$I$3)/初度設備!$H$3),0)</f>
        <v>0</v>
      </c>
      <c r="D105" s="68">
        <f t="shared" si="20"/>
        <v>0</v>
      </c>
      <c r="E105" s="67">
        <f>IFERROR(SUMIF(人工呼吸器!$C$30:$C$74,B105,人工呼吸器!$N$30:$N$74)*((人工呼吸器!$H$3-人工呼吸器!$I$3)/人工呼吸器!$H$3),0)</f>
        <v>0</v>
      </c>
      <c r="F105" s="68">
        <f t="shared" si="21"/>
        <v>0</v>
      </c>
      <c r="G105" s="68">
        <f t="shared" si="22"/>
        <v>0</v>
      </c>
      <c r="H105" s="68">
        <f t="shared" si="23"/>
        <v>0</v>
      </c>
      <c r="I105" s="67">
        <f>IFERROR(SUMIF(簡易陰圧装置!$C$30:$C$74,B105,簡易陰圧装置!$N$30:$N$74)*((簡易陰圧装置!$H$3-簡易陰圧装置!$I$3)/簡易陰圧装置!$H$3),0)</f>
        <v>0</v>
      </c>
      <c r="J105" s="68">
        <f t="shared" si="24"/>
        <v>0</v>
      </c>
      <c r="K105" s="67">
        <f>IFERROR(SUMIF(#REF!,B105,#REF!)*((#REF!-#REF!)/#REF!),0)</f>
        <v>0</v>
      </c>
      <c r="L105" s="68">
        <f t="shared" si="25"/>
        <v>0</v>
      </c>
      <c r="M105" s="67">
        <f>IFERROR(SUMIF(体外式膜型人工肺!$C$30:$C$74,B105,体外式膜型人工肺!$N$30:$N$74)*((体外式膜型人工肺!$H$3-体外式膜型人工肺!$I$3)/体外式膜型人工肺!$H$3),0)</f>
        <v>0</v>
      </c>
      <c r="N105" s="68">
        <f t="shared" si="26"/>
        <v>0</v>
      </c>
      <c r="O105" s="68">
        <f t="shared" si="27"/>
        <v>0</v>
      </c>
      <c r="P105" s="68">
        <f t="shared" si="28"/>
        <v>0</v>
      </c>
      <c r="Q105" s="67">
        <f>IFERROR(SUMIF(紫外線照射装置!$C$30:$C$74,B105,紫外線照射装置!$N$30:$N$74)*((紫外線照射装置!$H$3-紫外線照射装置!$I$3)/紫外線照射装置!$H$3),0)</f>
        <v>0</v>
      </c>
      <c r="R105" s="68">
        <f t="shared" si="29"/>
        <v>0</v>
      </c>
      <c r="S105" s="101">
        <f t="shared" si="30"/>
        <v>0</v>
      </c>
      <c r="T105" s="67">
        <f>IFERROR(SUMIF(超音波画像診断装置!$C$30:$C$74,B105,超音波画像診断装置!$K$30:$K$74)*((超音波画像診断装置!$H$3-超音波画像診断装置!$I$3)/超音波画像診断装置!$H$3),0)</f>
        <v>0</v>
      </c>
      <c r="U105" s="68">
        <f t="shared" si="31"/>
        <v>0</v>
      </c>
      <c r="V105" s="67">
        <f>IFERROR(SUMIF(血液浄化装置!$C$30:$C$74,B105,血液浄化装置!$K$30:$K$74)*((血液浄化装置!$H$3-血液浄化装置!$I$3)/血液浄化装置!$H$3),0)</f>
        <v>0</v>
      </c>
      <c r="W105" s="68">
        <f t="shared" si="32"/>
        <v>0</v>
      </c>
      <c r="X105" s="67">
        <f>IFERROR(SUMIF(気管支鏡!$C$30:$C$74,B105,気管支鏡!$K$30:$K$74)*((気管支鏡!$H$3-気管支鏡!$I$3)/気管支鏡!$H$3),0)</f>
        <v>0</v>
      </c>
      <c r="Y105" s="68">
        <f t="shared" si="18"/>
        <v>0</v>
      </c>
      <c r="Z105" s="67">
        <f>IFERROR(SUMIF(CT撮影装置!$C$30:$C$74,B105,CT撮影装置!$K$30:$K$74)*((CT撮影装置!$H$3-CT撮影装置!$I$3)/CT撮影装置!$H$3),0)</f>
        <v>0</v>
      </c>
      <c r="AA105" s="68">
        <f t="shared" si="33"/>
        <v>0</v>
      </c>
      <c r="AB105" s="67">
        <f>IFERROR(SUMIF(生体情報モニタ!$C$30:$C$74,B105,生体情報モニタ!$K$30:$K$74)*((生体情報モニタ!$H$3-生体情報モニタ!$I$3)/生体情報モニタ!$H$3),0)</f>
        <v>0</v>
      </c>
      <c r="AC105" s="68">
        <f t="shared" si="19"/>
        <v>0</v>
      </c>
      <c r="AD105" s="67">
        <f>IFERROR(SUMIF(分娩監視装置!$C$30:$C$74,B105,分娩監視装置!$K$30:$K$74)*((分娩監視装置!$H$3-分娩監視装置!$I$3)/分娩監視装置!$H$3),0)</f>
        <v>0</v>
      </c>
      <c r="AE105" s="68">
        <f t="shared" si="34"/>
        <v>0</v>
      </c>
      <c r="AF105" s="67">
        <f>IFERROR(SUMIF(新生児モニタ!$C$30:$C$74,B105,新生児モニタ!$K$30:$K$74)*((新生児モニタ!$H$3-新生児モニタ!$I$3)/新生児モニタ!$H$3),0)</f>
        <v>0</v>
      </c>
      <c r="AG105" s="68">
        <f t="shared" si="35"/>
        <v>0</v>
      </c>
    </row>
    <row r="106" spans="2:33">
      <c r="B106" s="64" t="s">
        <v>753</v>
      </c>
      <c r="C106" s="67">
        <f>IFERROR(SUMIF(初度設備!$C$30:$C$74,B106,初度設備!$N$30:$N$74)*((初度設備!$H$3-初度設備!$I$3)/初度設備!$H$3),0)</f>
        <v>0</v>
      </c>
      <c r="D106" s="68">
        <f t="shared" si="20"/>
        <v>0</v>
      </c>
      <c r="E106" s="67">
        <f>IFERROR(SUMIF(人工呼吸器!$C$30:$C$74,B106,人工呼吸器!$N$30:$N$74)*((人工呼吸器!$H$3-人工呼吸器!$I$3)/人工呼吸器!$H$3),0)</f>
        <v>0</v>
      </c>
      <c r="F106" s="68">
        <f t="shared" si="21"/>
        <v>0</v>
      </c>
      <c r="G106" s="68">
        <f t="shared" si="22"/>
        <v>0</v>
      </c>
      <c r="H106" s="68">
        <f t="shared" si="23"/>
        <v>0</v>
      </c>
      <c r="I106" s="67">
        <f>IFERROR(SUMIF(簡易陰圧装置!$C$30:$C$74,B106,簡易陰圧装置!$N$30:$N$74)*((簡易陰圧装置!$H$3-簡易陰圧装置!$I$3)/簡易陰圧装置!$H$3),0)</f>
        <v>0</v>
      </c>
      <c r="J106" s="68">
        <f t="shared" si="24"/>
        <v>0</v>
      </c>
      <c r="K106" s="67">
        <f>IFERROR(SUMIF(#REF!,B106,#REF!)*((#REF!-#REF!)/#REF!),0)</f>
        <v>0</v>
      </c>
      <c r="L106" s="68">
        <f t="shared" si="25"/>
        <v>0</v>
      </c>
      <c r="M106" s="67">
        <f>IFERROR(SUMIF(体外式膜型人工肺!$C$30:$C$74,B106,体外式膜型人工肺!$N$30:$N$74)*((体外式膜型人工肺!$H$3-体外式膜型人工肺!$I$3)/体外式膜型人工肺!$H$3),0)</f>
        <v>0</v>
      </c>
      <c r="N106" s="68">
        <f t="shared" si="26"/>
        <v>0</v>
      </c>
      <c r="O106" s="68">
        <f t="shared" si="27"/>
        <v>0</v>
      </c>
      <c r="P106" s="68">
        <f t="shared" si="28"/>
        <v>0</v>
      </c>
      <c r="Q106" s="67">
        <f>IFERROR(SUMIF(紫外線照射装置!$C$30:$C$74,B106,紫外線照射装置!$N$30:$N$74)*((紫外線照射装置!$H$3-紫外線照射装置!$I$3)/紫外線照射装置!$H$3),0)</f>
        <v>0</v>
      </c>
      <c r="R106" s="68">
        <f t="shared" si="29"/>
        <v>0</v>
      </c>
      <c r="S106" s="101">
        <f t="shared" si="30"/>
        <v>0</v>
      </c>
      <c r="T106" s="67">
        <f>IFERROR(SUMIF(超音波画像診断装置!$C$30:$C$74,B106,超音波画像診断装置!$K$30:$K$74)*((超音波画像診断装置!$H$3-超音波画像診断装置!$I$3)/超音波画像診断装置!$H$3),0)</f>
        <v>0</v>
      </c>
      <c r="U106" s="68">
        <f t="shared" si="31"/>
        <v>0</v>
      </c>
      <c r="V106" s="67">
        <f>IFERROR(SUMIF(血液浄化装置!$C$30:$C$74,B106,血液浄化装置!$K$30:$K$74)*((血液浄化装置!$H$3-血液浄化装置!$I$3)/血液浄化装置!$H$3),0)</f>
        <v>0</v>
      </c>
      <c r="W106" s="68">
        <f t="shared" si="32"/>
        <v>0</v>
      </c>
      <c r="X106" s="67">
        <f>IFERROR(SUMIF(気管支鏡!$C$30:$C$74,B106,気管支鏡!$K$30:$K$74)*((気管支鏡!$H$3-気管支鏡!$I$3)/気管支鏡!$H$3),0)</f>
        <v>0</v>
      </c>
      <c r="Y106" s="68">
        <f t="shared" si="18"/>
        <v>0</v>
      </c>
      <c r="Z106" s="67">
        <f>IFERROR(SUMIF(CT撮影装置!$C$30:$C$74,B106,CT撮影装置!$K$30:$K$74)*((CT撮影装置!$H$3-CT撮影装置!$I$3)/CT撮影装置!$H$3),0)</f>
        <v>0</v>
      </c>
      <c r="AA106" s="68">
        <f t="shared" si="33"/>
        <v>0</v>
      </c>
      <c r="AB106" s="67">
        <f>IFERROR(SUMIF(生体情報モニタ!$C$30:$C$74,B106,生体情報モニタ!$K$30:$K$74)*((生体情報モニタ!$H$3-生体情報モニタ!$I$3)/生体情報モニタ!$H$3),0)</f>
        <v>0</v>
      </c>
      <c r="AC106" s="68">
        <f t="shared" si="19"/>
        <v>0</v>
      </c>
      <c r="AD106" s="67">
        <f>IFERROR(SUMIF(分娩監視装置!$C$30:$C$74,B106,分娩監視装置!$K$30:$K$74)*((分娩監視装置!$H$3-分娩監視装置!$I$3)/分娩監視装置!$H$3),0)</f>
        <v>0</v>
      </c>
      <c r="AE106" s="68">
        <f t="shared" si="34"/>
        <v>0</v>
      </c>
      <c r="AF106" s="67">
        <f>IFERROR(SUMIF(新生児モニタ!$C$30:$C$74,B106,新生児モニタ!$K$30:$K$74)*((新生児モニタ!$H$3-新生児モニタ!$I$3)/新生児モニタ!$H$3),0)</f>
        <v>0</v>
      </c>
      <c r="AG106" s="68">
        <f t="shared" si="35"/>
        <v>0</v>
      </c>
    </row>
    <row r="107" spans="2:33">
      <c r="B107" s="64" t="s">
        <v>754</v>
      </c>
      <c r="C107" s="67">
        <f>IFERROR(SUMIF(初度設備!$C$30:$C$74,B107,初度設備!$N$30:$N$74)*((初度設備!$H$3-初度設備!$I$3)/初度設備!$H$3),0)</f>
        <v>0</v>
      </c>
      <c r="D107" s="68">
        <f t="shared" si="20"/>
        <v>0</v>
      </c>
      <c r="E107" s="67">
        <f>IFERROR(SUMIF(人工呼吸器!$C$30:$C$74,B107,人工呼吸器!$N$30:$N$74)*((人工呼吸器!$H$3-人工呼吸器!$I$3)/人工呼吸器!$H$3),0)</f>
        <v>0</v>
      </c>
      <c r="F107" s="68">
        <f t="shared" si="21"/>
        <v>0</v>
      </c>
      <c r="G107" s="68">
        <f t="shared" si="22"/>
        <v>0</v>
      </c>
      <c r="H107" s="68">
        <f t="shared" si="23"/>
        <v>0</v>
      </c>
      <c r="I107" s="67">
        <f>IFERROR(SUMIF(簡易陰圧装置!$C$30:$C$74,B107,簡易陰圧装置!$N$30:$N$74)*((簡易陰圧装置!$H$3-簡易陰圧装置!$I$3)/簡易陰圧装置!$H$3),0)</f>
        <v>0</v>
      </c>
      <c r="J107" s="68">
        <f t="shared" si="24"/>
        <v>0</v>
      </c>
      <c r="K107" s="67">
        <f>IFERROR(SUMIF(#REF!,B107,#REF!)*((#REF!-#REF!)/#REF!),0)</f>
        <v>0</v>
      </c>
      <c r="L107" s="68">
        <f t="shared" si="25"/>
        <v>0</v>
      </c>
      <c r="M107" s="67">
        <f>IFERROR(SUMIF(体外式膜型人工肺!$C$30:$C$74,B107,体外式膜型人工肺!$N$30:$N$74)*((体外式膜型人工肺!$H$3-体外式膜型人工肺!$I$3)/体外式膜型人工肺!$H$3),0)</f>
        <v>0</v>
      </c>
      <c r="N107" s="68">
        <f t="shared" si="26"/>
        <v>0</v>
      </c>
      <c r="O107" s="68">
        <f t="shared" si="27"/>
        <v>0</v>
      </c>
      <c r="P107" s="68">
        <f t="shared" si="28"/>
        <v>0</v>
      </c>
      <c r="Q107" s="67">
        <f>IFERROR(SUMIF(紫外線照射装置!$C$30:$C$74,B107,紫外線照射装置!$N$30:$N$74)*((紫外線照射装置!$H$3-紫外線照射装置!$I$3)/紫外線照射装置!$H$3),0)</f>
        <v>0</v>
      </c>
      <c r="R107" s="68">
        <f t="shared" si="29"/>
        <v>0</v>
      </c>
      <c r="S107" s="101">
        <f t="shared" si="30"/>
        <v>0</v>
      </c>
      <c r="T107" s="67">
        <f>IFERROR(SUMIF(超音波画像診断装置!$C$30:$C$74,B107,超音波画像診断装置!$K$30:$K$74)*((超音波画像診断装置!$H$3-超音波画像診断装置!$I$3)/超音波画像診断装置!$H$3),0)</f>
        <v>0</v>
      </c>
      <c r="U107" s="68">
        <f t="shared" si="31"/>
        <v>0</v>
      </c>
      <c r="V107" s="67">
        <f>IFERROR(SUMIF(血液浄化装置!$C$30:$C$74,B107,血液浄化装置!$K$30:$K$74)*((血液浄化装置!$H$3-血液浄化装置!$I$3)/血液浄化装置!$H$3),0)</f>
        <v>0</v>
      </c>
      <c r="W107" s="68">
        <f t="shared" si="32"/>
        <v>0</v>
      </c>
      <c r="X107" s="67">
        <f>IFERROR(SUMIF(気管支鏡!$C$30:$C$74,B107,気管支鏡!$K$30:$K$74)*((気管支鏡!$H$3-気管支鏡!$I$3)/気管支鏡!$H$3),0)</f>
        <v>0</v>
      </c>
      <c r="Y107" s="68">
        <f t="shared" si="18"/>
        <v>0</v>
      </c>
      <c r="Z107" s="67">
        <f>IFERROR(SUMIF(CT撮影装置!$C$30:$C$74,B107,CT撮影装置!$K$30:$K$74)*((CT撮影装置!$H$3-CT撮影装置!$I$3)/CT撮影装置!$H$3),0)</f>
        <v>0</v>
      </c>
      <c r="AA107" s="68">
        <f t="shared" si="33"/>
        <v>0</v>
      </c>
      <c r="AB107" s="67">
        <f>IFERROR(SUMIF(生体情報モニタ!$C$30:$C$74,B107,生体情報モニタ!$K$30:$K$74)*((生体情報モニタ!$H$3-生体情報モニタ!$I$3)/生体情報モニタ!$H$3),0)</f>
        <v>0</v>
      </c>
      <c r="AC107" s="68">
        <f t="shared" si="19"/>
        <v>0</v>
      </c>
      <c r="AD107" s="67">
        <f>IFERROR(SUMIF(分娩監視装置!$C$30:$C$74,B107,分娩監視装置!$K$30:$K$74)*((分娩監視装置!$H$3-分娩監視装置!$I$3)/分娩監視装置!$H$3),0)</f>
        <v>0</v>
      </c>
      <c r="AE107" s="68">
        <f t="shared" si="34"/>
        <v>0</v>
      </c>
      <c r="AF107" s="67">
        <f>IFERROR(SUMIF(新生児モニタ!$C$30:$C$74,B107,新生児モニタ!$K$30:$K$74)*((新生児モニタ!$H$3-新生児モニタ!$I$3)/新生児モニタ!$H$3),0)</f>
        <v>0</v>
      </c>
      <c r="AG107" s="68">
        <f t="shared" si="35"/>
        <v>0</v>
      </c>
    </row>
    <row r="108" spans="2:33">
      <c r="B108" s="64" t="s">
        <v>755</v>
      </c>
      <c r="C108" s="67">
        <f>IFERROR(SUMIF(初度設備!$C$30:$C$74,B108,初度設備!$N$30:$N$74)*((初度設備!$H$3-初度設備!$I$3)/初度設備!$H$3),0)</f>
        <v>0</v>
      </c>
      <c r="D108" s="68">
        <f t="shared" si="20"/>
        <v>0</v>
      </c>
      <c r="E108" s="67">
        <f>IFERROR(SUMIF(人工呼吸器!$C$30:$C$74,B108,人工呼吸器!$N$30:$N$74)*((人工呼吸器!$H$3-人工呼吸器!$I$3)/人工呼吸器!$H$3),0)</f>
        <v>0</v>
      </c>
      <c r="F108" s="68">
        <f t="shared" si="21"/>
        <v>0</v>
      </c>
      <c r="G108" s="68">
        <f t="shared" si="22"/>
        <v>0</v>
      </c>
      <c r="H108" s="68">
        <f t="shared" si="23"/>
        <v>0</v>
      </c>
      <c r="I108" s="67">
        <f>IFERROR(SUMIF(簡易陰圧装置!$C$30:$C$74,B108,簡易陰圧装置!$N$30:$N$74)*((簡易陰圧装置!$H$3-簡易陰圧装置!$I$3)/簡易陰圧装置!$H$3),0)</f>
        <v>0</v>
      </c>
      <c r="J108" s="68">
        <f t="shared" si="24"/>
        <v>0</v>
      </c>
      <c r="K108" s="67">
        <f>IFERROR(SUMIF(#REF!,B108,#REF!)*((#REF!-#REF!)/#REF!),0)</f>
        <v>0</v>
      </c>
      <c r="L108" s="68">
        <f t="shared" si="25"/>
        <v>0</v>
      </c>
      <c r="M108" s="67">
        <f>IFERROR(SUMIF(体外式膜型人工肺!$C$30:$C$74,B108,体外式膜型人工肺!$N$30:$N$74)*((体外式膜型人工肺!$H$3-体外式膜型人工肺!$I$3)/体外式膜型人工肺!$H$3),0)</f>
        <v>0</v>
      </c>
      <c r="N108" s="68">
        <f t="shared" si="26"/>
        <v>0</v>
      </c>
      <c r="O108" s="68">
        <f t="shared" si="27"/>
        <v>0</v>
      </c>
      <c r="P108" s="68">
        <f t="shared" si="28"/>
        <v>0</v>
      </c>
      <c r="Q108" s="67">
        <f>IFERROR(SUMIF(紫外線照射装置!$C$30:$C$74,B108,紫外線照射装置!$N$30:$N$74)*((紫外線照射装置!$H$3-紫外線照射装置!$I$3)/紫外線照射装置!$H$3),0)</f>
        <v>0</v>
      </c>
      <c r="R108" s="68">
        <f t="shared" si="29"/>
        <v>0</v>
      </c>
      <c r="S108" s="101">
        <f t="shared" si="30"/>
        <v>0</v>
      </c>
      <c r="T108" s="67">
        <f>IFERROR(SUMIF(超音波画像診断装置!$C$30:$C$74,B108,超音波画像診断装置!$K$30:$K$74)*((超音波画像診断装置!$H$3-超音波画像診断装置!$I$3)/超音波画像診断装置!$H$3),0)</f>
        <v>0</v>
      </c>
      <c r="U108" s="68">
        <f t="shared" si="31"/>
        <v>0</v>
      </c>
      <c r="V108" s="67">
        <f>IFERROR(SUMIF(血液浄化装置!$C$30:$C$74,B108,血液浄化装置!$K$30:$K$74)*((血液浄化装置!$H$3-血液浄化装置!$I$3)/血液浄化装置!$H$3),0)</f>
        <v>0</v>
      </c>
      <c r="W108" s="68">
        <f t="shared" si="32"/>
        <v>0</v>
      </c>
      <c r="X108" s="67">
        <f>IFERROR(SUMIF(気管支鏡!$C$30:$C$74,B108,気管支鏡!$K$30:$K$74)*((気管支鏡!$H$3-気管支鏡!$I$3)/気管支鏡!$H$3),0)</f>
        <v>0</v>
      </c>
      <c r="Y108" s="68">
        <f t="shared" si="18"/>
        <v>0</v>
      </c>
      <c r="Z108" s="67">
        <f>IFERROR(SUMIF(CT撮影装置!$C$30:$C$74,B108,CT撮影装置!$K$30:$K$74)*((CT撮影装置!$H$3-CT撮影装置!$I$3)/CT撮影装置!$H$3),0)</f>
        <v>0</v>
      </c>
      <c r="AA108" s="68">
        <f t="shared" si="33"/>
        <v>0</v>
      </c>
      <c r="AB108" s="67">
        <f>IFERROR(SUMIF(生体情報モニタ!$C$30:$C$74,B108,生体情報モニタ!$K$30:$K$74)*((生体情報モニタ!$H$3-生体情報モニタ!$I$3)/生体情報モニタ!$H$3),0)</f>
        <v>0</v>
      </c>
      <c r="AC108" s="68">
        <f t="shared" si="19"/>
        <v>0</v>
      </c>
      <c r="AD108" s="67">
        <f>IFERROR(SUMIF(分娩監視装置!$C$30:$C$74,B108,分娩監視装置!$K$30:$K$74)*((分娩監視装置!$H$3-分娩監視装置!$I$3)/分娩監視装置!$H$3),0)</f>
        <v>0</v>
      </c>
      <c r="AE108" s="68">
        <f t="shared" si="34"/>
        <v>0</v>
      </c>
      <c r="AF108" s="67">
        <f>IFERROR(SUMIF(新生児モニタ!$C$30:$C$74,B108,新生児モニタ!$K$30:$K$74)*((新生児モニタ!$H$3-新生児モニタ!$I$3)/新生児モニタ!$H$3),0)</f>
        <v>0</v>
      </c>
      <c r="AG108" s="68">
        <f t="shared" si="35"/>
        <v>0</v>
      </c>
    </row>
    <row r="109" spans="2:33">
      <c r="B109" s="64" t="s">
        <v>756</v>
      </c>
      <c r="C109" s="67">
        <f>IFERROR(SUMIF(初度設備!$C$30:$C$74,B109,初度設備!$N$30:$N$74)*((初度設備!$H$3-初度設備!$I$3)/初度設備!$H$3),0)</f>
        <v>0</v>
      </c>
      <c r="D109" s="68">
        <f t="shared" si="20"/>
        <v>0</v>
      </c>
      <c r="E109" s="67">
        <f>IFERROR(SUMIF(人工呼吸器!$C$30:$C$74,B109,人工呼吸器!$N$30:$N$74)*((人工呼吸器!$H$3-人工呼吸器!$I$3)/人工呼吸器!$H$3),0)</f>
        <v>0</v>
      </c>
      <c r="F109" s="68">
        <f t="shared" si="21"/>
        <v>0</v>
      </c>
      <c r="G109" s="68">
        <f t="shared" si="22"/>
        <v>0</v>
      </c>
      <c r="H109" s="68">
        <f t="shared" si="23"/>
        <v>0</v>
      </c>
      <c r="I109" s="67">
        <f>IFERROR(SUMIF(簡易陰圧装置!$C$30:$C$74,B109,簡易陰圧装置!$N$30:$N$74)*((簡易陰圧装置!$H$3-簡易陰圧装置!$I$3)/簡易陰圧装置!$H$3),0)</f>
        <v>0</v>
      </c>
      <c r="J109" s="68">
        <f t="shared" si="24"/>
        <v>0</v>
      </c>
      <c r="K109" s="67">
        <f>IFERROR(SUMIF(#REF!,B109,#REF!)*((#REF!-#REF!)/#REF!),0)</f>
        <v>0</v>
      </c>
      <c r="L109" s="68">
        <f t="shared" si="25"/>
        <v>0</v>
      </c>
      <c r="M109" s="67">
        <f>IFERROR(SUMIF(体外式膜型人工肺!$C$30:$C$74,B109,体外式膜型人工肺!$N$30:$N$74)*((体外式膜型人工肺!$H$3-体外式膜型人工肺!$I$3)/体外式膜型人工肺!$H$3),0)</f>
        <v>0</v>
      </c>
      <c r="N109" s="68">
        <f t="shared" si="26"/>
        <v>0</v>
      </c>
      <c r="O109" s="68">
        <f t="shared" si="27"/>
        <v>0</v>
      </c>
      <c r="P109" s="68">
        <f t="shared" si="28"/>
        <v>0</v>
      </c>
      <c r="Q109" s="67">
        <f>IFERROR(SUMIF(紫外線照射装置!$C$30:$C$74,B109,紫外線照射装置!$N$30:$N$74)*((紫外線照射装置!$H$3-紫外線照射装置!$I$3)/紫外線照射装置!$H$3),0)</f>
        <v>0</v>
      </c>
      <c r="R109" s="68">
        <f t="shared" si="29"/>
        <v>0</v>
      </c>
      <c r="S109" s="101">
        <f t="shared" si="30"/>
        <v>0</v>
      </c>
      <c r="T109" s="67">
        <f>IFERROR(SUMIF(超音波画像診断装置!$C$30:$C$74,B109,超音波画像診断装置!$K$30:$K$74)*((超音波画像診断装置!$H$3-超音波画像診断装置!$I$3)/超音波画像診断装置!$H$3),0)</f>
        <v>0</v>
      </c>
      <c r="U109" s="68">
        <f t="shared" si="31"/>
        <v>0</v>
      </c>
      <c r="V109" s="67">
        <f>IFERROR(SUMIF(血液浄化装置!$C$30:$C$74,B109,血液浄化装置!$K$30:$K$74)*((血液浄化装置!$H$3-血液浄化装置!$I$3)/血液浄化装置!$H$3),0)</f>
        <v>0</v>
      </c>
      <c r="W109" s="68">
        <f t="shared" si="32"/>
        <v>0</v>
      </c>
      <c r="X109" s="67">
        <f>IFERROR(SUMIF(気管支鏡!$C$30:$C$74,B109,気管支鏡!$K$30:$K$74)*((気管支鏡!$H$3-気管支鏡!$I$3)/気管支鏡!$H$3),0)</f>
        <v>0</v>
      </c>
      <c r="Y109" s="68">
        <f t="shared" si="18"/>
        <v>0</v>
      </c>
      <c r="Z109" s="67">
        <f>IFERROR(SUMIF(CT撮影装置!$C$30:$C$74,B109,CT撮影装置!$K$30:$K$74)*((CT撮影装置!$H$3-CT撮影装置!$I$3)/CT撮影装置!$H$3),0)</f>
        <v>0</v>
      </c>
      <c r="AA109" s="68">
        <f t="shared" si="33"/>
        <v>0</v>
      </c>
      <c r="AB109" s="67">
        <f>IFERROR(SUMIF(生体情報モニタ!$C$30:$C$74,B109,生体情報モニタ!$K$30:$K$74)*((生体情報モニタ!$H$3-生体情報モニタ!$I$3)/生体情報モニタ!$H$3),0)</f>
        <v>0</v>
      </c>
      <c r="AC109" s="68">
        <f t="shared" si="19"/>
        <v>0</v>
      </c>
      <c r="AD109" s="67">
        <f>IFERROR(SUMIF(分娩監視装置!$C$30:$C$74,B109,分娩監視装置!$K$30:$K$74)*((分娩監視装置!$H$3-分娩監視装置!$I$3)/分娩監視装置!$H$3),0)</f>
        <v>0</v>
      </c>
      <c r="AE109" s="68">
        <f t="shared" si="34"/>
        <v>0</v>
      </c>
      <c r="AF109" s="67">
        <f>IFERROR(SUMIF(新生児モニタ!$C$30:$C$74,B109,新生児モニタ!$K$30:$K$74)*((新生児モニタ!$H$3-新生児モニタ!$I$3)/新生児モニタ!$H$3),0)</f>
        <v>0</v>
      </c>
      <c r="AG109" s="68">
        <f t="shared" si="35"/>
        <v>0</v>
      </c>
    </row>
    <row r="110" spans="2:33">
      <c r="B110" s="64" t="s">
        <v>757</v>
      </c>
      <c r="C110" s="67">
        <f>IFERROR(SUMIF(初度設備!$C$30:$C$74,B110,初度設備!$N$30:$N$74)*((初度設備!$H$3-初度設備!$I$3)/初度設備!$H$3),0)</f>
        <v>0</v>
      </c>
      <c r="D110" s="68">
        <f t="shared" si="20"/>
        <v>0</v>
      </c>
      <c r="E110" s="67">
        <f>IFERROR(SUMIF(人工呼吸器!$C$30:$C$74,B110,人工呼吸器!$N$30:$N$74)*((人工呼吸器!$H$3-人工呼吸器!$I$3)/人工呼吸器!$H$3),0)</f>
        <v>0</v>
      </c>
      <c r="F110" s="68">
        <f t="shared" si="21"/>
        <v>0</v>
      </c>
      <c r="G110" s="68">
        <f t="shared" si="22"/>
        <v>0</v>
      </c>
      <c r="H110" s="68">
        <f t="shared" si="23"/>
        <v>0</v>
      </c>
      <c r="I110" s="67">
        <f>IFERROR(SUMIF(簡易陰圧装置!$C$30:$C$74,B110,簡易陰圧装置!$N$30:$N$74)*((簡易陰圧装置!$H$3-簡易陰圧装置!$I$3)/簡易陰圧装置!$H$3),0)</f>
        <v>0</v>
      </c>
      <c r="J110" s="68">
        <f t="shared" si="24"/>
        <v>0</v>
      </c>
      <c r="K110" s="67">
        <f>IFERROR(SUMIF(#REF!,B110,#REF!)*((#REF!-#REF!)/#REF!),0)</f>
        <v>0</v>
      </c>
      <c r="L110" s="68">
        <f t="shared" si="25"/>
        <v>0</v>
      </c>
      <c r="M110" s="67">
        <f>IFERROR(SUMIF(体外式膜型人工肺!$C$30:$C$74,B110,体外式膜型人工肺!$N$30:$N$74)*((体外式膜型人工肺!$H$3-体外式膜型人工肺!$I$3)/体外式膜型人工肺!$H$3),0)</f>
        <v>0</v>
      </c>
      <c r="N110" s="68">
        <f t="shared" si="26"/>
        <v>0</v>
      </c>
      <c r="O110" s="68">
        <f t="shared" si="27"/>
        <v>0</v>
      </c>
      <c r="P110" s="68">
        <f t="shared" si="28"/>
        <v>0</v>
      </c>
      <c r="Q110" s="67">
        <f>IFERROR(SUMIF(紫外線照射装置!$C$30:$C$74,B110,紫外線照射装置!$N$30:$N$74)*((紫外線照射装置!$H$3-紫外線照射装置!$I$3)/紫外線照射装置!$H$3),0)</f>
        <v>0</v>
      </c>
      <c r="R110" s="68">
        <f t="shared" si="29"/>
        <v>0</v>
      </c>
      <c r="S110" s="101">
        <f t="shared" si="30"/>
        <v>0</v>
      </c>
      <c r="T110" s="67">
        <f>IFERROR(SUMIF(超音波画像診断装置!$C$30:$C$74,B110,超音波画像診断装置!$K$30:$K$74)*((超音波画像診断装置!$H$3-超音波画像診断装置!$I$3)/超音波画像診断装置!$H$3),0)</f>
        <v>0</v>
      </c>
      <c r="U110" s="68">
        <f t="shared" si="31"/>
        <v>0</v>
      </c>
      <c r="V110" s="67">
        <f>IFERROR(SUMIF(血液浄化装置!$C$30:$C$74,B110,血液浄化装置!$K$30:$K$74)*((血液浄化装置!$H$3-血液浄化装置!$I$3)/血液浄化装置!$H$3),0)</f>
        <v>0</v>
      </c>
      <c r="W110" s="68">
        <f t="shared" si="32"/>
        <v>0</v>
      </c>
      <c r="X110" s="67">
        <f>IFERROR(SUMIF(気管支鏡!$C$30:$C$74,B110,気管支鏡!$K$30:$K$74)*((気管支鏡!$H$3-気管支鏡!$I$3)/気管支鏡!$H$3),0)</f>
        <v>0</v>
      </c>
      <c r="Y110" s="68">
        <f t="shared" si="18"/>
        <v>0</v>
      </c>
      <c r="Z110" s="67">
        <f>IFERROR(SUMIF(CT撮影装置!$C$30:$C$74,B110,CT撮影装置!$K$30:$K$74)*((CT撮影装置!$H$3-CT撮影装置!$I$3)/CT撮影装置!$H$3),0)</f>
        <v>0</v>
      </c>
      <c r="AA110" s="68">
        <f t="shared" si="33"/>
        <v>0</v>
      </c>
      <c r="AB110" s="67">
        <f>IFERROR(SUMIF(生体情報モニタ!$C$30:$C$74,B110,生体情報モニタ!$K$30:$K$74)*((生体情報モニタ!$H$3-生体情報モニタ!$I$3)/生体情報モニタ!$H$3),0)</f>
        <v>0</v>
      </c>
      <c r="AC110" s="68">
        <f t="shared" si="19"/>
        <v>0</v>
      </c>
      <c r="AD110" s="67">
        <f>IFERROR(SUMIF(分娩監視装置!$C$30:$C$74,B110,分娩監視装置!$K$30:$K$74)*((分娩監視装置!$H$3-分娩監視装置!$I$3)/分娩監視装置!$H$3),0)</f>
        <v>0</v>
      </c>
      <c r="AE110" s="68">
        <f t="shared" si="34"/>
        <v>0</v>
      </c>
      <c r="AF110" s="67">
        <f>IFERROR(SUMIF(新生児モニタ!$C$30:$C$74,B110,新生児モニタ!$K$30:$K$74)*((新生児モニタ!$H$3-新生児モニタ!$I$3)/新生児モニタ!$H$3),0)</f>
        <v>0</v>
      </c>
      <c r="AG110" s="68">
        <f t="shared" si="35"/>
        <v>0</v>
      </c>
    </row>
    <row r="111" spans="2:33">
      <c r="B111" s="64" t="s">
        <v>758</v>
      </c>
      <c r="C111" s="67">
        <f>IFERROR(SUMIF(初度設備!$C$30:$C$74,B111,初度設備!$N$30:$N$74)*((初度設備!$H$3-初度設備!$I$3)/初度設備!$H$3),0)</f>
        <v>0</v>
      </c>
      <c r="D111" s="68">
        <f t="shared" si="20"/>
        <v>0</v>
      </c>
      <c r="E111" s="67">
        <f>IFERROR(SUMIF(人工呼吸器!$C$30:$C$74,B111,人工呼吸器!$N$30:$N$74)*((人工呼吸器!$H$3-人工呼吸器!$I$3)/人工呼吸器!$H$3),0)</f>
        <v>0</v>
      </c>
      <c r="F111" s="68">
        <f t="shared" si="21"/>
        <v>0</v>
      </c>
      <c r="G111" s="68">
        <f t="shared" si="22"/>
        <v>0</v>
      </c>
      <c r="H111" s="68">
        <f t="shared" si="23"/>
        <v>0</v>
      </c>
      <c r="I111" s="67">
        <f>IFERROR(SUMIF(簡易陰圧装置!$C$30:$C$74,B111,簡易陰圧装置!$N$30:$N$74)*((簡易陰圧装置!$H$3-簡易陰圧装置!$I$3)/簡易陰圧装置!$H$3),0)</f>
        <v>0</v>
      </c>
      <c r="J111" s="68">
        <f t="shared" si="24"/>
        <v>0</v>
      </c>
      <c r="K111" s="67">
        <f>IFERROR(SUMIF(#REF!,B111,#REF!)*((#REF!-#REF!)/#REF!),0)</f>
        <v>0</v>
      </c>
      <c r="L111" s="68">
        <f t="shared" si="25"/>
        <v>0</v>
      </c>
      <c r="M111" s="67">
        <f>IFERROR(SUMIF(体外式膜型人工肺!$C$30:$C$74,B111,体外式膜型人工肺!$N$30:$N$74)*((体外式膜型人工肺!$H$3-体外式膜型人工肺!$I$3)/体外式膜型人工肺!$H$3),0)</f>
        <v>0</v>
      </c>
      <c r="N111" s="68">
        <f t="shared" si="26"/>
        <v>0</v>
      </c>
      <c r="O111" s="68">
        <f t="shared" si="27"/>
        <v>0</v>
      </c>
      <c r="P111" s="68">
        <f t="shared" si="28"/>
        <v>0</v>
      </c>
      <c r="Q111" s="67">
        <f>IFERROR(SUMIF(紫外線照射装置!$C$30:$C$74,B111,紫外線照射装置!$N$30:$N$74)*((紫外線照射装置!$H$3-紫外線照射装置!$I$3)/紫外線照射装置!$H$3),0)</f>
        <v>0</v>
      </c>
      <c r="R111" s="68">
        <f t="shared" si="29"/>
        <v>0</v>
      </c>
      <c r="S111" s="101">
        <f t="shared" si="30"/>
        <v>0</v>
      </c>
      <c r="T111" s="67">
        <f>IFERROR(SUMIF(超音波画像診断装置!$C$30:$C$74,B111,超音波画像診断装置!$K$30:$K$74)*((超音波画像診断装置!$H$3-超音波画像診断装置!$I$3)/超音波画像診断装置!$H$3),0)</f>
        <v>0</v>
      </c>
      <c r="U111" s="68">
        <f t="shared" si="31"/>
        <v>0</v>
      </c>
      <c r="V111" s="67">
        <f>IFERROR(SUMIF(血液浄化装置!$C$30:$C$74,B111,血液浄化装置!$K$30:$K$74)*((血液浄化装置!$H$3-血液浄化装置!$I$3)/血液浄化装置!$H$3),0)</f>
        <v>0</v>
      </c>
      <c r="W111" s="68">
        <f t="shared" si="32"/>
        <v>0</v>
      </c>
      <c r="X111" s="67">
        <f>IFERROR(SUMIF(気管支鏡!$C$30:$C$74,B111,気管支鏡!$K$30:$K$74)*((気管支鏡!$H$3-気管支鏡!$I$3)/気管支鏡!$H$3),0)</f>
        <v>0</v>
      </c>
      <c r="Y111" s="68">
        <f t="shared" si="18"/>
        <v>0</v>
      </c>
      <c r="Z111" s="67">
        <f>IFERROR(SUMIF(CT撮影装置!$C$30:$C$74,B111,CT撮影装置!$K$30:$K$74)*((CT撮影装置!$H$3-CT撮影装置!$I$3)/CT撮影装置!$H$3),0)</f>
        <v>0</v>
      </c>
      <c r="AA111" s="68">
        <f t="shared" si="33"/>
        <v>0</v>
      </c>
      <c r="AB111" s="67">
        <f>IFERROR(SUMIF(生体情報モニタ!$C$30:$C$74,B111,生体情報モニタ!$K$30:$K$74)*((生体情報モニタ!$H$3-生体情報モニタ!$I$3)/生体情報モニタ!$H$3),0)</f>
        <v>0</v>
      </c>
      <c r="AC111" s="68">
        <f t="shared" si="19"/>
        <v>0</v>
      </c>
      <c r="AD111" s="67">
        <f>IFERROR(SUMIF(分娩監視装置!$C$30:$C$74,B111,分娩監視装置!$K$30:$K$74)*((分娩監視装置!$H$3-分娩監視装置!$I$3)/分娩監視装置!$H$3),0)</f>
        <v>0</v>
      </c>
      <c r="AE111" s="68">
        <f t="shared" si="34"/>
        <v>0</v>
      </c>
      <c r="AF111" s="67">
        <f>IFERROR(SUMIF(新生児モニタ!$C$30:$C$74,B111,新生児モニタ!$K$30:$K$74)*((新生児モニタ!$H$3-新生児モニタ!$I$3)/新生児モニタ!$H$3),0)</f>
        <v>0</v>
      </c>
      <c r="AG111" s="68">
        <f t="shared" si="35"/>
        <v>0</v>
      </c>
    </row>
    <row r="112" spans="2:33">
      <c r="B112" s="64" t="s">
        <v>759</v>
      </c>
      <c r="C112" s="67">
        <f>IFERROR(SUMIF(初度設備!$C$30:$C$74,B112,初度設備!$N$30:$N$74)*((初度設備!$H$3-初度設備!$I$3)/初度設備!$H$3),0)</f>
        <v>0</v>
      </c>
      <c r="D112" s="68">
        <f t="shared" si="20"/>
        <v>0</v>
      </c>
      <c r="E112" s="67">
        <f>IFERROR(SUMIF(人工呼吸器!$C$30:$C$74,B112,人工呼吸器!$N$30:$N$74)*((人工呼吸器!$H$3-人工呼吸器!$I$3)/人工呼吸器!$H$3),0)</f>
        <v>0</v>
      </c>
      <c r="F112" s="68">
        <f t="shared" si="21"/>
        <v>0</v>
      </c>
      <c r="G112" s="68">
        <f t="shared" si="22"/>
        <v>0</v>
      </c>
      <c r="H112" s="68">
        <f t="shared" si="23"/>
        <v>0</v>
      </c>
      <c r="I112" s="67">
        <f>IFERROR(SUMIF(簡易陰圧装置!$C$30:$C$74,B112,簡易陰圧装置!$N$30:$N$74)*((簡易陰圧装置!$H$3-簡易陰圧装置!$I$3)/簡易陰圧装置!$H$3),0)</f>
        <v>0</v>
      </c>
      <c r="J112" s="68">
        <f t="shared" si="24"/>
        <v>0</v>
      </c>
      <c r="K112" s="67">
        <f>IFERROR(SUMIF(#REF!,B112,#REF!)*((#REF!-#REF!)/#REF!),0)</f>
        <v>0</v>
      </c>
      <c r="L112" s="68">
        <f t="shared" si="25"/>
        <v>0</v>
      </c>
      <c r="M112" s="67">
        <f>IFERROR(SUMIF(体外式膜型人工肺!$C$30:$C$74,B112,体外式膜型人工肺!$N$30:$N$74)*((体外式膜型人工肺!$H$3-体外式膜型人工肺!$I$3)/体外式膜型人工肺!$H$3),0)</f>
        <v>0</v>
      </c>
      <c r="N112" s="68">
        <f t="shared" si="26"/>
        <v>0</v>
      </c>
      <c r="O112" s="68">
        <f t="shared" si="27"/>
        <v>0</v>
      </c>
      <c r="P112" s="68">
        <f t="shared" si="28"/>
        <v>0</v>
      </c>
      <c r="Q112" s="67">
        <f>IFERROR(SUMIF(紫外線照射装置!$C$30:$C$74,B112,紫外線照射装置!$N$30:$N$74)*((紫外線照射装置!$H$3-紫外線照射装置!$I$3)/紫外線照射装置!$H$3),0)</f>
        <v>0</v>
      </c>
      <c r="R112" s="68">
        <f t="shared" si="29"/>
        <v>0</v>
      </c>
      <c r="S112" s="101">
        <f t="shared" si="30"/>
        <v>0</v>
      </c>
      <c r="T112" s="67">
        <f>IFERROR(SUMIF(超音波画像診断装置!$C$30:$C$74,B112,超音波画像診断装置!$K$30:$K$74)*((超音波画像診断装置!$H$3-超音波画像診断装置!$I$3)/超音波画像診断装置!$H$3),0)</f>
        <v>0</v>
      </c>
      <c r="U112" s="68">
        <f t="shared" si="31"/>
        <v>0</v>
      </c>
      <c r="V112" s="67">
        <f>IFERROR(SUMIF(血液浄化装置!$C$30:$C$74,B112,血液浄化装置!$K$30:$K$74)*((血液浄化装置!$H$3-血液浄化装置!$I$3)/血液浄化装置!$H$3),0)</f>
        <v>0</v>
      </c>
      <c r="W112" s="68">
        <f t="shared" si="32"/>
        <v>0</v>
      </c>
      <c r="X112" s="67">
        <f>IFERROR(SUMIF(気管支鏡!$C$30:$C$74,B112,気管支鏡!$K$30:$K$74)*((気管支鏡!$H$3-気管支鏡!$I$3)/気管支鏡!$H$3),0)</f>
        <v>0</v>
      </c>
      <c r="Y112" s="68">
        <f t="shared" si="18"/>
        <v>0</v>
      </c>
      <c r="Z112" s="67">
        <f>IFERROR(SUMIF(CT撮影装置!$C$30:$C$74,B112,CT撮影装置!$K$30:$K$74)*((CT撮影装置!$H$3-CT撮影装置!$I$3)/CT撮影装置!$H$3),0)</f>
        <v>0</v>
      </c>
      <c r="AA112" s="68">
        <f t="shared" si="33"/>
        <v>0</v>
      </c>
      <c r="AB112" s="67">
        <f>IFERROR(SUMIF(生体情報モニタ!$C$30:$C$74,B112,生体情報モニタ!$K$30:$K$74)*((生体情報モニタ!$H$3-生体情報モニタ!$I$3)/生体情報モニタ!$H$3),0)</f>
        <v>0</v>
      </c>
      <c r="AC112" s="68">
        <f t="shared" si="19"/>
        <v>0</v>
      </c>
      <c r="AD112" s="67">
        <f>IFERROR(SUMIF(分娩監視装置!$C$30:$C$74,B112,分娩監視装置!$K$30:$K$74)*((分娩監視装置!$H$3-分娩監視装置!$I$3)/分娩監視装置!$H$3),0)</f>
        <v>0</v>
      </c>
      <c r="AE112" s="68">
        <f t="shared" si="34"/>
        <v>0</v>
      </c>
      <c r="AF112" s="67">
        <f>IFERROR(SUMIF(新生児モニタ!$C$30:$C$74,B112,新生児モニタ!$K$30:$K$74)*((新生児モニタ!$H$3-新生児モニタ!$I$3)/新生児モニタ!$H$3),0)</f>
        <v>0</v>
      </c>
      <c r="AG112" s="68">
        <f t="shared" si="35"/>
        <v>0</v>
      </c>
    </row>
    <row r="113" spans="2:33">
      <c r="B113" s="64" t="s">
        <v>760</v>
      </c>
      <c r="C113" s="67">
        <f>IFERROR(SUMIF(初度設備!$C$30:$C$74,B113,初度設備!$N$30:$N$74)*((初度設備!$H$3-初度設備!$I$3)/初度設備!$H$3),0)</f>
        <v>0</v>
      </c>
      <c r="D113" s="68">
        <f t="shared" si="20"/>
        <v>0</v>
      </c>
      <c r="E113" s="67">
        <f>IFERROR(SUMIF(人工呼吸器!$C$30:$C$74,B113,人工呼吸器!$N$30:$N$74)*((人工呼吸器!$H$3-人工呼吸器!$I$3)/人工呼吸器!$H$3),0)</f>
        <v>0</v>
      </c>
      <c r="F113" s="68">
        <f t="shared" si="21"/>
        <v>0</v>
      </c>
      <c r="G113" s="68">
        <f t="shared" si="22"/>
        <v>0</v>
      </c>
      <c r="H113" s="68">
        <f t="shared" si="23"/>
        <v>0</v>
      </c>
      <c r="I113" s="67">
        <f>IFERROR(SUMIF(簡易陰圧装置!$C$30:$C$74,B113,簡易陰圧装置!$N$30:$N$74)*((簡易陰圧装置!$H$3-簡易陰圧装置!$I$3)/簡易陰圧装置!$H$3),0)</f>
        <v>0</v>
      </c>
      <c r="J113" s="68">
        <f t="shared" si="24"/>
        <v>0</v>
      </c>
      <c r="K113" s="67">
        <f>IFERROR(SUMIF(#REF!,B113,#REF!)*((#REF!-#REF!)/#REF!),0)</f>
        <v>0</v>
      </c>
      <c r="L113" s="68">
        <f t="shared" si="25"/>
        <v>0</v>
      </c>
      <c r="M113" s="67">
        <f>IFERROR(SUMIF(体外式膜型人工肺!$C$30:$C$74,B113,体外式膜型人工肺!$N$30:$N$74)*((体外式膜型人工肺!$H$3-体外式膜型人工肺!$I$3)/体外式膜型人工肺!$H$3),0)</f>
        <v>0</v>
      </c>
      <c r="N113" s="68">
        <f t="shared" si="26"/>
        <v>0</v>
      </c>
      <c r="O113" s="68">
        <f t="shared" si="27"/>
        <v>0</v>
      </c>
      <c r="P113" s="68">
        <f t="shared" si="28"/>
        <v>0</v>
      </c>
      <c r="Q113" s="67">
        <f>IFERROR(SUMIF(紫外線照射装置!$C$30:$C$74,B113,紫外線照射装置!$N$30:$N$74)*((紫外線照射装置!$H$3-紫外線照射装置!$I$3)/紫外線照射装置!$H$3),0)</f>
        <v>0</v>
      </c>
      <c r="R113" s="68">
        <f t="shared" si="29"/>
        <v>0</v>
      </c>
      <c r="S113" s="101">
        <f t="shared" si="30"/>
        <v>0</v>
      </c>
      <c r="T113" s="67">
        <f>IFERROR(SUMIF(超音波画像診断装置!$C$30:$C$74,B113,超音波画像診断装置!$K$30:$K$74)*((超音波画像診断装置!$H$3-超音波画像診断装置!$I$3)/超音波画像診断装置!$H$3),0)</f>
        <v>0</v>
      </c>
      <c r="U113" s="68">
        <f t="shared" si="31"/>
        <v>0</v>
      </c>
      <c r="V113" s="67">
        <f>IFERROR(SUMIF(血液浄化装置!$C$30:$C$74,B113,血液浄化装置!$K$30:$K$74)*((血液浄化装置!$H$3-血液浄化装置!$I$3)/血液浄化装置!$H$3),0)</f>
        <v>0</v>
      </c>
      <c r="W113" s="68">
        <f t="shared" si="32"/>
        <v>0</v>
      </c>
      <c r="X113" s="67">
        <f>IFERROR(SUMIF(気管支鏡!$C$30:$C$74,B113,気管支鏡!$K$30:$K$74)*((気管支鏡!$H$3-気管支鏡!$I$3)/気管支鏡!$H$3),0)</f>
        <v>0</v>
      </c>
      <c r="Y113" s="68">
        <f t="shared" si="18"/>
        <v>0</v>
      </c>
      <c r="Z113" s="67">
        <f>IFERROR(SUMIF(CT撮影装置!$C$30:$C$74,B113,CT撮影装置!$K$30:$K$74)*((CT撮影装置!$H$3-CT撮影装置!$I$3)/CT撮影装置!$H$3),0)</f>
        <v>0</v>
      </c>
      <c r="AA113" s="68">
        <f t="shared" si="33"/>
        <v>0</v>
      </c>
      <c r="AB113" s="67">
        <f>IFERROR(SUMIF(生体情報モニタ!$C$30:$C$74,B113,生体情報モニタ!$K$30:$K$74)*((生体情報モニタ!$H$3-生体情報モニタ!$I$3)/生体情報モニタ!$H$3),0)</f>
        <v>0</v>
      </c>
      <c r="AC113" s="68">
        <f t="shared" si="19"/>
        <v>0</v>
      </c>
      <c r="AD113" s="67">
        <f>IFERROR(SUMIF(分娩監視装置!$C$30:$C$74,B113,分娩監視装置!$K$30:$K$74)*((分娩監視装置!$H$3-分娩監視装置!$I$3)/分娩監視装置!$H$3),0)</f>
        <v>0</v>
      </c>
      <c r="AE113" s="68">
        <f t="shared" si="34"/>
        <v>0</v>
      </c>
      <c r="AF113" s="67">
        <f>IFERROR(SUMIF(新生児モニタ!$C$30:$C$74,B113,新生児モニタ!$K$30:$K$74)*((新生児モニタ!$H$3-新生児モニタ!$I$3)/新生児モニタ!$H$3),0)</f>
        <v>0</v>
      </c>
      <c r="AG113" s="68">
        <f t="shared" si="35"/>
        <v>0</v>
      </c>
    </row>
    <row r="114" spans="2:33">
      <c r="B114" s="64" t="s">
        <v>761</v>
      </c>
      <c r="C114" s="67">
        <f>IFERROR(SUMIF(初度設備!$C$30:$C$74,B114,初度設備!$N$30:$N$74)*((初度設備!$H$3-初度設備!$I$3)/初度設備!$H$3),0)</f>
        <v>0</v>
      </c>
      <c r="D114" s="68">
        <f t="shared" si="20"/>
        <v>0</v>
      </c>
      <c r="E114" s="67">
        <f>IFERROR(SUMIF(人工呼吸器!$C$30:$C$74,B114,人工呼吸器!$N$30:$N$74)*((人工呼吸器!$H$3-人工呼吸器!$I$3)/人工呼吸器!$H$3),0)</f>
        <v>0</v>
      </c>
      <c r="F114" s="68">
        <f t="shared" si="21"/>
        <v>0</v>
      </c>
      <c r="G114" s="68">
        <f t="shared" si="22"/>
        <v>0</v>
      </c>
      <c r="H114" s="68">
        <f t="shared" si="23"/>
        <v>0</v>
      </c>
      <c r="I114" s="67">
        <f>IFERROR(SUMIF(簡易陰圧装置!$C$30:$C$74,B114,簡易陰圧装置!$N$30:$N$74)*((簡易陰圧装置!$H$3-簡易陰圧装置!$I$3)/簡易陰圧装置!$H$3),0)</f>
        <v>0</v>
      </c>
      <c r="J114" s="68">
        <f t="shared" si="24"/>
        <v>0</v>
      </c>
      <c r="K114" s="67">
        <f>IFERROR(SUMIF(#REF!,B114,#REF!)*((#REF!-#REF!)/#REF!),0)</f>
        <v>0</v>
      </c>
      <c r="L114" s="68">
        <f t="shared" si="25"/>
        <v>0</v>
      </c>
      <c r="M114" s="67">
        <f>IFERROR(SUMIF(体外式膜型人工肺!$C$30:$C$74,B114,体外式膜型人工肺!$N$30:$N$74)*((体外式膜型人工肺!$H$3-体外式膜型人工肺!$I$3)/体外式膜型人工肺!$H$3),0)</f>
        <v>0</v>
      </c>
      <c r="N114" s="68">
        <f t="shared" si="26"/>
        <v>0</v>
      </c>
      <c r="O114" s="68">
        <f t="shared" si="27"/>
        <v>0</v>
      </c>
      <c r="P114" s="68">
        <f t="shared" si="28"/>
        <v>0</v>
      </c>
      <c r="Q114" s="67">
        <f>IFERROR(SUMIF(紫外線照射装置!$C$30:$C$74,B114,紫外線照射装置!$N$30:$N$74)*((紫外線照射装置!$H$3-紫外線照射装置!$I$3)/紫外線照射装置!$H$3),0)</f>
        <v>0</v>
      </c>
      <c r="R114" s="68">
        <f t="shared" si="29"/>
        <v>0</v>
      </c>
      <c r="S114" s="101">
        <f t="shared" si="30"/>
        <v>0</v>
      </c>
      <c r="T114" s="67">
        <f>IFERROR(SUMIF(超音波画像診断装置!$C$30:$C$74,B114,超音波画像診断装置!$K$30:$K$74)*((超音波画像診断装置!$H$3-超音波画像診断装置!$I$3)/超音波画像診断装置!$H$3),0)</f>
        <v>0</v>
      </c>
      <c r="U114" s="68">
        <f t="shared" si="31"/>
        <v>0</v>
      </c>
      <c r="V114" s="67">
        <f>IFERROR(SUMIF(血液浄化装置!$C$30:$C$74,B114,血液浄化装置!$K$30:$K$74)*((血液浄化装置!$H$3-血液浄化装置!$I$3)/血液浄化装置!$H$3),0)</f>
        <v>0</v>
      </c>
      <c r="W114" s="68">
        <f t="shared" si="32"/>
        <v>0</v>
      </c>
      <c r="X114" s="67">
        <f>IFERROR(SUMIF(気管支鏡!$C$30:$C$74,B114,気管支鏡!$K$30:$K$74)*((気管支鏡!$H$3-気管支鏡!$I$3)/気管支鏡!$H$3),0)</f>
        <v>0</v>
      </c>
      <c r="Y114" s="68">
        <f t="shared" si="18"/>
        <v>0</v>
      </c>
      <c r="Z114" s="67">
        <f>IFERROR(SUMIF(CT撮影装置!$C$30:$C$74,B114,CT撮影装置!$K$30:$K$74)*((CT撮影装置!$H$3-CT撮影装置!$I$3)/CT撮影装置!$H$3),0)</f>
        <v>0</v>
      </c>
      <c r="AA114" s="68">
        <f t="shared" si="33"/>
        <v>0</v>
      </c>
      <c r="AB114" s="67">
        <f>IFERROR(SUMIF(生体情報モニタ!$C$30:$C$74,B114,生体情報モニタ!$K$30:$K$74)*((生体情報モニタ!$H$3-生体情報モニタ!$I$3)/生体情報モニタ!$H$3),0)</f>
        <v>0</v>
      </c>
      <c r="AC114" s="68">
        <f t="shared" si="19"/>
        <v>0</v>
      </c>
      <c r="AD114" s="67">
        <f>IFERROR(SUMIF(分娩監視装置!$C$30:$C$74,B114,分娩監視装置!$K$30:$K$74)*((分娩監視装置!$H$3-分娩監視装置!$I$3)/分娩監視装置!$H$3),0)</f>
        <v>0</v>
      </c>
      <c r="AE114" s="68">
        <f t="shared" si="34"/>
        <v>0</v>
      </c>
      <c r="AF114" s="67">
        <f>IFERROR(SUMIF(新生児モニタ!$C$30:$C$74,B114,新生児モニタ!$K$30:$K$74)*((新生児モニタ!$H$3-新生児モニタ!$I$3)/新生児モニタ!$H$3),0)</f>
        <v>0</v>
      </c>
      <c r="AG114" s="68">
        <f t="shared" si="35"/>
        <v>0</v>
      </c>
    </row>
    <row r="115" spans="2:33">
      <c r="B115" s="64" t="s">
        <v>762</v>
      </c>
      <c r="C115" s="67">
        <f>IFERROR(SUMIF(初度設備!$C$30:$C$74,B115,初度設備!$N$30:$N$74)*((初度設備!$H$3-初度設備!$I$3)/初度設備!$H$3),0)</f>
        <v>0</v>
      </c>
      <c r="D115" s="68">
        <f t="shared" si="20"/>
        <v>0</v>
      </c>
      <c r="E115" s="67">
        <f>IFERROR(SUMIF(人工呼吸器!$C$30:$C$74,B115,人工呼吸器!$N$30:$N$74)*((人工呼吸器!$H$3-人工呼吸器!$I$3)/人工呼吸器!$H$3),0)</f>
        <v>0</v>
      </c>
      <c r="F115" s="68">
        <f t="shared" si="21"/>
        <v>0</v>
      </c>
      <c r="G115" s="68">
        <f t="shared" si="22"/>
        <v>0</v>
      </c>
      <c r="H115" s="68">
        <f t="shared" si="23"/>
        <v>0</v>
      </c>
      <c r="I115" s="67">
        <f>IFERROR(SUMIF(簡易陰圧装置!$C$30:$C$74,B115,簡易陰圧装置!$N$30:$N$74)*((簡易陰圧装置!$H$3-簡易陰圧装置!$I$3)/簡易陰圧装置!$H$3),0)</f>
        <v>0</v>
      </c>
      <c r="J115" s="68">
        <f t="shared" si="24"/>
        <v>0</v>
      </c>
      <c r="K115" s="67">
        <f>IFERROR(SUMIF(#REF!,B115,#REF!)*((#REF!-#REF!)/#REF!),0)</f>
        <v>0</v>
      </c>
      <c r="L115" s="68">
        <f t="shared" si="25"/>
        <v>0</v>
      </c>
      <c r="M115" s="67">
        <f>IFERROR(SUMIF(体外式膜型人工肺!$C$30:$C$74,B115,体外式膜型人工肺!$N$30:$N$74)*((体外式膜型人工肺!$H$3-体外式膜型人工肺!$I$3)/体外式膜型人工肺!$H$3),0)</f>
        <v>0</v>
      </c>
      <c r="N115" s="68">
        <f t="shared" si="26"/>
        <v>0</v>
      </c>
      <c r="O115" s="68">
        <f t="shared" si="27"/>
        <v>0</v>
      </c>
      <c r="P115" s="68">
        <f t="shared" si="28"/>
        <v>0</v>
      </c>
      <c r="Q115" s="67">
        <f>IFERROR(SUMIF(紫外線照射装置!$C$30:$C$74,B115,紫外線照射装置!$N$30:$N$74)*((紫外線照射装置!$H$3-紫外線照射装置!$I$3)/紫外線照射装置!$H$3),0)</f>
        <v>0</v>
      </c>
      <c r="R115" s="68">
        <f t="shared" si="29"/>
        <v>0</v>
      </c>
      <c r="S115" s="101">
        <f t="shared" si="30"/>
        <v>0</v>
      </c>
      <c r="T115" s="67">
        <f>IFERROR(SUMIF(超音波画像診断装置!$C$30:$C$74,B115,超音波画像診断装置!$K$30:$K$74)*((超音波画像診断装置!$H$3-超音波画像診断装置!$I$3)/超音波画像診断装置!$H$3),0)</f>
        <v>0</v>
      </c>
      <c r="U115" s="68">
        <f t="shared" si="31"/>
        <v>0</v>
      </c>
      <c r="V115" s="67">
        <f>IFERROR(SUMIF(血液浄化装置!$C$30:$C$74,B115,血液浄化装置!$K$30:$K$74)*((血液浄化装置!$H$3-血液浄化装置!$I$3)/血液浄化装置!$H$3),0)</f>
        <v>0</v>
      </c>
      <c r="W115" s="68">
        <f t="shared" si="32"/>
        <v>0</v>
      </c>
      <c r="X115" s="67">
        <f>IFERROR(SUMIF(気管支鏡!$C$30:$C$74,B115,気管支鏡!$K$30:$K$74)*((気管支鏡!$H$3-気管支鏡!$I$3)/気管支鏡!$H$3),0)</f>
        <v>0</v>
      </c>
      <c r="Y115" s="68">
        <f t="shared" si="18"/>
        <v>0</v>
      </c>
      <c r="Z115" s="67">
        <f>IFERROR(SUMIF(CT撮影装置!$C$30:$C$74,B115,CT撮影装置!$K$30:$K$74)*((CT撮影装置!$H$3-CT撮影装置!$I$3)/CT撮影装置!$H$3),0)</f>
        <v>0</v>
      </c>
      <c r="AA115" s="68">
        <f t="shared" si="33"/>
        <v>0</v>
      </c>
      <c r="AB115" s="67">
        <f>IFERROR(SUMIF(生体情報モニタ!$C$30:$C$74,B115,生体情報モニタ!$K$30:$K$74)*((生体情報モニタ!$H$3-生体情報モニタ!$I$3)/生体情報モニタ!$H$3),0)</f>
        <v>0</v>
      </c>
      <c r="AC115" s="68">
        <f t="shared" si="19"/>
        <v>0</v>
      </c>
      <c r="AD115" s="67">
        <f>IFERROR(SUMIF(分娩監視装置!$C$30:$C$74,B115,分娩監視装置!$K$30:$K$74)*((分娩監視装置!$H$3-分娩監視装置!$I$3)/分娩監視装置!$H$3),0)</f>
        <v>0</v>
      </c>
      <c r="AE115" s="68">
        <f t="shared" si="34"/>
        <v>0</v>
      </c>
      <c r="AF115" s="67">
        <f>IFERROR(SUMIF(新生児モニタ!$C$30:$C$74,B115,新生児モニタ!$K$30:$K$74)*((新生児モニタ!$H$3-新生児モニタ!$I$3)/新生児モニタ!$H$3),0)</f>
        <v>0</v>
      </c>
      <c r="AG115" s="68">
        <f t="shared" si="35"/>
        <v>0</v>
      </c>
    </row>
    <row r="116" spans="2:33">
      <c r="B116" s="64" t="s">
        <v>763</v>
      </c>
      <c r="C116" s="67">
        <f>IFERROR(SUMIF(初度設備!$C$30:$C$74,B116,初度設備!$N$30:$N$74)*((初度設備!$H$3-初度設備!$I$3)/初度設備!$H$3),0)</f>
        <v>0</v>
      </c>
      <c r="D116" s="68">
        <f t="shared" si="20"/>
        <v>0</v>
      </c>
      <c r="E116" s="67">
        <f>IFERROR(SUMIF(人工呼吸器!$C$30:$C$74,B116,人工呼吸器!$N$30:$N$74)*((人工呼吸器!$H$3-人工呼吸器!$I$3)/人工呼吸器!$H$3),0)</f>
        <v>0</v>
      </c>
      <c r="F116" s="68">
        <f t="shared" si="21"/>
        <v>0</v>
      </c>
      <c r="G116" s="68">
        <f t="shared" si="22"/>
        <v>0</v>
      </c>
      <c r="H116" s="68">
        <f t="shared" si="23"/>
        <v>0</v>
      </c>
      <c r="I116" s="67">
        <f>IFERROR(SUMIF(簡易陰圧装置!$C$30:$C$74,B116,簡易陰圧装置!$N$30:$N$74)*((簡易陰圧装置!$H$3-簡易陰圧装置!$I$3)/簡易陰圧装置!$H$3),0)</f>
        <v>0</v>
      </c>
      <c r="J116" s="68">
        <f t="shared" si="24"/>
        <v>0</v>
      </c>
      <c r="K116" s="67">
        <f>IFERROR(SUMIF(#REF!,B116,#REF!)*((#REF!-#REF!)/#REF!),0)</f>
        <v>0</v>
      </c>
      <c r="L116" s="68">
        <f t="shared" si="25"/>
        <v>0</v>
      </c>
      <c r="M116" s="67">
        <f>IFERROR(SUMIF(体外式膜型人工肺!$C$30:$C$74,B116,体外式膜型人工肺!$N$30:$N$74)*((体外式膜型人工肺!$H$3-体外式膜型人工肺!$I$3)/体外式膜型人工肺!$H$3),0)</f>
        <v>0</v>
      </c>
      <c r="N116" s="68">
        <f t="shared" si="26"/>
        <v>0</v>
      </c>
      <c r="O116" s="68">
        <f t="shared" si="27"/>
        <v>0</v>
      </c>
      <c r="P116" s="68">
        <f t="shared" si="28"/>
        <v>0</v>
      </c>
      <c r="Q116" s="67">
        <f>IFERROR(SUMIF(紫外線照射装置!$C$30:$C$74,B116,紫外線照射装置!$N$30:$N$74)*((紫外線照射装置!$H$3-紫外線照射装置!$I$3)/紫外線照射装置!$H$3),0)</f>
        <v>0</v>
      </c>
      <c r="R116" s="68">
        <f t="shared" si="29"/>
        <v>0</v>
      </c>
      <c r="S116" s="101">
        <f t="shared" si="30"/>
        <v>0</v>
      </c>
      <c r="T116" s="67">
        <f>IFERROR(SUMIF(超音波画像診断装置!$C$30:$C$74,B116,超音波画像診断装置!$K$30:$K$74)*((超音波画像診断装置!$H$3-超音波画像診断装置!$I$3)/超音波画像診断装置!$H$3),0)</f>
        <v>0</v>
      </c>
      <c r="U116" s="68">
        <f t="shared" si="31"/>
        <v>0</v>
      </c>
      <c r="V116" s="67">
        <f>IFERROR(SUMIF(血液浄化装置!$C$30:$C$74,B116,血液浄化装置!$K$30:$K$74)*((血液浄化装置!$H$3-血液浄化装置!$I$3)/血液浄化装置!$H$3),0)</f>
        <v>0</v>
      </c>
      <c r="W116" s="68">
        <f t="shared" si="32"/>
        <v>0</v>
      </c>
      <c r="X116" s="67">
        <f>IFERROR(SUMIF(気管支鏡!$C$30:$C$74,B116,気管支鏡!$K$30:$K$74)*((気管支鏡!$H$3-気管支鏡!$I$3)/気管支鏡!$H$3),0)</f>
        <v>0</v>
      </c>
      <c r="Y116" s="68">
        <f t="shared" si="18"/>
        <v>0</v>
      </c>
      <c r="Z116" s="67">
        <f>IFERROR(SUMIF(CT撮影装置!$C$30:$C$74,B116,CT撮影装置!$K$30:$K$74)*((CT撮影装置!$H$3-CT撮影装置!$I$3)/CT撮影装置!$H$3),0)</f>
        <v>0</v>
      </c>
      <c r="AA116" s="68">
        <f t="shared" si="33"/>
        <v>0</v>
      </c>
      <c r="AB116" s="67">
        <f>IFERROR(SUMIF(生体情報モニタ!$C$30:$C$74,B116,生体情報モニタ!$K$30:$K$74)*((生体情報モニタ!$H$3-生体情報モニタ!$I$3)/生体情報モニタ!$H$3),0)</f>
        <v>0</v>
      </c>
      <c r="AC116" s="68">
        <f t="shared" si="19"/>
        <v>0</v>
      </c>
      <c r="AD116" s="67">
        <f>IFERROR(SUMIF(分娩監視装置!$C$30:$C$74,B116,分娩監視装置!$K$30:$K$74)*((分娩監視装置!$H$3-分娩監視装置!$I$3)/分娩監視装置!$H$3),0)</f>
        <v>0</v>
      </c>
      <c r="AE116" s="68">
        <f t="shared" si="34"/>
        <v>0</v>
      </c>
      <c r="AF116" s="67">
        <f>IFERROR(SUMIF(新生児モニタ!$C$30:$C$74,B116,新生児モニタ!$K$30:$K$74)*((新生児モニタ!$H$3-新生児モニタ!$I$3)/新生児モニタ!$H$3),0)</f>
        <v>0</v>
      </c>
      <c r="AG116" s="68">
        <f t="shared" si="35"/>
        <v>0</v>
      </c>
    </row>
    <row r="117" spans="2:33">
      <c r="B117" s="64" t="s">
        <v>764</v>
      </c>
      <c r="C117" s="67">
        <f>IFERROR(SUMIF(初度設備!$C$30:$C$74,B117,初度設備!$N$30:$N$74)*((初度設備!$H$3-初度設備!$I$3)/初度設備!$H$3),0)</f>
        <v>0</v>
      </c>
      <c r="D117" s="68">
        <f t="shared" si="20"/>
        <v>0</v>
      </c>
      <c r="E117" s="67">
        <f>IFERROR(SUMIF(人工呼吸器!$C$30:$C$74,B117,人工呼吸器!$N$30:$N$74)*((人工呼吸器!$H$3-人工呼吸器!$I$3)/人工呼吸器!$H$3),0)</f>
        <v>0</v>
      </c>
      <c r="F117" s="68">
        <f t="shared" si="21"/>
        <v>0</v>
      </c>
      <c r="G117" s="68">
        <f t="shared" si="22"/>
        <v>0</v>
      </c>
      <c r="H117" s="68">
        <f t="shared" si="23"/>
        <v>0</v>
      </c>
      <c r="I117" s="67">
        <f>IFERROR(SUMIF(簡易陰圧装置!$C$30:$C$74,B117,簡易陰圧装置!$N$30:$N$74)*((簡易陰圧装置!$H$3-簡易陰圧装置!$I$3)/簡易陰圧装置!$H$3),0)</f>
        <v>0</v>
      </c>
      <c r="J117" s="68">
        <f t="shared" si="24"/>
        <v>0</v>
      </c>
      <c r="K117" s="67">
        <f>IFERROR(SUMIF(#REF!,B117,#REF!)*((#REF!-#REF!)/#REF!),0)</f>
        <v>0</v>
      </c>
      <c r="L117" s="68">
        <f t="shared" si="25"/>
        <v>0</v>
      </c>
      <c r="M117" s="67">
        <f>IFERROR(SUMIF(体外式膜型人工肺!$C$30:$C$74,B117,体外式膜型人工肺!$N$30:$N$74)*((体外式膜型人工肺!$H$3-体外式膜型人工肺!$I$3)/体外式膜型人工肺!$H$3),0)</f>
        <v>0</v>
      </c>
      <c r="N117" s="68">
        <f t="shared" si="26"/>
        <v>0</v>
      </c>
      <c r="O117" s="68">
        <f t="shared" si="27"/>
        <v>0</v>
      </c>
      <c r="P117" s="68">
        <f t="shared" si="28"/>
        <v>0</v>
      </c>
      <c r="Q117" s="67">
        <f>IFERROR(SUMIF(紫外線照射装置!$C$30:$C$74,B117,紫外線照射装置!$N$30:$N$74)*((紫外線照射装置!$H$3-紫外線照射装置!$I$3)/紫外線照射装置!$H$3),0)</f>
        <v>0</v>
      </c>
      <c r="R117" s="68">
        <f t="shared" si="29"/>
        <v>0</v>
      </c>
      <c r="S117" s="101">
        <f t="shared" si="30"/>
        <v>0</v>
      </c>
      <c r="T117" s="67">
        <f>IFERROR(SUMIF(超音波画像診断装置!$C$30:$C$74,B117,超音波画像診断装置!$K$30:$K$74)*((超音波画像診断装置!$H$3-超音波画像診断装置!$I$3)/超音波画像診断装置!$H$3),0)</f>
        <v>0</v>
      </c>
      <c r="U117" s="68">
        <f t="shared" si="31"/>
        <v>0</v>
      </c>
      <c r="V117" s="67">
        <f>IFERROR(SUMIF(血液浄化装置!$C$30:$C$74,B117,血液浄化装置!$K$30:$K$74)*((血液浄化装置!$H$3-血液浄化装置!$I$3)/血液浄化装置!$H$3),0)</f>
        <v>0</v>
      </c>
      <c r="W117" s="68">
        <f t="shared" si="32"/>
        <v>0</v>
      </c>
      <c r="X117" s="67">
        <f>IFERROR(SUMIF(気管支鏡!$C$30:$C$74,B117,気管支鏡!$K$30:$K$74)*((気管支鏡!$H$3-気管支鏡!$I$3)/気管支鏡!$H$3),0)</f>
        <v>0</v>
      </c>
      <c r="Y117" s="68">
        <f t="shared" si="18"/>
        <v>0</v>
      </c>
      <c r="Z117" s="67">
        <f>IFERROR(SUMIF(CT撮影装置!$C$30:$C$74,B117,CT撮影装置!$K$30:$K$74)*((CT撮影装置!$H$3-CT撮影装置!$I$3)/CT撮影装置!$H$3),0)</f>
        <v>0</v>
      </c>
      <c r="AA117" s="68">
        <f t="shared" si="33"/>
        <v>0</v>
      </c>
      <c r="AB117" s="67">
        <f>IFERROR(SUMIF(生体情報モニタ!$C$30:$C$74,B117,生体情報モニタ!$K$30:$K$74)*((生体情報モニタ!$H$3-生体情報モニタ!$I$3)/生体情報モニタ!$H$3),0)</f>
        <v>0</v>
      </c>
      <c r="AC117" s="68">
        <f t="shared" si="19"/>
        <v>0</v>
      </c>
      <c r="AD117" s="67">
        <f>IFERROR(SUMIF(分娩監視装置!$C$30:$C$74,B117,分娩監視装置!$K$30:$K$74)*((分娩監視装置!$H$3-分娩監視装置!$I$3)/分娩監視装置!$H$3),0)</f>
        <v>0</v>
      </c>
      <c r="AE117" s="68">
        <f t="shared" si="34"/>
        <v>0</v>
      </c>
      <c r="AF117" s="67">
        <f>IFERROR(SUMIF(新生児モニタ!$C$30:$C$74,B117,新生児モニタ!$K$30:$K$74)*((新生児モニタ!$H$3-新生児モニタ!$I$3)/新生児モニタ!$H$3),0)</f>
        <v>0</v>
      </c>
      <c r="AG117" s="68">
        <f t="shared" si="35"/>
        <v>0</v>
      </c>
    </row>
    <row r="118" spans="2:33">
      <c r="B118" s="64" t="s">
        <v>765</v>
      </c>
      <c r="C118" s="67">
        <f>IFERROR(SUMIF(初度設備!$C$30:$C$74,B118,初度設備!$N$30:$N$74)*((初度設備!$H$3-初度設備!$I$3)/初度設備!$H$3),0)</f>
        <v>0</v>
      </c>
      <c r="D118" s="68">
        <f t="shared" si="20"/>
        <v>0</v>
      </c>
      <c r="E118" s="67">
        <f>IFERROR(SUMIF(人工呼吸器!$C$30:$C$74,B118,人工呼吸器!$N$30:$N$74)*((人工呼吸器!$H$3-人工呼吸器!$I$3)/人工呼吸器!$H$3),0)</f>
        <v>0</v>
      </c>
      <c r="F118" s="68">
        <f t="shared" si="21"/>
        <v>0</v>
      </c>
      <c r="G118" s="68">
        <f t="shared" si="22"/>
        <v>0</v>
      </c>
      <c r="H118" s="68">
        <f t="shared" si="23"/>
        <v>0</v>
      </c>
      <c r="I118" s="67">
        <f>IFERROR(SUMIF(簡易陰圧装置!$C$30:$C$74,B118,簡易陰圧装置!$N$30:$N$74)*((簡易陰圧装置!$H$3-簡易陰圧装置!$I$3)/簡易陰圧装置!$H$3),0)</f>
        <v>0</v>
      </c>
      <c r="J118" s="68">
        <f t="shared" si="24"/>
        <v>0</v>
      </c>
      <c r="K118" s="67">
        <f>IFERROR(SUMIF(#REF!,B118,#REF!)*((#REF!-#REF!)/#REF!),0)</f>
        <v>0</v>
      </c>
      <c r="L118" s="68">
        <f t="shared" si="25"/>
        <v>0</v>
      </c>
      <c r="M118" s="67">
        <f>IFERROR(SUMIF(体外式膜型人工肺!$C$30:$C$74,B118,体外式膜型人工肺!$N$30:$N$74)*((体外式膜型人工肺!$H$3-体外式膜型人工肺!$I$3)/体外式膜型人工肺!$H$3),0)</f>
        <v>0</v>
      </c>
      <c r="N118" s="68">
        <f t="shared" si="26"/>
        <v>0</v>
      </c>
      <c r="O118" s="68">
        <f t="shared" si="27"/>
        <v>0</v>
      </c>
      <c r="P118" s="68">
        <f t="shared" si="28"/>
        <v>0</v>
      </c>
      <c r="Q118" s="67">
        <f>IFERROR(SUMIF(紫外線照射装置!$C$30:$C$74,B118,紫外線照射装置!$N$30:$N$74)*((紫外線照射装置!$H$3-紫外線照射装置!$I$3)/紫外線照射装置!$H$3),0)</f>
        <v>0</v>
      </c>
      <c r="R118" s="68">
        <f t="shared" si="29"/>
        <v>0</v>
      </c>
      <c r="S118" s="101">
        <f t="shared" si="30"/>
        <v>0</v>
      </c>
      <c r="T118" s="67">
        <f>IFERROR(SUMIF(超音波画像診断装置!$C$30:$C$74,B118,超音波画像診断装置!$K$30:$K$74)*((超音波画像診断装置!$H$3-超音波画像診断装置!$I$3)/超音波画像診断装置!$H$3),0)</f>
        <v>0</v>
      </c>
      <c r="U118" s="68">
        <f t="shared" si="31"/>
        <v>0</v>
      </c>
      <c r="V118" s="67">
        <f>IFERROR(SUMIF(血液浄化装置!$C$30:$C$74,B118,血液浄化装置!$K$30:$K$74)*((血液浄化装置!$H$3-血液浄化装置!$I$3)/血液浄化装置!$H$3),0)</f>
        <v>0</v>
      </c>
      <c r="W118" s="68">
        <f t="shared" si="32"/>
        <v>0</v>
      </c>
      <c r="X118" s="67">
        <f>IFERROR(SUMIF(気管支鏡!$C$30:$C$74,B118,気管支鏡!$K$30:$K$74)*((気管支鏡!$H$3-気管支鏡!$I$3)/気管支鏡!$H$3),0)</f>
        <v>0</v>
      </c>
      <c r="Y118" s="68">
        <f t="shared" si="18"/>
        <v>0</v>
      </c>
      <c r="Z118" s="67">
        <f>IFERROR(SUMIF(CT撮影装置!$C$30:$C$74,B118,CT撮影装置!$K$30:$K$74)*((CT撮影装置!$H$3-CT撮影装置!$I$3)/CT撮影装置!$H$3),0)</f>
        <v>0</v>
      </c>
      <c r="AA118" s="68">
        <f t="shared" si="33"/>
        <v>0</v>
      </c>
      <c r="AB118" s="67">
        <f>IFERROR(SUMIF(生体情報モニタ!$C$30:$C$74,B118,生体情報モニタ!$K$30:$K$74)*((生体情報モニタ!$H$3-生体情報モニタ!$I$3)/生体情報モニタ!$H$3),0)</f>
        <v>0</v>
      </c>
      <c r="AC118" s="68">
        <f t="shared" si="19"/>
        <v>0</v>
      </c>
      <c r="AD118" s="67">
        <f>IFERROR(SUMIF(分娩監視装置!$C$30:$C$74,B118,分娩監視装置!$K$30:$K$74)*((分娩監視装置!$H$3-分娩監視装置!$I$3)/分娩監視装置!$H$3),0)</f>
        <v>0</v>
      </c>
      <c r="AE118" s="68">
        <f t="shared" si="34"/>
        <v>0</v>
      </c>
      <c r="AF118" s="67">
        <f>IFERROR(SUMIF(新生児モニタ!$C$30:$C$74,B118,新生児モニタ!$K$30:$K$74)*((新生児モニタ!$H$3-新生児モニタ!$I$3)/新生児モニタ!$H$3),0)</f>
        <v>0</v>
      </c>
      <c r="AG118" s="68">
        <f t="shared" si="35"/>
        <v>0</v>
      </c>
    </row>
    <row r="119" spans="2:33">
      <c r="B119" s="64" t="s">
        <v>766</v>
      </c>
      <c r="C119" s="67">
        <f>IFERROR(SUMIF(初度設備!$C$30:$C$74,B119,初度設備!$N$30:$N$74)*((初度設備!$H$3-初度設備!$I$3)/初度設備!$H$3),0)</f>
        <v>0</v>
      </c>
      <c r="D119" s="68">
        <f t="shared" si="20"/>
        <v>0</v>
      </c>
      <c r="E119" s="67">
        <f>IFERROR(SUMIF(人工呼吸器!$C$30:$C$74,B119,人工呼吸器!$N$30:$N$74)*((人工呼吸器!$H$3-人工呼吸器!$I$3)/人工呼吸器!$H$3),0)</f>
        <v>0</v>
      </c>
      <c r="F119" s="68">
        <f t="shared" si="21"/>
        <v>0</v>
      </c>
      <c r="G119" s="68">
        <f t="shared" si="22"/>
        <v>0</v>
      </c>
      <c r="H119" s="68">
        <f t="shared" si="23"/>
        <v>0</v>
      </c>
      <c r="I119" s="67">
        <f>IFERROR(SUMIF(簡易陰圧装置!$C$30:$C$74,B119,簡易陰圧装置!$N$30:$N$74)*((簡易陰圧装置!$H$3-簡易陰圧装置!$I$3)/簡易陰圧装置!$H$3),0)</f>
        <v>0</v>
      </c>
      <c r="J119" s="68">
        <f t="shared" si="24"/>
        <v>0</v>
      </c>
      <c r="K119" s="67">
        <f>IFERROR(SUMIF(#REF!,B119,#REF!)*((#REF!-#REF!)/#REF!),0)</f>
        <v>0</v>
      </c>
      <c r="L119" s="68">
        <f t="shared" si="25"/>
        <v>0</v>
      </c>
      <c r="M119" s="67">
        <f>IFERROR(SUMIF(体外式膜型人工肺!$C$30:$C$74,B119,体外式膜型人工肺!$N$30:$N$74)*((体外式膜型人工肺!$H$3-体外式膜型人工肺!$I$3)/体外式膜型人工肺!$H$3),0)</f>
        <v>0</v>
      </c>
      <c r="N119" s="68">
        <f t="shared" si="26"/>
        <v>0</v>
      </c>
      <c r="O119" s="68">
        <f t="shared" si="27"/>
        <v>0</v>
      </c>
      <c r="P119" s="68">
        <f t="shared" si="28"/>
        <v>0</v>
      </c>
      <c r="Q119" s="67">
        <f>IFERROR(SUMIF(紫外線照射装置!$C$30:$C$74,B119,紫外線照射装置!$N$30:$N$74)*((紫外線照射装置!$H$3-紫外線照射装置!$I$3)/紫外線照射装置!$H$3),0)</f>
        <v>0</v>
      </c>
      <c r="R119" s="68">
        <f t="shared" si="29"/>
        <v>0</v>
      </c>
      <c r="S119" s="101">
        <f t="shared" si="30"/>
        <v>0</v>
      </c>
      <c r="T119" s="67">
        <f>IFERROR(SUMIF(超音波画像診断装置!$C$30:$C$74,B119,超音波画像診断装置!$K$30:$K$74)*((超音波画像診断装置!$H$3-超音波画像診断装置!$I$3)/超音波画像診断装置!$H$3),0)</f>
        <v>0</v>
      </c>
      <c r="U119" s="68">
        <f t="shared" si="31"/>
        <v>0</v>
      </c>
      <c r="V119" s="67">
        <f>IFERROR(SUMIF(血液浄化装置!$C$30:$C$74,B119,血液浄化装置!$K$30:$K$74)*((血液浄化装置!$H$3-血液浄化装置!$I$3)/血液浄化装置!$H$3),0)</f>
        <v>0</v>
      </c>
      <c r="W119" s="68">
        <f t="shared" si="32"/>
        <v>0</v>
      </c>
      <c r="X119" s="67">
        <f>IFERROR(SUMIF(気管支鏡!$C$30:$C$74,B119,気管支鏡!$K$30:$K$74)*((気管支鏡!$H$3-気管支鏡!$I$3)/気管支鏡!$H$3),0)</f>
        <v>0</v>
      </c>
      <c r="Y119" s="68">
        <f t="shared" si="18"/>
        <v>0</v>
      </c>
      <c r="Z119" s="67">
        <f>IFERROR(SUMIF(CT撮影装置!$C$30:$C$74,B119,CT撮影装置!$K$30:$K$74)*((CT撮影装置!$H$3-CT撮影装置!$I$3)/CT撮影装置!$H$3),0)</f>
        <v>0</v>
      </c>
      <c r="AA119" s="68">
        <f t="shared" si="33"/>
        <v>0</v>
      </c>
      <c r="AB119" s="67">
        <f>IFERROR(SUMIF(生体情報モニタ!$C$30:$C$74,B119,生体情報モニタ!$K$30:$K$74)*((生体情報モニタ!$H$3-生体情報モニタ!$I$3)/生体情報モニタ!$H$3),0)</f>
        <v>0</v>
      </c>
      <c r="AC119" s="68">
        <f t="shared" si="19"/>
        <v>0</v>
      </c>
      <c r="AD119" s="67">
        <f>IFERROR(SUMIF(分娩監視装置!$C$30:$C$74,B119,分娩監視装置!$K$30:$K$74)*((分娩監視装置!$H$3-分娩監視装置!$I$3)/分娩監視装置!$H$3),0)</f>
        <v>0</v>
      </c>
      <c r="AE119" s="68">
        <f t="shared" si="34"/>
        <v>0</v>
      </c>
      <c r="AF119" s="67">
        <f>IFERROR(SUMIF(新生児モニタ!$C$30:$C$74,B119,新生児モニタ!$K$30:$K$74)*((新生児モニタ!$H$3-新生児モニタ!$I$3)/新生児モニタ!$H$3),0)</f>
        <v>0</v>
      </c>
      <c r="AG119" s="68">
        <f t="shared" si="35"/>
        <v>0</v>
      </c>
    </row>
    <row r="120" spans="2:33">
      <c r="B120" s="64" t="s">
        <v>767</v>
      </c>
      <c r="C120" s="67">
        <f>IFERROR(SUMIF(初度設備!$C$30:$C$74,B120,初度設備!$N$30:$N$74)*((初度設備!$H$3-初度設備!$I$3)/初度設備!$H$3),0)</f>
        <v>0</v>
      </c>
      <c r="D120" s="68">
        <f t="shared" si="20"/>
        <v>0</v>
      </c>
      <c r="E120" s="67">
        <f>IFERROR(SUMIF(人工呼吸器!$C$30:$C$74,B120,人工呼吸器!$N$30:$N$74)*((人工呼吸器!$H$3-人工呼吸器!$I$3)/人工呼吸器!$H$3),0)</f>
        <v>0</v>
      </c>
      <c r="F120" s="68">
        <f t="shared" si="21"/>
        <v>0</v>
      </c>
      <c r="G120" s="68">
        <f t="shared" si="22"/>
        <v>0</v>
      </c>
      <c r="H120" s="68">
        <f t="shared" si="23"/>
        <v>0</v>
      </c>
      <c r="I120" s="67">
        <f>IFERROR(SUMIF(簡易陰圧装置!$C$30:$C$74,B120,簡易陰圧装置!$N$30:$N$74)*((簡易陰圧装置!$H$3-簡易陰圧装置!$I$3)/簡易陰圧装置!$H$3),0)</f>
        <v>0</v>
      </c>
      <c r="J120" s="68">
        <f t="shared" si="24"/>
        <v>0</v>
      </c>
      <c r="K120" s="67">
        <f>IFERROR(SUMIF(#REF!,B120,#REF!)*((#REF!-#REF!)/#REF!),0)</f>
        <v>0</v>
      </c>
      <c r="L120" s="68">
        <f t="shared" si="25"/>
        <v>0</v>
      </c>
      <c r="M120" s="67">
        <f>IFERROR(SUMIF(体外式膜型人工肺!$C$30:$C$74,B120,体外式膜型人工肺!$N$30:$N$74)*((体外式膜型人工肺!$H$3-体外式膜型人工肺!$I$3)/体外式膜型人工肺!$H$3),0)</f>
        <v>0</v>
      </c>
      <c r="N120" s="68">
        <f t="shared" si="26"/>
        <v>0</v>
      </c>
      <c r="O120" s="68">
        <f t="shared" si="27"/>
        <v>0</v>
      </c>
      <c r="P120" s="68">
        <f t="shared" si="28"/>
        <v>0</v>
      </c>
      <c r="Q120" s="67">
        <f>IFERROR(SUMIF(紫外線照射装置!$C$30:$C$74,B120,紫外線照射装置!$N$30:$N$74)*((紫外線照射装置!$H$3-紫外線照射装置!$I$3)/紫外線照射装置!$H$3),0)</f>
        <v>0</v>
      </c>
      <c r="R120" s="68">
        <f t="shared" si="29"/>
        <v>0</v>
      </c>
      <c r="S120" s="101">
        <f t="shared" si="30"/>
        <v>0</v>
      </c>
      <c r="T120" s="67">
        <f>IFERROR(SUMIF(超音波画像診断装置!$C$30:$C$74,B120,超音波画像診断装置!$K$30:$K$74)*((超音波画像診断装置!$H$3-超音波画像診断装置!$I$3)/超音波画像診断装置!$H$3),0)</f>
        <v>0</v>
      </c>
      <c r="U120" s="68">
        <f t="shared" si="31"/>
        <v>0</v>
      </c>
      <c r="V120" s="67">
        <f>IFERROR(SUMIF(血液浄化装置!$C$30:$C$74,B120,血液浄化装置!$K$30:$K$74)*((血液浄化装置!$H$3-血液浄化装置!$I$3)/血液浄化装置!$H$3),0)</f>
        <v>0</v>
      </c>
      <c r="W120" s="68">
        <f t="shared" si="32"/>
        <v>0</v>
      </c>
      <c r="X120" s="67">
        <f>IFERROR(SUMIF(気管支鏡!$C$30:$C$74,B120,気管支鏡!$K$30:$K$74)*((気管支鏡!$H$3-気管支鏡!$I$3)/気管支鏡!$H$3),0)</f>
        <v>0</v>
      </c>
      <c r="Y120" s="68">
        <f t="shared" si="18"/>
        <v>0</v>
      </c>
      <c r="Z120" s="67">
        <f>IFERROR(SUMIF(CT撮影装置!$C$30:$C$74,B120,CT撮影装置!$K$30:$K$74)*((CT撮影装置!$H$3-CT撮影装置!$I$3)/CT撮影装置!$H$3),0)</f>
        <v>0</v>
      </c>
      <c r="AA120" s="68">
        <f t="shared" si="33"/>
        <v>0</v>
      </c>
      <c r="AB120" s="67">
        <f>IFERROR(SUMIF(生体情報モニタ!$C$30:$C$74,B120,生体情報モニタ!$K$30:$K$74)*((生体情報モニタ!$H$3-生体情報モニタ!$I$3)/生体情報モニタ!$H$3),0)</f>
        <v>0</v>
      </c>
      <c r="AC120" s="68">
        <f t="shared" si="19"/>
        <v>0</v>
      </c>
      <c r="AD120" s="67">
        <f>IFERROR(SUMIF(分娩監視装置!$C$30:$C$74,B120,分娩監視装置!$K$30:$K$74)*((分娩監視装置!$H$3-分娩監視装置!$I$3)/分娩監視装置!$H$3),0)</f>
        <v>0</v>
      </c>
      <c r="AE120" s="68">
        <f t="shared" si="34"/>
        <v>0</v>
      </c>
      <c r="AF120" s="67">
        <f>IFERROR(SUMIF(新生児モニタ!$C$30:$C$74,B120,新生児モニタ!$K$30:$K$74)*((新生児モニタ!$H$3-新生児モニタ!$I$3)/新生児モニタ!$H$3),0)</f>
        <v>0</v>
      </c>
      <c r="AG120" s="68">
        <f t="shared" si="35"/>
        <v>0</v>
      </c>
    </row>
    <row r="121" spans="2:33">
      <c r="B121" s="64" t="s">
        <v>768</v>
      </c>
      <c r="C121" s="67">
        <f>IFERROR(SUMIF(初度設備!$C$30:$C$74,B121,初度設備!$N$30:$N$74)*((初度設備!$H$3-初度設備!$I$3)/初度設備!$H$3),0)</f>
        <v>0</v>
      </c>
      <c r="D121" s="68">
        <f t="shared" si="20"/>
        <v>0</v>
      </c>
      <c r="E121" s="67">
        <f>IFERROR(SUMIF(人工呼吸器!$C$30:$C$74,B121,人工呼吸器!$N$30:$N$74)*((人工呼吸器!$H$3-人工呼吸器!$I$3)/人工呼吸器!$H$3),0)</f>
        <v>0</v>
      </c>
      <c r="F121" s="68">
        <f t="shared" si="21"/>
        <v>0</v>
      </c>
      <c r="G121" s="68">
        <f t="shared" si="22"/>
        <v>0</v>
      </c>
      <c r="H121" s="68">
        <f t="shared" si="23"/>
        <v>0</v>
      </c>
      <c r="I121" s="67">
        <f>IFERROR(SUMIF(簡易陰圧装置!$C$30:$C$74,B121,簡易陰圧装置!$N$30:$N$74)*((簡易陰圧装置!$H$3-簡易陰圧装置!$I$3)/簡易陰圧装置!$H$3),0)</f>
        <v>0</v>
      </c>
      <c r="J121" s="68">
        <f t="shared" si="24"/>
        <v>0</v>
      </c>
      <c r="K121" s="67">
        <f>IFERROR(SUMIF(#REF!,B121,#REF!)*((#REF!-#REF!)/#REF!),0)</f>
        <v>0</v>
      </c>
      <c r="L121" s="68">
        <f t="shared" si="25"/>
        <v>0</v>
      </c>
      <c r="M121" s="67">
        <f>IFERROR(SUMIF(体外式膜型人工肺!$C$30:$C$74,B121,体外式膜型人工肺!$N$30:$N$74)*((体外式膜型人工肺!$H$3-体外式膜型人工肺!$I$3)/体外式膜型人工肺!$H$3),0)</f>
        <v>0</v>
      </c>
      <c r="N121" s="68">
        <f t="shared" si="26"/>
        <v>0</v>
      </c>
      <c r="O121" s="68">
        <f t="shared" si="27"/>
        <v>0</v>
      </c>
      <c r="P121" s="68">
        <f t="shared" si="28"/>
        <v>0</v>
      </c>
      <c r="Q121" s="67">
        <f>IFERROR(SUMIF(紫外線照射装置!$C$30:$C$74,B121,紫外線照射装置!$N$30:$N$74)*((紫外線照射装置!$H$3-紫外線照射装置!$I$3)/紫外線照射装置!$H$3),0)</f>
        <v>0</v>
      </c>
      <c r="R121" s="68">
        <f t="shared" si="29"/>
        <v>0</v>
      </c>
      <c r="S121" s="101">
        <f t="shared" si="30"/>
        <v>0</v>
      </c>
      <c r="T121" s="67">
        <f>IFERROR(SUMIF(超音波画像診断装置!$C$30:$C$74,B121,超音波画像診断装置!$K$30:$K$74)*((超音波画像診断装置!$H$3-超音波画像診断装置!$I$3)/超音波画像診断装置!$H$3),0)</f>
        <v>0</v>
      </c>
      <c r="U121" s="68">
        <f t="shared" si="31"/>
        <v>0</v>
      </c>
      <c r="V121" s="67">
        <f>IFERROR(SUMIF(血液浄化装置!$C$30:$C$74,B121,血液浄化装置!$K$30:$K$74)*((血液浄化装置!$H$3-血液浄化装置!$I$3)/血液浄化装置!$H$3),0)</f>
        <v>0</v>
      </c>
      <c r="W121" s="68">
        <f t="shared" si="32"/>
        <v>0</v>
      </c>
      <c r="X121" s="67">
        <f>IFERROR(SUMIF(気管支鏡!$C$30:$C$74,B121,気管支鏡!$K$30:$K$74)*((気管支鏡!$H$3-気管支鏡!$I$3)/気管支鏡!$H$3),0)</f>
        <v>0</v>
      </c>
      <c r="Y121" s="68">
        <f t="shared" si="18"/>
        <v>0</v>
      </c>
      <c r="Z121" s="67">
        <f>IFERROR(SUMIF(CT撮影装置!$C$30:$C$74,B121,CT撮影装置!$K$30:$K$74)*((CT撮影装置!$H$3-CT撮影装置!$I$3)/CT撮影装置!$H$3),0)</f>
        <v>0</v>
      </c>
      <c r="AA121" s="68">
        <f t="shared" si="33"/>
        <v>0</v>
      </c>
      <c r="AB121" s="67">
        <f>IFERROR(SUMIF(生体情報モニタ!$C$30:$C$74,B121,生体情報モニタ!$K$30:$K$74)*((生体情報モニタ!$H$3-生体情報モニタ!$I$3)/生体情報モニタ!$H$3),0)</f>
        <v>0</v>
      </c>
      <c r="AC121" s="68">
        <f t="shared" si="19"/>
        <v>0</v>
      </c>
      <c r="AD121" s="67">
        <f>IFERROR(SUMIF(分娩監視装置!$C$30:$C$74,B121,分娩監視装置!$K$30:$K$74)*((分娩監視装置!$H$3-分娩監視装置!$I$3)/分娩監視装置!$H$3),0)</f>
        <v>0</v>
      </c>
      <c r="AE121" s="68">
        <f t="shared" si="34"/>
        <v>0</v>
      </c>
      <c r="AF121" s="67">
        <f>IFERROR(SUMIF(新生児モニタ!$C$30:$C$74,B121,新生児モニタ!$K$30:$K$74)*((新生児モニタ!$H$3-新生児モニタ!$I$3)/新生児モニタ!$H$3),0)</f>
        <v>0</v>
      </c>
      <c r="AG121" s="68">
        <f t="shared" si="35"/>
        <v>0</v>
      </c>
    </row>
    <row r="122" spans="2:33">
      <c r="B122" s="64" t="s">
        <v>769</v>
      </c>
      <c r="C122" s="67">
        <f>IFERROR(SUMIF(初度設備!$C$30:$C$74,B122,初度設備!$N$30:$N$74)*((初度設備!$H$3-初度設備!$I$3)/初度設備!$H$3),0)</f>
        <v>0</v>
      </c>
      <c r="D122" s="68">
        <f t="shared" si="20"/>
        <v>0</v>
      </c>
      <c r="E122" s="67">
        <f>IFERROR(SUMIF(人工呼吸器!$C$30:$C$74,B122,人工呼吸器!$N$30:$N$74)*((人工呼吸器!$H$3-人工呼吸器!$I$3)/人工呼吸器!$H$3),0)</f>
        <v>0</v>
      </c>
      <c r="F122" s="68">
        <f t="shared" si="21"/>
        <v>0</v>
      </c>
      <c r="G122" s="68">
        <f t="shared" si="22"/>
        <v>0</v>
      </c>
      <c r="H122" s="68">
        <f t="shared" si="23"/>
        <v>0</v>
      </c>
      <c r="I122" s="67">
        <f>IFERROR(SUMIF(簡易陰圧装置!$C$30:$C$74,B122,簡易陰圧装置!$N$30:$N$74)*((簡易陰圧装置!$H$3-簡易陰圧装置!$I$3)/簡易陰圧装置!$H$3),0)</f>
        <v>0</v>
      </c>
      <c r="J122" s="68">
        <f t="shared" si="24"/>
        <v>0</v>
      </c>
      <c r="K122" s="67">
        <f>IFERROR(SUMIF(#REF!,B122,#REF!)*((#REF!-#REF!)/#REF!),0)</f>
        <v>0</v>
      </c>
      <c r="L122" s="68">
        <f t="shared" si="25"/>
        <v>0</v>
      </c>
      <c r="M122" s="67">
        <f>IFERROR(SUMIF(体外式膜型人工肺!$C$30:$C$74,B122,体外式膜型人工肺!$N$30:$N$74)*((体外式膜型人工肺!$H$3-体外式膜型人工肺!$I$3)/体外式膜型人工肺!$H$3),0)</f>
        <v>0</v>
      </c>
      <c r="N122" s="68">
        <f t="shared" si="26"/>
        <v>0</v>
      </c>
      <c r="O122" s="68">
        <f t="shared" si="27"/>
        <v>0</v>
      </c>
      <c r="P122" s="68">
        <f t="shared" si="28"/>
        <v>0</v>
      </c>
      <c r="Q122" s="67">
        <f>IFERROR(SUMIF(紫外線照射装置!$C$30:$C$74,B122,紫外線照射装置!$N$30:$N$74)*((紫外線照射装置!$H$3-紫外線照射装置!$I$3)/紫外線照射装置!$H$3),0)</f>
        <v>0</v>
      </c>
      <c r="R122" s="68">
        <f t="shared" si="29"/>
        <v>0</v>
      </c>
      <c r="S122" s="101">
        <f t="shared" si="30"/>
        <v>0</v>
      </c>
      <c r="T122" s="67">
        <f>IFERROR(SUMIF(超音波画像診断装置!$C$30:$C$74,B122,超音波画像診断装置!$K$30:$K$74)*((超音波画像診断装置!$H$3-超音波画像診断装置!$I$3)/超音波画像診断装置!$H$3),0)</f>
        <v>0</v>
      </c>
      <c r="U122" s="68">
        <f t="shared" si="31"/>
        <v>0</v>
      </c>
      <c r="V122" s="67">
        <f>IFERROR(SUMIF(血液浄化装置!$C$30:$C$74,B122,血液浄化装置!$K$30:$K$74)*((血液浄化装置!$H$3-血液浄化装置!$I$3)/血液浄化装置!$H$3),0)</f>
        <v>0</v>
      </c>
      <c r="W122" s="68">
        <f t="shared" si="32"/>
        <v>0</v>
      </c>
      <c r="X122" s="67">
        <f>IFERROR(SUMIF(気管支鏡!$C$30:$C$74,B122,気管支鏡!$K$30:$K$74)*((気管支鏡!$H$3-気管支鏡!$I$3)/気管支鏡!$H$3),0)</f>
        <v>0</v>
      </c>
      <c r="Y122" s="68">
        <f t="shared" si="18"/>
        <v>0</v>
      </c>
      <c r="Z122" s="67">
        <f>IFERROR(SUMIF(CT撮影装置!$C$30:$C$74,B122,CT撮影装置!$K$30:$K$74)*((CT撮影装置!$H$3-CT撮影装置!$I$3)/CT撮影装置!$H$3),0)</f>
        <v>0</v>
      </c>
      <c r="AA122" s="68">
        <f t="shared" si="33"/>
        <v>0</v>
      </c>
      <c r="AB122" s="67">
        <f>IFERROR(SUMIF(生体情報モニタ!$C$30:$C$74,B122,生体情報モニタ!$K$30:$K$74)*((生体情報モニタ!$H$3-生体情報モニタ!$I$3)/生体情報モニタ!$H$3),0)</f>
        <v>0</v>
      </c>
      <c r="AC122" s="68">
        <f t="shared" si="19"/>
        <v>0</v>
      </c>
      <c r="AD122" s="67">
        <f>IFERROR(SUMIF(分娩監視装置!$C$30:$C$74,B122,分娩監視装置!$K$30:$K$74)*((分娩監視装置!$H$3-分娩監視装置!$I$3)/分娩監視装置!$H$3),0)</f>
        <v>0</v>
      </c>
      <c r="AE122" s="68">
        <f t="shared" si="34"/>
        <v>0</v>
      </c>
      <c r="AF122" s="67">
        <f>IFERROR(SUMIF(新生児モニタ!$C$30:$C$74,B122,新生児モニタ!$K$30:$K$74)*((新生児モニタ!$H$3-新生児モニタ!$I$3)/新生児モニタ!$H$3),0)</f>
        <v>0</v>
      </c>
      <c r="AG122" s="68">
        <f t="shared" si="35"/>
        <v>0</v>
      </c>
    </row>
    <row r="123" spans="2:33">
      <c r="B123" s="64" t="s">
        <v>770</v>
      </c>
      <c r="C123" s="67">
        <f>IFERROR(SUMIF(初度設備!$C$30:$C$74,B123,初度設備!$N$30:$N$74)*((初度設備!$H$3-初度設備!$I$3)/初度設備!$H$3),0)</f>
        <v>0</v>
      </c>
      <c r="D123" s="68">
        <f t="shared" si="20"/>
        <v>0</v>
      </c>
      <c r="E123" s="67">
        <f>IFERROR(SUMIF(人工呼吸器!$C$30:$C$74,B123,人工呼吸器!$N$30:$N$74)*((人工呼吸器!$H$3-人工呼吸器!$I$3)/人工呼吸器!$H$3),0)</f>
        <v>0</v>
      </c>
      <c r="F123" s="68">
        <f t="shared" si="21"/>
        <v>0</v>
      </c>
      <c r="G123" s="68">
        <f t="shared" si="22"/>
        <v>0</v>
      </c>
      <c r="H123" s="68">
        <f t="shared" si="23"/>
        <v>0</v>
      </c>
      <c r="I123" s="67">
        <f>IFERROR(SUMIF(簡易陰圧装置!$C$30:$C$74,B123,簡易陰圧装置!$N$30:$N$74)*((簡易陰圧装置!$H$3-簡易陰圧装置!$I$3)/簡易陰圧装置!$H$3),0)</f>
        <v>0</v>
      </c>
      <c r="J123" s="68">
        <f t="shared" si="24"/>
        <v>0</v>
      </c>
      <c r="K123" s="67">
        <f>IFERROR(SUMIF(#REF!,B123,#REF!)*((#REF!-#REF!)/#REF!),0)</f>
        <v>0</v>
      </c>
      <c r="L123" s="68">
        <f t="shared" si="25"/>
        <v>0</v>
      </c>
      <c r="M123" s="67">
        <f>IFERROR(SUMIF(体外式膜型人工肺!$C$30:$C$74,B123,体外式膜型人工肺!$N$30:$N$74)*((体外式膜型人工肺!$H$3-体外式膜型人工肺!$I$3)/体外式膜型人工肺!$H$3),0)</f>
        <v>0</v>
      </c>
      <c r="N123" s="68">
        <f t="shared" si="26"/>
        <v>0</v>
      </c>
      <c r="O123" s="68">
        <f t="shared" si="27"/>
        <v>0</v>
      </c>
      <c r="P123" s="68">
        <f t="shared" si="28"/>
        <v>0</v>
      </c>
      <c r="Q123" s="67">
        <f>IFERROR(SUMIF(紫外線照射装置!$C$30:$C$74,B123,紫外線照射装置!$N$30:$N$74)*((紫外線照射装置!$H$3-紫外線照射装置!$I$3)/紫外線照射装置!$H$3),0)</f>
        <v>0</v>
      </c>
      <c r="R123" s="68">
        <f t="shared" si="29"/>
        <v>0</v>
      </c>
      <c r="S123" s="101">
        <f t="shared" si="30"/>
        <v>0</v>
      </c>
      <c r="T123" s="67">
        <f>IFERROR(SUMIF(超音波画像診断装置!$C$30:$C$74,B123,超音波画像診断装置!$K$30:$K$74)*((超音波画像診断装置!$H$3-超音波画像診断装置!$I$3)/超音波画像診断装置!$H$3),0)</f>
        <v>0</v>
      </c>
      <c r="U123" s="68">
        <f t="shared" si="31"/>
        <v>0</v>
      </c>
      <c r="V123" s="67">
        <f>IFERROR(SUMIF(血液浄化装置!$C$30:$C$74,B123,血液浄化装置!$K$30:$K$74)*((血液浄化装置!$H$3-血液浄化装置!$I$3)/血液浄化装置!$H$3),0)</f>
        <v>0</v>
      </c>
      <c r="W123" s="68">
        <f t="shared" si="32"/>
        <v>0</v>
      </c>
      <c r="X123" s="67">
        <f>IFERROR(SUMIF(気管支鏡!$C$30:$C$74,B123,気管支鏡!$K$30:$K$74)*((気管支鏡!$H$3-気管支鏡!$I$3)/気管支鏡!$H$3),0)</f>
        <v>0</v>
      </c>
      <c r="Y123" s="68">
        <f t="shared" si="18"/>
        <v>0</v>
      </c>
      <c r="Z123" s="67">
        <f>IFERROR(SUMIF(CT撮影装置!$C$30:$C$74,B123,CT撮影装置!$K$30:$K$74)*((CT撮影装置!$H$3-CT撮影装置!$I$3)/CT撮影装置!$H$3),0)</f>
        <v>0</v>
      </c>
      <c r="AA123" s="68">
        <f t="shared" si="33"/>
        <v>0</v>
      </c>
      <c r="AB123" s="67">
        <f>IFERROR(SUMIF(生体情報モニタ!$C$30:$C$74,B123,生体情報モニタ!$K$30:$K$74)*((生体情報モニタ!$H$3-生体情報モニタ!$I$3)/生体情報モニタ!$H$3),0)</f>
        <v>0</v>
      </c>
      <c r="AC123" s="68">
        <f t="shared" si="19"/>
        <v>0</v>
      </c>
      <c r="AD123" s="67">
        <f>IFERROR(SUMIF(分娩監視装置!$C$30:$C$74,B123,分娩監視装置!$K$30:$K$74)*((分娩監視装置!$H$3-分娩監視装置!$I$3)/分娩監視装置!$H$3),0)</f>
        <v>0</v>
      </c>
      <c r="AE123" s="68">
        <f t="shared" si="34"/>
        <v>0</v>
      </c>
      <c r="AF123" s="67">
        <f>IFERROR(SUMIF(新生児モニタ!$C$30:$C$74,B123,新生児モニタ!$K$30:$K$74)*((新生児モニタ!$H$3-新生児モニタ!$I$3)/新生児モニタ!$H$3),0)</f>
        <v>0</v>
      </c>
      <c r="AG123" s="68">
        <f t="shared" si="35"/>
        <v>0</v>
      </c>
    </row>
    <row r="124" spans="2:33">
      <c r="B124" s="64" t="s">
        <v>771</v>
      </c>
      <c r="C124" s="67">
        <f>IFERROR(SUMIF(初度設備!$C$30:$C$74,B124,初度設備!$N$30:$N$74)*((初度設備!$H$3-初度設備!$I$3)/初度設備!$H$3),0)</f>
        <v>0</v>
      </c>
      <c r="D124" s="68">
        <f t="shared" si="20"/>
        <v>0</v>
      </c>
      <c r="E124" s="67">
        <f>IFERROR(SUMIF(人工呼吸器!$C$30:$C$74,B124,人工呼吸器!$N$30:$N$74)*((人工呼吸器!$H$3-人工呼吸器!$I$3)/人工呼吸器!$H$3),0)</f>
        <v>0</v>
      </c>
      <c r="F124" s="68">
        <f t="shared" si="21"/>
        <v>0</v>
      </c>
      <c r="G124" s="68">
        <f t="shared" si="22"/>
        <v>0</v>
      </c>
      <c r="H124" s="68">
        <f t="shared" si="23"/>
        <v>0</v>
      </c>
      <c r="I124" s="67">
        <f>IFERROR(SUMIF(簡易陰圧装置!$C$30:$C$74,B124,簡易陰圧装置!$N$30:$N$74)*((簡易陰圧装置!$H$3-簡易陰圧装置!$I$3)/簡易陰圧装置!$H$3),0)</f>
        <v>0</v>
      </c>
      <c r="J124" s="68">
        <f t="shared" si="24"/>
        <v>0</v>
      </c>
      <c r="K124" s="67">
        <f>IFERROR(SUMIF(#REF!,B124,#REF!)*((#REF!-#REF!)/#REF!),0)</f>
        <v>0</v>
      </c>
      <c r="L124" s="68">
        <f t="shared" si="25"/>
        <v>0</v>
      </c>
      <c r="M124" s="67">
        <f>IFERROR(SUMIF(体外式膜型人工肺!$C$30:$C$74,B124,体外式膜型人工肺!$N$30:$N$74)*((体外式膜型人工肺!$H$3-体外式膜型人工肺!$I$3)/体外式膜型人工肺!$H$3),0)</f>
        <v>0</v>
      </c>
      <c r="N124" s="68">
        <f t="shared" si="26"/>
        <v>0</v>
      </c>
      <c r="O124" s="68">
        <f t="shared" si="27"/>
        <v>0</v>
      </c>
      <c r="P124" s="68">
        <f t="shared" si="28"/>
        <v>0</v>
      </c>
      <c r="Q124" s="67">
        <f>IFERROR(SUMIF(紫外線照射装置!$C$30:$C$74,B124,紫外線照射装置!$N$30:$N$74)*((紫外線照射装置!$H$3-紫外線照射装置!$I$3)/紫外線照射装置!$H$3),0)</f>
        <v>0</v>
      </c>
      <c r="R124" s="68">
        <f t="shared" si="29"/>
        <v>0</v>
      </c>
      <c r="S124" s="101">
        <f t="shared" si="30"/>
        <v>0</v>
      </c>
      <c r="T124" s="67">
        <f>IFERROR(SUMIF(超音波画像診断装置!$C$30:$C$74,B124,超音波画像診断装置!$K$30:$K$74)*((超音波画像診断装置!$H$3-超音波画像診断装置!$I$3)/超音波画像診断装置!$H$3),0)</f>
        <v>0</v>
      </c>
      <c r="U124" s="68">
        <f t="shared" si="31"/>
        <v>0</v>
      </c>
      <c r="V124" s="67">
        <f>IFERROR(SUMIF(血液浄化装置!$C$30:$C$74,B124,血液浄化装置!$K$30:$K$74)*((血液浄化装置!$H$3-血液浄化装置!$I$3)/血液浄化装置!$H$3),0)</f>
        <v>0</v>
      </c>
      <c r="W124" s="68">
        <f t="shared" si="32"/>
        <v>0</v>
      </c>
      <c r="X124" s="67">
        <f>IFERROR(SUMIF(気管支鏡!$C$30:$C$74,B124,気管支鏡!$K$30:$K$74)*((気管支鏡!$H$3-気管支鏡!$I$3)/気管支鏡!$H$3),0)</f>
        <v>0</v>
      </c>
      <c r="Y124" s="68">
        <f t="shared" si="18"/>
        <v>0</v>
      </c>
      <c r="Z124" s="67">
        <f>IFERROR(SUMIF(CT撮影装置!$C$30:$C$74,B124,CT撮影装置!$K$30:$K$74)*((CT撮影装置!$H$3-CT撮影装置!$I$3)/CT撮影装置!$H$3),0)</f>
        <v>0</v>
      </c>
      <c r="AA124" s="68">
        <f t="shared" si="33"/>
        <v>0</v>
      </c>
      <c r="AB124" s="67">
        <f>IFERROR(SUMIF(生体情報モニタ!$C$30:$C$74,B124,生体情報モニタ!$K$30:$K$74)*((生体情報モニタ!$H$3-生体情報モニタ!$I$3)/生体情報モニタ!$H$3),0)</f>
        <v>0</v>
      </c>
      <c r="AC124" s="68">
        <f t="shared" si="19"/>
        <v>0</v>
      </c>
      <c r="AD124" s="67">
        <f>IFERROR(SUMIF(分娩監視装置!$C$30:$C$74,B124,分娩監視装置!$K$30:$K$74)*((分娩監視装置!$H$3-分娩監視装置!$I$3)/分娩監視装置!$H$3),0)</f>
        <v>0</v>
      </c>
      <c r="AE124" s="68">
        <f t="shared" si="34"/>
        <v>0</v>
      </c>
      <c r="AF124" s="67">
        <f>IFERROR(SUMIF(新生児モニタ!$C$30:$C$74,B124,新生児モニタ!$K$30:$K$74)*((新生児モニタ!$H$3-新生児モニタ!$I$3)/新生児モニタ!$H$3),0)</f>
        <v>0</v>
      </c>
      <c r="AG124" s="68">
        <f t="shared" si="35"/>
        <v>0</v>
      </c>
    </row>
    <row r="125" spans="2:33">
      <c r="B125" s="64" t="s">
        <v>772</v>
      </c>
      <c r="C125" s="67">
        <f>IFERROR(SUMIF(初度設備!$C$30:$C$74,B125,初度設備!$N$30:$N$74)*((初度設備!$H$3-初度設備!$I$3)/初度設備!$H$3),0)</f>
        <v>0</v>
      </c>
      <c r="D125" s="68">
        <f t="shared" si="20"/>
        <v>0</v>
      </c>
      <c r="E125" s="67">
        <f>IFERROR(SUMIF(人工呼吸器!$C$30:$C$74,B125,人工呼吸器!$N$30:$N$74)*((人工呼吸器!$H$3-人工呼吸器!$I$3)/人工呼吸器!$H$3),0)</f>
        <v>0</v>
      </c>
      <c r="F125" s="68">
        <f t="shared" si="21"/>
        <v>0</v>
      </c>
      <c r="G125" s="68">
        <f t="shared" si="22"/>
        <v>0</v>
      </c>
      <c r="H125" s="68">
        <f t="shared" si="23"/>
        <v>0</v>
      </c>
      <c r="I125" s="67">
        <f>IFERROR(SUMIF(簡易陰圧装置!$C$30:$C$74,B125,簡易陰圧装置!$N$30:$N$74)*((簡易陰圧装置!$H$3-簡易陰圧装置!$I$3)/簡易陰圧装置!$H$3),0)</f>
        <v>0</v>
      </c>
      <c r="J125" s="68">
        <f t="shared" si="24"/>
        <v>0</v>
      </c>
      <c r="K125" s="67">
        <f>IFERROR(SUMIF(#REF!,B125,#REF!)*((#REF!-#REF!)/#REF!),0)</f>
        <v>0</v>
      </c>
      <c r="L125" s="68">
        <f t="shared" si="25"/>
        <v>0</v>
      </c>
      <c r="M125" s="67">
        <f>IFERROR(SUMIF(体外式膜型人工肺!$C$30:$C$74,B125,体外式膜型人工肺!$N$30:$N$74)*((体外式膜型人工肺!$H$3-体外式膜型人工肺!$I$3)/体外式膜型人工肺!$H$3),0)</f>
        <v>0</v>
      </c>
      <c r="N125" s="68">
        <f t="shared" si="26"/>
        <v>0</v>
      </c>
      <c r="O125" s="68">
        <f t="shared" si="27"/>
        <v>0</v>
      </c>
      <c r="P125" s="68">
        <f t="shared" si="28"/>
        <v>0</v>
      </c>
      <c r="Q125" s="67">
        <f>IFERROR(SUMIF(紫外線照射装置!$C$30:$C$74,B125,紫外線照射装置!$N$30:$N$74)*((紫外線照射装置!$H$3-紫外線照射装置!$I$3)/紫外線照射装置!$H$3),0)</f>
        <v>0</v>
      </c>
      <c r="R125" s="68">
        <f t="shared" si="29"/>
        <v>0</v>
      </c>
      <c r="S125" s="101">
        <f t="shared" si="30"/>
        <v>0</v>
      </c>
      <c r="T125" s="67">
        <f>IFERROR(SUMIF(超音波画像診断装置!$C$30:$C$74,B125,超音波画像診断装置!$K$30:$K$74)*((超音波画像診断装置!$H$3-超音波画像診断装置!$I$3)/超音波画像診断装置!$H$3),0)</f>
        <v>0</v>
      </c>
      <c r="U125" s="68">
        <f t="shared" si="31"/>
        <v>0</v>
      </c>
      <c r="V125" s="67">
        <f>IFERROR(SUMIF(血液浄化装置!$C$30:$C$74,B125,血液浄化装置!$K$30:$K$74)*((血液浄化装置!$H$3-血液浄化装置!$I$3)/血液浄化装置!$H$3),0)</f>
        <v>0</v>
      </c>
      <c r="W125" s="68">
        <f t="shared" si="32"/>
        <v>0</v>
      </c>
      <c r="X125" s="67">
        <f>IFERROR(SUMIF(気管支鏡!$C$30:$C$74,B125,気管支鏡!$K$30:$K$74)*((気管支鏡!$H$3-気管支鏡!$I$3)/気管支鏡!$H$3),0)</f>
        <v>0</v>
      </c>
      <c r="Y125" s="68">
        <f t="shared" si="18"/>
        <v>0</v>
      </c>
      <c r="Z125" s="67">
        <f>IFERROR(SUMIF(CT撮影装置!$C$30:$C$74,B125,CT撮影装置!$K$30:$K$74)*((CT撮影装置!$H$3-CT撮影装置!$I$3)/CT撮影装置!$H$3),0)</f>
        <v>0</v>
      </c>
      <c r="AA125" s="68">
        <f t="shared" si="33"/>
        <v>0</v>
      </c>
      <c r="AB125" s="67">
        <f>IFERROR(SUMIF(生体情報モニタ!$C$30:$C$74,B125,生体情報モニタ!$K$30:$K$74)*((生体情報モニタ!$H$3-生体情報モニタ!$I$3)/生体情報モニタ!$H$3),0)</f>
        <v>0</v>
      </c>
      <c r="AC125" s="68">
        <f t="shared" si="19"/>
        <v>0</v>
      </c>
      <c r="AD125" s="67">
        <f>IFERROR(SUMIF(分娩監視装置!$C$30:$C$74,B125,分娩監視装置!$K$30:$K$74)*((分娩監視装置!$H$3-分娩監視装置!$I$3)/分娩監視装置!$H$3),0)</f>
        <v>0</v>
      </c>
      <c r="AE125" s="68">
        <f t="shared" si="34"/>
        <v>0</v>
      </c>
      <c r="AF125" s="67">
        <f>IFERROR(SUMIF(新生児モニタ!$C$30:$C$74,B125,新生児モニタ!$K$30:$K$74)*((新生児モニタ!$H$3-新生児モニタ!$I$3)/新生児モニタ!$H$3),0)</f>
        <v>0</v>
      </c>
      <c r="AG125" s="68">
        <f t="shared" si="35"/>
        <v>0</v>
      </c>
    </row>
    <row r="126" spans="2:33">
      <c r="B126" s="64" t="s">
        <v>773</v>
      </c>
      <c r="C126" s="67">
        <f>IFERROR(SUMIF(初度設備!$C$30:$C$74,B126,初度設備!$N$30:$N$74)*((初度設備!$H$3-初度設備!$I$3)/初度設備!$H$3),0)</f>
        <v>0</v>
      </c>
      <c r="D126" s="68">
        <f t="shared" si="20"/>
        <v>0</v>
      </c>
      <c r="E126" s="67">
        <f>IFERROR(SUMIF(人工呼吸器!$C$30:$C$74,B126,人工呼吸器!$N$30:$N$74)*((人工呼吸器!$H$3-人工呼吸器!$I$3)/人工呼吸器!$H$3),0)</f>
        <v>0</v>
      </c>
      <c r="F126" s="68">
        <f t="shared" si="21"/>
        <v>0</v>
      </c>
      <c r="G126" s="68">
        <f t="shared" si="22"/>
        <v>0</v>
      </c>
      <c r="H126" s="68">
        <f t="shared" si="23"/>
        <v>0</v>
      </c>
      <c r="I126" s="67">
        <f>IFERROR(SUMIF(簡易陰圧装置!$C$30:$C$74,B126,簡易陰圧装置!$N$30:$N$74)*((簡易陰圧装置!$H$3-簡易陰圧装置!$I$3)/簡易陰圧装置!$H$3),0)</f>
        <v>0</v>
      </c>
      <c r="J126" s="68">
        <f t="shared" si="24"/>
        <v>0</v>
      </c>
      <c r="K126" s="67">
        <f>IFERROR(SUMIF(#REF!,B126,#REF!)*((#REF!-#REF!)/#REF!),0)</f>
        <v>0</v>
      </c>
      <c r="L126" s="68">
        <f t="shared" si="25"/>
        <v>0</v>
      </c>
      <c r="M126" s="67">
        <f>IFERROR(SUMIF(体外式膜型人工肺!$C$30:$C$74,B126,体外式膜型人工肺!$N$30:$N$74)*((体外式膜型人工肺!$H$3-体外式膜型人工肺!$I$3)/体外式膜型人工肺!$H$3),0)</f>
        <v>0</v>
      </c>
      <c r="N126" s="68">
        <f t="shared" si="26"/>
        <v>0</v>
      </c>
      <c r="O126" s="68">
        <f t="shared" si="27"/>
        <v>0</v>
      </c>
      <c r="P126" s="68">
        <f t="shared" si="28"/>
        <v>0</v>
      </c>
      <c r="Q126" s="67">
        <f>IFERROR(SUMIF(紫外線照射装置!$C$30:$C$74,B126,紫外線照射装置!$N$30:$N$74)*((紫外線照射装置!$H$3-紫外線照射装置!$I$3)/紫外線照射装置!$H$3),0)</f>
        <v>0</v>
      </c>
      <c r="R126" s="68">
        <f t="shared" si="29"/>
        <v>0</v>
      </c>
      <c r="S126" s="101">
        <f t="shared" si="30"/>
        <v>0</v>
      </c>
      <c r="T126" s="67">
        <f>IFERROR(SUMIF(超音波画像診断装置!$C$30:$C$74,B126,超音波画像診断装置!$K$30:$K$74)*((超音波画像診断装置!$H$3-超音波画像診断装置!$I$3)/超音波画像診断装置!$H$3),0)</f>
        <v>0</v>
      </c>
      <c r="U126" s="68">
        <f t="shared" si="31"/>
        <v>0</v>
      </c>
      <c r="V126" s="67">
        <f>IFERROR(SUMIF(血液浄化装置!$C$30:$C$74,B126,血液浄化装置!$K$30:$K$74)*((血液浄化装置!$H$3-血液浄化装置!$I$3)/血液浄化装置!$H$3),0)</f>
        <v>0</v>
      </c>
      <c r="W126" s="68">
        <f t="shared" si="32"/>
        <v>0</v>
      </c>
      <c r="X126" s="67">
        <f>IFERROR(SUMIF(気管支鏡!$C$30:$C$74,B126,気管支鏡!$K$30:$K$74)*((気管支鏡!$H$3-気管支鏡!$I$3)/気管支鏡!$H$3),0)</f>
        <v>0</v>
      </c>
      <c r="Y126" s="68">
        <f t="shared" si="18"/>
        <v>0</v>
      </c>
      <c r="Z126" s="67">
        <f>IFERROR(SUMIF(CT撮影装置!$C$30:$C$74,B126,CT撮影装置!$K$30:$K$74)*((CT撮影装置!$H$3-CT撮影装置!$I$3)/CT撮影装置!$H$3),0)</f>
        <v>0</v>
      </c>
      <c r="AA126" s="68">
        <f t="shared" si="33"/>
        <v>0</v>
      </c>
      <c r="AB126" s="67">
        <f>IFERROR(SUMIF(生体情報モニタ!$C$30:$C$74,B126,生体情報モニタ!$K$30:$K$74)*((生体情報モニタ!$H$3-生体情報モニタ!$I$3)/生体情報モニタ!$H$3),0)</f>
        <v>0</v>
      </c>
      <c r="AC126" s="68">
        <f t="shared" si="19"/>
        <v>0</v>
      </c>
      <c r="AD126" s="67">
        <f>IFERROR(SUMIF(分娩監視装置!$C$30:$C$74,B126,分娩監視装置!$K$30:$K$74)*((分娩監視装置!$H$3-分娩監視装置!$I$3)/分娩監視装置!$H$3),0)</f>
        <v>0</v>
      </c>
      <c r="AE126" s="68">
        <f t="shared" si="34"/>
        <v>0</v>
      </c>
      <c r="AF126" s="67">
        <f>IFERROR(SUMIF(新生児モニタ!$C$30:$C$74,B126,新生児モニタ!$K$30:$K$74)*((新生児モニタ!$H$3-新生児モニタ!$I$3)/新生児モニタ!$H$3),0)</f>
        <v>0</v>
      </c>
      <c r="AG126" s="68">
        <f t="shared" si="35"/>
        <v>0</v>
      </c>
    </row>
    <row r="127" spans="2:33">
      <c r="B127" s="64" t="s">
        <v>774</v>
      </c>
      <c r="C127" s="67">
        <f>IFERROR(SUMIF(初度設備!$C$30:$C$74,B127,初度設備!$N$30:$N$74)*((初度設備!$H$3-初度設備!$I$3)/初度設備!$H$3),0)</f>
        <v>0</v>
      </c>
      <c r="D127" s="68">
        <f t="shared" si="20"/>
        <v>0</v>
      </c>
      <c r="E127" s="67">
        <f>IFERROR(SUMIF(人工呼吸器!$C$30:$C$74,B127,人工呼吸器!$N$30:$N$74)*((人工呼吸器!$H$3-人工呼吸器!$I$3)/人工呼吸器!$H$3),0)</f>
        <v>0</v>
      </c>
      <c r="F127" s="68">
        <f t="shared" si="21"/>
        <v>0</v>
      </c>
      <c r="G127" s="68">
        <f t="shared" si="22"/>
        <v>0</v>
      </c>
      <c r="H127" s="68">
        <f t="shared" si="23"/>
        <v>0</v>
      </c>
      <c r="I127" s="67">
        <f>IFERROR(SUMIF(簡易陰圧装置!$C$30:$C$74,B127,簡易陰圧装置!$N$30:$N$74)*((簡易陰圧装置!$H$3-簡易陰圧装置!$I$3)/簡易陰圧装置!$H$3),0)</f>
        <v>0</v>
      </c>
      <c r="J127" s="68">
        <f t="shared" si="24"/>
        <v>0</v>
      </c>
      <c r="K127" s="67">
        <f>IFERROR(SUMIF(#REF!,B127,#REF!)*((#REF!-#REF!)/#REF!),0)</f>
        <v>0</v>
      </c>
      <c r="L127" s="68">
        <f t="shared" si="25"/>
        <v>0</v>
      </c>
      <c r="M127" s="67">
        <f>IFERROR(SUMIF(体外式膜型人工肺!$C$30:$C$74,B127,体外式膜型人工肺!$N$30:$N$74)*((体外式膜型人工肺!$H$3-体外式膜型人工肺!$I$3)/体外式膜型人工肺!$H$3),0)</f>
        <v>0</v>
      </c>
      <c r="N127" s="68">
        <f t="shared" si="26"/>
        <v>0</v>
      </c>
      <c r="O127" s="68">
        <f t="shared" si="27"/>
        <v>0</v>
      </c>
      <c r="P127" s="68">
        <f t="shared" si="28"/>
        <v>0</v>
      </c>
      <c r="Q127" s="67">
        <f>IFERROR(SUMIF(紫外線照射装置!$C$30:$C$74,B127,紫外線照射装置!$N$30:$N$74)*((紫外線照射装置!$H$3-紫外線照射装置!$I$3)/紫外線照射装置!$H$3),0)</f>
        <v>0</v>
      </c>
      <c r="R127" s="68">
        <f t="shared" si="29"/>
        <v>0</v>
      </c>
      <c r="S127" s="101">
        <f t="shared" si="30"/>
        <v>0</v>
      </c>
      <c r="T127" s="67">
        <f>IFERROR(SUMIF(超音波画像診断装置!$C$30:$C$74,B127,超音波画像診断装置!$K$30:$K$74)*((超音波画像診断装置!$H$3-超音波画像診断装置!$I$3)/超音波画像診断装置!$H$3),0)</f>
        <v>0</v>
      </c>
      <c r="U127" s="68">
        <f t="shared" si="31"/>
        <v>0</v>
      </c>
      <c r="V127" s="67">
        <f>IFERROR(SUMIF(血液浄化装置!$C$30:$C$74,B127,血液浄化装置!$K$30:$K$74)*((血液浄化装置!$H$3-血液浄化装置!$I$3)/血液浄化装置!$H$3),0)</f>
        <v>0</v>
      </c>
      <c r="W127" s="68">
        <f t="shared" si="32"/>
        <v>0</v>
      </c>
      <c r="X127" s="67">
        <f>IFERROR(SUMIF(気管支鏡!$C$30:$C$74,B127,気管支鏡!$K$30:$K$74)*((気管支鏡!$H$3-気管支鏡!$I$3)/気管支鏡!$H$3),0)</f>
        <v>0</v>
      </c>
      <c r="Y127" s="68">
        <f t="shared" si="18"/>
        <v>0</v>
      </c>
      <c r="Z127" s="67">
        <f>IFERROR(SUMIF(CT撮影装置!$C$30:$C$74,B127,CT撮影装置!$K$30:$K$74)*((CT撮影装置!$H$3-CT撮影装置!$I$3)/CT撮影装置!$H$3),0)</f>
        <v>0</v>
      </c>
      <c r="AA127" s="68">
        <f t="shared" si="33"/>
        <v>0</v>
      </c>
      <c r="AB127" s="67">
        <f>IFERROR(SUMIF(生体情報モニタ!$C$30:$C$74,B127,生体情報モニタ!$K$30:$K$74)*((生体情報モニタ!$H$3-生体情報モニタ!$I$3)/生体情報モニタ!$H$3),0)</f>
        <v>0</v>
      </c>
      <c r="AC127" s="68">
        <f t="shared" si="19"/>
        <v>0</v>
      </c>
      <c r="AD127" s="67">
        <f>IFERROR(SUMIF(分娩監視装置!$C$30:$C$74,B127,分娩監視装置!$K$30:$K$74)*((分娩監視装置!$H$3-分娩監視装置!$I$3)/分娩監視装置!$H$3),0)</f>
        <v>0</v>
      </c>
      <c r="AE127" s="68">
        <f t="shared" si="34"/>
        <v>0</v>
      </c>
      <c r="AF127" s="67">
        <f>IFERROR(SUMIF(新生児モニタ!$C$30:$C$74,B127,新生児モニタ!$K$30:$K$74)*((新生児モニタ!$H$3-新生児モニタ!$I$3)/新生児モニタ!$H$3),0)</f>
        <v>0</v>
      </c>
      <c r="AG127" s="68">
        <f t="shared" si="35"/>
        <v>0</v>
      </c>
    </row>
    <row r="128" spans="2:33">
      <c r="B128" s="64" t="s">
        <v>775</v>
      </c>
      <c r="C128" s="67">
        <f>IFERROR(SUMIF(初度設備!$C$30:$C$74,B128,初度設備!$N$30:$N$74)*((初度設備!$H$3-初度設備!$I$3)/初度設備!$H$3),0)</f>
        <v>0</v>
      </c>
      <c r="D128" s="68">
        <f t="shared" si="20"/>
        <v>0</v>
      </c>
      <c r="E128" s="67">
        <f>IFERROR(SUMIF(人工呼吸器!$C$30:$C$74,B128,人工呼吸器!$N$30:$N$74)*((人工呼吸器!$H$3-人工呼吸器!$I$3)/人工呼吸器!$H$3),0)</f>
        <v>0</v>
      </c>
      <c r="F128" s="68">
        <f t="shared" si="21"/>
        <v>0</v>
      </c>
      <c r="G128" s="68">
        <f t="shared" si="22"/>
        <v>0</v>
      </c>
      <c r="H128" s="68">
        <f t="shared" si="23"/>
        <v>0</v>
      </c>
      <c r="I128" s="67">
        <f>IFERROR(SUMIF(簡易陰圧装置!$C$30:$C$74,B128,簡易陰圧装置!$N$30:$N$74)*((簡易陰圧装置!$H$3-簡易陰圧装置!$I$3)/簡易陰圧装置!$H$3),0)</f>
        <v>0</v>
      </c>
      <c r="J128" s="68">
        <f t="shared" si="24"/>
        <v>0</v>
      </c>
      <c r="K128" s="67">
        <f>IFERROR(SUMIF(#REF!,B128,#REF!)*((#REF!-#REF!)/#REF!),0)</f>
        <v>0</v>
      </c>
      <c r="L128" s="68">
        <f t="shared" si="25"/>
        <v>0</v>
      </c>
      <c r="M128" s="67">
        <f>IFERROR(SUMIF(体外式膜型人工肺!$C$30:$C$74,B128,体外式膜型人工肺!$N$30:$N$74)*((体外式膜型人工肺!$H$3-体外式膜型人工肺!$I$3)/体外式膜型人工肺!$H$3),0)</f>
        <v>0</v>
      </c>
      <c r="N128" s="68">
        <f t="shared" si="26"/>
        <v>0</v>
      </c>
      <c r="O128" s="68">
        <f t="shared" si="27"/>
        <v>0</v>
      </c>
      <c r="P128" s="68">
        <f t="shared" si="28"/>
        <v>0</v>
      </c>
      <c r="Q128" s="67">
        <f>IFERROR(SUMIF(紫外線照射装置!$C$30:$C$74,B128,紫外線照射装置!$N$30:$N$74)*((紫外線照射装置!$H$3-紫外線照射装置!$I$3)/紫外線照射装置!$H$3),0)</f>
        <v>0</v>
      </c>
      <c r="R128" s="68">
        <f t="shared" si="29"/>
        <v>0</v>
      </c>
      <c r="S128" s="101">
        <f t="shared" si="30"/>
        <v>0</v>
      </c>
      <c r="T128" s="67">
        <f>IFERROR(SUMIF(超音波画像診断装置!$C$30:$C$74,B128,超音波画像診断装置!$K$30:$K$74)*((超音波画像診断装置!$H$3-超音波画像診断装置!$I$3)/超音波画像診断装置!$H$3),0)</f>
        <v>0</v>
      </c>
      <c r="U128" s="68">
        <f t="shared" si="31"/>
        <v>0</v>
      </c>
      <c r="V128" s="67">
        <f>IFERROR(SUMIF(血液浄化装置!$C$30:$C$74,B128,血液浄化装置!$K$30:$K$74)*((血液浄化装置!$H$3-血液浄化装置!$I$3)/血液浄化装置!$H$3),0)</f>
        <v>0</v>
      </c>
      <c r="W128" s="68">
        <f t="shared" si="32"/>
        <v>0</v>
      </c>
      <c r="X128" s="67">
        <f>IFERROR(SUMIF(気管支鏡!$C$30:$C$74,B128,気管支鏡!$K$30:$K$74)*((気管支鏡!$H$3-気管支鏡!$I$3)/気管支鏡!$H$3),0)</f>
        <v>0</v>
      </c>
      <c r="Y128" s="68">
        <f t="shared" si="18"/>
        <v>0</v>
      </c>
      <c r="Z128" s="67">
        <f>IFERROR(SUMIF(CT撮影装置!$C$30:$C$74,B128,CT撮影装置!$K$30:$K$74)*((CT撮影装置!$H$3-CT撮影装置!$I$3)/CT撮影装置!$H$3),0)</f>
        <v>0</v>
      </c>
      <c r="AA128" s="68">
        <f t="shared" si="33"/>
        <v>0</v>
      </c>
      <c r="AB128" s="67">
        <f>IFERROR(SUMIF(生体情報モニタ!$C$30:$C$74,B128,生体情報モニタ!$K$30:$K$74)*((生体情報モニタ!$H$3-生体情報モニタ!$I$3)/生体情報モニタ!$H$3),0)</f>
        <v>0</v>
      </c>
      <c r="AC128" s="68">
        <f t="shared" si="19"/>
        <v>0</v>
      </c>
      <c r="AD128" s="67">
        <f>IFERROR(SUMIF(分娩監視装置!$C$30:$C$74,B128,分娩監視装置!$K$30:$K$74)*((分娩監視装置!$H$3-分娩監視装置!$I$3)/分娩監視装置!$H$3),0)</f>
        <v>0</v>
      </c>
      <c r="AE128" s="68">
        <f t="shared" si="34"/>
        <v>0</v>
      </c>
      <c r="AF128" s="67">
        <f>IFERROR(SUMIF(新生児モニタ!$C$30:$C$74,B128,新生児モニタ!$K$30:$K$74)*((新生児モニタ!$H$3-新生児モニタ!$I$3)/新生児モニタ!$H$3),0)</f>
        <v>0</v>
      </c>
      <c r="AG128" s="68">
        <f t="shared" si="35"/>
        <v>0</v>
      </c>
    </row>
    <row r="129" spans="2:33">
      <c r="B129" s="64" t="s">
        <v>776</v>
      </c>
      <c r="C129" s="67">
        <f>IFERROR(SUMIF(初度設備!$C$30:$C$74,B129,初度設備!$N$30:$N$74)*((初度設備!$H$3-初度設備!$I$3)/初度設備!$H$3),0)</f>
        <v>0</v>
      </c>
      <c r="D129" s="68">
        <f t="shared" si="20"/>
        <v>0</v>
      </c>
      <c r="E129" s="67">
        <f>IFERROR(SUMIF(人工呼吸器!$C$30:$C$74,B129,人工呼吸器!$N$30:$N$74)*((人工呼吸器!$H$3-人工呼吸器!$I$3)/人工呼吸器!$H$3),0)</f>
        <v>0</v>
      </c>
      <c r="F129" s="68">
        <f t="shared" si="21"/>
        <v>0</v>
      </c>
      <c r="G129" s="68">
        <f t="shared" si="22"/>
        <v>0</v>
      </c>
      <c r="H129" s="68">
        <f t="shared" si="23"/>
        <v>0</v>
      </c>
      <c r="I129" s="67">
        <f>IFERROR(SUMIF(簡易陰圧装置!$C$30:$C$74,B129,簡易陰圧装置!$N$30:$N$74)*((簡易陰圧装置!$H$3-簡易陰圧装置!$I$3)/簡易陰圧装置!$H$3),0)</f>
        <v>0</v>
      </c>
      <c r="J129" s="68">
        <f t="shared" si="24"/>
        <v>0</v>
      </c>
      <c r="K129" s="67">
        <f>IFERROR(SUMIF(#REF!,B129,#REF!)*((#REF!-#REF!)/#REF!),0)</f>
        <v>0</v>
      </c>
      <c r="L129" s="68">
        <f t="shared" si="25"/>
        <v>0</v>
      </c>
      <c r="M129" s="67">
        <f>IFERROR(SUMIF(体外式膜型人工肺!$C$30:$C$74,B129,体外式膜型人工肺!$N$30:$N$74)*((体外式膜型人工肺!$H$3-体外式膜型人工肺!$I$3)/体外式膜型人工肺!$H$3),0)</f>
        <v>0</v>
      </c>
      <c r="N129" s="68">
        <f t="shared" si="26"/>
        <v>0</v>
      </c>
      <c r="O129" s="68">
        <f t="shared" si="27"/>
        <v>0</v>
      </c>
      <c r="P129" s="68">
        <f t="shared" si="28"/>
        <v>0</v>
      </c>
      <c r="Q129" s="67">
        <f>IFERROR(SUMIF(紫外線照射装置!$C$30:$C$74,B129,紫外線照射装置!$N$30:$N$74)*((紫外線照射装置!$H$3-紫外線照射装置!$I$3)/紫外線照射装置!$H$3),0)</f>
        <v>0</v>
      </c>
      <c r="R129" s="68">
        <f t="shared" si="29"/>
        <v>0</v>
      </c>
      <c r="S129" s="101">
        <f t="shared" si="30"/>
        <v>0</v>
      </c>
      <c r="T129" s="67">
        <f>IFERROR(SUMIF(超音波画像診断装置!$C$30:$C$74,B129,超音波画像診断装置!$K$30:$K$74)*((超音波画像診断装置!$H$3-超音波画像診断装置!$I$3)/超音波画像診断装置!$H$3),0)</f>
        <v>0</v>
      </c>
      <c r="U129" s="68">
        <f t="shared" si="31"/>
        <v>0</v>
      </c>
      <c r="V129" s="67">
        <f>IFERROR(SUMIF(血液浄化装置!$C$30:$C$74,B129,血液浄化装置!$K$30:$K$74)*((血液浄化装置!$H$3-血液浄化装置!$I$3)/血液浄化装置!$H$3),0)</f>
        <v>0</v>
      </c>
      <c r="W129" s="68">
        <f t="shared" si="32"/>
        <v>0</v>
      </c>
      <c r="X129" s="67">
        <f>IFERROR(SUMIF(気管支鏡!$C$30:$C$74,B129,気管支鏡!$K$30:$K$74)*((気管支鏡!$H$3-気管支鏡!$I$3)/気管支鏡!$H$3),0)</f>
        <v>0</v>
      </c>
      <c r="Y129" s="68">
        <f t="shared" si="18"/>
        <v>0</v>
      </c>
      <c r="Z129" s="67">
        <f>IFERROR(SUMIF(CT撮影装置!$C$30:$C$74,B129,CT撮影装置!$K$30:$K$74)*((CT撮影装置!$H$3-CT撮影装置!$I$3)/CT撮影装置!$H$3),0)</f>
        <v>0</v>
      </c>
      <c r="AA129" s="68">
        <f t="shared" si="33"/>
        <v>0</v>
      </c>
      <c r="AB129" s="67">
        <f>IFERROR(SUMIF(生体情報モニタ!$C$30:$C$74,B129,生体情報モニタ!$K$30:$K$74)*((生体情報モニタ!$H$3-生体情報モニタ!$I$3)/生体情報モニタ!$H$3),0)</f>
        <v>0</v>
      </c>
      <c r="AC129" s="68">
        <f t="shared" si="19"/>
        <v>0</v>
      </c>
      <c r="AD129" s="67">
        <f>IFERROR(SUMIF(分娩監視装置!$C$30:$C$74,B129,分娩監視装置!$K$30:$K$74)*((分娩監視装置!$H$3-分娩監視装置!$I$3)/分娩監視装置!$H$3),0)</f>
        <v>0</v>
      </c>
      <c r="AE129" s="68">
        <f t="shared" si="34"/>
        <v>0</v>
      </c>
      <c r="AF129" s="67">
        <f>IFERROR(SUMIF(新生児モニタ!$C$30:$C$74,B129,新生児モニタ!$K$30:$K$74)*((新生児モニタ!$H$3-新生児モニタ!$I$3)/新生児モニタ!$H$3),0)</f>
        <v>0</v>
      </c>
      <c r="AG129" s="68">
        <f t="shared" si="35"/>
        <v>0</v>
      </c>
    </row>
    <row r="130" spans="2:33">
      <c r="B130" s="64" t="s">
        <v>777</v>
      </c>
      <c r="C130" s="67">
        <f>IFERROR(SUMIF(初度設備!$C$30:$C$74,B130,初度設備!$N$30:$N$74)*((初度設備!$H$3-初度設備!$I$3)/初度設備!$H$3),0)</f>
        <v>0</v>
      </c>
      <c r="D130" s="68">
        <f t="shared" si="20"/>
        <v>0</v>
      </c>
      <c r="E130" s="67">
        <f>IFERROR(SUMIF(人工呼吸器!$C$30:$C$74,B130,人工呼吸器!$N$30:$N$74)*((人工呼吸器!$H$3-人工呼吸器!$I$3)/人工呼吸器!$H$3),0)</f>
        <v>0</v>
      </c>
      <c r="F130" s="68">
        <f t="shared" si="21"/>
        <v>0</v>
      </c>
      <c r="G130" s="68">
        <f t="shared" si="22"/>
        <v>0</v>
      </c>
      <c r="H130" s="68">
        <f t="shared" si="23"/>
        <v>0</v>
      </c>
      <c r="I130" s="67">
        <f>IFERROR(SUMIF(簡易陰圧装置!$C$30:$C$74,B130,簡易陰圧装置!$N$30:$N$74)*((簡易陰圧装置!$H$3-簡易陰圧装置!$I$3)/簡易陰圧装置!$H$3),0)</f>
        <v>0</v>
      </c>
      <c r="J130" s="68">
        <f t="shared" si="24"/>
        <v>0</v>
      </c>
      <c r="K130" s="67">
        <f>IFERROR(SUMIF(#REF!,B130,#REF!)*((#REF!-#REF!)/#REF!),0)</f>
        <v>0</v>
      </c>
      <c r="L130" s="68">
        <f t="shared" si="25"/>
        <v>0</v>
      </c>
      <c r="M130" s="67">
        <f>IFERROR(SUMIF(体外式膜型人工肺!$C$30:$C$74,B130,体外式膜型人工肺!$N$30:$N$74)*((体外式膜型人工肺!$H$3-体外式膜型人工肺!$I$3)/体外式膜型人工肺!$H$3),0)</f>
        <v>0</v>
      </c>
      <c r="N130" s="68">
        <f t="shared" si="26"/>
        <v>0</v>
      </c>
      <c r="O130" s="68">
        <f t="shared" si="27"/>
        <v>0</v>
      </c>
      <c r="P130" s="68">
        <f t="shared" si="28"/>
        <v>0</v>
      </c>
      <c r="Q130" s="67">
        <f>IFERROR(SUMIF(紫外線照射装置!$C$30:$C$74,B130,紫外線照射装置!$N$30:$N$74)*((紫外線照射装置!$H$3-紫外線照射装置!$I$3)/紫外線照射装置!$H$3),0)</f>
        <v>0</v>
      </c>
      <c r="R130" s="68">
        <f t="shared" si="29"/>
        <v>0</v>
      </c>
      <c r="S130" s="101">
        <f t="shared" si="30"/>
        <v>0</v>
      </c>
      <c r="T130" s="67">
        <f>IFERROR(SUMIF(超音波画像診断装置!$C$30:$C$74,B130,超音波画像診断装置!$K$30:$K$74)*((超音波画像診断装置!$H$3-超音波画像診断装置!$I$3)/超音波画像診断装置!$H$3),0)</f>
        <v>0</v>
      </c>
      <c r="U130" s="68">
        <f t="shared" si="31"/>
        <v>0</v>
      </c>
      <c r="V130" s="67">
        <f>IFERROR(SUMIF(血液浄化装置!$C$30:$C$74,B130,血液浄化装置!$K$30:$K$74)*((血液浄化装置!$H$3-血液浄化装置!$I$3)/血液浄化装置!$H$3),0)</f>
        <v>0</v>
      </c>
      <c r="W130" s="68">
        <f t="shared" si="32"/>
        <v>0</v>
      </c>
      <c r="X130" s="67">
        <f>IFERROR(SUMIF(気管支鏡!$C$30:$C$74,B130,気管支鏡!$K$30:$K$74)*((気管支鏡!$H$3-気管支鏡!$I$3)/気管支鏡!$H$3),0)</f>
        <v>0</v>
      </c>
      <c r="Y130" s="68">
        <f t="shared" si="18"/>
        <v>0</v>
      </c>
      <c r="Z130" s="67">
        <f>IFERROR(SUMIF(CT撮影装置!$C$30:$C$74,B130,CT撮影装置!$K$30:$K$74)*((CT撮影装置!$H$3-CT撮影装置!$I$3)/CT撮影装置!$H$3),0)</f>
        <v>0</v>
      </c>
      <c r="AA130" s="68">
        <f t="shared" si="33"/>
        <v>0</v>
      </c>
      <c r="AB130" s="67">
        <f>IFERROR(SUMIF(生体情報モニタ!$C$30:$C$74,B130,生体情報モニタ!$K$30:$K$74)*((生体情報モニタ!$H$3-生体情報モニタ!$I$3)/生体情報モニタ!$H$3),0)</f>
        <v>0</v>
      </c>
      <c r="AC130" s="68">
        <f t="shared" si="19"/>
        <v>0</v>
      </c>
      <c r="AD130" s="67">
        <f>IFERROR(SUMIF(分娩監視装置!$C$30:$C$74,B130,分娩監視装置!$K$30:$K$74)*((分娩監視装置!$H$3-分娩監視装置!$I$3)/分娩監視装置!$H$3),0)</f>
        <v>0</v>
      </c>
      <c r="AE130" s="68">
        <f t="shared" si="34"/>
        <v>0</v>
      </c>
      <c r="AF130" s="67">
        <f>IFERROR(SUMIF(新生児モニタ!$C$30:$C$74,B130,新生児モニタ!$K$30:$K$74)*((新生児モニタ!$H$3-新生児モニタ!$I$3)/新生児モニタ!$H$3),0)</f>
        <v>0</v>
      </c>
      <c r="AG130" s="68">
        <f t="shared" si="35"/>
        <v>0</v>
      </c>
    </row>
    <row r="131" spans="2:33">
      <c r="B131" s="64" t="s">
        <v>778</v>
      </c>
      <c r="C131" s="67">
        <f>IFERROR(SUMIF(初度設備!$C$30:$C$74,B131,初度設備!$N$30:$N$74)*((初度設備!$H$3-初度設備!$I$3)/初度設備!$H$3),0)</f>
        <v>0</v>
      </c>
      <c r="D131" s="68">
        <f t="shared" si="20"/>
        <v>0</v>
      </c>
      <c r="E131" s="67">
        <f>IFERROR(SUMIF(人工呼吸器!$C$30:$C$74,B131,人工呼吸器!$N$30:$N$74)*((人工呼吸器!$H$3-人工呼吸器!$I$3)/人工呼吸器!$H$3),0)</f>
        <v>0</v>
      </c>
      <c r="F131" s="68">
        <f t="shared" si="21"/>
        <v>0</v>
      </c>
      <c r="G131" s="68">
        <f t="shared" si="22"/>
        <v>0</v>
      </c>
      <c r="H131" s="68">
        <f t="shared" si="23"/>
        <v>0</v>
      </c>
      <c r="I131" s="67">
        <f>IFERROR(SUMIF(簡易陰圧装置!$C$30:$C$74,B131,簡易陰圧装置!$N$30:$N$74)*((簡易陰圧装置!$H$3-簡易陰圧装置!$I$3)/簡易陰圧装置!$H$3),0)</f>
        <v>0</v>
      </c>
      <c r="J131" s="68">
        <f t="shared" si="24"/>
        <v>0</v>
      </c>
      <c r="K131" s="67">
        <f>IFERROR(SUMIF(#REF!,B131,#REF!)*((#REF!-#REF!)/#REF!),0)</f>
        <v>0</v>
      </c>
      <c r="L131" s="68">
        <f t="shared" si="25"/>
        <v>0</v>
      </c>
      <c r="M131" s="67">
        <f>IFERROR(SUMIF(体外式膜型人工肺!$C$30:$C$74,B131,体外式膜型人工肺!$N$30:$N$74)*((体外式膜型人工肺!$H$3-体外式膜型人工肺!$I$3)/体外式膜型人工肺!$H$3),0)</f>
        <v>0</v>
      </c>
      <c r="N131" s="68">
        <f t="shared" si="26"/>
        <v>0</v>
      </c>
      <c r="O131" s="68">
        <f t="shared" si="27"/>
        <v>0</v>
      </c>
      <c r="P131" s="68">
        <f t="shared" si="28"/>
        <v>0</v>
      </c>
      <c r="Q131" s="67">
        <f>IFERROR(SUMIF(紫外線照射装置!$C$30:$C$74,B131,紫外線照射装置!$N$30:$N$74)*((紫外線照射装置!$H$3-紫外線照射装置!$I$3)/紫外線照射装置!$H$3),0)</f>
        <v>0</v>
      </c>
      <c r="R131" s="68">
        <f t="shared" si="29"/>
        <v>0</v>
      </c>
      <c r="S131" s="101">
        <f t="shared" si="30"/>
        <v>0</v>
      </c>
      <c r="T131" s="67">
        <f>IFERROR(SUMIF(超音波画像診断装置!$C$30:$C$74,B131,超音波画像診断装置!$K$30:$K$74)*((超音波画像診断装置!$H$3-超音波画像診断装置!$I$3)/超音波画像診断装置!$H$3),0)</f>
        <v>0</v>
      </c>
      <c r="U131" s="68">
        <f t="shared" si="31"/>
        <v>0</v>
      </c>
      <c r="V131" s="67">
        <f>IFERROR(SUMIF(血液浄化装置!$C$30:$C$74,B131,血液浄化装置!$K$30:$K$74)*((血液浄化装置!$H$3-血液浄化装置!$I$3)/血液浄化装置!$H$3),0)</f>
        <v>0</v>
      </c>
      <c r="W131" s="68">
        <f t="shared" si="32"/>
        <v>0</v>
      </c>
      <c r="X131" s="67">
        <f>IFERROR(SUMIF(気管支鏡!$C$30:$C$74,B131,気管支鏡!$K$30:$K$74)*((気管支鏡!$H$3-気管支鏡!$I$3)/気管支鏡!$H$3),0)</f>
        <v>0</v>
      </c>
      <c r="Y131" s="68">
        <f t="shared" si="18"/>
        <v>0</v>
      </c>
      <c r="Z131" s="67">
        <f>IFERROR(SUMIF(CT撮影装置!$C$30:$C$74,B131,CT撮影装置!$K$30:$K$74)*((CT撮影装置!$H$3-CT撮影装置!$I$3)/CT撮影装置!$H$3),0)</f>
        <v>0</v>
      </c>
      <c r="AA131" s="68">
        <f t="shared" si="33"/>
        <v>0</v>
      </c>
      <c r="AB131" s="67">
        <f>IFERROR(SUMIF(生体情報モニタ!$C$30:$C$74,B131,生体情報モニタ!$K$30:$K$74)*((生体情報モニタ!$H$3-生体情報モニタ!$I$3)/生体情報モニタ!$H$3),0)</f>
        <v>0</v>
      </c>
      <c r="AC131" s="68">
        <f t="shared" si="19"/>
        <v>0</v>
      </c>
      <c r="AD131" s="67">
        <f>IFERROR(SUMIF(分娩監視装置!$C$30:$C$74,B131,分娩監視装置!$K$30:$K$74)*((分娩監視装置!$H$3-分娩監視装置!$I$3)/分娩監視装置!$H$3),0)</f>
        <v>0</v>
      </c>
      <c r="AE131" s="68">
        <f t="shared" si="34"/>
        <v>0</v>
      </c>
      <c r="AF131" s="67">
        <f>IFERROR(SUMIF(新生児モニタ!$C$30:$C$74,B131,新生児モニタ!$K$30:$K$74)*((新生児モニタ!$H$3-新生児モニタ!$I$3)/新生児モニタ!$H$3),0)</f>
        <v>0</v>
      </c>
      <c r="AG131" s="68">
        <f t="shared" si="35"/>
        <v>0</v>
      </c>
    </row>
    <row r="132" spans="2:33">
      <c r="B132" s="64" t="s">
        <v>779</v>
      </c>
      <c r="C132" s="67">
        <f>IFERROR(SUMIF(初度設備!$C$30:$C$74,B132,初度設備!$N$30:$N$74)*((初度設備!$H$3-初度設備!$I$3)/初度設備!$H$3),0)</f>
        <v>0</v>
      </c>
      <c r="D132" s="68">
        <f t="shared" si="20"/>
        <v>0</v>
      </c>
      <c r="E132" s="67">
        <f>IFERROR(SUMIF(人工呼吸器!$C$30:$C$74,B132,人工呼吸器!$N$30:$N$74)*((人工呼吸器!$H$3-人工呼吸器!$I$3)/人工呼吸器!$H$3),0)</f>
        <v>0</v>
      </c>
      <c r="F132" s="68">
        <f t="shared" si="21"/>
        <v>0</v>
      </c>
      <c r="G132" s="68">
        <f t="shared" si="22"/>
        <v>0</v>
      </c>
      <c r="H132" s="68">
        <f t="shared" si="23"/>
        <v>0</v>
      </c>
      <c r="I132" s="67">
        <f>IFERROR(SUMIF(簡易陰圧装置!$C$30:$C$74,B132,簡易陰圧装置!$N$30:$N$74)*((簡易陰圧装置!$H$3-簡易陰圧装置!$I$3)/簡易陰圧装置!$H$3),0)</f>
        <v>0</v>
      </c>
      <c r="J132" s="68">
        <f t="shared" si="24"/>
        <v>0</v>
      </c>
      <c r="K132" s="67">
        <f>IFERROR(SUMIF(#REF!,B132,#REF!)*((#REF!-#REF!)/#REF!),0)</f>
        <v>0</v>
      </c>
      <c r="L132" s="68">
        <f t="shared" si="25"/>
        <v>0</v>
      </c>
      <c r="M132" s="67">
        <f>IFERROR(SUMIF(体外式膜型人工肺!$C$30:$C$74,B132,体外式膜型人工肺!$N$30:$N$74)*((体外式膜型人工肺!$H$3-体外式膜型人工肺!$I$3)/体外式膜型人工肺!$H$3),0)</f>
        <v>0</v>
      </c>
      <c r="N132" s="68">
        <f t="shared" si="26"/>
        <v>0</v>
      </c>
      <c r="O132" s="68">
        <f t="shared" si="27"/>
        <v>0</v>
      </c>
      <c r="P132" s="68">
        <f t="shared" si="28"/>
        <v>0</v>
      </c>
      <c r="Q132" s="67">
        <f>IFERROR(SUMIF(紫外線照射装置!$C$30:$C$74,B132,紫外線照射装置!$N$30:$N$74)*((紫外線照射装置!$H$3-紫外線照射装置!$I$3)/紫外線照射装置!$H$3),0)</f>
        <v>0</v>
      </c>
      <c r="R132" s="68">
        <f t="shared" si="29"/>
        <v>0</v>
      </c>
      <c r="S132" s="101">
        <f t="shared" si="30"/>
        <v>0</v>
      </c>
      <c r="T132" s="67">
        <f>IFERROR(SUMIF(超音波画像診断装置!$C$30:$C$74,B132,超音波画像診断装置!$K$30:$K$74)*((超音波画像診断装置!$H$3-超音波画像診断装置!$I$3)/超音波画像診断装置!$H$3),0)</f>
        <v>0</v>
      </c>
      <c r="U132" s="68">
        <f t="shared" si="31"/>
        <v>0</v>
      </c>
      <c r="V132" s="67">
        <f>IFERROR(SUMIF(血液浄化装置!$C$30:$C$74,B132,血液浄化装置!$K$30:$K$74)*((血液浄化装置!$H$3-血液浄化装置!$I$3)/血液浄化装置!$H$3),0)</f>
        <v>0</v>
      </c>
      <c r="W132" s="68">
        <f t="shared" si="32"/>
        <v>0</v>
      </c>
      <c r="X132" s="67">
        <f>IFERROR(SUMIF(気管支鏡!$C$30:$C$74,B132,気管支鏡!$K$30:$K$74)*((気管支鏡!$H$3-気管支鏡!$I$3)/気管支鏡!$H$3),0)</f>
        <v>0</v>
      </c>
      <c r="Y132" s="68">
        <f t="shared" si="18"/>
        <v>0</v>
      </c>
      <c r="Z132" s="67">
        <f>IFERROR(SUMIF(CT撮影装置!$C$30:$C$74,B132,CT撮影装置!$K$30:$K$74)*((CT撮影装置!$H$3-CT撮影装置!$I$3)/CT撮影装置!$H$3),0)</f>
        <v>0</v>
      </c>
      <c r="AA132" s="68">
        <f t="shared" si="33"/>
        <v>0</v>
      </c>
      <c r="AB132" s="67">
        <f>IFERROR(SUMIF(生体情報モニタ!$C$30:$C$74,B132,生体情報モニタ!$K$30:$K$74)*((生体情報モニタ!$H$3-生体情報モニタ!$I$3)/生体情報モニタ!$H$3),0)</f>
        <v>0</v>
      </c>
      <c r="AC132" s="68">
        <f t="shared" si="19"/>
        <v>0</v>
      </c>
      <c r="AD132" s="67">
        <f>IFERROR(SUMIF(分娩監視装置!$C$30:$C$74,B132,分娩監視装置!$K$30:$K$74)*((分娩監視装置!$H$3-分娩監視装置!$I$3)/分娩監視装置!$H$3),0)</f>
        <v>0</v>
      </c>
      <c r="AE132" s="68">
        <f t="shared" si="34"/>
        <v>0</v>
      </c>
      <c r="AF132" s="67">
        <f>IFERROR(SUMIF(新生児モニタ!$C$30:$C$74,B132,新生児モニタ!$K$30:$K$74)*((新生児モニタ!$H$3-新生児モニタ!$I$3)/新生児モニタ!$H$3),0)</f>
        <v>0</v>
      </c>
      <c r="AG132" s="68">
        <f t="shared" si="35"/>
        <v>0</v>
      </c>
    </row>
    <row r="133" spans="2:33">
      <c r="B133" s="64" t="s">
        <v>780</v>
      </c>
      <c r="C133" s="67">
        <f>IFERROR(SUMIF(初度設備!$C$30:$C$74,B133,初度設備!$N$30:$N$74)*((初度設備!$H$3-初度設備!$I$3)/初度設備!$H$3),0)</f>
        <v>0</v>
      </c>
      <c r="D133" s="68">
        <f t="shared" si="20"/>
        <v>0</v>
      </c>
      <c r="E133" s="67">
        <f>IFERROR(SUMIF(人工呼吸器!$C$30:$C$74,B133,人工呼吸器!$N$30:$N$74)*((人工呼吸器!$H$3-人工呼吸器!$I$3)/人工呼吸器!$H$3),0)</f>
        <v>0</v>
      </c>
      <c r="F133" s="68">
        <f t="shared" si="21"/>
        <v>0</v>
      </c>
      <c r="G133" s="68">
        <f t="shared" si="22"/>
        <v>0</v>
      </c>
      <c r="H133" s="68">
        <f t="shared" si="23"/>
        <v>0</v>
      </c>
      <c r="I133" s="67">
        <f>IFERROR(SUMIF(簡易陰圧装置!$C$30:$C$74,B133,簡易陰圧装置!$N$30:$N$74)*((簡易陰圧装置!$H$3-簡易陰圧装置!$I$3)/簡易陰圧装置!$H$3),0)</f>
        <v>0</v>
      </c>
      <c r="J133" s="68">
        <f t="shared" si="24"/>
        <v>0</v>
      </c>
      <c r="K133" s="67">
        <f>IFERROR(SUMIF(#REF!,B133,#REF!)*((#REF!-#REF!)/#REF!),0)</f>
        <v>0</v>
      </c>
      <c r="L133" s="68">
        <f t="shared" si="25"/>
        <v>0</v>
      </c>
      <c r="M133" s="67">
        <f>IFERROR(SUMIF(体外式膜型人工肺!$C$30:$C$74,B133,体外式膜型人工肺!$N$30:$N$74)*((体外式膜型人工肺!$H$3-体外式膜型人工肺!$I$3)/体外式膜型人工肺!$H$3),0)</f>
        <v>0</v>
      </c>
      <c r="N133" s="68">
        <f t="shared" si="26"/>
        <v>0</v>
      </c>
      <c r="O133" s="68">
        <f t="shared" si="27"/>
        <v>0</v>
      </c>
      <c r="P133" s="68">
        <f t="shared" si="28"/>
        <v>0</v>
      </c>
      <c r="Q133" s="67">
        <f>IFERROR(SUMIF(紫外線照射装置!$C$30:$C$74,B133,紫外線照射装置!$N$30:$N$74)*((紫外線照射装置!$H$3-紫外線照射装置!$I$3)/紫外線照射装置!$H$3),0)</f>
        <v>0</v>
      </c>
      <c r="R133" s="68">
        <f t="shared" si="29"/>
        <v>0</v>
      </c>
      <c r="S133" s="101">
        <f t="shared" si="30"/>
        <v>0</v>
      </c>
      <c r="T133" s="67">
        <f>IFERROR(SUMIF(超音波画像診断装置!$C$30:$C$74,B133,超音波画像診断装置!$K$30:$K$74)*((超音波画像診断装置!$H$3-超音波画像診断装置!$I$3)/超音波画像診断装置!$H$3),0)</f>
        <v>0</v>
      </c>
      <c r="U133" s="68">
        <f t="shared" si="31"/>
        <v>0</v>
      </c>
      <c r="V133" s="67">
        <f>IFERROR(SUMIF(血液浄化装置!$C$30:$C$74,B133,血液浄化装置!$K$30:$K$74)*((血液浄化装置!$H$3-血液浄化装置!$I$3)/血液浄化装置!$H$3),0)</f>
        <v>0</v>
      </c>
      <c r="W133" s="68">
        <f t="shared" si="32"/>
        <v>0</v>
      </c>
      <c r="X133" s="67">
        <f>IFERROR(SUMIF(気管支鏡!$C$30:$C$74,B133,気管支鏡!$K$30:$K$74)*((気管支鏡!$H$3-気管支鏡!$I$3)/気管支鏡!$H$3),0)</f>
        <v>0</v>
      </c>
      <c r="Y133" s="68">
        <f t="shared" si="18"/>
        <v>0</v>
      </c>
      <c r="Z133" s="67">
        <f>IFERROR(SUMIF(CT撮影装置!$C$30:$C$74,B133,CT撮影装置!$K$30:$K$74)*((CT撮影装置!$H$3-CT撮影装置!$I$3)/CT撮影装置!$H$3),0)</f>
        <v>0</v>
      </c>
      <c r="AA133" s="68">
        <f t="shared" si="33"/>
        <v>0</v>
      </c>
      <c r="AB133" s="67">
        <f>IFERROR(SUMIF(生体情報モニタ!$C$30:$C$74,B133,生体情報モニタ!$K$30:$K$74)*((生体情報モニタ!$H$3-生体情報モニタ!$I$3)/生体情報モニタ!$H$3),0)</f>
        <v>0</v>
      </c>
      <c r="AC133" s="68">
        <f t="shared" si="19"/>
        <v>0</v>
      </c>
      <c r="AD133" s="67">
        <f>IFERROR(SUMIF(分娩監視装置!$C$30:$C$74,B133,分娩監視装置!$K$30:$K$74)*((分娩監視装置!$H$3-分娩監視装置!$I$3)/分娩監視装置!$H$3),0)</f>
        <v>0</v>
      </c>
      <c r="AE133" s="68">
        <f t="shared" si="34"/>
        <v>0</v>
      </c>
      <c r="AF133" s="67">
        <f>IFERROR(SUMIF(新生児モニタ!$C$30:$C$74,B133,新生児モニタ!$K$30:$K$74)*((新生児モニタ!$H$3-新生児モニタ!$I$3)/新生児モニタ!$H$3),0)</f>
        <v>0</v>
      </c>
      <c r="AG133" s="68">
        <f t="shared" si="35"/>
        <v>0</v>
      </c>
    </row>
    <row r="134" spans="2:33">
      <c r="B134" s="64" t="s">
        <v>781</v>
      </c>
      <c r="C134" s="67">
        <f>IFERROR(SUMIF(初度設備!$C$30:$C$74,B134,初度設備!$N$30:$N$74)*((初度設備!$H$3-初度設備!$I$3)/初度設備!$H$3),0)</f>
        <v>0</v>
      </c>
      <c r="D134" s="68">
        <f t="shared" si="20"/>
        <v>0</v>
      </c>
      <c r="E134" s="67">
        <f>IFERROR(SUMIF(人工呼吸器!$C$30:$C$74,B134,人工呼吸器!$N$30:$N$74)*((人工呼吸器!$H$3-人工呼吸器!$I$3)/人工呼吸器!$H$3),0)</f>
        <v>0</v>
      </c>
      <c r="F134" s="68">
        <f t="shared" si="21"/>
        <v>0</v>
      </c>
      <c r="G134" s="68">
        <f t="shared" si="22"/>
        <v>0</v>
      </c>
      <c r="H134" s="68">
        <f t="shared" si="23"/>
        <v>0</v>
      </c>
      <c r="I134" s="67">
        <f>IFERROR(SUMIF(簡易陰圧装置!$C$30:$C$74,B134,簡易陰圧装置!$N$30:$N$74)*((簡易陰圧装置!$H$3-簡易陰圧装置!$I$3)/簡易陰圧装置!$H$3),0)</f>
        <v>0</v>
      </c>
      <c r="J134" s="68">
        <f t="shared" si="24"/>
        <v>0</v>
      </c>
      <c r="K134" s="67">
        <f>IFERROR(SUMIF(#REF!,B134,#REF!)*((#REF!-#REF!)/#REF!),0)</f>
        <v>0</v>
      </c>
      <c r="L134" s="68">
        <f t="shared" si="25"/>
        <v>0</v>
      </c>
      <c r="M134" s="67">
        <f>IFERROR(SUMIF(体外式膜型人工肺!$C$30:$C$74,B134,体外式膜型人工肺!$N$30:$N$74)*((体外式膜型人工肺!$H$3-体外式膜型人工肺!$I$3)/体外式膜型人工肺!$H$3),0)</f>
        <v>0</v>
      </c>
      <c r="N134" s="68">
        <f t="shared" si="26"/>
        <v>0</v>
      </c>
      <c r="O134" s="68">
        <f t="shared" si="27"/>
        <v>0</v>
      </c>
      <c r="P134" s="68">
        <f t="shared" si="28"/>
        <v>0</v>
      </c>
      <c r="Q134" s="67">
        <f>IFERROR(SUMIF(紫外線照射装置!$C$30:$C$74,B134,紫外線照射装置!$N$30:$N$74)*((紫外線照射装置!$H$3-紫外線照射装置!$I$3)/紫外線照射装置!$H$3),0)</f>
        <v>0</v>
      </c>
      <c r="R134" s="68">
        <f t="shared" si="29"/>
        <v>0</v>
      </c>
      <c r="S134" s="101">
        <f t="shared" si="30"/>
        <v>0</v>
      </c>
      <c r="T134" s="67">
        <f>IFERROR(SUMIF(超音波画像診断装置!$C$30:$C$74,B134,超音波画像診断装置!$K$30:$K$74)*((超音波画像診断装置!$H$3-超音波画像診断装置!$I$3)/超音波画像診断装置!$H$3),0)</f>
        <v>0</v>
      </c>
      <c r="U134" s="68">
        <f t="shared" si="31"/>
        <v>0</v>
      </c>
      <c r="V134" s="67">
        <f>IFERROR(SUMIF(血液浄化装置!$C$30:$C$74,B134,血液浄化装置!$K$30:$K$74)*((血液浄化装置!$H$3-血液浄化装置!$I$3)/血液浄化装置!$H$3),0)</f>
        <v>0</v>
      </c>
      <c r="W134" s="68">
        <f t="shared" si="32"/>
        <v>0</v>
      </c>
      <c r="X134" s="67">
        <f>IFERROR(SUMIF(気管支鏡!$C$30:$C$74,B134,気管支鏡!$K$30:$K$74)*((気管支鏡!$H$3-気管支鏡!$I$3)/気管支鏡!$H$3),0)</f>
        <v>0</v>
      </c>
      <c r="Y134" s="68">
        <f t="shared" si="18"/>
        <v>0</v>
      </c>
      <c r="Z134" s="67">
        <f>IFERROR(SUMIF(CT撮影装置!$C$30:$C$74,B134,CT撮影装置!$K$30:$K$74)*((CT撮影装置!$H$3-CT撮影装置!$I$3)/CT撮影装置!$H$3),0)</f>
        <v>0</v>
      </c>
      <c r="AA134" s="68">
        <f t="shared" si="33"/>
        <v>0</v>
      </c>
      <c r="AB134" s="67">
        <f>IFERROR(SUMIF(生体情報モニタ!$C$30:$C$74,B134,生体情報モニタ!$K$30:$K$74)*((生体情報モニタ!$H$3-生体情報モニタ!$I$3)/生体情報モニタ!$H$3),0)</f>
        <v>0</v>
      </c>
      <c r="AC134" s="68">
        <f t="shared" si="19"/>
        <v>0</v>
      </c>
      <c r="AD134" s="67">
        <f>IFERROR(SUMIF(分娩監視装置!$C$30:$C$74,B134,分娩監視装置!$K$30:$K$74)*((分娩監視装置!$H$3-分娩監視装置!$I$3)/分娩監視装置!$H$3),0)</f>
        <v>0</v>
      </c>
      <c r="AE134" s="68">
        <f t="shared" si="34"/>
        <v>0</v>
      </c>
      <c r="AF134" s="67">
        <f>IFERROR(SUMIF(新生児モニタ!$C$30:$C$74,B134,新生児モニタ!$K$30:$K$74)*((新生児モニタ!$H$3-新生児モニタ!$I$3)/新生児モニタ!$H$3),0)</f>
        <v>0</v>
      </c>
      <c r="AG134" s="68">
        <f t="shared" si="35"/>
        <v>0</v>
      </c>
    </row>
    <row r="135" spans="2:33">
      <c r="B135" s="64" t="s">
        <v>782</v>
      </c>
      <c r="C135" s="67">
        <f>IFERROR(SUMIF(初度設備!$C$30:$C$74,B135,初度設備!$N$30:$N$74)*((初度設備!$H$3-初度設備!$I$3)/初度設備!$H$3),0)</f>
        <v>0</v>
      </c>
      <c r="D135" s="68">
        <f t="shared" si="20"/>
        <v>0</v>
      </c>
      <c r="E135" s="67">
        <f>IFERROR(SUMIF(人工呼吸器!$C$30:$C$74,B135,人工呼吸器!$N$30:$N$74)*((人工呼吸器!$H$3-人工呼吸器!$I$3)/人工呼吸器!$H$3),0)</f>
        <v>0</v>
      </c>
      <c r="F135" s="68">
        <f t="shared" si="21"/>
        <v>0</v>
      </c>
      <c r="G135" s="68">
        <f t="shared" si="22"/>
        <v>0</v>
      </c>
      <c r="H135" s="68">
        <f t="shared" si="23"/>
        <v>0</v>
      </c>
      <c r="I135" s="67">
        <f>IFERROR(SUMIF(簡易陰圧装置!$C$30:$C$74,B135,簡易陰圧装置!$N$30:$N$74)*((簡易陰圧装置!$H$3-簡易陰圧装置!$I$3)/簡易陰圧装置!$H$3),0)</f>
        <v>0</v>
      </c>
      <c r="J135" s="68">
        <f t="shared" si="24"/>
        <v>0</v>
      </c>
      <c r="K135" s="67">
        <f>IFERROR(SUMIF(#REF!,B135,#REF!)*((#REF!-#REF!)/#REF!),0)</f>
        <v>0</v>
      </c>
      <c r="L135" s="68">
        <f t="shared" si="25"/>
        <v>0</v>
      </c>
      <c r="M135" s="67">
        <f>IFERROR(SUMIF(体外式膜型人工肺!$C$30:$C$74,B135,体外式膜型人工肺!$N$30:$N$74)*((体外式膜型人工肺!$H$3-体外式膜型人工肺!$I$3)/体外式膜型人工肺!$H$3),0)</f>
        <v>0</v>
      </c>
      <c r="N135" s="68">
        <f t="shared" si="26"/>
        <v>0</v>
      </c>
      <c r="O135" s="68">
        <f t="shared" si="27"/>
        <v>0</v>
      </c>
      <c r="P135" s="68">
        <f t="shared" si="28"/>
        <v>0</v>
      </c>
      <c r="Q135" s="67">
        <f>IFERROR(SUMIF(紫外線照射装置!$C$30:$C$74,B135,紫外線照射装置!$N$30:$N$74)*((紫外線照射装置!$H$3-紫外線照射装置!$I$3)/紫外線照射装置!$H$3),0)</f>
        <v>0</v>
      </c>
      <c r="R135" s="68">
        <f t="shared" si="29"/>
        <v>0</v>
      </c>
      <c r="S135" s="101">
        <f t="shared" si="30"/>
        <v>0</v>
      </c>
      <c r="T135" s="67">
        <f>IFERROR(SUMIF(超音波画像診断装置!$C$30:$C$74,B135,超音波画像診断装置!$K$30:$K$74)*((超音波画像診断装置!$H$3-超音波画像診断装置!$I$3)/超音波画像診断装置!$H$3),0)</f>
        <v>0</v>
      </c>
      <c r="U135" s="68">
        <f t="shared" si="31"/>
        <v>0</v>
      </c>
      <c r="V135" s="67">
        <f>IFERROR(SUMIF(血液浄化装置!$C$30:$C$74,B135,血液浄化装置!$K$30:$K$74)*((血液浄化装置!$H$3-血液浄化装置!$I$3)/血液浄化装置!$H$3),0)</f>
        <v>0</v>
      </c>
      <c r="W135" s="68">
        <f t="shared" si="32"/>
        <v>0</v>
      </c>
      <c r="X135" s="67">
        <f>IFERROR(SUMIF(気管支鏡!$C$30:$C$74,B135,気管支鏡!$K$30:$K$74)*((気管支鏡!$H$3-気管支鏡!$I$3)/気管支鏡!$H$3),0)</f>
        <v>0</v>
      </c>
      <c r="Y135" s="68">
        <f t="shared" si="18"/>
        <v>0</v>
      </c>
      <c r="Z135" s="67">
        <f>IFERROR(SUMIF(CT撮影装置!$C$30:$C$74,B135,CT撮影装置!$K$30:$K$74)*((CT撮影装置!$H$3-CT撮影装置!$I$3)/CT撮影装置!$H$3),0)</f>
        <v>0</v>
      </c>
      <c r="AA135" s="68">
        <f t="shared" si="33"/>
        <v>0</v>
      </c>
      <c r="AB135" s="67">
        <f>IFERROR(SUMIF(生体情報モニタ!$C$30:$C$74,B135,生体情報モニタ!$K$30:$K$74)*((生体情報モニタ!$H$3-生体情報モニタ!$I$3)/生体情報モニタ!$H$3),0)</f>
        <v>0</v>
      </c>
      <c r="AC135" s="68">
        <f t="shared" si="19"/>
        <v>0</v>
      </c>
      <c r="AD135" s="67">
        <f>IFERROR(SUMIF(分娩監視装置!$C$30:$C$74,B135,分娩監視装置!$K$30:$K$74)*((分娩監視装置!$H$3-分娩監視装置!$I$3)/分娩監視装置!$H$3),0)</f>
        <v>0</v>
      </c>
      <c r="AE135" s="68">
        <f t="shared" si="34"/>
        <v>0</v>
      </c>
      <c r="AF135" s="67">
        <f>IFERROR(SUMIF(新生児モニタ!$C$30:$C$74,B135,新生児モニタ!$K$30:$K$74)*((新生児モニタ!$H$3-新生児モニタ!$I$3)/新生児モニタ!$H$3),0)</f>
        <v>0</v>
      </c>
      <c r="AG135" s="68">
        <f t="shared" si="35"/>
        <v>0</v>
      </c>
    </row>
    <row r="136" spans="2:33">
      <c r="B136" s="64" t="s">
        <v>783</v>
      </c>
      <c r="C136" s="67">
        <f>IFERROR(SUMIF(初度設備!$C$30:$C$74,B136,初度設備!$N$30:$N$74)*((初度設備!$H$3-初度設備!$I$3)/初度設備!$H$3),0)</f>
        <v>0</v>
      </c>
      <c r="D136" s="68">
        <f t="shared" si="20"/>
        <v>0</v>
      </c>
      <c r="E136" s="67">
        <f>IFERROR(SUMIF(人工呼吸器!$C$30:$C$74,B136,人工呼吸器!$N$30:$N$74)*((人工呼吸器!$H$3-人工呼吸器!$I$3)/人工呼吸器!$H$3),0)</f>
        <v>0</v>
      </c>
      <c r="F136" s="68">
        <f t="shared" si="21"/>
        <v>0</v>
      </c>
      <c r="G136" s="68">
        <f t="shared" si="22"/>
        <v>0</v>
      </c>
      <c r="H136" s="68">
        <f t="shared" si="23"/>
        <v>0</v>
      </c>
      <c r="I136" s="67">
        <f>IFERROR(SUMIF(簡易陰圧装置!$C$30:$C$74,B136,簡易陰圧装置!$N$30:$N$74)*((簡易陰圧装置!$H$3-簡易陰圧装置!$I$3)/簡易陰圧装置!$H$3),0)</f>
        <v>0</v>
      </c>
      <c r="J136" s="68">
        <f t="shared" si="24"/>
        <v>0</v>
      </c>
      <c r="K136" s="67">
        <f>IFERROR(SUMIF(#REF!,B136,#REF!)*((#REF!-#REF!)/#REF!),0)</f>
        <v>0</v>
      </c>
      <c r="L136" s="68">
        <f t="shared" si="25"/>
        <v>0</v>
      </c>
      <c r="M136" s="67">
        <f>IFERROR(SUMIF(体外式膜型人工肺!$C$30:$C$74,B136,体外式膜型人工肺!$N$30:$N$74)*((体外式膜型人工肺!$H$3-体外式膜型人工肺!$I$3)/体外式膜型人工肺!$H$3),0)</f>
        <v>0</v>
      </c>
      <c r="N136" s="68">
        <f t="shared" si="26"/>
        <v>0</v>
      </c>
      <c r="O136" s="68">
        <f t="shared" si="27"/>
        <v>0</v>
      </c>
      <c r="P136" s="68">
        <f t="shared" si="28"/>
        <v>0</v>
      </c>
      <c r="Q136" s="67">
        <f>IFERROR(SUMIF(紫外線照射装置!$C$30:$C$74,B136,紫外線照射装置!$N$30:$N$74)*((紫外線照射装置!$H$3-紫外線照射装置!$I$3)/紫外線照射装置!$H$3),0)</f>
        <v>0</v>
      </c>
      <c r="R136" s="68">
        <f t="shared" si="29"/>
        <v>0</v>
      </c>
      <c r="S136" s="101">
        <f t="shared" si="30"/>
        <v>0</v>
      </c>
      <c r="T136" s="67">
        <f>IFERROR(SUMIF(超音波画像診断装置!$C$30:$C$74,B136,超音波画像診断装置!$K$30:$K$74)*((超音波画像診断装置!$H$3-超音波画像診断装置!$I$3)/超音波画像診断装置!$H$3),0)</f>
        <v>0</v>
      </c>
      <c r="U136" s="68">
        <f t="shared" si="31"/>
        <v>0</v>
      </c>
      <c r="V136" s="67">
        <f>IFERROR(SUMIF(血液浄化装置!$C$30:$C$74,B136,血液浄化装置!$K$30:$K$74)*((血液浄化装置!$H$3-血液浄化装置!$I$3)/血液浄化装置!$H$3),0)</f>
        <v>0</v>
      </c>
      <c r="W136" s="68">
        <f t="shared" si="32"/>
        <v>0</v>
      </c>
      <c r="X136" s="67">
        <f>IFERROR(SUMIF(気管支鏡!$C$30:$C$74,B136,気管支鏡!$K$30:$K$74)*((気管支鏡!$H$3-気管支鏡!$I$3)/気管支鏡!$H$3),0)</f>
        <v>0</v>
      </c>
      <c r="Y136" s="68">
        <f t="shared" si="18"/>
        <v>0</v>
      </c>
      <c r="Z136" s="67">
        <f>IFERROR(SUMIF(CT撮影装置!$C$30:$C$74,B136,CT撮影装置!$K$30:$K$74)*((CT撮影装置!$H$3-CT撮影装置!$I$3)/CT撮影装置!$H$3),0)</f>
        <v>0</v>
      </c>
      <c r="AA136" s="68">
        <f t="shared" si="33"/>
        <v>0</v>
      </c>
      <c r="AB136" s="67">
        <f>IFERROR(SUMIF(生体情報モニタ!$C$30:$C$74,B136,生体情報モニタ!$K$30:$K$74)*((生体情報モニタ!$H$3-生体情報モニタ!$I$3)/生体情報モニタ!$H$3),0)</f>
        <v>0</v>
      </c>
      <c r="AC136" s="68">
        <f t="shared" si="19"/>
        <v>0</v>
      </c>
      <c r="AD136" s="67">
        <f>IFERROR(SUMIF(分娩監視装置!$C$30:$C$74,B136,分娩監視装置!$K$30:$K$74)*((分娩監視装置!$H$3-分娩監視装置!$I$3)/分娩監視装置!$H$3),0)</f>
        <v>0</v>
      </c>
      <c r="AE136" s="68">
        <f t="shared" si="34"/>
        <v>0</v>
      </c>
      <c r="AF136" s="67">
        <f>IFERROR(SUMIF(新生児モニタ!$C$30:$C$74,B136,新生児モニタ!$K$30:$K$74)*((新生児モニタ!$H$3-新生児モニタ!$I$3)/新生児モニタ!$H$3),0)</f>
        <v>0</v>
      </c>
      <c r="AG136" s="68">
        <f t="shared" si="35"/>
        <v>0</v>
      </c>
    </row>
    <row r="137" spans="2:33">
      <c r="B137" s="64" t="s">
        <v>784</v>
      </c>
      <c r="C137" s="67">
        <f>IFERROR(SUMIF(初度設備!$C$30:$C$74,B137,初度設備!$N$30:$N$74)*((初度設備!$H$3-初度設備!$I$3)/初度設備!$H$3),0)</f>
        <v>0</v>
      </c>
      <c r="D137" s="68">
        <f t="shared" si="20"/>
        <v>0</v>
      </c>
      <c r="E137" s="67">
        <f>IFERROR(SUMIF(人工呼吸器!$C$30:$C$74,B137,人工呼吸器!$N$30:$N$74)*((人工呼吸器!$H$3-人工呼吸器!$I$3)/人工呼吸器!$H$3),0)</f>
        <v>0</v>
      </c>
      <c r="F137" s="68">
        <f t="shared" si="21"/>
        <v>0</v>
      </c>
      <c r="G137" s="68">
        <f t="shared" si="22"/>
        <v>0</v>
      </c>
      <c r="H137" s="68">
        <f t="shared" si="23"/>
        <v>0</v>
      </c>
      <c r="I137" s="67">
        <f>IFERROR(SUMIF(簡易陰圧装置!$C$30:$C$74,B137,簡易陰圧装置!$N$30:$N$74)*((簡易陰圧装置!$H$3-簡易陰圧装置!$I$3)/簡易陰圧装置!$H$3),0)</f>
        <v>0</v>
      </c>
      <c r="J137" s="68">
        <f t="shared" si="24"/>
        <v>0</v>
      </c>
      <c r="K137" s="67">
        <f>IFERROR(SUMIF(#REF!,B137,#REF!)*((#REF!-#REF!)/#REF!),0)</f>
        <v>0</v>
      </c>
      <c r="L137" s="68">
        <f t="shared" si="25"/>
        <v>0</v>
      </c>
      <c r="M137" s="67">
        <f>IFERROR(SUMIF(体外式膜型人工肺!$C$30:$C$74,B137,体外式膜型人工肺!$N$30:$N$74)*((体外式膜型人工肺!$H$3-体外式膜型人工肺!$I$3)/体外式膜型人工肺!$H$3),0)</f>
        <v>0</v>
      </c>
      <c r="N137" s="68">
        <f t="shared" si="26"/>
        <v>0</v>
      </c>
      <c r="O137" s="68">
        <f t="shared" si="27"/>
        <v>0</v>
      </c>
      <c r="P137" s="68">
        <f t="shared" si="28"/>
        <v>0</v>
      </c>
      <c r="Q137" s="67">
        <f>IFERROR(SUMIF(紫外線照射装置!$C$30:$C$74,B137,紫外線照射装置!$N$30:$N$74)*((紫外線照射装置!$H$3-紫外線照射装置!$I$3)/紫外線照射装置!$H$3),0)</f>
        <v>0</v>
      </c>
      <c r="R137" s="68">
        <f t="shared" si="29"/>
        <v>0</v>
      </c>
      <c r="S137" s="101">
        <f t="shared" si="30"/>
        <v>0</v>
      </c>
      <c r="T137" s="67">
        <f>IFERROR(SUMIF(超音波画像診断装置!$C$30:$C$74,B137,超音波画像診断装置!$K$30:$K$74)*((超音波画像診断装置!$H$3-超音波画像診断装置!$I$3)/超音波画像診断装置!$H$3),0)</f>
        <v>0</v>
      </c>
      <c r="U137" s="68">
        <f t="shared" si="31"/>
        <v>0</v>
      </c>
      <c r="V137" s="67">
        <f>IFERROR(SUMIF(血液浄化装置!$C$30:$C$74,B137,血液浄化装置!$K$30:$K$74)*((血液浄化装置!$H$3-血液浄化装置!$I$3)/血液浄化装置!$H$3),0)</f>
        <v>0</v>
      </c>
      <c r="W137" s="68">
        <f t="shared" si="32"/>
        <v>0</v>
      </c>
      <c r="X137" s="67">
        <f>IFERROR(SUMIF(気管支鏡!$C$30:$C$74,B137,気管支鏡!$K$30:$K$74)*((気管支鏡!$H$3-気管支鏡!$I$3)/気管支鏡!$H$3),0)</f>
        <v>0</v>
      </c>
      <c r="Y137" s="68">
        <f t="shared" si="18"/>
        <v>0</v>
      </c>
      <c r="Z137" s="67">
        <f>IFERROR(SUMIF(CT撮影装置!$C$30:$C$74,B137,CT撮影装置!$K$30:$K$74)*((CT撮影装置!$H$3-CT撮影装置!$I$3)/CT撮影装置!$H$3),0)</f>
        <v>0</v>
      </c>
      <c r="AA137" s="68">
        <f t="shared" si="33"/>
        <v>0</v>
      </c>
      <c r="AB137" s="67">
        <f>IFERROR(SUMIF(生体情報モニタ!$C$30:$C$74,B137,生体情報モニタ!$K$30:$K$74)*((生体情報モニタ!$H$3-生体情報モニタ!$I$3)/生体情報モニタ!$H$3),0)</f>
        <v>0</v>
      </c>
      <c r="AC137" s="68">
        <f t="shared" si="19"/>
        <v>0</v>
      </c>
      <c r="AD137" s="67">
        <f>IFERROR(SUMIF(分娩監視装置!$C$30:$C$74,B137,分娩監視装置!$K$30:$K$74)*((分娩監視装置!$H$3-分娩監視装置!$I$3)/分娩監視装置!$H$3),0)</f>
        <v>0</v>
      </c>
      <c r="AE137" s="68">
        <f t="shared" si="34"/>
        <v>0</v>
      </c>
      <c r="AF137" s="67">
        <f>IFERROR(SUMIF(新生児モニタ!$C$30:$C$74,B137,新生児モニタ!$K$30:$K$74)*((新生児モニタ!$H$3-新生児モニタ!$I$3)/新生児モニタ!$H$3),0)</f>
        <v>0</v>
      </c>
      <c r="AG137" s="68">
        <f t="shared" si="35"/>
        <v>0</v>
      </c>
    </row>
    <row r="138" spans="2:33">
      <c r="B138" s="64" t="s">
        <v>785</v>
      </c>
      <c r="C138" s="67">
        <f>IFERROR(SUMIF(初度設備!$C$30:$C$74,B138,初度設備!$N$30:$N$74)*((初度設備!$H$3-初度設備!$I$3)/初度設備!$H$3),0)</f>
        <v>0</v>
      </c>
      <c r="D138" s="68">
        <f t="shared" si="20"/>
        <v>0</v>
      </c>
      <c r="E138" s="67">
        <f>IFERROR(SUMIF(人工呼吸器!$C$30:$C$74,B138,人工呼吸器!$N$30:$N$74)*((人工呼吸器!$H$3-人工呼吸器!$I$3)/人工呼吸器!$H$3),0)</f>
        <v>0</v>
      </c>
      <c r="F138" s="68">
        <f t="shared" si="21"/>
        <v>0</v>
      </c>
      <c r="G138" s="68">
        <f t="shared" si="22"/>
        <v>0</v>
      </c>
      <c r="H138" s="68">
        <f t="shared" si="23"/>
        <v>0</v>
      </c>
      <c r="I138" s="67">
        <f>IFERROR(SUMIF(簡易陰圧装置!$C$30:$C$74,B138,簡易陰圧装置!$N$30:$N$74)*((簡易陰圧装置!$H$3-簡易陰圧装置!$I$3)/簡易陰圧装置!$H$3),0)</f>
        <v>0</v>
      </c>
      <c r="J138" s="68">
        <f t="shared" si="24"/>
        <v>0</v>
      </c>
      <c r="K138" s="67">
        <f>IFERROR(SUMIF(#REF!,B138,#REF!)*((#REF!-#REF!)/#REF!),0)</f>
        <v>0</v>
      </c>
      <c r="L138" s="68">
        <f t="shared" si="25"/>
        <v>0</v>
      </c>
      <c r="M138" s="67">
        <f>IFERROR(SUMIF(体外式膜型人工肺!$C$30:$C$74,B138,体外式膜型人工肺!$N$30:$N$74)*((体外式膜型人工肺!$H$3-体外式膜型人工肺!$I$3)/体外式膜型人工肺!$H$3),0)</f>
        <v>0</v>
      </c>
      <c r="N138" s="68">
        <f t="shared" si="26"/>
        <v>0</v>
      </c>
      <c r="O138" s="68">
        <f t="shared" si="27"/>
        <v>0</v>
      </c>
      <c r="P138" s="68">
        <f t="shared" si="28"/>
        <v>0</v>
      </c>
      <c r="Q138" s="67">
        <f>IFERROR(SUMIF(紫外線照射装置!$C$30:$C$74,B138,紫外線照射装置!$N$30:$N$74)*((紫外線照射装置!$H$3-紫外線照射装置!$I$3)/紫外線照射装置!$H$3),0)</f>
        <v>0</v>
      </c>
      <c r="R138" s="68">
        <f t="shared" si="29"/>
        <v>0</v>
      </c>
      <c r="S138" s="101">
        <f t="shared" si="30"/>
        <v>0</v>
      </c>
      <c r="T138" s="67">
        <f>IFERROR(SUMIF(超音波画像診断装置!$C$30:$C$74,B138,超音波画像診断装置!$K$30:$K$74)*((超音波画像診断装置!$H$3-超音波画像診断装置!$I$3)/超音波画像診断装置!$H$3),0)</f>
        <v>0</v>
      </c>
      <c r="U138" s="68">
        <f t="shared" si="31"/>
        <v>0</v>
      </c>
      <c r="V138" s="67">
        <f>IFERROR(SUMIF(血液浄化装置!$C$30:$C$74,B138,血液浄化装置!$K$30:$K$74)*((血液浄化装置!$H$3-血液浄化装置!$I$3)/血液浄化装置!$H$3),0)</f>
        <v>0</v>
      </c>
      <c r="W138" s="68">
        <f t="shared" si="32"/>
        <v>0</v>
      </c>
      <c r="X138" s="67">
        <f>IFERROR(SUMIF(気管支鏡!$C$30:$C$74,B138,気管支鏡!$K$30:$K$74)*((気管支鏡!$H$3-気管支鏡!$I$3)/気管支鏡!$H$3),0)</f>
        <v>0</v>
      </c>
      <c r="Y138" s="68">
        <f t="shared" si="18"/>
        <v>0</v>
      </c>
      <c r="Z138" s="67">
        <f>IFERROR(SUMIF(CT撮影装置!$C$30:$C$74,B138,CT撮影装置!$K$30:$K$74)*((CT撮影装置!$H$3-CT撮影装置!$I$3)/CT撮影装置!$H$3),0)</f>
        <v>0</v>
      </c>
      <c r="AA138" s="68">
        <f t="shared" si="33"/>
        <v>0</v>
      </c>
      <c r="AB138" s="67">
        <f>IFERROR(SUMIF(生体情報モニタ!$C$30:$C$74,B138,生体情報モニタ!$K$30:$K$74)*((生体情報モニタ!$H$3-生体情報モニタ!$I$3)/生体情報モニタ!$H$3),0)</f>
        <v>0</v>
      </c>
      <c r="AC138" s="68">
        <f t="shared" si="19"/>
        <v>0</v>
      </c>
      <c r="AD138" s="67">
        <f>IFERROR(SUMIF(分娩監視装置!$C$30:$C$74,B138,分娩監視装置!$K$30:$K$74)*((分娩監視装置!$H$3-分娩監視装置!$I$3)/分娩監視装置!$H$3),0)</f>
        <v>0</v>
      </c>
      <c r="AE138" s="68">
        <f t="shared" si="34"/>
        <v>0</v>
      </c>
      <c r="AF138" s="67">
        <f>IFERROR(SUMIF(新生児モニタ!$C$30:$C$74,B138,新生児モニタ!$K$30:$K$74)*((新生児モニタ!$H$3-新生児モニタ!$I$3)/新生児モニタ!$H$3),0)</f>
        <v>0</v>
      </c>
      <c r="AG138" s="68">
        <f t="shared" si="35"/>
        <v>0</v>
      </c>
    </row>
    <row r="139" spans="2:33">
      <c r="B139" s="64" t="s">
        <v>786</v>
      </c>
      <c r="C139" s="67">
        <f>IFERROR(SUMIF(初度設備!$C$30:$C$74,B139,初度設備!$N$30:$N$74)*((初度設備!$H$3-初度設備!$I$3)/初度設備!$H$3),0)</f>
        <v>0</v>
      </c>
      <c r="D139" s="68">
        <f t="shared" si="20"/>
        <v>0</v>
      </c>
      <c r="E139" s="67">
        <f>IFERROR(SUMIF(人工呼吸器!$C$30:$C$74,B139,人工呼吸器!$N$30:$N$74)*((人工呼吸器!$H$3-人工呼吸器!$I$3)/人工呼吸器!$H$3),0)</f>
        <v>0</v>
      </c>
      <c r="F139" s="68">
        <f t="shared" si="21"/>
        <v>0</v>
      </c>
      <c r="G139" s="68">
        <f t="shared" si="22"/>
        <v>0</v>
      </c>
      <c r="H139" s="68">
        <f t="shared" si="23"/>
        <v>0</v>
      </c>
      <c r="I139" s="67">
        <f>IFERROR(SUMIF(簡易陰圧装置!$C$30:$C$74,B139,簡易陰圧装置!$N$30:$N$74)*((簡易陰圧装置!$H$3-簡易陰圧装置!$I$3)/簡易陰圧装置!$H$3),0)</f>
        <v>0</v>
      </c>
      <c r="J139" s="68">
        <f t="shared" si="24"/>
        <v>0</v>
      </c>
      <c r="K139" s="67">
        <f>IFERROR(SUMIF(#REF!,B139,#REF!)*((#REF!-#REF!)/#REF!),0)</f>
        <v>0</v>
      </c>
      <c r="L139" s="68">
        <f t="shared" si="25"/>
        <v>0</v>
      </c>
      <c r="M139" s="67">
        <f>IFERROR(SUMIF(体外式膜型人工肺!$C$30:$C$74,B139,体外式膜型人工肺!$N$30:$N$74)*((体外式膜型人工肺!$H$3-体外式膜型人工肺!$I$3)/体外式膜型人工肺!$H$3),0)</f>
        <v>0</v>
      </c>
      <c r="N139" s="68">
        <f t="shared" si="26"/>
        <v>0</v>
      </c>
      <c r="O139" s="68">
        <f t="shared" si="27"/>
        <v>0</v>
      </c>
      <c r="P139" s="68">
        <f t="shared" si="28"/>
        <v>0</v>
      </c>
      <c r="Q139" s="67">
        <f>IFERROR(SUMIF(紫外線照射装置!$C$30:$C$74,B139,紫外線照射装置!$N$30:$N$74)*((紫外線照射装置!$H$3-紫外線照射装置!$I$3)/紫外線照射装置!$H$3),0)</f>
        <v>0</v>
      </c>
      <c r="R139" s="68">
        <f t="shared" si="29"/>
        <v>0</v>
      </c>
      <c r="S139" s="101">
        <f t="shared" si="30"/>
        <v>0</v>
      </c>
      <c r="T139" s="67">
        <f>IFERROR(SUMIF(超音波画像診断装置!$C$30:$C$74,B139,超音波画像診断装置!$K$30:$K$74)*((超音波画像診断装置!$H$3-超音波画像診断装置!$I$3)/超音波画像診断装置!$H$3),0)</f>
        <v>0</v>
      </c>
      <c r="U139" s="68">
        <f t="shared" si="31"/>
        <v>0</v>
      </c>
      <c r="V139" s="67">
        <f>IFERROR(SUMIF(血液浄化装置!$C$30:$C$74,B139,血液浄化装置!$K$30:$K$74)*((血液浄化装置!$H$3-血液浄化装置!$I$3)/血液浄化装置!$H$3),0)</f>
        <v>0</v>
      </c>
      <c r="W139" s="68">
        <f t="shared" si="32"/>
        <v>0</v>
      </c>
      <c r="X139" s="67">
        <f>IFERROR(SUMIF(気管支鏡!$C$30:$C$74,B139,気管支鏡!$K$30:$K$74)*((気管支鏡!$H$3-気管支鏡!$I$3)/気管支鏡!$H$3),0)</f>
        <v>0</v>
      </c>
      <c r="Y139" s="68">
        <f t="shared" si="18"/>
        <v>0</v>
      </c>
      <c r="Z139" s="67">
        <f>IFERROR(SUMIF(CT撮影装置!$C$30:$C$74,B139,CT撮影装置!$K$30:$K$74)*((CT撮影装置!$H$3-CT撮影装置!$I$3)/CT撮影装置!$H$3),0)</f>
        <v>0</v>
      </c>
      <c r="AA139" s="68">
        <f t="shared" si="33"/>
        <v>0</v>
      </c>
      <c r="AB139" s="67">
        <f>IFERROR(SUMIF(生体情報モニタ!$C$30:$C$74,B139,生体情報モニタ!$K$30:$K$74)*((生体情報モニタ!$H$3-生体情報モニタ!$I$3)/生体情報モニタ!$H$3),0)</f>
        <v>0</v>
      </c>
      <c r="AC139" s="68">
        <f t="shared" si="19"/>
        <v>0</v>
      </c>
      <c r="AD139" s="67">
        <f>IFERROR(SUMIF(分娩監視装置!$C$30:$C$74,B139,分娩監視装置!$K$30:$K$74)*((分娩監視装置!$H$3-分娩監視装置!$I$3)/分娩監視装置!$H$3),0)</f>
        <v>0</v>
      </c>
      <c r="AE139" s="68">
        <f t="shared" si="34"/>
        <v>0</v>
      </c>
      <c r="AF139" s="67">
        <f>IFERROR(SUMIF(新生児モニタ!$C$30:$C$74,B139,新生児モニタ!$K$30:$K$74)*((新生児モニタ!$H$3-新生児モニタ!$I$3)/新生児モニタ!$H$3),0)</f>
        <v>0</v>
      </c>
      <c r="AG139" s="68">
        <f t="shared" si="35"/>
        <v>0</v>
      </c>
    </row>
    <row r="140" spans="2:33">
      <c r="B140" s="64" t="s">
        <v>787</v>
      </c>
      <c r="C140" s="67">
        <f>IFERROR(SUMIF(初度設備!$C$30:$C$74,B140,初度設備!$N$30:$N$74)*((初度設備!$H$3-初度設備!$I$3)/初度設備!$H$3),0)</f>
        <v>0</v>
      </c>
      <c r="D140" s="68">
        <f t="shared" si="20"/>
        <v>0</v>
      </c>
      <c r="E140" s="67">
        <f>IFERROR(SUMIF(人工呼吸器!$C$30:$C$74,B140,人工呼吸器!$N$30:$N$74)*((人工呼吸器!$H$3-人工呼吸器!$I$3)/人工呼吸器!$H$3),0)</f>
        <v>0</v>
      </c>
      <c r="F140" s="68">
        <f t="shared" si="21"/>
        <v>0</v>
      </c>
      <c r="G140" s="68">
        <f t="shared" si="22"/>
        <v>0</v>
      </c>
      <c r="H140" s="68">
        <f t="shared" si="23"/>
        <v>0</v>
      </c>
      <c r="I140" s="67">
        <f>IFERROR(SUMIF(簡易陰圧装置!$C$30:$C$74,B140,簡易陰圧装置!$N$30:$N$74)*((簡易陰圧装置!$H$3-簡易陰圧装置!$I$3)/簡易陰圧装置!$H$3),0)</f>
        <v>0</v>
      </c>
      <c r="J140" s="68">
        <f t="shared" si="24"/>
        <v>0</v>
      </c>
      <c r="K140" s="67">
        <f>IFERROR(SUMIF(#REF!,B140,#REF!)*((#REF!-#REF!)/#REF!),0)</f>
        <v>0</v>
      </c>
      <c r="L140" s="68">
        <f t="shared" si="25"/>
        <v>0</v>
      </c>
      <c r="M140" s="67">
        <f>IFERROR(SUMIF(体外式膜型人工肺!$C$30:$C$74,B140,体外式膜型人工肺!$N$30:$N$74)*((体外式膜型人工肺!$H$3-体外式膜型人工肺!$I$3)/体外式膜型人工肺!$H$3),0)</f>
        <v>0</v>
      </c>
      <c r="N140" s="68">
        <f t="shared" si="26"/>
        <v>0</v>
      </c>
      <c r="O140" s="68">
        <f t="shared" si="27"/>
        <v>0</v>
      </c>
      <c r="P140" s="68">
        <f t="shared" si="28"/>
        <v>0</v>
      </c>
      <c r="Q140" s="67">
        <f>IFERROR(SUMIF(紫外線照射装置!$C$30:$C$74,B140,紫外線照射装置!$N$30:$N$74)*((紫外線照射装置!$H$3-紫外線照射装置!$I$3)/紫外線照射装置!$H$3),0)</f>
        <v>0</v>
      </c>
      <c r="R140" s="68">
        <f t="shared" si="29"/>
        <v>0</v>
      </c>
      <c r="S140" s="101">
        <f t="shared" si="30"/>
        <v>0</v>
      </c>
      <c r="T140" s="67">
        <f>IFERROR(SUMIF(超音波画像診断装置!$C$30:$C$74,B140,超音波画像診断装置!$K$30:$K$74)*((超音波画像診断装置!$H$3-超音波画像診断装置!$I$3)/超音波画像診断装置!$H$3),0)</f>
        <v>0</v>
      </c>
      <c r="U140" s="68">
        <f t="shared" si="31"/>
        <v>0</v>
      </c>
      <c r="V140" s="67">
        <f>IFERROR(SUMIF(血液浄化装置!$C$30:$C$74,B140,血液浄化装置!$K$30:$K$74)*((血液浄化装置!$H$3-血液浄化装置!$I$3)/血液浄化装置!$H$3),0)</f>
        <v>0</v>
      </c>
      <c r="W140" s="68">
        <f t="shared" si="32"/>
        <v>0</v>
      </c>
      <c r="X140" s="67">
        <f>IFERROR(SUMIF(気管支鏡!$C$30:$C$74,B140,気管支鏡!$K$30:$K$74)*((気管支鏡!$H$3-気管支鏡!$I$3)/気管支鏡!$H$3),0)</f>
        <v>0</v>
      </c>
      <c r="Y140" s="68">
        <f t="shared" si="18"/>
        <v>0</v>
      </c>
      <c r="Z140" s="67">
        <f>IFERROR(SUMIF(CT撮影装置!$C$30:$C$74,B140,CT撮影装置!$K$30:$K$74)*((CT撮影装置!$H$3-CT撮影装置!$I$3)/CT撮影装置!$H$3),0)</f>
        <v>0</v>
      </c>
      <c r="AA140" s="68">
        <f t="shared" si="33"/>
        <v>0</v>
      </c>
      <c r="AB140" s="67">
        <f>IFERROR(SUMIF(生体情報モニタ!$C$30:$C$74,B140,生体情報モニタ!$K$30:$K$74)*((生体情報モニタ!$H$3-生体情報モニタ!$I$3)/生体情報モニタ!$H$3),0)</f>
        <v>0</v>
      </c>
      <c r="AC140" s="68">
        <f t="shared" si="19"/>
        <v>0</v>
      </c>
      <c r="AD140" s="67">
        <f>IFERROR(SUMIF(分娩監視装置!$C$30:$C$74,B140,分娩監視装置!$K$30:$K$74)*((分娩監視装置!$H$3-分娩監視装置!$I$3)/分娩監視装置!$H$3),0)</f>
        <v>0</v>
      </c>
      <c r="AE140" s="68">
        <f t="shared" si="34"/>
        <v>0</v>
      </c>
      <c r="AF140" s="67">
        <f>IFERROR(SUMIF(新生児モニタ!$C$30:$C$74,B140,新生児モニタ!$K$30:$K$74)*((新生児モニタ!$H$3-新生児モニタ!$I$3)/新生児モニタ!$H$3),0)</f>
        <v>0</v>
      </c>
      <c r="AG140" s="68">
        <f t="shared" si="35"/>
        <v>0</v>
      </c>
    </row>
    <row r="141" spans="2:33">
      <c r="B141" s="64" t="s">
        <v>788</v>
      </c>
      <c r="C141" s="67">
        <f>IFERROR(SUMIF(初度設備!$C$30:$C$74,B141,初度設備!$N$30:$N$74)*((初度設備!$H$3-初度設備!$I$3)/初度設備!$H$3),0)</f>
        <v>0</v>
      </c>
      <c r="D141" s="68">
        <f t="shared" si="20"/>
        <v>0</v>
      </c>
      <c r="E141" s="67">
        <f>IFERROR(SUMIF(人工呼吸器!$C$30:$C$74,B141,人工呼吸器!$N$30:$N$74)*((人工呼吸器!$H$3-人工呼吸器!$I$3)/人工呼吸器!$H$3),0)</f>
        <v>0</v>
      </c>
      <c r="F141" s="68">
        <f t="shared" si="21"/>
        <v>0</v>
      </c>
      <c r="G141" s="68">
        <f t="shared" si="22"/>
        <v>0</v>
      </c>
      <c r="H141" s="68">
        <f t="shared" si="23"/>
        <v>0</v>
      </c>
      <c r="I141" s="67">
        <f>IFERROR(SUMIF(簡易陰圧装置!$C$30:$C$74,B141,簡易陰圧装置!$N$30:$N$74)*((簡易陰圧装置!$H$3-簡易陰圧装置!$I$3)/簡易陰圧装置!$H$3),0)</f>
        <v>0</v>
      </c>
      <c r="J141" s="68">
        <f t="shared" si="24"/>
        <v>0</v>
      </c>
      <c r="K141" s="67">
        <f>IFERROR(SUMIF(#REF!,B141,#REF!)*((#REF!-#REF!)/#REF!),0)</f>
        <v>0</v>
      </c>
      <c r="L141" s="68">
        <f t="shared" si="25"/>
        <v>0</v>
      </c>
      <c r="M141" s="67">
        <f>IFERROR(SUMIF(体外式膜型人工肺!$C$30:$C$74,B141,体外式膜型人工肺!$N$30:$N$74)*((体外式膜型人工肺!$H$3-体外式膜型人工肺!$I$3)/体外式膜型人工肺!$H$3),0)</f>
        <v>0</v>
      </c>
      <c r="N141" s="68">
        <f t="shared" si="26"/>
        <v>0</v>
      </c>
      <c r="O141" s="68">
        <f t="shared" si="27"/>
        <v>0</v>
      </c>
      <c r="P141" s="68">
        <f t="shared" si="28"/>
        <v>0</v>
      </c>
      <c r="Q141" s="67">
        <f>IFERROR(SUMIF(紫外線照射装置!$C$30:$C$74,B141,紫外線照射装置!$N$30:$N$74)*((紫外線照射装置!$H$3-紫外線照射装置!$I$3)/紫外線照射装置!$H$3),0)</f>
        <v>0</v>
      </c>
      <c r="R141" s="68">
        <f t="shared" si="29"/>
        <v>0</v>
      </c>
      <c r="S141" s="101">
        <f t="shared" si="30"/>
        <v>0</v>
      </c>
      <c r="T141" s="67">
        <f>IFERROR(SUMIF(超音波画像診断装置!$C$30:$C$74,B141,超音波画像診断装置!$K$30:$K$74)*((超音波画像診断装置!$H$3-超音波画像診断装置!$I$3)/超音波画像診断装置!$H$3),0)</f>
        <v>0</v>
      </c>
      <c r="U141" s="68">
        <f t="shared" si="31"/>
        <v>0</v>
      </c>
      <c r="V141" s="67">
        <f>IFERROR(SUMIF(血液浄化装置!$C$30:$C$74,B141,血液浄化装置!$K$30:$K$74)*((血液浄化装置!$H$3-血液浄化装置!$I$3)/血液浄化装置!$H$3),0)</f>
        <v>0</v>
      </c>
      <c r="W141" s="68">
        <f t="shared" si="32"/>
        <v>0</v>
      </c>
      <c r="X141" s="67">
        <f>IFERROR(SUMIF(気管支鏡!$C$30:$C$74,B141,気管支鏡!$K$30:$K$74)*((気管支鏡!$H$3-気管支鏡!$I$3)/気管支鏡!$H$3),0)</f>
        <v>0</v>
      </c>
      <c r="Y141" s="68">
        <f t="shared" si="18"/>
        <v>0</v>
      </c>
      <c r="Z141" s="67">
        <f>IFERROR(SUMIF(CT撮影装置!$C$30:$C$74,B141,CT撮影装置!$K$30:$K$74)*((CT撮影装置!$H$3-CT撮影装置!$I$3)/CT撮影装置!$H$3),0)</f>
        <v>0</v>
      </c>
      <c r="AA141" s="68">
        <f t="shared" si="33"/>
        <v>0</v>
      </c>
      <c r="AB141" s="67">
        <f>IFERROR(SUMIF(生体情報モニタ!$C$30:$C$74,B141,生体情報モニタ!$K$30:$K$74)*((生体情報モニタ!$H$3-生体情報モニタ!$I$3)/生体情報モニタ!$H$3),0)</f>
        <v>0</v>
      </c>
      <c r="AC141" s="68">
        <f t="shared" si="19"/>
        <v>0</v>
      </c>
      <c r="AD141" s="67">
        <f>IFERROR(SUMIF(分娩監視装置!$C$30:$C$74,B141,分娩監視装置!$K$30:$K$74)*((分娩監視装置!$H$3-分娩監視装置!$I$3)/分娩監視装置!$H$3),0)</f>
        <v>0</v>
      </c>
      <c r="AE141" s="68">
        <f t="shared" si="34"/>
        <v>0</v>
      </c>
      <c r="AF141" s="67">
        <f>IFERROR(SUMIF(新生児モニタ!$C$30:$C$74,B141,新生児モニタ!$K$30:$K$74)*((新生児モニタ!$H$3-新生児モニタ!$I$3)/新生児モニタ!$H$3),0)</f>
        <v>0</v>
      </c>
      <c r="AG141" s="68">
        <f t="shared" si="35"/>
        <v>0</v>
      </c>
    </row>
    <row r="142" spans="2:33">
      <c r="B142" s="64" t="s">
        <v>789</v>
      </c>
      <c r="C142" s="67">
        <f>IFERROR(SUMIF(初度設備!$C$30:$C$74,B142,初度設備!$N$30:$N$74)*((初度設備!$H$3-初度設備!$I$3)/初度設備!$H$3),0)</f>
        <v>0</v>
      </c>
      <c r="D142" s="68">
        <f t="shared" si="20"/>
        <v>0</v>
      </c>
      <c r="E142" s="67">
        <f>IFERROR(SUMIF(人工呼吸器!$C$30:$C$74,B142,人工呼吸器!$N$30:$N$74)*((人工呼吸器!$H$3-人工呼吸器!$I$3)/人工呼吸器!$H$3),0)</f>
        <v>0</v>
      </c>
      <c r="F142" s="68">
        <f t="shared" si="21"/>
        <v>0</v>
      </c>
      <c r="G142" s="68">
        <f t="shared" si="22"/>
        <v>0</v>
      </c>
      <c r="H142" s="68">
        <f t="shared" si="23"/>
        <v>0</v>
      </c>
      <c r="I142" s="67">
        <f>IFERROR(SUMIF(簡易陰圧装置!$C$30:$C$74,B142,簡易陰圧装置!$N$30:$N$74)*((簡易陰圧装置!$H$3-簡易陰圧装置!$I$3)/簡易陰圧装置!$H$3),0)</f>
        <v>0</v>
      </c>
      <c r="J142" s="68">
        <f t="shared" si="24"/>
        <v>0</v>
      </c>
      <c r="K142" s="67">
        <f>IFERROR(SUMIF(#REF!,B142,#REF!)*((#REF!-#REF!)/#REF!),0)</f>
        <v>0</v>
      </c>
      <c r="L142" s="68">
        <f t="shared" si="25"/>
        <v>0</v>
      </c>
      <c r="M142" s="67">
        <f>IFERROR(SUMIF(体外式膜型人工肺!$C$30:$C$74,B142,体外式膜型人工肺!$N$30:$N$74)*((体外式膜型人工肺!$H$3-体外式膜型人工肺!$I$3)/体外式膜型人工肺!$H$3),0)</f>
        <v>0</v>
      </c>
      <c r="N142" s="68">
        <f t="shared" si="26"/>
        <v>0</v>
      </c>
      <c r="O142" s="68">
        <f t="shared" si="27"/>
        <v>0</v>
      </c>
      <c r="P142" s="68">
        <f t="shared" si="28"/>
        <v>0</v>
      </c>
      <c r="Q142" s="67">
        <f>IFERROR(SUMIF(紫外線照射装置!$C$30:$C$74,B142,紫外線照射装置!$N$30:$N$74)*((紫外線照射装置!$H$3-紫外線照射装置!$I$3)/紫外線照射装置!$H$3),0)</f>
        <v>0</v>
      </c>
      <c r="R142" s="68">
        <f t="shared" si="29"/>
        <v>0</v>
      </c>
      <c r="S142" s="101">
        <f t="shared" si="30"/>
        <v>0</v>
      </c>
      <c r="T142" s="67">
        <f>IFERROR(SUMIF(超音波画像診断装置!$C$30:$C$74,B142,超音波画像診断装置!$K$30:$K$74)*((超音波画像診断装置!$H$3-超音波画像診断装置!$I$3)/超音波画像診断装置!$H$3),0)</f>
        <v>0</v>
      </c>
      <c r="U142" s="68">
        <f t="shared" si="31"/>
        <v>0</v>
      </c>
      <c r="V142" s="67">
        <f>IFERROR(SUMIF(血液浄化装置!$C$30:$C$74,B142,血液浄化装置!$K$30:$K$74)*((血液浄化装置!$H$3-血液浄化装置!$I$3)/血液浄化装置!$H$3),0)</f>
        <v>0</v>
      </c>
      <c r="W142" s="68">
        <f t="shared" si="32"/>
        <v>0</v>
      </c>
      <c r="X142" s="67">
        <f>IFERROR(SUMIF(気管支鏡!$C$30:$C$74,B142,気管支鏡!$K$30:$K$74)*((気管支鏡!$H$3-気管支鏡!$I$3)/気管支鏡!$H$3),0)</f>
        <v>0</v>
      </c>
      <c r="Y142" s="68">
        <f t="shared" si="18"/>
        <v>0</v>
      </c>
      <c r="Z142" s="67">
        <f>IFERROR(SUMIF(CT撮影装置!$C$30:$C$74,B142,CT撮影装置!$K$30:$K$74)*((CT撮影装置!$H$3-CT撮影装置!$I$3)/CT撮影装置!$H$3),0)</f>
        <v>0</v>
      </c>
      <c r="AA142" s="68">
        <f t="shared" si="33"/>
        <v>0</v>
      </c>
      <c r="AB142" s="67">
        <f>IFERROR(SUMIF(生体情報モニタ!$C$30:$C$74,B142,生体情報モニタ!$K$30:$K$74)*((生体情報モニタ!$H$3-生体情報モニタ!$I$3)/生体情報モニタ!$H$3),0)</f>
        <v>0</v>
      </c>
      <c r="AC142" s="68">
        <f t="shared" si="19"/>
        <v>0</v>
      </c>
      <c r="AD142" s="67">
        <f>IFERROR(SUMIF(分娩監視装置!$C$30:$C$74,B142,分娩監視装置!$K$30:$K$74)*((分娩監視装置!$H$3-分娩監視装置!$I$3)/分娩監視装置!$H$3),0)</f>
        <v>0</v>
      </c>
      <c r="AE142" s="68">
        <f t="shared" si="34"/>
        <v>0</v>
      </c>
      <c r="AF142" s="67">
        <f>IFERROR(SUMIF(新生児モニタ!$C$30:$C$74,B142,新生児モニタ!$K$30:$K$74)*((新生児モニタ!$H$3-新生児モニタ!$I$3)/新生児モニタ!$H$3),0)</f>
        <v>0</v>
      </c>
      <c r="AG142" s="68">
        <f t="shared" si="35"/>
        <v>0</v>
      </c>
    </row>
    <row r="143" spans="2:33">
      <c r="B143" s="64" t="s">
        <v>790</v>
      </c>
      <c r="C143" s="67">
        <f>IFERROR(SUMIF(初度設備!$C$30:$C$74,B143,初度設備!$N$30:$N$74)*((初度設備!$H$3-初度設備!$I$3)/初度設備!$H$3),0)</f>
        <v>0</v>
      </c>
      <c r="D143" s="68">
        <f t="shared" si="20"/>
        <v>0</v>
      </c>
      <c r="E143" s="67">
        <f>IFERROR(SUMIF(人工呼吸器!$C$30:$C$74,B143,人工呼吸器!$N$30:$N$74)*((人工呼吸器!$H$3-人工呼吸器!$I$3)/人工呼吸器!$H$3),0)</f>
        <v>0</v>
      </c>
      <c r="F143" s="68">
        <f t="shared" si="21"/>
        <v>0</v>
      </c>
      <c r="G143" s="68">
        <f t="shared" si="22"/>
        <v>0</v>
      </c>
      <c r="H143" s="68">
        <f t="shared" si="23"/>
        <v>0</v>
      </c>
      <c r="I143" s="67">
        <f>IFERROR(SUMIF(簡易陰圧装置!$C$30:$C$74,B143,簡易陰圧装置!$N$30:$N$74)*((簡易陰圧装置!$H$3-簡易陰圧装置!$I$3)/簡易陰圧装置!$H$3),0)</f>
        <v>0</v>
      </c>
      <c r="J143" s="68">
        <f t="shared" si="24"/>
        <v>0</v>
      </c>
      <c r="K143" s="67">
        <f>IFERROR(SUMIF(#REF!,B143,#REF!)*((#REF!-#REF!)/#REF!),0)</f>
        <v>0</v>
      </c>
      <c r="L143" s="68">
        <f t="shared" si="25"/>
        <v>0</v>
      </c>
      <c r="M143" s="67">
        <f>IFERROR(SUMIF(体外式膜型人工肺!$C$30:$C$74,B143,体外式膜型人工肺!$N$30:$N$74)*((体外式膜型人工肺!$H$3-体外式膜型人工肺!$I$3)/体外式膜型人工肺!$H$3),0)</f>
        <v>0</v>
      </c>
      <c r="N143" s="68">
        <f t="shared" si="26"/>
        <v>0</v>
      </c>
      <c r="O143" s="68">
        <f t="shared" si="27"/>
        <v>0</v>
      </c>
      <c r="P143" s="68">
        <f t="shared" si="28"/>
        <v>0</v>
      </c>
      <c r="Q143" s="67">
        <f>IFERROR(SUMIF(紫外線照射装置!$C$30:$C$74,B143,紫外線照射装置!$N$30:$N$74)*((紫外線照射装置!$H$3-紫外線照射装置!$I$3)/紫外線照射装置!$H$3),0)</f>
        <v>0</v>
      </c>
      <c r="R143" s="68">
        <f t="shared" si="29"/>
        <v>0</v>
      </c>
      <c r="S143" s="101">
        <f t="shared" si="30"/>
        <v>0</v>
      </c>
      <c r="T143" s="67">
        <f>IFERROR(SUMIF(超音波画像診断装置!$C$30:$C$74,B143,超音波画像診断装置!$K$30:$K$74)*((超音波画像診断装置!$H$3-超音波画像診断装置!$I$3)/超音波画像診断装置!$H$3),0)</f>
        <v>0</v>
      </c>
      <c r="U143" s="68">
        <f t="shared" si="31"/>
        <v>0</v>
      </c>
      <c r="V143" s="67">
        <f>IFERROR(SUMIF(血液浄化装置!$C$30:$C$74,B143,血液浄化装置!$K$30:$K$74)*((血液浄化装置!$H$3-血液浄化装置!$I$3)/血液浄化装置!$H$3),0)</f>
        <v>0</v>
      </c>
      <c r="W143" s="68">
        <f t="shared" si="32"/>
        <v>0</v>
      </c>
      <c r="X143" s="67">
        <f>IFERROR(SUMIF(気管支鏡!$C$30:$C$74,B143,気管支鏡!$K$30:$K$74)*((気管支鏡!$H$3-気管支鏡!$I$3)/気管支鏡!$H$3),0)</f>
        <v>0</v>
      </c>
      <c r="Y143" s="68">
        <f t="shared" si="18"/>
        <v>0</v>
      </c>
      <c r="Z143" s="67">
        <f>IFERROR(SUMIF(CT撮影装置!$C$30:$C$74,B143,CT撮影装置!$K$30:$K$74)*((CT撮影装置!$H$3-CT撮影装置!$I$3)/CT撮影装置!$H$3),0)</f>
        <v>0</v>
      </c>
      <c r="AA143" s="68">
        <f t="shared" si="33"/>
        <v>0</v>
      </c>
      <c r="AB143" s="67">
        <f>IFERROR(SUMIF(生体情報モニタ!$C$30:$C$74,B143,生体情報モニタ!$K$30:$K$74)*((生体情報モニタ!$H$3-生体情報モニタ!$I$3)/生体情報モニタ!$H$3),0)</f>
        <v>0</v>
      </c>
      <c r="AC143" s="68">
        <f t="shared" si="19"/>
        <v>0</v>
      </c>
      <c r="AD143" s="67">
        <f>IFERROR(SUMIF(分娩監視装置!$C$30:$C$74,B143,分娩監視装置!$K$30:$K$74)*((分娩監視装置!$H$3-分娩監視装置!$I$3)/分娩監視装置!$H$3),0)</f>
        <v>0</v>
      </c>
      <c r="AE143" s="68">
        <f t="shared" si="34"/>
        <v>0</v>
      </c>
      <c r="AF143" s="67">
        <f>IFERROR(SUMIF(新生児モニタ!$C$30:$C$74,B143,新生児モニタ!$K$30:$K$74)*((新生児モニタ!$H$3-新生児モニタ!$I$3)/新生児モニタ!$H$3),0)</f>
        <v>0</v>
      </c>
      <c r="AG143" s="68">
        <f t="shared" si="35"/>
        <v>0</v>
      </c>
    </row>
    <row r="144" spans="2:33">
      <c r="B144" s="64" t="s">
        <v>791</v>
      </c>
      <c r="C144" s="67">
        <f>IFERROR(SUMIF(初度設備!$C$30:$C$74,B144,初度設備!$N$30:$N$74)*((初度設備!$H$3-初度設備!$I$3)/初度設備!$H$3),0)</f>
        <v>0</v>
      </c>
      <c r="D144" s="68">
        <f t="shared" si="20"/>
        <v>0</v>
      </c>
      <c r="E144" s="67">
        <f>IFERROR(SUMIF(人工呼吸器!$C$30:$C$74,B144,人工呼吸器!$N$30:$N$74)*((人工呼吸器!$H$3-人工呼吸器!$I$3)/人工呼吸器!$H$3),0)</f>
        <v>0</v>
      </c>
      <c r="F144" s="68">
        <f t="shared" si="21"/>
        <v>0</v>
      </c>
      <c r="G144" s="68">
        <f t="shared" si="22"/>
        <v>0</v>
      </c>
      <c r="H144" s="68">
        <f t="shared" si="23"/>
        <v>0</v>
      </c>
      <c r="I144" s="67">
        <f>IFERROR(SUMIF(簡易陰圧装置!$C$30:$C$74,B144,簡易陰圧装置!$N$30:$N$74)*((簡易陰圧装置!$H$3-簡易陰圧装置!$I$3)/簡易陰圧装置!$H$3),0)</f>
        <v>0</v>
      </c>
      <c r="J144" s="68">
        <f t="shared" si="24"/>
        <v>0</v>
      </c>
      <c r="K144" s="67">
        <f>IFERROR(SUMIF(#REF!,B144,#REF!)*((#REF!-#REF!)/#REF!),0)</f>
        <v>0</v>
      </c>
      <c r="L144" s="68">
        <f t="shared" si="25"/>
        <v>0</v>
      </c>
      <c r="M144" s="67">
        <f>IFERROR(SUMIF(体外式膜型人工肺!$C$30:$C$74,B144,体外式膜型人工肺!$N$30:$N$74)*((体外式膜型人工肺!$H$3-体外式膜型人工肺!$I$3)/体外式膜型人工肺!$H$3),0)</f>
        <v>0</v>
      </c>
      <c r="N144" s="68">
        <f t="shared" si="26"/>
        <v>0</v>
      </c>
      <c r="O144" s="68">
        <f t="shared" si="27"/>
        <v>0</v>
      </c>
      <c r="P144" s="68">
        <f t="shared" si="28"/>
        <v>0</v>
      </c>
      <c r="Q144" s="67">
        <f>IFERROR(SUMIF(紫外線照射装置!$C$30:$C$74,B144,紫外線照射装置!$N$30:$N$74)*((紫外線照射装置!$H$3-紫外線照射装置!$I$3)/紫外線照射装置!$H$3),0)</f>
        <v>0</v>
      </c>
      <c r="R144" s="68">
        <f t="shared" si="29"/>
        <v>0</v>
      </c>
      <c r="S144" s="101">
        <f t="shared" si="30"/>
        <v>0</v>
      </c>
      <c r="T144" s="67">
        <f>IFERROR(SUMIF(超音波画像診断装置!$C$30:$C$74,B144,超音波画像診断装置!$K$30:$K$74)*((超音波画像診断装置!$H$3-超音波画像診断装置!$I$3)/超音波画像診断装置!$H$3),0)</f>
        <v>0</v>
      </c>
      <c r="U144" s="68">
        <f t="shared" si="31"/>
        <v>0</v>
      </c>
      <c r="V144" s="67">
        <f>IFERROR(SUMIF(血液浄化装置!$C$30:$C$74,B144,血液浄化装置!$K$30:$K$74)*((血液浄化装置!$H$3-血液浄化装置!$I$3)/血液浄化装置!$H$3),0)</f>
        <v>0</v>
      </c>
      <c r="W144" s="68">
        <f t="shared" si="32"/>
        <v>0</v>
      </c>
      <c r="X144" s="67">
        <f>IFERROR(SUMIF(気管支鏡!$C$30:$C$74,B144,気管支鏡!$K$30:$K$74)*((気管支鏡!$H$3-気管支鏡!$I$3)/気管支鏡!$H$3),0)</f>
        <v>0</v>
      </c>
      <c r="Y144" s="68">
        <f t="shared" si="18"/>
        <v>0</v>
      </c>
      <c r="Z144" s="67">
        <f>IFERROR(SUMIF(CT撮影装置!$C$30:$C$74,B144,CT撮影装置!$K$30:$K$74)*((CT撮影装置!$H$3-CT撮影装置!$I$3)/CT撮影装置!$H$3),0)</f>
        <v>0</v>
      </c>
      <c r="AA144" s="68">
        <f t="shared" si="33"/>
        <v>0</v>
      </c>
      <c r="AB144" s="67">
        <f>IFERROR(SUMIF(生体情報モニタ!$C$30:$C$74,B144,生体情報モニタ!$K$30:$K$74)*((生体情報モニタ!$H$3-生体情報モニタ!$I$3)/生体情報モニタ!$H$3),0)</f>
        <v>0</v>
      </c>
      <c r="AC144" s="68">
        <f t="shared" si="19"/>
        <v>0</v>
      </c>
      <c r="AD144" s="67">
        <f>IFERROR(SUMIF(分娩監視装置!$C$30:$C$74,B144,分娩監視装置!$K$30:$K$74)*((分娩監視装置!$H$3-分娩監視装置!$I$3)/分娩監視装置!$H$3),0)</f>
        <v>0</v>
      </c>
      <c r="AE144" s="68">
        <f t="shared" si="34"/>
        <v>0</v>
      </c>
      <c r="AF144" s="67">
        <f>IFERROR(SUMIF(新生児モニタ!$C$30:$C$74,B144,新生児モニタ!$K$30:$K$74)*((新生児モニタ!$H$3-新生児モニタ!$I$3)/新生児モニタ!$H$3),0)</f>
        <v>0</v>
      </c>
      <c r="AG144" s="68">
        <f t="shared" si="35"/>
        <v>0</v>
      </c>
    </row>
    <row r="145" spans="2:33">
      <c r="B145" s="64" t="s">
        <v>792</v>
      </c>
      <c r="C145" s="67">
        <f>IFERROR(SUMIF(初度設備!$C$30:$C$74,B145,初度設備!$N$30:$N$74)*((初度設備!$H$3-初度設備!$I$3)/初度設備!$H$3),0)</f>
        <v>0</v>
      </c>
      <c r="D145" s="68">
        <f t="shared" si="20"/>
        <v>0</v>
      </c>
      <c r="E145" s="67">
        <f>IFERROR(SUMIF(人工呼吸器!$C$30:$C$74,B145,人工呼吸器!$N$30:$N$74)*((人工呼吸器!$H$3-人工呼吸器!$I$3)/人工呼吸器!$H$3),0)</f>
        <v>0</v>
      </c>
      <c r="F145" s="68">
        <f t="shared" si="21"/>
        <v>0</v>
      </c>
      <c r="G145" s="68">
        <f t="shared" si="22"/>
        <v>0</v>
      </c>
      <c r="H145" s="68">
        <f t="shared" si="23"/>
        <v>0</v>
      </c>
      <c r="I145" s="67">
        <f>IFERROR(SUMIF(簡易陰圧装置!$C$30:$C$74,B145,簡易陰圧装置!$N$30:$N$74)*((簡易陰圧装置!$H$3-簡易陰圧装置!$I$3)/簡易陰圧装置!$H$3),0)</f>
        <v>0</v>
      </c>
      <c r="J145" s="68">
        <f t="shared" si="24"/>
        <v>0</v>
      </c>
      <c r="K145" s="67">
        <f>IFERROR(SUMIF(#REF!,B145,#REF!)*((#REF!-#REF!)/#REF!),0)</f>
        <v>0</v>
      </c>
      <c r="L145" s="68">
        <f t="shared" si="25"/>
        <v>0</v>
      </c>
      <c r="M145" s="67">
        <f>IFERROR(SUMIF(体外式膜型人工肺!$C$30:$C$74,B145,体外式膜型人工肺!$N$30:$N$74)*((体外式膜型人工肺!$H$3-体外式膜型人工肺!$I$3)/体外式膜型人工肺!$H$3),0)</f>
        <v>0</v>
      </c>
      <c r="N145" s="68">
        <f t="shared" si="26"/>
        <v>0</v>
      </c>
      <c r="O145" s="68">
        <f t="shared" si="27"/>
        <v>0</v>
      </c>
      <c r="P145" s="68">
        <f t="shared" si="28"/>
        <v>0</v>
      </c>
      <c r="Q145" s="67">
        <f>IFERROR(SUMIF(紫外線照射装置!$C$30:$C$74,B145,紫外線照射装置!$N$30:$N$74)*((紫外線照射装置!$H$3-紫外線照射装置!$I$3)/紫外線照射装置!$H$3),0)</f>
        <v>0</v>
      </c>
      <c r="R145" s="68">
        <f t="shared" si="29"/>
        <v>0</v>
      </c>
      <c r="S145" s="101">
        <f t="shared" si="30"/>
        <v>0</v>
      </c>
      <c r="T145" s="67">
        <f>IFERROR(SUMIF(超音波画像診断装置!$C$30:$C$74,B145,超音波画像診断装置!$K$30:$K$74)*((超音波画像診断装置!$H$3-超音波画像診断装置!$I$3)/超音波画像診断装置!$H$3),0)</f>
        <v>0</v>
      </c>
      <c r="U145" s="68">
        <f t="shared" si="31"/>
        <v>0</v>
      </c>
      <c r="V145" s="67">
        <f>IFERROR(SUMIF(血液浄化装置!$C$30:$C$74,B145,血液浄化装置!$K$30:$K$74)*((血液浄化装置!$H$3-血液浄化装置!$I$3)/血液浄化装置!$H$3),0)</f>
        <v>0</v>
      </c>
      <c r="W145" s="68">
        <f t="shared" si="32"/>
        <v>0</v>
      </c>
      <c r="X145" s="67">
        <f>IFERROR(SUMIF(気管支鏡!$C$30:$C$74,B145,気管支鏡!$K$30:$K$74)*((気管支鏡!$H$3-気管支鏡!$I$3)/気管支鏡!$H$3),0)</f>
        <v>0</v>
      </c>
      <c r="Y145" s="68">
        <f t="shared" si="18"/>
        <v>0</v>
      </c>
      <c r="Z145" s="67">
        <f>IFERROR(SUMIF(CT撮影装置!$C$30:$C$74,B145,CT撮影装置!$K$30:$K$74)*((CT撮影装置!$H$3-CT撮影装置!$I$3)/CT撮影装置!$H$3),0)</f>
        <v>0</v>
      </c>
      <c r="AA145" s="68">
        <f t="shared" si="33"/>
        <v>0</v>
      </c>
      <c r="AB145" s="67">
        <f>IFERROR(SUMIF(生体情報モニタ!$C$30:$C$74,B145,生体情報モニタ!$K$30:$K$74)*((生体情報モニタ!$H$3-生体情報モニタ!$I$3)/生体情報モニタ!$H$3),0)</f>
        <v>0</v>
      </c>
      <c r="AC145" s="68">
        <f t="shared" si="19"/>
        <v>0</v>
      </c>
      <c r="AD145" s="67">
        <f>IFERROR(SUMIF(分娩監視装置!$C$30:$C$74,B145,分娩監視装置!$K$30:$K$74)*((分娩監視装置!$H$3-分娩監視装置!$I$3)/分娩監視装置!$H$3),0)</f>
        <v>0</v>
      </c>
      <c r="AE145" s="68">
        <f t="shared" si="34"/>
        <v>0</v>
      </c>
      <c r="AF145" s="67">
        <f>IFERROR(SUMIF(新生児モニタ!$C$30:$C$74,B145,新生児モニタ!$K$30:$K$74)*((新生児モニタ!$H$3-新生児モニタ!$I$3)/新生児モニタ!$H$3),0)</f>
        <v>0</v>
      </c>
      <c r="AG145" s="68">
        <f t="shared" si="35"/>
        <v>0</v>
      </c>
    </row>
    <row r="146" spans="2:33">
      <c r="B146" s="64" t="s">
        <v>793</v>
      </c>
      <c r="C146" s="67">
        <f>IFERROR(SUMIF(初度設備!$C$30:$C$74,B146,初度設備!$N$30:$N$74)*((初度設備!$H$3-初度設備!$I$3)/初度設備!$H$3),0)</f>
        <v>0</v>
      </c>
      <c r="D146" s="68">
        <f t="shared" si="20"/>
        <v>0</v>
      </c>
      <c r="E146" s="67">
        <f>IFERROR(SUMIF(人工呼吸器!$C$30:$C$74,B146,人工呼吸器!$N$30:$N$74)*((人工呼吸器!$H$3-人工呼吸器!$I$3)/人工呼吸器!$H$3),0)</f>
        <v>0</v>
      </c>
      <c r="F146" s="68">
        <f t="shared" si="21"/>
        <v>0</v>
      </c>
      <c r="G146" s="68">
        <f t="shared" si="22"/>
        <v>0</v>
      </c>
      <c r="H146" s="68">
        <f t="shared" si="23"/>
        <v>0</v>
      </c>
      <c r="I146" s="67">
        <f>IFERROR(SUMIF(簡易陰圧装置!$C$30:$C$74,B146,簡易陰圧装置!$N$30:$N$74)*((簡易陰圧装置!$H$3-簡易陰圧装置!$I$3)/簡易陰圧装置!$H$3),0)</f>
        <v>0</v>
      </c>
      <c r="J146" s="68">
        <f t="shared" si="24"/>
        <v>0</v>
      </c>
      <c r="K146" s="67">
        <f>IFERROR(SUMIF(#REF!,B146,#REF!)*((#REF!-#REF!)/#REF!),0)</f>
        <v>0</v>
      </c>
      <c r="L146" s="68">
        <f t="shared" si="25"/>
        <v>0</v>
      </c>
      <c r="M146" s="67">
        <f>IFERROR(SUMIF(体外式膜型人工肺!$C$30:$C$74,B146,体外式膜型人工肺!$N$30:$N$74)*((体外式膜型人工肺!$H$3-体外式膜型人工肺!$I$3)/体外式膜型人工肺!$H$3),0)</f>
        <v>0</v>
      </c>
      <c r="N146" s="68">
        <f t="shared" si="26"/>
        <v>0</v>
      </c>
      <c r="O146" s="68">
        <f t="shared" si="27"/>
        <v>0</v>
      </c>
      <c r="P146" s="68">
        <f t="shared" si="28"/>
        <v>0</v>
      </c>
      <c r="Q146" s="67">
        <f>IFERROR(SUMIF(紫外線照射装置!$C$30:$C$74,B146,紫外線照射装置!$N$30:$N$74)*((紫外線照射装置!$H$3-紫外線照射装置!$I$3)/紫外線照射装置!$H$3),0)</f>
        <v>0</v>
      </c>
      <c r="R146" s="68">
        <f t="shared" si="29"/>
        <v>0</v>
      </c>
      <c r="S146" s="101">
        <f t="shared" si="30"/>
        <v>0</v>
      </c>
      <c r="T146" s="67">
        <f>IFERROR(SUMIF(超音波画像診断装置!$C$30:$C$74,B146,超音波画像診断装置!$K$30:$K$74)*((超音波画像診断装置!$H$3-超音波画像診断装置!$I$3)/超音波画像診断装置!$H$3),0)</f>
        <v>0</v>
      </c>
      <c r="U146" s="68">
        <f t="shared" si="31"/>
        <v>0</v>
      </c>
      <c r="V146" s="67">
        <f>IFERROR(SUMIF(血液浄化装置!$C$30:$C$74,B146,血液浄化装置!$K$30:$K$74)*((血液浄化装置!$H$3-血液浄化装置!$I$3)/血液浄化装置!$H$3),0)</f>
        <v>0</v>
      </c>
      <c r="W146" s="68">
        <f t="shared" si="32"/>
        <v>0</v>
      </c>
      <c r="X146" s="67">
        <f>IFERROR(SUMIF(気管支鏡!$C$30:$C$74,B146,気管支鏡!$K$30:$K$74)*((気管支鏡!$H$3-気管支鏡!$I$3)/気管支鏡!$H$3),0)</f>
        <v>0</v>
      </c>
      <c r="Y146" s="68">
        <f t="shared" si="18"/>
        <v>0</v>
      </c>
      <c r="Z146" s="67">
        <f>IFERROR(SUMIF(CT撮影装置!$C$30:$C$74,B146,CT撮影装置!$K$30:$K$74)*((CT撮影装置!$H$3-CT撮影装置!$I$3)/CT撮影装置!$H$3),0)</f>
        <v>0</v>
      </c>
      <c r="AA146" s="68">
        <f t="shared" si="33"/>
        <v>0</v>
      </c>
      <c r="AB146" s="67">
        <f>IFERROR(SUMIF(生体情報モニタ!$C$30:$C$74,B146,生体情報モニタ!$K$30:$K$74)*((生体情報モニタ!$H$3-生体情報モニタ!$I$3)/生体情報モニタ!$H$3),0)</f>
        <v>0</v>
      </c>
      <c r="AC146" s="68">
        <f t="shared" si="19"/>
        <v>0</v>
      </c>
      <c r="AD146" s="67">
        <f>IFERROR(SUMIF(分娩監視装置!$C$30:$C$74,B146,分娩監視装置!$K$30:$K$74)*((分娩監視装置!$H$3-分娩監視装置!$I$3)/分娩監視装置!$H$3),0)</f>
        <v>0</v>
      </c>
      <c r="AE146" s="68">
        <f t="shared" si="34"/>
        <v>0</v>
      </c>
      <c r="AF146" s="67">
        <f>IFERROR(SUMIF(新生児モニタ!$C$30:$C$74,B146,新生児モニタ!$K$30:$K$74)*((新生児モニタ!$H$3-新生児モニタ!$I$3)/新生児モニタ!$H$3),0)</f>
        <v>0</v>
      </c>
      <c r="AG146" s="68">
        <f t="shared" si="35"/>
        <v>0</v>
      </c>
    </row>
    <row r="147" spans="2:33">
      <c r="B147" s="64" t="s">
        <v>794</v>
      </c>
      <c r="C147" s="67">
        <f>IFERROR(SUMIF(初度設備!$C$30:$C$74,B147,初度設備!$N$30:$N$74)*((初度設備!$H$3-初度設備!$I$3)/初度設備!$H$3),0)</f>
        <v>0</v>
      </c>
      <c r="D147" s="68">
        <f t="shared" si="20"/>
        <v>0</v>
      </c>
      <c r="E147" s="67">
        <f>IFERROR(SUMIF(人工呼吸器!$C$30:$C$74,B147,人工呼吸器!$N$30:$N$74)*((人工呼吸器!$H$3-人工呼吸器!$I$3)/人工呼吸器!$H$3),0)</f>
        <v>0</v>
      </c>
      <c r="F147" s="68">
        <f t="shared" si="21"/>
        <v>0</v>
      </c>
      <c r="G147" s="68">
        <f t="shared" si="22"/>
        <v>0</v>
      </c>
      <c r="H147" s="68">
        <f t="shared" si="23"/>
        <v>0</v>
      </c>
      <c r="I147" s="67">
        <f>IFERROR(SUMIF(簡易陰圧装置!$C$30:$C$74,B147,簡易陰圧装置!$N$30:$N$74)*((簡易陰圧装置!$H$3-簡易陰圧装置!$I$3)/簡易陰圧装置!$H$3),0)</f>
        <v>0</v>
      </c>
      <c r="J147" s="68">
        <f t="shared" si="24"/>
        <v>0</v>
      </c>
      <c r="K147" s="67">
        <f>IFERROR(SUMIF(#REF!,B147,#REF!)*((#REF!-#REF!)/#REF!),0)</f>
        <v>0</v>
      </c>
      <c r="L147" s="68">
        <f t="shared" si="25"/>
        <v>0</v>
      </c>
      <c r="M147" s="67">
        <f>IFERROR(SUMIF(体外式膜型人工肺!$C$30:$C$74,B147,体外式膜型人工肺!$N$30:$N$74)*((体外式膜型人工肺!$H$3-体外式膜型人工肺!$I$3)/体外式膜型人工肺!$H$3),0)</f>
        <v>0</v>
      </c>
      <c r="N147" s="68">
        <f t="shared" si="26"/>
        <v>0</v>
      </c>
      <c r="O147" s="68">
        <f t="shared" si="27"/>
        <v>0</v>
      </c>
      <c r="P147" s="68">
        <f t="shared" si="28"/>
        <v>0</v>
      </c>
      <c r="Q147" s="67">
        <f>IFERROR(SUMIF(紫外線照射装置!$C$30:$C$74,B147,紫外線照射装置!$N$30:$N$74)*((紫外線照射装置!$H$3-紫外線照射装置!$I$3)/紫外線照射装置!$H$3),0)</f>
        <v>0</v>
      </c>
      <c r="R147" s="68">
        <f t="shared" si="29"/>
        <v>0</v>
      </c>
      <c r="S147" s="101">
        <f t="shared" si="30"/>
        <v>0</v>
      </c>
      <c r="T147" s="67">
        <f>IFERROR(SUMIF(超音波画像診断装置!$C$30:$C$74,B147,超音波画像診断装置!$K$30:$K$74)*((超音波画像診断装置!$H$3-超音波画像診断装置!$I$3)/超音波画像診断装置!$H$3),0)</f>
        <v>0</v>
      </c>
      <c r="U147" s="68">
        <f t="shared" si="31"/>
        <v>0</v>
      </c>
      <c r="V147" s="67">
        <f>IFERROR(SUMIF(血液浄化装置!$C$30:$C$74,B147,血液浄化装置!$K$30:$K$74)*((血液浄化装置!$H$3-血液浄化装置!$I$3)/血液浄化装置!$H$3),0)</f>
        <v>0</v>
      </c>
      <c r="W147" s="68">
        <f t="shared" si="32"/>
        <v>0</v>
      </c>
      <c r="X147" s="67">
        <f>IFERROR(SUMIF(気管支鏡!$C$30:$C$74,B147,気管支鏡!$K$30:$K$74)*((気管支鏡!$H$3-気管支鏡!$I$3)/気管支鏡!$H$3),0)</f>
        <v>0</v>
      </c>
      <c r="Y147" s="68">
        <f t="shared" si="18"/>
        <v>0</v>
      </c>
      <c r="Z147" s="67">
        <f>IFERROR(SUMIF(CT撮影装置!$C$30:$C$74,B147,CT撮影装置!$K$30:$K$74)*((CT撮影装置!$H$3-CT撮影装置!$I$3)/CT撮影装置!$H$3),0)</f>
        <v>0</v>
      </c>
      <c r="AA147" s="68">
        <f t="shared" si="33"/>
        <v>0</v>
      </c>
      <c r="AB147" s="67">
        <f>IFERROR(SUMIF(生体情報モニタ!$C$30:$C$74,B147,生体情報モニタ!$K$30:$K$74)*((生体情報モニタ!$H$3-生体情報モニタ!$I$3)/生体情報モニタ!$H$3),0)</f>
        <v>0</v>
      </c>
      <c r="AC147" s="68">
        <f t="shared" si="19"/>
        <v>0</v>
      </c>
      <c r="AD147" s="67">
        <f>IFERROR(SUMIF(分娩監視装置!$C$30:$C$74,B147,分娩監視装置!$K$30:$K$74)*((分娩監視装置!$H$3-分娩監視装置!$I$3)/分娩監視装置!$H$3),0)</f>
        <v>0</v>
      </c>
      <c r="AE147" s="68">
        <f t="shared" si="34"/>
        <v>0</v>
      </c>
      <c r="AF147" s="67">
        <f>IFERROR(SUMIF(新生児モニタ!$C$30:$C$74,B147,新生児モニタ!$K$30:$K$74)*((新生児モニタ!$H$3-新生児モニタ!$I$3)/新生児モニタ!$H$3),0)</f>
        <v>0</v>
      </c>
      <c r="AG147" s="68">
        <f t="shared" si="35"/>
        <v>0</v>
      </c>
    </row>
    <row r="148" spans="2:33">
      <c r="B148" s="64" t="s">
        <v>795</v>
      </c>
      <c r="C148" s="67">
        <f>IFERROR(SUMIF(初度設備!$C$30:$C$74,B148,初度設備!$N$30:$N$74)*((初度設備!$H$3-初度設備!$I$3)/初度設備!$H$3),0)</f>
        <v>0</v>
      </c>
      <c r="D148" s="68">
        <f t="shared" si="20"/>
        <v>0</v>
      </c>
      <c r="E148" s="67">
        <f>IFERROR(SUMIF(人工呼吸器!$C$30:$C$74,B148,人工呼吸器!$N$30:$N$74)*((人工呼吸器!$H$3-人工呼吸器!$I$3)/人工呼吸器!$H$3),0)</f>
        <v>0</v>
      </c>
      <c r="F148" s="68">
        <f t="shared" si="21"/>
        <v>0</v>
      </c>
      <c r="G148" s="68">
        <f t="shared" si="22"/>
        <v>0</v>
      </c>
      <c r="H148" s="68">
        <f t="shared" si="23"/>
        <v>0</v>
      </c>
      <c r="I148" s="67">
        <f>IFERROR(SUMIF(簡易陰圧装置!$C$30:$C$74,B148,簡易陰圧装置!$N$30:$N$74)*((簡易陰圧装置!$H$3-簡易陰圧装置!$I$3)/簡易陰圧装置!$H$3),0)</f>
        <v>0</v>
      </c>
      <c r="J148" s="68">
        <f t="shared" si="24"/>
        <v>0</v>
      </c>
      <c r="K148" s="67">
        <f>IFERROR(SUMIF(#REF!,B148,#REF!)*((#REF!-#REF!)/#REF!),0)</f>
        <v>0</v>
      </c>
      <c r="L148" s="68">
        <f t="shared" si="25"/>
        <v>0</v>
      </c>
      <c r="M148" s="67">
        <f>IFERROR(SUMIF(体外式膜型人工肺!$C$30:$C$74,B148,体外式膜型人工肺!$N$30:$N$74)*((体外式膜型人工肺!$H$3-体外式膜型人工肺!$I$3)/体外式膜型人工肺!$H$3),0)</f>
        <v>0</v>
      </c>
      <c r="N148" s="68">
        <f t="shared" si="26"/>
        <v>0</v>
      </c>
      <c r="O148" s="68">
        <f t="shared" si="27"/>
        <v>0</v>
      </c>
      <c r="P148" s="68">
        <f t="shared" si="28"/>
        <v>0</v>
      </c>
      <c r="Q148" s="67">
        <f>IFERROR(SUMIF(紫外線照射装置!$C$30:$C$74,B148,紫外線照射装置!$N$30:$N$74)*((紫外線照射装置!$H$3-紫外線照射装置!$I$3)/紫外線照射装置!$H$3),0)</f>
        <v>0</v>
      </c>
      <c r="R148" s="68">
        <f t="shared" si="29"/>
        <v>0</v>
      </c>
      <c r="S148" s="101">
        <f t="shared" si="30"/>
        <v>0</v>
      </c>
      <c r="T148" s="67">
        <f>IFERROR(SUMIF(超音波画像診断装置!$C$30:$C$74,B148,超音波画像診断装置!$K$30:$K$74)*((超音波画像診断装置!$H$3-超音波画像診断装置!$I$3)/超音波画像診断装置!$H$3),0)</f>
        <v>0</v>
      </c>
      <c r="U148" s="68">
        <f t="shared" si="31"/>
        <v>0</v>
      </c>
      <c r="V148" s="67">
        <f>IFERROR(SUMIF(血液浄化装置!$C$30:$C$74,B148,血液浄化装置!$K$30:$K$74)*((血液浄化装置!$H$3-血液浄化装置!$I$3)/血液浄化装置!$H$3),0)</f>
        <v>0</v>
      </c>
      <c r="W148" s="68">
        <f t="shared" si="32"/>
        <v>0</v>
      </c>
      <c r="X148" s="67">
        <f>IFERROR(SUMIF(気管支鏡!$C$30:$C$74,B148,気管支鏡!$K$30:$K$74)*((気管支鏡!$H$3-気管支鏡!$I$3)/気管支鏡!$H$3),0)</f>
        <v>0</v>
      </c>
      <c r="Y148" s="68">
        <f t="shared" si="18"/>
        <v>0</v>
      </c>
      <c r="Z148" s="67">
        <f>IFERROR(SUMIF(CT撮影装置!$C$30:$C$74,B148,CT撮影装置!$K$30:$K$74)*((CT撮影装置!$H$3-CT撮影装置!$I$3)/CT撮影装置!$H$3),0)</f>
        <v>0</v>
      </c>
      <c r="AA148" s="68">
        <f t="shared" si="33"/>
        <v>0</v>
      </c>
      <c r="AB148" s="67">
        <f>IFERROR(SUMIF(生体情報モニタ!$C$30:$C$74,B148,生体情報モニタ!$K$30:$K$74)*((生体情報モニタ!$H$3-生体情報モニタ!$I$3)/生体情報モニタ!$H$3),0)</f>
        <v>0</v>
      </c>
      <c r="AC148" s="68">
        <f t="shared" si="19"/>
        <v>0</v>
      </c>
      <c r="AD148" s="67">
        <f>IFERROR(SUMIF(分娩監視装置!$C$30:$C$74,B148,分娩監視装置!$K$30:$K$74)*((分娩監視装置!$H$3-分娩監視装置!$I$3)/分娩監視装置!$H$3),0)</f>
        <v>0</v>
      </c>
      <c r="AE148" s="68">
        <f t="shared" si="34"/>
        <v>0</v>
      </c>
      <c r="AF148" s="67">
        <f>IFERROR(SUMIF(新生児モニタ!$C$30:$C$74,B148,新生児モニタ!$K$30:$K$74)*((新生児モニタ!$H$3-新生児モニタ!$I$3)/新生児モニタ!$H$3),0)</f>
        <v>0</v>
      </c>
      <c r="AG148" s="68">
        <f t="shared" si="35"/>
        <v>0</v>
      </c>
    </row>
    <row r="149" spans="2:33">
      <c r="B149" s="64" t="s">
        <v>796</v>
      </c>
      <c r="C149" s="67">
        <f>IFERROR(SUMIF(初度設備!$C$30:$C$74,B149,初度設備!$N$30:$N$74)*((初度設備!$H$3-初度設備!$I$3)/初度設備!$H$3),0)</f>
        <v>0</v>
      </c>
      <c r="D149" s="68">
        <f t="shared" si="20"/>
        <v>0</v>
      </c>
      <c r="E149" s="67">
        <f>IFERROR(SUMIF(人工呼吸器!$C$30:$C$74,B149,人工呼吸器!$N$30:$N$74)*((人工呼吸器!$H$3-人工呼吸器!$I$3)/人工呼吸器!$H$3),0)</f>
        <v>0</v>
      </c>
      <c r="F149" s="68">
        <f t="shared" si="21"/>
        <v>0</v>
      </c>
      <c r="G149" s="68">
        <f t="shared" si="22"/>
        <v>0</v>
      </c>
      <c r="H149" s="68">
        <f t="shared" si="23"/>
        <v>0</v>
      </c>
      <c r="I149" s="67">
        <f>IFERROR(SUMIF(簡易陰圧装置!$C$30:$C$74,B149,簡易陰圧装置!$N$30:$N$74)*((簡易陰圧装置!$H$3-簡易陰圧装置!$I$3)/簡易陰圧装置!$H$3),0)</f>
        <v>0</v>
      </c>
      <c r="J149" s="68">
        <f t="shared" si="24"/>
        <v>0</v>
      </c>
      <c r="K149" s="67">
        <f>IFERROR(SUMIF(#REF!,B149,#REF!)*((#REF!-#REF!)/#REF!),0)</f>
        <v>0</v>
      </c>
      <c r="L149" s="68">
        <f t="shared" si="25"/>
        <v>0</v>
      </c>
      <c r="M149" s="67">
        <f>IFERROR(SUMIF(体外式膜型人工肺!$C$30:$C$74,B149,体外式膜型人工肺!$N$30:$N$74)*((体外式膜型人工肺!$H$3-体外式膜型人工肺!$I$3)/体外式膜型人工肺!$H$3),0)</f>
        <v>0</v>
      </c>
      <c r="N149" s="68">
        <f t="shared" si="26"/>
        <v>0</v>
      </c>
      <c r="O149" s="68">
        <f t="shared" si="27"/>
        <v>0</v>
      </c>
      <c r="P149" s="68">
        <f t="shared" si="28"/>
        <v>0</v>
      </c>
      <c r="Q149" s="67">
        <f>IFERROR(SUMIF(紫外線照射装置!$C$30:$C$74,B149,紫外線照射装置!$N$30:$N$74)*((紫外線照射装置!$H$3-紫外線照射装置!$I$3)/紫外線照射装置!$H$3),0)</f>
        <v>0</v>
      </c>
      <c r="R149" s="68">
        <f t="shared" si="29"/>
        <v>0</v>
      </c>
      <c r="S149" s="101">
        <f t="shared" si="30"/>
        <v>0</v>
      </c>
      <c r="T149" s="67">
        <f>IFERROR(SUMIF(超音波画像診断装置!$C$30:$C$74,B149,超音波画像診断装置!$K$30:$K$74)*((超音波画像診断装置!$H$3-超音波画像診断装置!$I$3)/超音波画像診断装置!$H$3),0)</f>
        <v>0</v>
      </c>
      <c r="U149" s="68">
        <f t="shared" si="31"/>
        <v>0</v>
      </c>
      <c r="V149" s="67">
        <f>IFERROR(SUMIF(血液浄化装置!$C$30:$C$74,B149,血液浄化装置!$K$30:$K$74)*((血液浄化装置!$H$3-血液浄化装置!$I$3)/血液浄化装置!$H$3),0)</f>
        <v>0</v>
      </c>
      <c r="W149" s="68">
        <f t="shared" si="32"/>
        <v>0</v>
      </c>
      <c r="X149" s="67">
        <f>IFERROR(SUMIF(気管支鏡!$C$30:$C$74,B149,気管支鏡!$K$30:$K$74)*((気管支鏡!$H$3-気管支鏡!$I$3)/気管支鏡!$H$3),0)</f>
        <v>0</v>
      </c>
      <c r="Y149" s="68">
        <f t="shared" si="18"/>
        <v>0</v>
      </c>
      <c r="Z149" s="67">
        <f>IFERROR(SUMIF(CT撮影装置!$C$30:$C$74,B149,CT撮影装置!$K$30:$K$74)*((CT撮影装置!$H$3-CT撮影装置!$I$3)/CT撮影装置!$H$3),0)</f>
        <v>0</v>
      </c>
      <c r="AA149" s="68">
        <f t="shared" si="33"/>
        <v>0</v>
      </c>
      <c r="AB149" s="67">
        <f>IFERROR(SUMIF(生体情報モニタ!$C$30:$C$74,B149,生体情報モニタ!$K$30:$K$74)*((生体情報モニタ!$H$3-生体情報モニタ!$I$3)/生体情報モニタ!$H$3),0)</f>
        <v>0</v>
      </c>
      <c r="AC149" s="68">
        <f t="shared" si="19"/>
        <v>0</v>
      </c>
      <c r="AD149" s="67">
        <f>IFERROR(SUMIF(分娩監視装置!$C$30:$C$74,B149,分娩監視装置!$K$30:$K$74)*((分娩監視装置!$H$3-分娩監視装置!$I$3)/分娩監視装置!$H$3),0)</f>
        <v>0</v>
      </c>
      <c r="AE149" s="68">
        <f t="shared" si="34"/>
        <v>0</v>
      </c>
      <c r="AF149" s="67">
        <f>IFERROR(SUMIF(新生児モニタ!$C$30:$C$74,B149,新生児モニタ!$K$30:$K$74)*((新生児モニタ!$H$3-新生児モニタ!$I$3)/新生児モニタ!$H$3),0)</f>
        <v>0</v>
      </c>
      <c r="AG149" s="68">
        <f t="shared" si="35"/>
        <v>0</v>
      </c>
    </row>
    <row r="150" spans="2:33">
      <c r="B150" s="64" t="s">
        <v>797</v>
      </c>
      <c r="C150" s="67">
        <f>IFERROR(SUMIF(初度設備!$C$30:$C$74,B150,初度設備!$N$30:$N$74)*((初度設備!$H$3-初度設備!$I$3)/初度設備!$H$3),0)</f>
        <v>0</v>
      </c>
      <c r="D150" s="68">
        <f t="shared" si="20"/>
        <v>0</v>
      </c>
      <c r="E150" s="67">
        <f>IFERROR(SUMIF(人工呼吸器!$C$30:$C$74,B150,人工呼吸器!$N$30:$N$74)*((人工呼吸器!$H$3-人工呼吸器!$I$3)/人工呼吸器!$H$3),0)</f>
        <v>0</v>
      </c>
      <c r="F150" s="68">
        <f t="shared" si="21"/>
        <v>0</v>
      </c>
      <c r="G150" s="68">
        <f t="shared" si="22"/>
        <v>0</v>
      </c>
      <c r="H150" s="68">
        <f t="shared" si="23"/>
        <v>0</v>
      </c>
      <c r="I150" s="67">
        <f>IFERROR(SUMIF(簡易陰圧装置!$C$30:$C$74,B150,簡易陰圧装置!$N$30:$N$74)*((簡易陰圧装置!$H$3-簡易陰圧装置!$I$3)/簡易陰圧装置!$H$3),0)</f>
        <v>0</v>
      </c>
      <c r="J150" s="68">
        <f t="shared" si="24"/>
        <v>0</v>
      </c>
      <c r="K150" s="67">
        <f>IFERROR(SUMIF(#REF!,B150,#REF!)*((#REF!-#REF!)/#REF!),0)</f>
        <v>0</v>
      </c>
      <c r="L150" s="68">
        <f t="shared" si="25"/>
        <v>0</v>
      </c>
      <c r="M150" s="67">
        <f>IFERROR(SUMIF(体外式膜型人工肺!$C$30:$C$74,B150,体外式膜型人工肺!$N$30:$N$74)*((体外式膜型人工肺!$H$3-体外式膜型人工肺!$I$3)/体外式膜型人工肺!$H$3),0)</f>
        <v>0</v>
      </c>
      <c r="N150" s="68">
        <f t="shared" si="26"/>
        <v>0</v>
      </c>
      <c r="O150" s="68">
        <f t="shared" si="27"/>
        <v>0</v>
      </c>
      <c r="P150" s="68">
        <f t="shared" si="28"/>
        <v>0</v>
      </c>
      <c r="Q150" s="67">
        <f>IFERROR(SUMIF(紫外線照射装置!$C$30:$C$74,B150,紫外線照射装置!$N$30:$N$74)*((紫外線照射装置!$H$3-紫外線照射装置!$I$3)/紫外線照射装置!$H$3),0)</f>
        <v>0</v>
      </c>
      <c r="R150" s="68">
        <f t="shared" si="29"/>
        <v>0</v>
      </c>
      <c r="S150" s="101">
        <f t="shared" si="30"/>
        <v>0</v>
      </c>
      <c r="T150" s="67">
        <f>IFERROR(SUMIF(超音波画像診断装置!$C$30:$C$74,B150,超音波画像診断装置!$K$30:$K$74)*((超音波画像診断装置!$H$3-超音波画像診断装置!$I$3)/超音波画像診断装置!$H$3),0)</f>
        <v>0</v>
      </c>
      <c r="U150" s="68">
        <f t="shared" si="31"/>
        <v>0</v>
      </c>
      <c r="V150" s="67">
        <f>IFERROR(SUMIF(血液浄化装置!$C$30:$C$74,B150,血液浄化装置!$K$30:$K$74)*((血液浄化装置!$H$3-血液浄化装置!$I$3)/血液浄化装置!$H$3),0)</f>
        <v>0</v>
      </c>
      <c r="W150" s="68">
        <f t="shared" si="32"/>
        <v>0</v>
      </c>
      <c r="X150" s="67">
        <f>IFERROR(SUMIF(気管支鏡!$C$30:$C$74,B150,気管支鏡!$K$30:$K$74)*((気管支鏡!$H$3-気管支鏡!$I$3)/気管支鏡!$H$3),0)</f>
        <v>0</v>
      </c>
      <c r="Y150" s="68">
        <f t="shared" si="18"/>
        <v>0</v>
      </c>
      <c r="Z150" s="67">
        <f>IFERROR(SUMIF(CT撮影装置!$C$30:$C$74,B150,CT撮影装置!$K$30:$K$74)*((CT撮影装置!$H$3-CT撮影装置!$I$3)/CT撮影装置!$H$3),0)</f>
        <v>0</v>
      </c>
      <c r="AA150" s="68">
        <f t="shared" si="33"/>
        <v>0</v>
      </c>
      <c r="AB150" s="67">
        <f>IFERROR(SUMIF(生体情報モニタ!$C$30:$C$74,B150,生体情報モニタ!$K$30:$K$74)*((生体情報モニタ!$H$3-生体情報モニタ!$I$3)/生体情報モニタ!$H$3),0)</f>
        <v>0</v>
      </c>
      <c r="AC150" s="68">
        <f t="shared" si="19"/>
        <v>0</v>
      </c>
      <c r="AD150" s="67">
        <f>IFERROR(SUMIF(分娩監視装置!$C$30:$C$74,B150,分娩監視装置!$K$30:$K$74)*((分娩監視装置!$H$3-分娩監視装置!$I$3)/分娩監視装置!$H$3),0)</f>
        <v>0</v>
      </c>
      <c r="AE150" s="68">
        <f t="shared" si="34"/>
        <v>0</v>
      </c>
      <c r="AF150" s="67">
        <f>IFERROR(SUMIF(新生児モニタ!$C$30:$C$74,B150,新生児モニタ!$K$30:$K$74)*((新生児モニタ!$H$3-新生児モニタ!$I$3)/新生児モニタ!$H$3),0)</f>
        <v>0</v>
      </c>
      <c r="AG150" s="68">
        <f t="shared" si="35"/>
        <v>0</v>
      </c>
    </row>
    <row r="151" spans="2:33">
      <c r="B151" s="64" t="s">
        <v>798</v>
      </c>
      <c r="C151" s="67">
        <f>IFERROR(SUMIF(初度設備!$C$30:$C$74,B151,初度設備!$N$30:$N$74)*((初度設備!$H$3-初度設備!$I$3)/初度設備!$H$3),0)</f>
        <v>0</v>
      </c>
      <c r="D151" s="68">
        <f t="shared" si="20"/>
        <v>0</v>
      </c>
      <c r="E151" s="67">
        <f>IFERROR(SUMIF(人工呼吸器!$C$30:$C$74,B151,人工呼吸器!$N$30:$N$74)*((人工呼吸器!$H$3-人工呼吸器!$I$3)/人工呼吸器!$H$3),0)</f>
        <v>0</v>
      </c>
      <c r="F151" s="68">
        <f t="shared" si="21"/>
        <v>0</v>
      </c>
      <c r="G151" s="68">
        <f t="shared" si="22"/>
        <v>0</v>
      </c>
      <c r="H151" s="68">
        <f t="shared" si="23"/>
        <v>0</v>
      </c>
      <c r="I151" s="67">
        <f>IFERROR(SUMIF(簡易陰圧装置!$C$30:$C$74,B151,簡易陰圧装置!$N$30:$N$74)*((簡易陰圧装置!$H$3-簡易陰圧装置!$I$3)/簡易陰圧装置!$H$3),0)</f>
        <v>0</v>
      </c>
      <c r="J151" s="68">
        <f t="shared" si="24"/>
        <v>0</v>
      </c>
      <c r="K151" s="67">
        <f>IFERROR(SUMIF(#REF!,B151,#REF!)*((#REF!-#REF!)/#REF!),0)</f>
        <v>0</v>
      </c>
      <c r="L151" s="68">
        <f t="shared" si="25"/>
        <v>0</v>
      </c>
      <c r="M151" s="67">
        <f>IFERROR(SUMIF(体外式膜型人工肺!$C$30:$C$74,B151,体外式膜型人工肺!$N$30:$N$74)*((体外式膜型人工肺!$H$3-体外式膜型人工肺!$I$3)/体外式膜型人工肺!$H$3),0)</f>
        <v>0</v>
      </c>
      <c r="N151" s="68">
        <f t="shared" si="26"/>
        <v>0</v>
      </c>
      <c r="O151" s="68">
        <f t="shared" si="27"/>
        <v>0</v>
      </c>
      <c r="P151" s="68">
        <f t="shared" si="28"/>
        <v>0</v>
      </c>
      <c r="Q151" s="67">
        <f>IFERROR(SUMIF(紫外線照射装置!$C$30:$C$74,B151,紫外線照射装置!$N$30:$N$74)*((紫外線照射装置!$H$3-紫外線照射装置!$I$3)/紫外線照射装置!$H$3),0)</f>
        <v>0</v>
      </c>
      <c r="R151" s="68">
        <f t="shared" si="29"/>
        <v>0</v>
      </c>
      <c r="S151" s="101">
        <f t="shared" si="30"/>
        <v>0</v>
      </c>
      <c r="T151" s="67">
        <f>IFERROR(SUMIF(超音波画像診断装置!$C$30:$C$74,B151,超音波画像診断装置!$K$30:$K$74)*((超音波画像診断装置!$H$3-超音波画像診断装置!$I$3)/超音波画像診断装置!$H$3),0)</f>
        <v>0</v>
      </c>
      <c r="U151" s="68">
        <f t="shared" si="31"/>
        <v>0</v>
      </c>
      <c r="V151" s="67">
        <f>IFERROR(SUMIF(血液浄化装置!$C$30:$C$74,B151,血液浄化装置!$K$30:$K$74)*((血液浄化装置!$H$3-血液浄化装置!$I$3)/血液浄化装置!$H$3),0)</f>
        <v>0</v>
      </c>
      <c r="W151" s="68">
        <f t="shared" si="32"/>
        <v>0</v>
      </c>
      <c r="X151" s="67">
        <f>IFERROR(SUMIF(気管支鏡!$C$30:$C$74,B151,気管支鏡!$K$30:$K$74)*((気管支鏡!$H$3-気管支鏡!$I$3)/気管支鏡!$H$3),0)</f>
        <v>0</v>
      </c>
      <c r="Y151" s="68">
        <f t="shared" ref="Y151:Y214" si="36">ROUNDDOWN(MIN(X151,$Y$21),-3)</f>
        <v>0</v>
      </c>
      <c r="Z151" s="67">
        <f>IFERROR(SUMIF(CT撮影装置!$C$30:$C$74,B151,CT撮影装置!$K$30:$K$74)*((CT撮影装置!$H$3-CT撮影装置!$I$3)/CT撮影装置!$H$3),0)</f>
        <v>0</v>
      </c>
      <c r="AA151" s="68">
        <f t="shared" si="33"/>
        <v>0</v>
      </c>
      <c r="AB151" s="67">
        <f>IFERROR(SUMIF(生体情報モニタ!$C$30:$C$74,B151,生体情報モニタ!$K$30:$K$74)*((生体情報モニタ!$H$3-生体情報モニタ!$I$3)/生体情報モニタ!$H$3),0)</f>
        <v>0</v>
      </c>
      <c r="AC151" s="68">
        <f t="shared" ref="AC151:AC214" si="37">ROUNDDOWN(MIN(AB151,$AC$21),-3)</f>
        <v>0</v>
      </c>
      <c r="AD151" s="67">
        <f>IFERROR(SUMIF(分娩監視装置!$C$30:$C$74,B151,分娩監視装置!$K$30:$K$74)*((分娩監視装置!$H$3-分娩監視装置!$I$3)/分娩監視装置!$H$3),0)</f>
        <v>0</v>
      </c>
      <c r="AE151" s="68">
        <f t="shared" si="34"/>
        <v>0</v>
      </c>
      <c r="AF151" s="67">
        <f>IFERROR(SUMIF(新生児モニタ!$C$30:$C$74,B151,新生児モニタ!$K$30:$K$74)*((新生児モニタ!$H$3-新生児モニタ!$I$3)/新生児モニタ!$H$3),0)</f>
        <v>0</v>
      </c>
      <c r="AG151" s="68">
        <f t="shared" si="35"/>
        <v>0</v>
      </c>
    </row>
    <row r="152" spans="2:33">
      <c r="B152" s="64" t="s">
        <v>799</v>
      </c>
      <c r="C152" s="67">
        <f>IFERROR(SUMIF(初度設備!$C$30:$C$74,B152,初度設備!$N$30:$N$74)*((初度設備!$H$3-初度設備!$I$3)/初度設備!$H$3),0)</f>
        <v>0</v>
      </c>
      <c r="D152" s="68">
        <f t="shared" ref="D152:D215" si="38">ROUNDDOWN(MIN(C152,$D$21),-3)</f>
        <v>0</v>
      </c>
      <c r="E152" s="67">
        <f>IFERROR(SUMIF(人工呼吸器!$C$30:$C$74,B152,人工呼吸器!$N$30:$N$74)*((人工呼吸器!$H$3-人工呼吸器!$I$3)/人工呼吸器!$H$3),0)</f>
        <v>0</v>
      </c>
      <c r="F152" s="68">
        <f t="shared" ref="F152:F215" si="39">ROUNDDOWN(E152,-3)</f>
        <v>0</v>
      </c>
      <c r="G152" s="68">
        <f t="shared" ref="G152:G215" si="40">IF(F152&gt;=5000000,5000000,F152)</f>
        <v>0</v>
      </c>
      <c r="H152" s="68">
        <f t="shared" ref="H152:H215" si="41">IF(G152=5000000,F152-5000000,0)</f>
        <v>0</v>
      </c>
      <c r="I152" s="67">
        <f>IFERROR(SUMIF(簡易陰圧装置!$C$30:$C$74,B152,簡易陰圧装置!$N$30:$N$74)*((簡易陰圧装置!$H$3-簡易陰圧装置!$I$3)/簡易陰圧装置!$H$3),0)</f>
        <v>0</v>
      </c>
      <c r="J152" s="68">
        <f t="shared" ref="J152:J215" si="42">ROUNDDOWN(MIN(I152,$J$21),-3)</f>
        <v>0</v>
      </c>
      <c r="K152" s="67">
        <f>IFERROR(SUMIF(#REF!,B152,#REF!)*((#REF!-#REF!)/#REF!),0)</f>
        <v>0</v>
      </c>
      <c r="L152" s="68">
        <f t="shared" ref="L152:L215" si="43">ROUNDDOWN(MIN(K152,$L$21),-3)</f>
        <v>0</v>
      </c>
      <c r="M152" s="67">
        <f>IFERROR(SUMIF(体外式膜型人工肺!$C$30:$C$74,B152,体外式膜型人工肺!$N$30:$N$74)*((体外式膜型人工肺!$H$3-体外式膜型人工肺!$I$3)/体外式膜型人工肺!$H$3),0)</f>
        <v>0</v>
      </c>
      <c r="N152" s="68">
        <f t="shared" ref="N152:N215" si="44">ROUNDDOWN(M152,-3)</f>
        <v>0</v>
      </c>
      <c r="O152" s="68">
        <f t="shared" ref="O152:O215" si="45">IF(N152&gt;=21000000,21000000,N152)</f>
        <v>0</v>
      </c>
      <c r="P152" s="68">
        <f t="shared" ref="P152:P215" si="46">IF(O152=21000000,N152-21000000,0)</f>
        <v>0</v>
      </c>
      <c r="Q152" s="67">
        <f>IFERROR(SUMIF(紫外線照射装置!$C$30:$C$74,B152,紫外線照射装置!$N$30:$N$74)*((紫外線照射装置!$H$3-紫外線照射装置!$I$3)/紫外線照射装置!$H$3),0)</f>
        <v>0</v>
      </c>
      <c r="R152" s="68">
        <f t="shared" ref="R152:R215" si="47">IFERROR(ROUNDDOWN(MIN(Q152,$R$21)/2,-3),0)</f>
        <v>0</v>
      </c>
      <c r="S152" s="101">
        <f t="shared" ref="S152:S215" si="48">R152</f>
        <v>0</v>
      </c>
      <c r="T152" s="67">
        <f>IFERROR(SUMIF(超音波画像診断装置!$C$30:$C$74,B152,超音波画像診断装置!$K$30:$K$74)*((超音波画像診断装置!$H$3-超音波画像診断装置!$I$3)/超音波画像診断装置!$H$3),0)</f>
        <v>0</v>
      </c>
      <c r="U152" s="68">
        <f t="shared" ref="U152:U215" si="49">ROUNDDOWN(MIN(T152,$U$21),-3)</f>
        <v>0</v>
      </c>
      <c r="V152" s="67">
        <f>IFERROR(SUMIF(血液浄化装置!$C$30:$C$74,B152,血液浄化装置!$K$30:$K$74)*((血液浄化装置!$H$3-血液浄化装置!$I$3)/血液浄化装置!$H$3),0)</f>
        <v>0</v>
      </c>
      <c r="W152" s="68">
        <f t="shared" ref="W152:W215" si="50">ROUNDDOWN(MIN(V152,$W$21),-3)</f>
        <v>0</v>
      </c>
      <c r="X152" s="67">
        <f>IFERROR(SUMIF(気管支鏡!$C$30:$C$74,B152,気管支鏡!$K$30:$K$74)*((気管支鏡!$H$3-気管支鏡!$I$3)/気管支鏡!$H$3),0)</f>
        <v>0</v>
      </c>
      <c r="Y152" s="68">
        <f t="shared" si="36"/>
        <v>0</v>
      </c>
      <c r="Z152" s="67">
        <f>IFERROR(SUMIF(CT撮影装置!$C$30:$C$74,B152,CT撮影装置!$K$30:$K$74)*((CT撮影装置!$H$3-CT撮影装置!$I$3)/CT撮影装置!$H$3),0)</f>
        <v>0</v>
      </c>
      <c r="AA152" s="68">
        <f t="shared" ref="AA152:AA215" si="51">ROUNDDOWN(MIN(Z152,$AA$21),-3)</f>
        <v>0</v>
      </c>
      <c r="AB152" s="67">
        <f>IFERROR(SUMIF(生体情報モニタ!$C$30:$C$74,B152,生体情報モニタ!$K$30:$K$74)*((生体情報モニタ!$H$3-生体情報モニタ!$I$3)/生体情報モニタ!$H$3),0)</f>
        <v>0</v>
      </c>
      <c r="AC152" s="68">
        <f t="shared" si="37"/>
        <v>0</v>
      </c>
      <c r="AD152" s="67">
        <f>IFERROR(SUMIF(分娩監視装置!$C$30:$C$74,B152,分娩監視装置!$K$30:$K$74)*((分娩監視装置!$H$3-分娩監視装置!$I$3)/分娩監視装置!$H$3),0)</f>
        <v>0</v>
      </c>
      <c r="AE152" s="68">
        <f t="shared" ref="AE152:AE215" si="52">ROUNDDOWN(MIN(AD152,$AE$21),-3)</f>
        <v>0</v>
      </c>
      <c r="AF152" s="67">
        <f>IFERROR(SUMIF(新生児モニタ!$C$30:$C$74,B152,新生児モニタ!$K$30:$K$74)*((新生児モニタ!$H$3-新生児モニタ!$I$3)/新生児モニタ!$H$3),0)</f>
        <v>0</v>
      </c>
      <c r="AG152" s="68">
        <f t="shared" ref="AG152:AG215" si="53">ROUNDDOWN(MIN(AF152,$AG$21),-3)</f>
        <v>0</v>
      </c>
    </row>
    <row r="153" spans="2:33">
      <c r="B153" s="64" t="s">
        <v>800</v>
      </c>
      <c r="C153" s="67">
        <f>IFERROR(SUMIF(初度設備!$C$30:$C$74,B153,初度設備!$N$30:$N$74)*((初度設備!$H$3-初度設備!$I$3)/初度設備!$H$3),0)</f>
        <v>0</v>
      </c>
      <c r="D153" s="68">
        <f t="shared" si="38"/>
        <v>0</v>
      </c>
      <c r="E153" s="67">
        <f>IFERROR(SUMIF(人工呼吸器!$C$30:$C$74,B153,人工呼吸器!$N$30:$N$74)*((人工呼吸器!$H$3-人工呼吸器!$I$3)/人工呼吸器!$H$3),0)</f>
        <v>0</v>
      </c>
      <c r="F153" s="68">
        <f t="shared" si="39"/>
        <v>0</v>
      </c>
      <c r="G153" s="68">
        <f t="shared" si="40"/>
        <v>0</v>
      </c>
      <c r="H153" s="68">
        <f t="shared" si="41"/>
        <v>0</v>
      </c>
      <c r="I153" s="67">
        <f>IFERROR(SUMIF(簡易陰圧装置!$C$30:$C$74,B153,簡易陰圧装置!$N$30:$N$74)*((簡易陰圧装置!$H$3-簡易陰圧装置!$I$3)/簡易陰圧装置!$H$3),0)</f>
        <v>0</v>
      </c>
      <c r="J153" s="68">
        <f t="shared" si="42"/>
        <v>0</v>
      </c>
      <c r="K153" s="67">
        <f>IFERROR(SUMIF(#REF!,B153,#REF!)*((#REF!-#REF!)/#REF!),0)</f>
        <v>0</v>
      </c>
      <c r="L153" s="68">
        <f t="shared" si="43"/>
        <v>0</v>
      </c>
      <c r="M153" s="67">
        <f>IFERROR(SUMIF(体外式膜型人工肺!$C$30:$C$74,B153,体外式膜型人工肺!$N$30:$N$74)*((体外式膜型人工肺!$H$3-体外式膜型人工肺!$I$3)/体外式膜型人工肺!$H$3),0)</f>
        <v>0</v>
      </c>
      <c r="N153" s="68">
        <f t="shared" si="44"/>
        <v>0</v>
      </c>
      <c r="O153" s="68">
        <f t="shared" si="45"/>
        <v>0</v>
      </c>
      <c r="P153" s="68">
        <f t="shared" si="46"/>
        <v>0</v>
      </c>
      <c r="Q153" s="67">
        <f>IFERROR(SUMIF(紫外線照射装置!$C$30:$C$74,B153,紫外線照射装置!$N$30:$N$74)*((紫外線照射装置!$H$3-紫外線照射装置!$I$3)/紫外線照射装置!$H$3),0)</f>
        <v>0</v>
      </c>
      <c r="R153" s="68">
        <f t="shared" si="47"/>
        <v>0</v>
      </c>
      <c r="S153" s="101">
        <f t="shared" si="48"/>
        <v>0</v>
      </c>
      <c r="T153" s="67">
        <f>IFERROR(SUMIF(超音波画像診断装置!$C$30:$C$74,B153,超音波画像診断装置!$K$30:$K$74)*((超音波画像診断装置!$H$3-超音波画像診断装置!$I$3)/超音波画像診断装置!$H$3),0)</f>
        <v>0</v>
      </c>
      <c r="U153" s="68">
        <f t="shared" si="49"/>
        <v>0</v>
      </c>
      <c r="V153" s="67">
        <f>IFERROR(SUMIF(血液浄化装置!$C$30:$C$74,B153,血液浄化装置!$K$30:$K$74)*((血液浄化装置!$H$3-血液浄化装置!$I$3)/血液浄化装置!$H$3),0)</f>
        <v>0</v>
      </c>
      <c r="W153" s="68">
        <f t="shared" si="50"/>
        <v>0</v>
      </c>
      <c r="X153" s="67">
        <f>IFERROR(SUMIF(気管支鏡!$C$30:$C$74,B153,気管支鏡!$K$30:$K$74)*((気管支鏡!$H$3-気管支鏡!$I$3)/気管支鏡!$H$3),0)</f>
        <v>0</v>
      </c>
      <c r="Y153" s="68">
        <f t="shared" si="36"/>
        <v>0</v>
      </c>
      <c r="Z153" s="67">
        <f>IFERROR(SUMIF(CT撮影装置!$C$30:$C$74,B153,CT撮影装置!$K$30:$K$74)*((CT撮影装置!$H$3-CT撮影装置!$I$3)/CT撮影装置!$H$3),0)</f>
        <v>0</v>
      </c>
      <c r="AA153" s="68">
        <f t="shared" si="51"/>
        <v>0</v>
      </c>
      <c r="AB153" s="67">
        <f>IFERROR(SUMIF(生体情報モニタ!$C$30:$C$74,B153,生体情報モニタ!$K$30:$K$74)*((生体情報モニタ!$H$3-生体情報モニタ!$I$3)/生体情報モニタ!$H$3),0)</f>
        <v>0</v>
      </c>
      <c r="AC153" s="68">
        <f t="shared" si="37"/>
        <v>0</v>
      </c>
      <c r="AD153" s="67">
        <f>IFERROR(SUMIF(分娩監視装置!$C$30:$C$74,B153,分娩監視装置!$K$30:$K$74)*((分娩監視装置!$H$3-分娩監視装置!$I$3)/分娩監視装置!$H$3),0)</f>
        <v>0</v>
      </c>
      <c r="AE153" s="68">
        <f t="shared" si="52"/>
        <v>0</v>
      </c>
      <c r="AF153" s="67">
        <f>IFERROR(SUMIF(新生児モニタ!$C$30:$C$74,B153,新生児モニタ!$K$30:$K$74)*((新生児モニタ!$H$3-新生児モニタ!$I$3)/新生児モニタ!$H$3),0)</f>
        <v>0</v>
      </c>
      <c r="AG153" s="68">
        <f t="shared" si="53"/>
        <v>0</v>
      </c>
    </row>
    <row r="154" spans="2:33">
      <c r="B154" s="64" t="s">
        <v>801</v>
      </c>
      <c r="C154" s="67">
        <f>IFERROR(SUMIF(初度設備!$C$30:$C$74,B154,初度設備!$N$30:$N$74)*((初度設備!$H$3-初度設備!$I$3)/初度設備!$H$3),0)</f>
        <v>0</v>
      </c>
      <c r="D154" s="68">
        <f t="shared" si="38"/>
        <v>0</v>
      </c>
      <c r="E154" s="67">
        <f>IFERROR(SUMIF(人工呼吸器!$C$30:$C$74,B154,人工呼吸器!$N$30:$N$74)*((人工呼吸器!$H$3-人工呼吸器!$I$3)/人工呼吸器!$H$3),0)</f>
        <v>0</v>
      </c>
      <c r="F154" s="68">
        <f t="shared" si="39"/>
        <v>0</v>
      </c>
      <c r="G154" s="68">
        <f t="shared" si="40"/>
        <v>0</v>
      </c>
      <c r="H154" s="68">
        <f t="shared" si="41"/>
        <v>0</v>
      </c>
      <c r="I154" s="67">
        <f>IFERROR(SUMIF(簡易陰圧装置!$C$30:$C$74,B154,簡易陰圧装置!$N$30:$N$74)*((簡易陰圧装置!$H$3-簡易陰圧装置!$I$3)/簡易陰圧装置!$H$3),0)</f>
        <v>0</v>
      </c>
      <c r="J154" s="68">
        <f t="shared" si="42"/>
        <v>0</v>
      </c>
      <c r="K154" s="67">
        <f>IFERROR(SUMIF(#REF!,B154,#REF!)*((#REF!-#REF!)/#REF!),0)</f>
        <v>0</v>
      </c>
      <c r="L154" s="68">
        <f t="shared" si="43"/>
        <v>0</v>
      </c>
      <c r="M154" s="67">
        <f>IFERROR(SUMIF(体外式膜型人工肺!$C$30:$C$74,B154,体外式膜型人工肺!$N$30:$N$74)*((体外式膜型人工肺!$H$3-体外式膜型人工肺!$I$3)/体外式膜型人工肺!$H$3),0)</f>
        <v>0</v>
      </c>
      <c r="N154" s="68">
        <f t="shared" si="44"/>
        <v>0</v>
      </c>
      <c r="O154" s="68">
        <f t="shared" si="45"/>
        <v>0</v>
      </c>
      <c r="P154" s="68">
        <f t="shared" si="46"/>
        <v>0</v>
      </c>
      <c r="Q154" s="67">
        <f>IFERROR(SUMIF(紫外線照射装置!$C$30:$C$74,B154,紫外線照射装置!$N$30:$N$74)*((紫外線照射装置!$H$3-紫外線照射装置!$I$3)/紫外線照射装置!$H$3),0)</f>
        <v>0</v>
      </c>
      <c r="R154" s="68">
        <f t="shared" si="47"/>
        <v>0</v>
      </c>
      <c r="S154" s="101">
        <f t="shared" si="48"/>
        <v>0</v>
      </c>
      <c r="T154" s="67">
        <f>IFERROR(SUMIF(超音波画像診断装置!$C$30:$C$74,B154,超音波画像診断装置!$K$30:$K$74)*((超音波画像診断装置!$H$3-超音波画像診断装置!$I$3)/超音波画像診断装置!$H$3),0)</f>
        <v>0</v>
      </c>
      <c r="U154" s="68">
        <f t="shared" si="49"/>
        <v>0</v>
      </c>
      <c r="V154" s="67">
        <f>IFERROR(SUMIF(血液浄化装置!$C$30:$C$74,B154,血液浄化装置!$K$30:$K$74)*((血液浄化装置!$H$3-血液浄化装置!$I$3)/血液浄化装置!$H$3),0)</f>
        <v>0</v>
      </c>
      <c r="W154" s="68">
        <f t="shared" si="50"/>
        <v>0</v>
      </c>
      <c r="X154" s="67">
        <f>IFERROR(SUMIF(気管支鏡!$C$30:$C$74,B154,気管支鏡!$K$30:$K$74)*((気管支鏡!$H$3-気管支鏡!$I$3)/気管支鏡!$H$3),0)</f>
        <v>0</v>
      </c>
      <c r="Y154" s="68">
        <f t="shared" si="36"/>
        <v>0</v>
      </c>
      <c r="Z154" s="67">
        <f>IFERROR(SUMIF(CT撮影装置!$C$30:$C$74,B154,CT撮影装置!$K$30:$K$74)*((CT撮影装置!$H$3-CT撮影装置!$I$3)/CT撮影装置!$H$3),0)</f>
        <v>0</v>
      </c>
      <c r="AA154" s="68">
        <f t="shared" si="51"/>
        <v>0</v>
      </c>
      <c r="AB154" s="67">
        <f>IFERROR(SUMIF(生体情報モニタ!$C$30:$C$74,B154,生体情報モニタ!$K$30:$K$74)*((生体情報モニタ!$H$3-生体情報モニタ!$I$3)/生体情報モニタ!$H$3),0)</f>
        <v>0</v>
      </c>
      <c r="AC154" s="68">
        <f t="shared" si="37"/>
        <v>0</v>
      </c>
      <c r="AD154" s="67">
        <f>IFERROR(SUMIF(分娩監視装置!$C$30:$C$74,B154,分娩監視装置!$K$30:$K$74)*((分娩監視装置!$H$3-分娩監視装置!$I$3)/分娩監視装置!$H$3),0)</f>
        <v>0</v>
      </c>
      <c r="AE154" s="68">
        <f t="shared" si="52"/>
        <v>0</v>
      </c>
      <c r="AF154" s="67">
        <f>IFERROR(SUMIF(新生児モニタ!$C$30:$C$74,B154,新生児モニタ!$K$30:$K$74)*((新生児モニタ!$H$3-新生児モニタ!$I$3)/新生児モニタ!$H$3),0)</f>
        <v>0</v>
      </c>
      <c r="AG154" s="68">
        <f t="shared" si="53"/>
        <v>0</v>
      </c>
    </row>
    <row r="155" spans="2:33">
      <c r="B155" s="64" t="s">
        <v>802</v>
      </c>
      <c r="C155" s="67">
        <f>IFERROR(SUMIF(初度設備!$C$30:$C$74,B155,初度設備!$N$30:$N$74)*((初度設備!$H$3-初度設備!$I$3)/初度設備!$H$3),0)</f>
        <v>0</v>
      </c>
      <c r="D155" s="68">
        <f t="shared" si="38"/>
        <v>0</v>
      </c>
      <c r="E155" s="67">
        <f>IFERROR(SUMIF(人工呼吸器!$C$30:$C$74,B155,人工呼吸器!$N$30:$N$74)*((人工呼吸器!$H$3-人工呼吸器!$I$3)/人工呼吸器!$H$3),0)</f>
        <v>0</v>
      </c>
      <c r="F155" s="68">
        <f t="shared" si="39"/>
        <v>0</v>
      </c>
      <c r="G155" s="68">
        <f t="shared" si="40"/>
        <v>0</v>
      </c>
      <c r="H155" s="68">
        <f t="shared" si="41"/>
        <v>0</v>
      </c>
      <c r="I155" s="67">
        <f>IFERROR(SUMIF(簡易陰圧装置!$C$30:$C$74,B155,簡易陰圧装置!$N$30:$N$74)*((簡易陰圧装置!$H$3-簡易陰圧装置!$I$3)/簡易陰圧装置!$H$3),0)</f>
        <v>0</v>
      </c>
      <c r="J155" s="68">
        <f t="shared" si="42"/>
        <v>0</v>
      </c>
      <c r="K155" s="67">
        <f>IFERROR(SUMIF(#REF!,B155,#REF!)*((#REF!-#REF!)/#REF!),0)</f>
        <v>0</v>
      </c>
      <c r="L155" s="68">
        <f t="shared" si="43"/>
        <v>0</v>
      </c>
      <c r="M155" s="67">
        <f>IFERROR(SUMIF(体外式膜型人工肺!$C$30:$C$74,B155,体外式膜型人工肺!$N$30:$N$74)*((体外式膜型人工肺!$H$3-体外式膜型人工肺!$I$3)/体外式膜型人工肺!$H$3),0)</f>
        <v>0</v>
      </c>
      <c r="N155" s="68">
        <f t="shared" si="44"/>
        <v>0</v>
      </c>
      <c r="O155" s="68">
        <f t="shared" si="45"/>
        <v>0</v>
      </c>
      <c r="P155" s="68">
        <f t="shared" si="46"/>
        <v>0</v>
      </c>
      <c r="Q155" s="67">
        <f>IFERROR(SUMIF(紫外線照射装置!$C$30:$C$74,B155,紫外線照射装置!$N$30:$N$74)*((紫外線照射装置!$H$3-紫外線照射装置!$I$3)/紫外線照射装置!$H$3),0)</f>
        <v>0</v>
      </c>
      <c r="R155" s="68">
        <f t="shared" si="47"/>
        <v>0</v>
      </c>
      <c r="S155" s="101">
        <f t="shared" si="48"/>
        <v>0</v>
      </c>
      <c r="T155" s="67">
        <f>IFERROR(SUMIF(超音波画像診断装置!$C$30:$C$74,B155,超音波画像診断装置!$K$30:$K$74)*((超音波画像診断装置!$H$3-超音波画像診断装置!$I$3)/超音波画像診断装置!$H$3),0)</f>
        <v>0</v>
      </c>
      <c r="U155" s="68">
        <f t="shared" si="49"/>
        <v>0</v>
      </c>
      <c r="V155" s="67">
        <f>IFERROR(SUMIF(血液浄化装置!$C$30:$C$74,B155,血液浄化装置!$K$30:$K$74)*((血液浄化装置!$H$3-血液浄化装置!$I$3)/血液浄化装置!$H$3),0)</f>
        <v>0</v>
      </c>
      <c r="W155" s="68">
        <f t="shared" si="50"/>
        <v>0</v>
      </c>
      <c r="X155" s="67">
        <f>IFERROR(SUMIF(気管支鏡!$C$30:$C$74,B155,気管支鏡!$K$30:$K$74)*((気管支鏡!$H$3-気管支鏡!$I$3)/気管支鏡!$H$3),0)</f>
        <v>0</v>
      </c>
      <c r="Y155" s="68">
        <f t="shared" si="36"/>
        <v>0</v>
      </c>
      <c r="Z155" s="67">
        <f>IFERROR(SUMIF(CT撮影装置!$C$30:$C$74,B155,CT撮影装置!$K$30:$K$74)*((CT撮影装置!$H$3-CT撮影装置!$I$3)/CT撮影装置!$H$3),0)</f>
        <v>0</v>
      </c>
      <c r="AA155" s="68">
        <f t="shared" si="51"/>
        <v>0</v>
      </c>
      <c r="AB155" s="67">
        <f>IFERROR(SUMIF(生体情報モニタ!$C$30:$C$74,B155,生体情報モニタ!$K$30:$K$74)*((生体情報モニタ!$H$3-生体情報モニタ!$I$3)/生体情報モニタ!$H$3),0)</f>
        <v>0</v>
      </c>
      <c r="AC155" s="68">
        <f t="shared" si="37"/>
        <v>0</v>
      </c>
      <c r="AD155" s="67">
        <f>IFERROR(SUMIF(分娩監視装置!$C$30:$C$74,B155,分娩監視装置!$K$30:$K$74)*((分娩監視装置!$H$3-分娩監視装置!$I$3)/分娩監視装置!$H$3),0)</f>
        <v>0</v>
      </c>
      <c r="AE155" s="68">
        <f t="shared" si="52"/>
        <v>0</v>
      </c>
      <c r="AF155" s="67">
        <f>IFERROR(SUMIF(新生児モニタ!$C$30:$C$74,B155,新生児モニタ!$K$30:$K$74)*((新生児モニタ!$H$3-新生児モニタ!$I$3)/新生児モニタ!$H$3),0)</f>
        <v>0</v>
      </c>
      <c r="AG155" s="68">
        <f t="shared" si="53"/>
        <v>0</v>
      </c>
    </row>
    <row r="156" spans="2:33">
      <c r="B156" s="64" t="s">
        <v>803</v>
      </c>
      <c r="C156" s="67">
        <f>IFERROR(SUMIF(初度設備!$C$30:$C$74,B156,初度設備!$N$30:$N$74)*((初度設備!$H$3-初度設備!$I$3)/初度設備!$H$3),0)</f>
        <v>0</v>
      </c>
      <c r="D156" s="68">
        <f t="shared" si="38"/>
        <v>0</v>
      </c>
      <c r="E156" s="67">
        <f>IFERROR(SUMIF(人工呼吸器!$C$30:$C$74,B156,人工呼吸器!$N$30:$N$74)*((人工呼吸器!$H$3-人工呼吸器!$I$3)/人工呼吸器!$H$3),0)</f>
        <v>0</v>
      </c>
      <c r="F156" s="68">
        <f t="shared" si="39"/>
        <v>0</v>
      </c>
      <c r="G156" s="68">
        <f t="shared" si="40"/>
        <v>0</v>
      </c>
      <c r="H156" s="68">
        <f t="shared" si="41"/>
        <v>0</v>
      </c>
      <c r="I156" s="67">
        <f>IFERROR(SUMIF(簡易陰圧装置!$C$30:$C$74,B156,簡易陰圧装置!$N$30:$N$74)*((簡易陰圧装置!$H$3-簡易陰圧装置!$I$3)/簡易陰圧装置!$H$3),0)</f>
        <v>0</v>
      </c>
      <c r="J156" s="68">
        <f t="shared" si="42"/>
        <v>0</v>
      </c>
      <c r="K156" s="67">
        <f>IFERROR(SUMIF(#REF!,B156,#REF!)*((#REF!-#REF!)/#REF!),0)</f>
        <v>0</v>
      </c>
      <c r="L156" s="68">
        <f t="shared" si="43"/>
        <v>0</v>
      </c>
      <c r="M156" s="67">
        <f>IFERROR(SUMIF(体外式膜型人工肺!$C$30:$C$74,B156,体外式膜型人工肺!$N$30:$N$74)*((体外式膜型人工肺!$H$3-体外式膜型人工肺!$I$3)/体外式膜型人工肺!$H$3),0)</f>
        <v>0</v>
      </c>
      <c r="N156" s="68">
        <f t="shared" si="44"/>
        <v>0</v>
      </c>
      <c r="O156" s="68">
        <f t="shared" si="45"/>
        <v>0</v>
      </c>
      <c r="P156" s="68">
        <f t="shared" si="46"/>
        <v>0</v>
      </c>
      <c r="Q156" s="67">
        <f>IFERROR(SUMIF(紫外線照射装置!$C$30:$C$74,B156,紫外線照射装置!$N$30:$N$74)*((紫外線照射装置!$H$3-紫外線照射装置!$I$3)/紫外線照射装置!$H$3),0)</f>
        <v>0</v>
      </c>
      <c r="R156" s="68">
        <f t="shared" si="47"/>
        <v>0</v>
      </c>
      <c r="S156" s="101">
        <f t="shared" si="48"/>
        <v>0</v>
      </c>
      <c r="T156" s="67">
        <f>IFERROR(SUMIF(超音波画像診断装置!$C$30:$C$74,B156,超音波画像診断装置!$K$30:$K$74)*((超音波画像診断装置!$H$3-超音波画像診断装置!$I$3)/超音波画像診断装置!$H$3),0)</f>
        <v>0</v>
      </c>
      <c r="U156" s="68">
        <f t="shared" si="49"/>
        <v>0</v>
      </c>
      <c r="V156" s="67">
        <f>IFERROR(SUMIF(血液浄化装置!$C$30:$C$74,B156,血液浄化装置!$K$30:$K$74)*((血液浄化装置!$H$3-血液浄化装置!$I$3)/血液浄化装置!$H$3),0)</f>
        <v>0</v>
      </c>
      <c r="W156" s="68">
        <f t="shared" si="50"/>
        <v>0</v>
      </c>
      <c r="X156" s="67">
        <f>IFERROR(SUMIF(気管支鏡!$C$30:$C$74,B156,気管支鏡!$K$30:$K$74)*((気管支鏡!$H$3-気管支鏡!$I$3)/気管支鏡!$H$3),0)</f>
        <v>0</v>
      </c>
      <c r="Y156" s="68">
        <f t="shared" si="36"/>
        <v>0</v>
      </c>
      <c r="Z156" s="67">
        <f>IFERROR(SUMIF(CT撮影装置!$C$30:$C$74,B156,CT撮影装置!$K$30:$K$74)*((CT撮影装置!$H$3-CT撮影装置!$I$3)/CT撮影装置!$H$3),0)</f>
        <v>0</v>
      </c>
      <c r="AA156" s="68">
        <f t="shared" si="51"/>
        <v>0</v>
      </c>
      <c r="AB156" s="67">
        <f>IFERROR(SUMIF(生体情報モニタ!$C$30:$C$74,B156,生体情報モニタ!$K$30:$K$74)*((生体情報モニタ!$H$3-生体情報モニタ!$I$3)/生体情報モニタ!$H$3),0)</f>
        <v>0</v>
      </c>
      <c r="AC156" s="68">
        <f t="shared" si="37"/>
        <v>0</v>
      </c>
      <c r="AD156" s="67">
        <f>IFERROR(SUMIF(分娩監視装置!$C$30:$C$74,B156,分娩監視装置!$K$30:$K$74)*((分娩監視装置!$H$3-分娩監視装置!$I$3)/分娩監視装置!$H$3),0)</f>
        <v>0</v>
      </c>
      <c r="AE156" s="68">
        <f t="shared" si="52"/>
        <v>0</v>
      </c>
      <c r="AF156" s="67">
        <f>IFERROR(SUMIF(新生児モニタ!$C$30:$C$74,B156,新生児モニタ!$K$30:$K$74)*((新生児モニタ!$H$3-新生児モニタ!$I$3)/新生児モニタ!$H$3),0)</f>
        <v>0</v>
      </c>
      <c r="AG156" s="68">
        <f t="shared" si="53"/>
        <v>0</v>
      </c>
    </row>
    <row r="157" spans="2:33">
      <c r="B157" s="64" t="s">
        <v>804</v>
      </c>
      <c r="C157" s="67">
        <f>IFERROR(SUMIF(初度設備!$C$30:$C$74,B157,初度設備!$N$30:$N$74)*((初度設備!$H$3-初度設備!$I$3)/初度設備!$H$3),0)</f>
        <v>0</v>
      </c>
      <c r="D157" s="68">
        <f t="shared" si="38"/>
        <v>0</v>
      </c>
      <c r="E157" s="67">
        <f>IFERROR(SUMIF(人工呼吸器!$C$30:$C$74,B157,人工呼吸器!$N$30:$N$74)*((人工呼吸器!$H$3-人工呼吸器!$I$3)/人工呼吸器!$H$3),0)</f>
        <v>0</v>
      </c>
      <c r="F157" s="68">
        <f t="shared" si="39"/>
        <v>0</v>
      </c>
      <c r="G157" s="68">
        <f t="shared" si="40"/>
        <v>0</v>
      </c>
      <c r="H157" s="68">
        <f t="shared" si="41"/>
        <v>0</v>
      </c>
      <c r="I157" s="67">
        <f>IFERROR(SUMIF(簡易陰圧装置!$C$30:$C$74,B157,簡易陰圧装置!$N$30:$N$74)*((簡易陰圧装置!$H$3-簡易陰圧装置!$I$3)/簡易陰圧装置!$H$3),0)</f>
        <v>0</v>
      </c>
      <c r="J157" s="68">
        <f t="shared" si="42"/>
        <v>0</v>
      </c>
      <c r="K157" s="67">
        <f>IFERROR(SUMIF(#REF!,B157,#REF!)*((#REF!-#REF!)/#REF!),0)</f>
        <v>0</v>
      </c>
      <c r="L157" s="68">
        <f t="shared" si="43"/>
        <v>0</v>
      </c>
      <c r="M157" s="67">
        <f>IFERROR(SUMIF(体外式膜型人工肺!$C$30:$C$74,B157,体外式膜型人工肺!$N$30:$N$74)*((体外式膜型人工肺!$H$3-体外式膜型人工肺!$I$3)/体外式膜型人工肺!$H$3),0)</f>
        <v>0</v>
      </c>
      <c r="N157" s="68">
        <f t="shared" si="44"/>
        <v>0</v>
      </c>
      <c r="O157" s="68">
        <f t="shared" si="45"/>
        <v>0</v>
      </c>
      <c r="P157" s="68">
        <f t="shared" si="46"/>
        <v>0</v>
      </c>
      <c r="Q157" s="67">
        <f>IFERROR(SUMIF(紫外線照射装置!$C$30:$C$74,B157,紫外線照射装置!$N$30:$N$74)*((紫外線照射装置!$H$3-紫外線照射装置!$I$3)/紫外線照射装置!$H$3),0)</f>
        <v>0</v>
      </c>
      <c r="R157" s="68">
        <f t="shared" si="47"/>
        <v>0</v>
      </c>
      <c r="S157" s="101">
        <f t="shared" si="48"/>
        <v>0</v>
      </c>
      <c r="T157" s="67">
        <f>IFERROR(SUMIF(超音波画像診断装置!$C$30:$C$74,B157,超音波画像診断装置!$K$30:$K$74)*((超音波画像診断装置!$H$3-超音波画像診断装置!$I$3)/超音波画像診断装置!$H$3),0)</f>
        <v>0</v>
      </c>
      <c r="U157" s="68">
        <f t="shared" si="49"/>
        <v>0</v>
      </c>
      <c r="V157" s="67">
        <f>IFERROR(SUMIF(血液浄化装置!$C$30:$C$74,B157,血液浄化装置!$K$30:$K$74)*((血液浄化装置!$H$3-血液浄化装置!$I$3)/血液浄化装置!$H$3),0)</f>
        <v>0</v>
      </c>
      <c r="W157" s="68">
        <f t="shared" si="50"/>
        <v>0</v>
      </c>
      <c r="X157" s="67">
        <f>IFERROR(SUMIF(気管支鏡!$C$30:$C$74,B157,気管支鏡!$K$30:$K$74)*((気管支鏡!$H$3-気管支鏡!$I$3)/気管支鏡!$H$3),0)</f>
        <v>0</v>
      </c>
      <c r="Y157" s="68">
        <f t="shared" si="36"/>
        <v>0</v>
      </c>
      <c r="Z157" s="67">
        <f>IFERROR(SUMIF(CT撮影装置!$C$30:$C$74,B157,CT撮影装置!$K$30:$K$74)*((CT撮影装置!$H$3-CT撮影装置!$I$3)/CT撮影装置!$H$3),0)</f>
        <v>0</v>
      </c>
      <c r="AA157" s="68">
        <f t="shared" si="51"/>
        <v>0</v>
      </c>
      <c r="AB157" s="67">
        <f>IFERROR(SUMIF(生体情報モニタ!$C$30:$C$74,B157,生体情報モニタ!$K$30:$K$74)*((生体情報モニタ!$H$3-生体情報モニタ!$I$3)/生体情報モニタ!$H$3),0)</f>
        <v>0</v>
      </c>
      <c r="AC157" s="68">
        <f t="shared" si="37"/>
        <v>0</v>
      </c>
      <c r="AD157" s="67">
        <f>IFERROR(SUMIF(分娩監視装置!$C$30:$C$74,B157,分娩監視装置!$K$30:$K$74)*((分娩監視装置!$H$3-分娩監視装置!$I$3)/分娩監視装置!$H$3),0)</f>
        <v>0</v>
      </c>
      <c r="AE157" s="68">
        <f t="shared" si="52"/>
        <v>0</v>
      </c>
      <c r="AF157" s="67">
        <f>IFERROR(SUMIF(新生児モニタ!$C$30:$C$74,B157,新生児モニタ!$K$30:$K$74)*((新生児モニタ!$H$3-新生児モニタ!$I$3)/新生児モニタ!$H$3),0)</f>
        <v>0</v>
      </c>
      <c r="AG157" s="68">
        <f t="shared" si="53"/>
        <v>0</v>
      </c>
    </row>
    <row r="158" spans="2:33">
      <c r="B158" s="64" t="s">
        <v>805</v>
      </c>
      <c r="C158" s="67">
        <f>IFERROR(SUMIF(初度設備!$C$30:$C$74,B158,初度設備!$N$30:$N$74)*((初度設備!$H$3-初度設備!$I$3)/初度設備!$H$3),0)</f>
        <v>0</v>
      </c>
      <c r="D158" s="68">
        <f t="shared" si="38"/>
        <v>0</v>
      </c>
      <c r="E158" s="67">
        <f>IFERROR(SUMIF(人工呼吸器!$C$30:$C$74,B158,人工呼吸器!$N$30:$N$74)*((人工呼吸器!$H$3-人工呼吸器!$I$3)/人工呼吸器!$H$3),0)</f>
        <v>0</v>
      </c>
      <c r="F158" s="68">
        <f t="shared" si="39"/>
        <v>0</v>
      </c>
      <c r="G158" s="68">
        <f t="shared" si="40"/>
        <v>0</v>
      </c>
      <c r="H158" s="68">
        <f t="shared" si="41"/>
        <v>0</v>
      </c>
      <c r="I158" s="67">
        <f>IFERROR(SUMIF(簡易陰圧装置!$C$30:$C$74,B158,簡易陰圧装置!$N$30:$N$74)*((簡易陰圧装置!$H$3-簡易陰圧装置!$I$3)/簡易陰圧装置!$H$3),0)</f>
        <v>0</v>
      </c>
      <c r="J158" s="68">
        <f t="shared" si="42"/>
        <v>0</v>
      </c>
      <c r="K158" s="67">
        <f>IFERROR(SUMIF(#REF!,B158,#REF!)*((#REF!-#REF!)/#REF!),0)</f>
        <v>0</v>
      </c>
      <c r="L158" s="68">
        <f t="shared" si="43"/>
        <v>0</v>
      </c>
      <c r="M158" s="67">
        <f>IFERROR(SUMIF(体外式膜型人工肺!$C$30:$C$74,B158,体外式膜型人工肺!$N$30:$N$74)*((体外式膜型人工肺!$H$3-体外式膜型人工肺!$I$3)/体外式膜型人工肺!$H$3),0)</f>
        <v>0</v>
      </c>
      <c r="N158" s="68">
        <f t="shared" si="44"/>
        <v>0</v>
      </c>
      <c r="O158" s="68">
        <f t="shared" si="45"/>
        <v>0</v>
      </c>
      <c r="P158" s="68">
        <f t="shared" si="46"/>
        <v>0</v>
      </c>
      <c r="Q158" s="67">
        <f>IFERROR(SUMIF(紫外線照射装置!$C$30:$C$74,B158,紫外線照射装置!$N$30:$N$74)*((紫外線照射装置!$H$3-紫外線照射装置!$I$3)/紫外線照射装置!$H$3),0)</f>
        <v>0</v>
      </c>
      <c r="R158" s="68">
        <f t="shared" si="47"/>
        <v>0</v>
      </c>
      <c r="S158" s="101">
        <f t="shared" si="48"/>
        <v>0</v>
      </c>
      <c r="T158" s="67">
        <f>IFERROR(SUMIF(超音波画像診断装置!$C$30:$C$74,B158,超音波画像診断装置!$K$30:$K$74)*((超音波画像診断装置!$H$3-超音波画像診断装置!$I$3)/超音波画像診断装置!$H$3),0)</f>
        <v>0</v>
      </c>
      <c r="U158" s="68">
        <f t="shared" si="49"/>
        <v>0</v>
      </c>
      <c r="V158" s="67">
        <f>IFERROR(SUMIF(血液浄化装置!$C$30:$C$74,B158,血液浄化装置!$K$30:$K$74)*((血液浄化装置!$H$3-血液浄化装置!$I$3)/血液浄化装置!$H$3),0)</f>
        <v>0</v>
      </c>
      <c r="W158" s="68">
        <f t="shared" si="50"/>
        <v>0</v>
      </c>
      <c r="X158" s="67">
        <f>IFERROR(SUMIF(気管支鏡!$C$30:$C$74,B158,気管支鏡!$K$30:$K$74)*((気管支鏡!$H$3-気管支鏡!$I$3)/気管支鏡!$H$3),0)</f>
        <v>0</v>
      </c>
      <c r="Y158" s="68">
        <f t="shared" si="36"/>
        <v>0</v>
      </c>
      <c r="Z158" s="67">
        <f>IFERROR(SUMIF(CT撮影装置!$C$30:$C$74,B158,CT撮影装置!$K$30:$K$74)*((CT撮影装置!$H$3-CT撮影装置!$I$3)/CT撮影装置!$H$3),0)</f>
        <v>0</v>
      </c>
      <c r="AA158" s="68">
        <f t="shared" si="51"/>
        <v>0</v>
      </c>
      <c r="AB158" s="67">
        <f>IFERROR(SUMIF(生体情報モニタ!$C$30:$C$74,B158,生体情報モニタ!$K$30:$K$74)*((生体情報モニタ!$H$3-生体情報モニタ!$I$3)/生体情報モニタ!$H$3),0)</f>
        <v>0</v>
      </c>
      <c r="AC158" s="68">
        <f t="shared" si="37"/>
        <v>0</v>
      </c>
      <c r="AD158" s="67">
        <f>IFERROR(SUMIF(分娩監視装置!$C$30:$C$74,B158,分娩監視装置!$K$30:$K$74)*((分娩監視装置!$H$3-分娩監視装置!$I$3)/分娩監視装置!$H$3),0)</f>
        <v>0</v>
      </c>
      <c r="AE158" s="68">
        <f t="shared" si="52"/>
        <v>0</v>
      </c>
      <c r="AF158" s="67">
        <f>IFERROR(SUMIF(新生児モニタ!$C$30:$C$74,B158,新生児モニタ!$K$30:$K$74)*((新生児モニタ!$H$3-新生児モニタ!$I$3)/新生児モニタ!$H$3),0)</f>
        <v>0</v>
      </c>
      <c r="AG158" s="68">
        <f t="shared" si="53"/>
        <v>0</v>
      </c>
    </row>
    <row r="159" spans="2:33">
      <c r="B159" s="64" t="s">
        <v>806</v>
      </c>
      <c r="C159" s="67">
        <f>IFERROR(SUMIF(初度設備!$C$30:$C$74,B159,初度設備!$N$30:$N$74)*((初度設備!$H$3-初度設備!$I$3)/初度設備!$H$3),0)</f>
        <v>0</v>
      </c>
      <c r="D159" s="68">
        <f t="shared" si="38"/>
        <v>0</v>
      </c>
      <c r="E159" s="67">
        <f>IFERROR(SUMIF(人工呼吸器!$C$30:$C$74,B159,人工呼吸器!$N$30:$N$74)*((人工呼吸器!$H$3-人工呼吸器!$I$3)/人工呼吸器!$H$3),0)</f>
        <v>0</v>
      </c>
      <c r="F159" s="68">
        <f t="shared" si="39"/>
        <v>0</v>
      </c>
      <c r="G159" s="68">
        <f t="shared" si="40"/>
        <v>0</v>
      </c>
      <c r="H159" s="68">
        <f t="shared" si="41"/>
        <v>0</v>
      </c>
      <c r="I159" s="67">
        <f>IFERROR(SUMIF(簡易陰圧装置!$C$30:$C$74,B159,簡易陰圧装置!$N$30:$N$74)*((簡易陰圧装置!$H$3-簡易陰圧装置!$I$3)/簡易陰圧装置!$H$3),0)</f>
        <v>0</v>
      </c>
      <c r="J159" s="68">
        <f t="shared" si="42"/>
        <v>0</v>
      </c>
      <c r="K159" s="67">
        <f>IFERROR(SUMIF(#REF!,B159,#REF!)*((#REF!-#REF!)/#REF!),0)</f>
        <v>0</v>
      </c>
      <c r="L159" s="68">
        <f t="shared" si="43"/>
        <v>0</v>
      </c>
      <c r="M159" s="67">
        <f>IFERROR(SUMIF(体外式膜型人工肺!$C$30:$C$74,B159,体外式膜型人工肺!$N$30:$N$74)*((体外式膜型人工肺!$H$3-体外式膜型人工肺!$I$3)/体外式膜型人工肺!$H$3),0)</f>
        <v>0</v>
      </c>
      <c r="N159" s="68">
        <f t="shared" si="44"/>
        <v>0</v>
      </c>
      <c r="O159" s="68">
        <f t="shared" si="45"/>
        <v>0</v>
      </c>
      <c r="P159" s="68">
        <f t="shared" si="46"/>
        <v>0</v>
      </c>
      <c r="Q159" s="67">
        <f>IFERROR(SUMIF(紫外線照射装置!$C$30:$C$74,B159,紫外線照射装置!$N$30:$N$74)*((紫外線照射装置!$H$3-紫外線照射装置!$I$3)/紫外線照射装置!$H$3),0)</f>
        <v>0</v>
      </c>
      <c r="R159" s="68">
        <f t="shared" si="47"/>
        <v>0</v>
      </c>
      <c r="S159" s="101">
        <f t="shared" si="48"/>
        <v>0</v>
      </c>
      <c r="T159" s="67">
        <f>IFERROR(SUMIF(超音波画像診断装置!$C$30:$C$74,B159,超音波画像診断装置!$K$30:$K$74)*((超音波画像診断装置!$H$3-超音波画像診断装置!$I$3)/超音波画像診断装置!$H$3),0)</f>
        <v>0</v>
      </c>
      <c r="U159" s="68">
        <f t="shared" si="49"/>
        <v>0</v>
      </c>
      <c r="V159" s="67">
        <f>IFERROR(SUMIF(血液浄化装置!$C$30:$C$74,B159,血液浄化装置!$K$30:$K$74)*((血液浄化装置!$H$3-血液浄化装置!$I$3)/血液浄化装置!$H$3),0)</f>
        <v>0</v>
      </c>
      <c r="W159" s="68">
        <f t="shared" si="50"/>
        <v>0</v>
      </c>
      <c r="X159" s="67">
        <f>IFERROR(SUMIF(気管支鏡!$C$30:$C$74,B159,気管支鏡!$K$30:$K$74)*((気管支鏡!$H$3-気管支鏡!$I$3)/気管支鏡!$H$3),0)</f>
        <v>0</v>
      </c>
      <c r="Y159" s="68">
        <f t="shared" si="36"/>
        <v>0</v>
      </c>
      <c r="Z159" s="67">
        <f>IFERROR(SUMIF(CT撮影装置!$C$30:$C$74,B159,CT撮影装置!$K$30:$K$74)*((CT撮影装置!$H$3-CT撮影装置!$I$3)/CT撮影装置!$H$3),0)</f>
        <v>0</v>
      </c>
      <c r="AA159" s="68">
        <f t="shared" si="51"/>
        <v>0</v>
      </c>
      <c r="AB159" s="67">
        <f>IFERROR(SUMIF(生体情報モニタ!$C$30:$C$74,B159,生体情報モニタ!$K$30:$K$74)*((生体情報モニタ!$H$3-生体情報モニタ!$I$3)/生体情報モニタ!$H$3),0)</f>
        <v>0</v>
      </c>
      <c r="AC159" s="68">
        <f t="shared" si="37"/>
        <v>0</v>
      </c>
      <c r="AD159" s="67">
        <f>IFERROR(SUMIF(分娩監視装置!$C$30:$C$74,B159,分娩監視装置!$K$30:$K$74)*((分娩監視装置!$H$3-分娩監視装置!$I$3)/分娩監視装置!$H$3),0)</f>
        <v>0</v>
      </c>
      <c r="AE159" s="68">
        <f t="shared" si="52"/>
        <v>0</v>
      </c>
      <c r="AF159" s="67">
        <f>IFERROR(SUMIF(新生児モニタ!$C$30:$C$74,B159,新生児モニタ!$K$30:$K$74)*((新生児モニタ!$H$3-新生児モニタ!$I$3)/新生児モニタ!$H$3),0)</f>
        <v>0</v>
      </c>
      <c r="AG159" s="68">
        <f t="shared" si="53"/>
        <v>0</v>
      </c>
    </row>
    <row r="160" spans="2:33">
      <c r="B160" s="64" t="s">
        <v>807</v>
      </c>
      <c r="C160" s="67">
        <f>IFERROR(SUMIF(初度設備!$C$30:$C$74,B160,初度設備!$N$30:$N$74)*((初度設備!$H$3-初度設備!$I$3)/初度設備!$H$3),0)</f>
        <v>0</v>
      </c>
      <c r="D160" s="68">
        <f t="shared" si="38"/>
        <v>0</v>
      </c>
      <c r="E160" s="67">
        <f>IFERROR(SUMIF(人工呼吸器!$C$30:$C$74,B160,人工呼吸器!$N$30:$N$74)*((人工呼吸器!$H$3-人工呼吸器!$I$3)/人工呼吸器!$H$3),0)</f>
        <v>0</v>
      </c>
      <c r="F160" s="68">
        <f t="shared" si="39"/>
        <v>0</v>
      </c>
      <c r="G160" s="68">
        <f t="shared" si="40"/>
        <v>0</v>
      </c>
      <c r="H160" s="68">
        <f t="shared" si="41"/>
        <v>0</v>
      </c>
      <c r="I160" s="67">
        <f>IFERROR(SUMIF(簡易陰圧装置!$C$30:$C$74,B160,簡易陰圧装置!$N$30:$N$74)*((簡易陰圧装置!$H$3-簡易陰圧装置!$I$3)/簡易陰圧装置!$H$3),0)</f>
        <v>0</v>
      </c>
      <c r="J160" s="68">
        <f t="shared" si="42"/>
        <v>0</v>
      </c>
      <c r="K160" s="67">
        <f>IFERROR(SUMIF(#REF!,B160,#REF!)*((#REF!-#REF!)/#REF!),0)</f>
        <v>0</v>
      </c>
      <c r="L160" s="68">
        <f t="shared" si="43"/>
        <v>0</v>
      </c>
      <c r="M160" s="67">
        <f>IFERROR(SUMIF(体外式膜型人工肺!$C$30:$C$74,B160,体外式膜型人工肺!$N$30:$N$74)*((体外式膜型人工肺!$H$3-体外式膜型人工肺!$I$3)/体外式膜型人工肺!$H$3),0)</f>
        <v>0</v>
      </c>
      <c r="N160" s="68">
        <f t="shared" si="44"/>
        <v>0</v>
      </c>
      <c r="O160" s="68">
        <f t="shared" si="45"/>
        <v>0</v>
      </c>
      <c r="P160" s="68">
        <f t="shared" si="46"/>
        <v>0</v>
      </c>
      <c r="Q160" s="67">
        <f>IFERROR(SUMIF(紫外線照射装置!$C$30:$C$74,B160,紫外線照射装置!$N$30:$N$74)*((紫外線照射装置!$H$3-紫外線照射装置!$I$3)/紫外線照射装置!$H$3),0)</f>
        <v>0</v>
      </c>
      <c r="R160" s="68">
        <f t="shared" si="47"/>
        <v>0</v>
      </c>
      <c r="S160" s="101">
        <f t="shared" si="48"/>
        <v>0</v>
      </c>
      <c r="T160" s="67">
        <f>IFERROR(SUMIF(超音波画像診断装置!$C$30:$C$74,B160,超音波画像診断装置!$K$30:$K$74)*((超音波画像診断装置!$H$3-超音波画像診断装置!$I$3)/超音波画像診断装置!$H$3),0)</f>
        <v>0</v>
      </c>
      <c r="U160" s="68">
        <f t="shared" si="49"/>
        <v>0</v>
      </c>
      <c r="V160" s="67">
        <f>IFERROR(SUMIF(血液浄化装置!$C$30:$C$74,B160,血液浄化装置!$K$30:$K$74)*((血液浄化装置!$H$3-血液浄化装置!$I$3)/血液浄化装置!$H$3),0)</f>
        <v>0</v>
      </c>
      <c r="W160" s="68">
        <f t="shared" si="50"/>
        <v>0</v>
      </c>
      <c r="X160" s="67">
        <f>IFERROR(SUMIF(気管支鏡!$C$30:$C$74,B160,気管支鏡!$K$30:$K$74)*((気管支鏡!$H$3-気管支鏡!$I$3)/気管支鏡!$H$3),0)</f>
        <v>0</v>
      </c>
      <c r="Y160" s="68">
        <f t="shared" si="36"/>
        <v>0</v>
      </c>
      <c r="Z160" s="67">
        <f>IFERROR(SUMIF(CT撮影装置!$C$30:$C$74,B160,CT撮影装置!$K$30:$K$74)*((CT撮影装置!$H$3-CT撮影装置!$I$3)/CT撮影装置!$H$3),0)</f>
        <v>0</v>
      </c>
      <c r="AA160" s="68">
        <f t="shared" si="51"/>
        <v>0</v>
      </c>
      <c r="AB160" s="67">
        <f>IFERROR(SUMIF(生体情報モニタ!$C$30:$C$74,B160,生体情報モニタ!$K$30:$K$74)*((生体情報モニタ!$H$3-生体情報モニタ!$I$3)/生体情報モニタ!$H$3),0)</f>
        <v>0</v>
      </c>
      <c r="AC160" s="68">
        <f t="shared" si="37"/>
        <v>0</v>
      </c>
      <c r="AD160" s="67">
        <f>IFERROR(SUMIF(分娩監視装置!$C$30:$C$74,B160,分娩監視装置!$K$30:$K$74)*((分娩監視装置!$H$3-分娩監視装置!$I$3)/分娩監視装置!$H$3),0)</f>
        <v>0</v>
      </c>
      <c r="AE160" s="68">
        <f t="shared" si="52"/>
        <v>0</v>
      </c>
      <c r="AF160" s="67">
        <f>IFERROR(SUMIF(新生児モニタ!$C$30:$C$74,B160,新生児モニタ!$K$30:$K$74)*((新生児モニタ!$H$3-新生児モニタ!$I$3)/新生児モニタ!$H$3),0)</f>
        <v>0</v>
      </c>
      <c r="AG160" s="68">
        <f t="shared" si="53"/>
        <v>0</v>
      </c>
    </row>
    <row r="161" spans="2:33">
      <c r="B161" s="64" t="s">
        <v>808</v>
      </c>
      <c r="C161" s="67">
        <f>IFERROR(SUMIF(初度設備!$C$30:$C$74,B161,初度設備!$N$30:$N$74)*((初度設備!$H$3-初度設備!$I$3)/初度設備!$H$3),0)</f>
        <v>0</v>
      </c>
      <c r="D161" s="68">
        <f t="shared" si="38"/>
        <v>0</v>
      </c>
      <c r="E161" s="67">
        <f>IFERROR(SUMIF(人工呼吸器!$C$30:$C$74,B161,人工呼吸器!$N$30:$N$74)*((人工呼吸器!$H$3-人工呼吸器!$I$3)/人工呼吸器!$H$3),0)</f>
        <v>0</v>
      </c>
      <c r="F161" s="68">
        <f t="shared" si="39"/>
        <v>0</v>
      </c>
      <c r="G161" s="68">
        <f t="shared" si="40"/>
        <v>0</v>
      </c>
      <c r="H161" s="68">
        <f t="shared" si="41"/>
        <v>0</v>
      </c>
      <c r="I161" s="67">
        <f>IFERROR(SUMIF(簡易陰圧装置!$C$30:$C$74,B161,簡易陰圧装置!$N$30:$N$74)*((簡易陰圧装置!$H$3-簡易陰圧装置!$I$3)/簡易陰圧装置!$H$3),0)</f>
        <v>0</v>
      </c>
      <c r="J161" s="68">
        <f t="shared" si="42"/>
        <v>0</v>
      </c>
      <c r="K161" s="67">
        <f>IFERROR(SUMIF(#REF!,B161,#REF!)*((#REF!-#REF!)/#REF!),0)</f>
        <v>0</v>
      </c>
      <c r="L161" s="68">
        <f t="shared" si="43"/>
        <v>0</v>
      </c>
      <c r="M161" s="67">
        <f>IFERROR(SUMIF(体外式膜型人工肺!$C$30:$C$74,B161,体外式膜型人工肺!$N$30:$N$74)*((体外式膜型人工肺!$H$3-体外式膜型人工肺!$I$3)/体外式膜型人工肺!$H$3),0)</f>
        <v>0</v>
      </c>
      <c r="N161" s="68">
        <f t="shared" si="44"/>
        <v>0</v>
      </c>
      <c r="O161" s="68">
        <f t="shared" si="45"/>
        <v>0</v>
      </c>
      <c r="P161" s="68">
        <f t="shared" si="46"/>
        <v>0</v>
      </c>
      <c r="Q161" s="67">
        <f>IFERROR(SUMIF(紫外線照射装置!$C$30:$C$74,B161,紫外線照射装置!$N$30:$N$74)*((紫外線照射装置!$H$3-紫外線照射装置!$I$3)/紫外線照射装置!$H$3),0)</f>
        <v>0</v>
      </c>
      <c r="R161" s="68">
        <f t="shared" si="47"/>
        <v>0</v>
      </c>
      <c r="S161" s="101">
        <f t="shared" si="48"/>
        <v>0</v>
      </c>
      <c r="T161" s="67">
        <f>IFERROR(SUMIF(超音波画像診断装置!$C$30:$C$74,B161,超音波画像診断装置!$K$30:$K$74)*((超音波画像診断装置!$H$3-超音波画像診断装置!$I$3)/超音波画像診断装置!$H$3),0)</f>
        <v>0</v>
      </c>
      <c r="U161" s="68">
        <f t="shared" si="49"/>
        <v>0</v>
      </c>
      <c r="V161" s="67">
        <f>IFERROR(SUMIF(血液浄化装置!$C$30:$C$74,B161,血液浄化装置!$K$30:$K$74)*((血液浄化装置!$H$3-血液浄化装置!$I$3)/血液浄化装置!$H$3),0)</f>
        <v>0</v>
      </c>
      <c r="W161" s="68">
        <f t="shared" si="50"/>
        <v>0</v>
      </c>
      <c r="X161" s="67">
        <f>IFERROR(SUMIF(気管支鏡!$C$30:$C$74,B161,気管支鏡!$K$30:$K$74)*((気管支鏡!$H$3-気管支鏡!$I$3)/気管支鏡!$H$3),0)</f>
        <v>0</v>
      </c>
      <c r="Y161" s="68">
        <f t="shared" si="36"/>
        <v>0</v>
      </c>
      <c r="Z161" s="67">
        <f>IFERROR(SUMIF(CT撮影装置!$C$30:$C$74,B161,CT撮影装置!$K$30:$K$74)*((CT撮影装置!$H$3-CT撮影装置!$I$3)/CT撮影装置!$H$3),0)</f>
        <v>0</v>
      </c>
      <c r="AA161" s="68">
        <f t="shared" si="51"/>
        <v>0</v>
      </c>
      <c r="AB161" s="67">
        <f>IFERROR(SUMIF(生体情報モニタ!$C$30:$C$74,B161,生体情報モニタ!$K$30:$K$74)*((生体情報モニタ!$H$3-生体情報モニタ!$I$3)/生体情報モニタ!$H$3),0)</f>
        <v>0</v>
      </c>
      <c r="AC161" s="68">
        <f t="shared" si="37"/>
        <v>0</v>
      </c>
      <c r="AD161" s="67">
        <f>IFERROR(SUMIF(分娩監視装置!$C$30:$C$74,B161,分娩監視装置!$K$30:$K$74)*((分娩監視装置!$H$3-分娩監視装置!$I$3)/分娩監視装置!$H$3),0)</f>
        <v>0</v>
      </c>
      <c r="AE161" s="68">
        <f t="shared" si="52"/>
        <v>0</v>
      </c>
      <c r="AF161" s="67">
        <f>IFERROR(SUMIF(新生児モニタ!$C$30:$C$74,B161,新生児モニタ!$K$30:$K$74)*((新生児モニタ!$H$3-新生児モニタ!$I$3)/新生児モニタ!$H$3),0)</f>
        <v>0</v>
      </c>
      <c r="AG161" s="68">
        <f t="shared" si="53"/>
        <v>0</v>
      </c>
    </row>
    <row r="162" spans="2:33">
      <c r="B162" s="64" t="s">
        <v>809</v>
      </c>
      <c r="C162" s="67">
        <f>IFERROR(SUMIF(初度設備!$C$30:$C$74,B162,初度設備!$N$30:$N$74)*((初度設備!$H$3-初度設備!$I$3)/初度設備!$H$3),0)</f>
        <v>0</v>
      </c>
      <c r="D162" s="68">
        <f t="shared" si="38"/>
        <v>0</v>
      </c>
      <c r="E162" s="67">
        <f>IFERROR(SUMIF(人工呼吸器!$C$30:$C$74,B162,人工呼吸器!$N$30:$N$74)*((人工呼吸器!$H$3-人工呼吸器!$I$3)/人工呼吸器!$H$3),0)</f>
        <v>0</v>
      </c>
      <c r="F162" s="68">
        <f t="shared" si="39"/>
        <v>0</v>
      </c>
      <c r="G162" s="68">
        <f t="shared" si="40"/>
        <v>0</v>
      </c>
      <c r="H162" s="68">
        <f t="shared" si="41"/>
        <v>0</v>
      </c>
      <c r="I162" s="67">
        <f>IFERROR(SUMIF(簡易陰圧装置!$C$30:$C$74,B162,簡易陰圧装置!$N$30:$N$74)*((簡易陰圧装置!$H$3-簡易陰圧装置!$I$3)/簡易陰圧装置!$H$3),0)</f>
        <v>0</v>
      </c>
      <c r="J162" s="68">
        <f t="shared" si="42"/>
        <v>0</v>
      </c>
      <c r="K162" s="67">
        <f>IFERROR(SUMIF(#REF!,B162,#REF!)*((#REF!-#REF!)/#REF!),0)</f>
        <v>0</v>
      </c>
      <c r="L162" s="68">
        <f t="shared" si="43"/>
        <v>0</v>
      </c>
      <c r="M162" s="67">
        <f>IFERROR(SUMIF(体外式膜型人工肺!$C$30:$C$74,B162,体外式膜型人工肺!$N$30:$N$74)*((体外式膜型人工肺!$H$3-体外式膜型人工肺!$I$3)/体外式膜型人工肺!$H$3),0)</f>
        <v>0</v>
      </c>
      <c r="N162" s="68">
        <f t="shared" si="44"/>
        <v>0</v>
      </c>
      <c r="O162" s="68">
        <f t="shared" si="45"/>
        <v>0</v>
      </c>
      <c r="P162" s="68">
        <f t="shared" si="46"/>
        <v>0</v>
      </c>
      <c r="Q162" s="67">
        <f>IFERROR(SUMIF(紫外線照射装置!$C$30:$C$74,B162,紫外線照射装置!$N$30:$N$74)*((紫外線照射装置!$H$3-紫外線照射装置!$I$3)/紫外線照射装置!$H$3),0)</f>
        <v>0</v>
      </c>
      <c r="R162" s="68">
        <f t="shared" si="47"/>
        <v>0</v>
      </c>
      <c r="S162" s="101">
        <f t="shared" si="48"/>
        <v>0</v>
      </c>
      <c r="T162" s="67">
        <f>IFERROR(SUMIF(超音波画像診断装置!$C$30:$C$74,B162,超音波画像診断装置!$K$30:$K$74)*((超音波画像診断装置!$H$3-超音波画像診断装置!$I$3)/超音波画像診断装置!$H$3),0)</f>
        <v>0</v>
      </c>
      <c r="U162" s="68">
        <f t="shared" si="49"/>
        <v>0</v>
      </c>
      <c r="V162" s="67">
        <f>IFERROR(SUMIF(血液浄化装置!$C$30:$C$74,B162,血液浄化装置!$K$30:$K$74)*((血液浄化装置!$H$3-血液浄化装置!$I$3)/血液浄化装置!$H$3),0)</f>
        <v>0</v>
      </c>
      <c r="W162" s="68">
        <f t="shared" si="50"/>
        <v>0</v>
      </c>
      <c r="X162" s="67">
        <f>IFERROR(SUMIF(気管支鏡!$C$30:$C$74,B162,気管支鏡!$K$30:$K$74)*((気管支鏡!$H$3-気管支鏡!$I$3)/気管支鏡!$H$3),0)</f>
        <v>0</v>
      </c>
      <c r="Y162" s="68">
        <f t="shared" si="36"/>
        <v>0</v>
      </c>
      <c r="Z162" s="67">
        <f>IFERROR(SUMIF(CT撮影装置!$C$30:$C$74,B162,CT撮影装置!$K$30:$K$74)*((CT撮影装置!$H$3-CT撮影装置!$I$3)/CT撮影装置!$H$3),0)</f>
        <v>0</v>
      </c>
      <c r="AA162" s="68">
        <f t="shared" si="51"/>
        <v>0</v>
      </c>
      <c r="AB162" s="67">
        <f>IFERROR(SUMIF(生体情報モニタ!$C$30:$C$74,B162,生体情報モニタ!$K$30:$K$74)*((生体情報モニタ!$H$3-生体情報モニタ!$I$3)/生体情報モニタ!$H$3),0)</f>
        <v>0</v>
      </c>
      <c r="AC162" s="68">
        <f t="shared" si="37"/>
        <v>0</v>
      </c>
      <c r="AD162" s="67">
        <f>IFERROR(SUMIF(分娩監視装置!$C$30:$C$74,B162,分娩監視装置!$K$30:$K$74)*((分娩監視装置!$H$3-分娩監視装置!$I$3)/分娩監視装置!$H$3),0)</f>
        <v>0</v>
      </c>
      <c r="AE162" s="68">
        <f t="shared" si="52"/>
        <v>0</v>
      </c>
      <c r="AF162" s="67">
        <f>IFERROR(SUMIF(新生児モニタ!$C$30:$C$74,B162,新生児モニタ!$K$30:$K$74)*((新生児モニタ!$H$3-新生児モニタ!$I$3)/新生児モニタ!$H$3),0)</f>
        <v>0</v>
      </c>
      <c r="AG162" s="68">
        <f t="shared" si="53"/>
        <v>0</v>
      </c>
    </row>
    <row r="163" spans="2:33">
      <c r="B163" s="64" t="s">
        <v>810</v>
      </c>
      <c r="C163" s="67">
        <f>IFERROR(SUMIF(初度設備!$C$30:$C$74,B163,初度設備!$N$30:$N$74)*((初度設備!$H$3-初度設備!$I$3)/初度設備!$H$3),0)</f>
        <v>0</v>
      </c>
      <c r="D163" s="68">
        <f t="shared" si="38"/>
        <v>0</v>
      </c>
      <c r="E163" s="67">
        <f>IFERROR(SUMIF(人工呼吸器!$C$30:$C$74,B163,人工呼吸器!$N$30:$N$74)*((人工呼吸器!$H$3-人工呼吸器!$I$3)/人工呼吸器!$H$3),0)</f>
        <v>0</v>
      </c>
      <c r="F163" s="68">
        <f t="shared" si="39"/>
        <v>0</v>
      </c>
      <c r="G163" s="68">
        <f t="shared" si="40"/>
        <v>0</v>
      </c>
      <c r="H163" s="68">
        <f t="shared" si="41"/>
        <v>0</v>
      </c>
      <c r="I163" s="67">
        <f>IFERROR(SUMIF(簡易陰圧装置!$C$30:$C$74,B163,簡易陰圧装置!$N$30:$N$74)*((簡易陰圧装置!$H$3-簡易陰圧装置!$I$3)/簡易陰圧装置!$H$3),0)</f>
        <v>0</v>
      </c>
      <c r="J163" s="68">
        <f t="shared" si="42"/>
        <v>0</v>
      </c>
      <c r="K163" s="67">
        <f>IFERROR(SUMIF(#REF!,B163,#REF!)*((#REF!-#REF!)/#REF!),0)</f>
        <v>0</v>
      </c>
      <c r="L163" s="68">
        <f t="shared" si="43"/>
        <v>0</v>
      </c>
      <c r="M163" s="67">
        <f>IFERROR(SUMIF(体外式膜型人工肺!$C$30:$C$74,B163,体外式膜型人工肺!$N$30:$N$74)*((体外式膜型人工肺!$H$3-体外式膜型人工肺!$I$3)/体外式膜型人工肺!$H$3),0)</f>
        <v>0</v>
      </c>
      <c r="N163" s="68">
        <f t="shared" si="44"/>
        <v>0</v>
      </c>
      <c r="O163" s="68">
        <f t="shared" si="45"/>
        <v>0</v>
      </c>
      <c r="P163" s="68">
        <f t="shared" si="46"/>
        <v>0</v>
      </c>
      <c r="Q163" s="67">
        <f>IFERROR(SUMIF(紫外線照射装置!$C$30:$C$74,B163,紫外線照射装置!$N$30:$N$74)*((紫外線照射装置!$H$3-紫外線照射装置!$I$3)/紫外線照射装置!$H$3),0)</f>
        <v>0</v>
      </c>
      <c r="R163" s="68">
        <f t="shared" si="47"/>
        <v>0</v>
      </c>
      <c r="S163" s="101">
        <f t="shared" si="48"/>
        <v>0</v>
      </c>
      <c r="T163" s="67">
        <f>IFERROR(SUMIF(超音波画像診断装置!$C$30:$C$74,B163,超音波画像診断装置!$K$30:$K$74)*((超音波画像診断装置!$H$3-超音波画像診断装置!$I$3)/超音波画像診断装置!$H$3),0)</f>
        <v>0</v>
      </c>
      <c r="U163" s="68">
        <f t="shared" si="49"/>
        <v>0</v>
      </c>
      <c r="V163" s="67">
        <f>IFERROR(SUMIF(血液浄化装置!$C$30:$C$74,B163,血液浄化装置!$K$30:$K$74)*((血液浄化装置!$H$3-血液浄化装置!$I$3)/血液浄化装置!$H$3),0)</f>
        <v>0</v>
      </c>
      <c r="W163" s="68">
        <f t="shared" si="50"/>
        <v>0</v>
      </c>
      <c r="X163" s="67">
        <f>IFERROR(SUMIF(気管支鏡!$C$30:$C$74,B163,気管支鏡!$K$30:$K$74)*((気管支鏡!$H$3-気管支鏡!$I$3)/気管支鏡!$H$3),0)</f>
        <v>0</v>
      </c>
      <c r="Y163" s="68">
        <f t="shared" si="36"/>
        <v>0</v>
      </c>
      <c r="Z163" s="67">
        <f>IFERROR(SUMIF(CT撮影装置!$C$30:$C$74,B163,CT撮影装置!$K$30:$K$74)*((CT撮影装置!$H$3-CT撮影装置!$I$3)/CT撮影装置!$H$3),0)</f>
        <v>0</v>
      </c>
      <c r="AA163" s="68">
        <f t="shared" si="51"/>
        <v>0</v>
      </c>
      <c r="AB163" s="67">
        <f>IFERROR(SUMIF(生体情報モニタ!$C$30:$C$74,B163,生体情報モニタ!$K$30:$K$74)*((生体情報モニタ!$H$3-生体情報モニタ!$I$3)/生体情報モニタ!$H$3),0)</f>
        <v>0</v>
      </c>
      <c r="AC163" s="68">
        <f t="shared" si="37"/>
        <v>0</v>
      </c>
      <c r="AD163" s="67">
        <f>IFERROR(SUMIF(分娩監視装置!$C$30:$C$74,B163,分娩監視装置!$K$30:$K$74)*((分娩監視装置!$H$3-分娩監視装置!$I$3)/分娩監視装置!$H$3),0)</f>
        <v>0</v>
      </c>
      <c r="AE163" s="68">
        <f t="shared" si="52"/>
        <v>0</v>
      </c>
      <c r="AF163" s="67">
        <f>IFERROR(SUMIF(新生児モニタ!$C$30:$C$74,B163,新生児モニタ!$K$30:$K$74)*((新生児モニタ!$H$3-新生児モニタ!$I$3)/新生児モニタ!$H$3),0)</f>
        <v>0</v>
      </c>
      <c r="AG163" s="68">
        <f t="shared" si="53"/>
        <v>0</v>
      </c>
    </row>
    <row r="164" spans="2:33">
      <c r="B164" s="64" t="s">
        <v>811</v>
      </c>
      <c r="C164" s="67">
        <f>IFERROR(SUMIF(初度設備!$C$30:$C$74,B164,初度設備!$N$30:$N$74)*((初度設備!$H$3-初度設備!$I$3)/初度設備!$H$3),0)</f>
        <v>0</v>
      </c>
      <c r="D164" s="68">
        <f t="shared" si="38"/>
        <v>0</v>
      </c>
      <c r="E164" s="67">
        <f>IFERROR(SUMIF(人工呼吸器!$C$30:$C$74,B164,人工呼吸器!$N$30:$N$74)*((人工呼吸器!$H$3-人工呼吸器!$I$3)/人工呼吸器!$H$3),0)</f>
        <v>0</v>
      </c>
      <c r="F164" s="68">
        <f t="shared" si="39"/>
        <v>0</v>
      </c>
      <c r="G164" s="68">
        <f t="shared" si="40"/>
        <v>0</v>
      </c>
      <c r="H164" s="68">
        <f t="shared" si="41"/>
        <v>0</v>
      </c>
      <c r="I164" s="67">
        <f>IFERROR(SUMIF(簡易陰圧装置!$C$30:$C$74,B164,簡易陰圧装置!$N$30:$N$74)*((簡易陰圧装置!$H$3-簡易陰圧装置!$I$3)/簡易陰圧装置!$H$3),0)</f>
        <v>0</v>
      </c>
      <c r="J164" s="68">
        <f t="shared" si="42"/>
        <v>0</v>
      </c>
      <c r="K164" s="67">
        <f>IFERROR(SUMIF(#REF!,B164,#REF!)*((#REF!-#REF!)/#REF!),0)</f>
        <v>0</v>
      </c>
      <c r="L164" s="68">
        <f t="shared" si="43"/>
        <v>0</v>
      </c>
      <c r="M164" s="67">
        <f>IFERROR(SUMIF(体外式膜型人工肺!$C$30:$C$74,B164,体外式膜型人工肺!$N$30:$N$74)*((体外式膜型人工肺!$H$3-体外式膜型人工肺!$I$3)/体外式膜型人工肺!$H$3),0)</f>
        <v>0</v>
      </c>
      <c r="N164" s="68">
        <f t="shared" si="44"/>
        <v>0</v>
      </c>
      <c r="O164" s="68">
        <f t="shared" si="45"/>
        <v>0</v>
      </c>
      <c r="P164" s="68">
        <f t="shared" si="46"/>
        <v>0</v>
      </c>
      <c r="Q164" s="67">
        <f>IFERROR(SUMIF(紫外線照射装置!$C$30:$C$74,B164,紫外線照射装置!$N$30:$N$74)*((紫外線照射装置!$H$3-紫外線照射装置!$I$3)/紫外線照射装置!$H$3),0)</f>
        <v>0</v>
      </c>
      <c r="R164" s="68">
        <f t="shared" si="47"/>
        <v>0</v>
      </c>
      <c r="S164" s="101">
        <f t="shared" si="48"/>
        <v>0</v>
      </c>
      <c r="T164" s="67">
        <f>IFERROR(SUMIF(超音波画像診断装置!$C$30:$C$74,B164,超音波画像診断装置!$K$30:$K$74)*((超音波画像診断装置!$H$3-超音波画像診断装置!$I$3)/超音波画像診断装置!$H$3),0)</f>
        <v>0</v>
      </c>
      <c r="U164" s="68">
        <f t="shared" si="49"/>
        <v>0</v>
      </c>
      <c r="V164" s="67">
        <f>IFERROR(SUMIF(血液浄化装置!$C$30:$C$74,B164,血液浄化装置!$K$30:$K$74)*((血液浄化装置!$H$3-血液浄化装置!$I$3)/血液浄化装置!$H$3),0)</f>
        <v>0</v>
      </c>
      <c r="W164" s="68">
        <f t="shared" si="50"/>
        <v>0</v>
      </c>
      <c r="X164" s="67">
        <f>IFERROR(SUMIF(気管支鏡!$C$30:$C$74,B164,気管支鏡!$K$30:$K$74)*((気管支鏡!$H$3-気管支鏡!$I$3)/気管支鏡!$H$3),0)</f>
        <v>0</v>
      </c>
      <c r="Y164" s="68">
        <f t="shared" si="36"/>
        <v>0</v>
      </c>
      <c r="Z164" s="67">
        <f>IFERROR(SUMIF(CT撮影装置!$C$30:$C$74,B164,CT撮影装置!$K$30:$K$74)*((CT撮影装置!$H$3-CT撮影装置!$I$3)/CT撮影装置!$H$3),0)</f>
        <v>0</v>
      </c>
      <c r="AA164" s="68">
        <f t="shared" si="51"/>
        <v>0</v>
      </c>
      <c r="AB164" s="67">
        <f>IFERROR(SUMIF(生体情報モニタ!$C$30:$C$74,B164,生体情報モニタ!$K$30:$K$74)*((生体情報モニタ!$H$3-生体情報モニタ!$I$3)/生体情報モニタ!$H$3),0)</f>
        <v>0</v>
      </c>
      <c r="AC164" s="68">
        <f t="shared" si="37"/>
        <v>0</v>
      </c>
      <c r="AD164" s="67">
        <f>IFERROR(SUMIF(分娩監視装置!$C$30:$C$74,B164,分娩監視装置!$K$30:$K$74)*((分娩監視装置!$H$3-分娩監視装置!$I$3)/分娩監視装置!$H$3),0)</f>
        <v>0</v>
      </c>
      <c r="AE164" s="68">
        <f t="shared" si="52"/>
        <v>0</v>
      </c>
      <c r="AF164" s="67">
        <f>IFERROR(SUMIF(新生児モニタ!$C$30:$C$74,B164,新生児モニタ!$K$30:$K$74)*((新生児モニタ!$H$3-新生児モニタ!$I$3)/新生児モニタ!$H$3),0)</f>
        <v>0</v>
      </c>
      <c r="AG164" s="68">
        <f t="shared" si="53"/>
        <v>0</v>
      </c>
    </row>
    <row r="165" spans="2:33">
      <c r="B165" s="64" t="s">
        <v>812</v>
      </c>
      <c r="C165" s="67">
        <f>IFERROR(SUMIF(初度設備!$C$30:$C$74,B165,初度設備!$N$30:$N$74)*((初度設備!$H$3-初度設備!$I$3)/初度設備!$H$3),0)</f>
        <v>0</v>
      </c>
      <c r="D165" s="68">
        <f t="shared" si="38"/>
        <v>0</v>
      </c>
      <c r="E165" s="67">
        <f>IFERROR(SUMIF(人工呼吸器!$C$30:$C$74,B165,人工呼吸器!$N$30:$N$74)*((人工呼吸器!$H$3-人工呼吸器!$I$3)/人工呼吸器!$H$3),0)</f>
        <v>0</v>
      </c>
      <c r="F165" s="68">
        <f t="shared" si="39"/>
        <v>0</v>
      </c>
      <c r="G165" s="68">
        <f t="shared" si="40"/>
        <v>0</v>
      </c>
      <c r="H165" s="68">
        <f t="shared" si="41"/>
        <v>0</v>
      </c>
      <c r="I165" s="67">
        <f>IFERROR(SUMIF(簡易陰圧装置!$C$30:$C$74,B165,簡易陰圧装置!$N$30:$N$74)*((簡易陰圧装置!$H$3-簡易陰圧装置!$I$3)/簡易陰圧装置!$H$3),0)</f>
        <v>0</v>
      </c>
      <c r="J165" s="68">
        <f t="shared" si="42"/>
        <v>0</v>
      </c>
      <c r="K165" s="67">
        <f>IFERROR(SUMIF(#REF!,B165,#REF!)*((#REF!-#REF!)/#REF!),0)</f>
        <v>0</v>
      </c>
      <c r="L165" s="68">
        <f t="shared" si="43"/>
        <v>0</v>
      </c>
      <c r="M165" s="67">
        <f>IFERROR(SUMIF(体外式膜型人工肺!$C$30:$C$74,B165,体外式膜型人工肺!$N$30:$N$74)*((体外式膜型人工肺!$H$3-体外式膜型人工肺!$I$3)/体外式膜型人工肺!$H$3),0)</f>
        <v>0</v>
      </c>
      <c r="N165" s="68">
        <f t="shared" si="44"/>
        <v>0</v>
      </c>
      <c r="O165" s="68">
        <f t="shared" si="45"/>
        <v>0</v>
      </c>
      <c r="P165" s="68">
        <f t="shared" si="46"/>
        <v>0</v>
      </c>
      <c r="Q165" s="67">
        <f>IFERROR(SUMIF(紫外線照射装置!$C$30:$C$74,B165,紫外線照射装置!$N$30:$N$74)*((紫外線照射装置!$H$3-紫外線照射装置!$I$3)/紫外線照射装置!$H$3),0)</f>
        <v>0</v>
      </c>
      <c r="R165" s="68">
        <f t="shared" si="47"/>
        <v>0</v>
      </c>
      <c r="S165" s="101">
        <f t="shared" si="48"/>
        <v>0</v>
      </c>
      <c r="T165" s="67">
        <f>IFERROR(SUMIF(超音波画像診断装置!$C$30:$C$74,B165,超音波画像診断装置!$K$30:$K$74)*((超音波画像診断装置!$H$3-超音波画像診断装置!$I$3)/超音波画像診断装置!$H$3),0)</f>
        <v>0</v>
      </c>
      <c r="U165" s="68">
        <f t="shared" si="49"/>
        <v>0</v>
      </c>
      <c r="V165" s="67">
        <f>IFERROR(SUMIF(血液浄化装置!$C$30:$C$74,B165,血液浄化装置!$K$30:$K$74)*((血液浄化装置!$H$3-血液浄化装置!$I$3)/血液浄化装置!$H$3),0)</f>
        <v>0</v>
      </c>
      <c r="W165" s="68">
        <f t="shared" si="50"/>
        <v>0</v>
      </c>
      <c r="X165" s="67">
        <f>IFERROR(SUMIF(気管支鏡!$C$30:$C$74,B165,気管支鏡!$K$30:$K$74)*((気管支鏡!$H$3-気管支鏡!$I$3)/気管支鏡!$H$3),0)</f>
        <v>0</v>
      </c>
      <c r="Y165" s="68">
        <f t="shared" si="36"/>
        <v>0</v>
      </c>
      <c r="Z165" s="67">
        <f>IFERROR(SUMIF(CT撮影装置!$C$30:$C$74,B165,CT撮影装置!$K$30:$K$74)*((CT撮影装置!$H$3-CT撮影装置!$I$3)/CT撮影装置!$H$3),0)</f>
        <v>0</v>
      </c>
      <c r="AA165" s="68">
        <f t="shared" si="51"/>
        <v>0</v>
      </c>
      <c r="AB165" s="67">
        <f>IFERROR(SUMIF(生体情報モニタ!$C$30:$C$74,B165,生体情報モニタ!$K$30:$K$74)*((生体情報モニタ!$H$3-生体情報モニタ!$I$3)/生体情報モニタ!$H$3),0)</f>
        <v>0</v>
      </c>
      <c r="AC165" s="68">
        <f t="shared" si="37"/>
        <v>0</v>
      </c>
      <c r="AD165" s="67">
        <f>IFERROR(SUMIF(分娩監視装置!$C$30:$C$74,B165,分娩監視装置!$K$30:$K$74)*((分娩監視装置!$H$3-分娩監視装置!$I$3)/分娩監視装置!$H$3),0)</f>
        <v>0</v>
      </c>
      <c r="AE165" s="68">
        <f t="shared" si="52"/>
        <v>0</v>
      </c>
      <c r="AF165" s="67">
        <f>IFERROR(SUMIF(新生児モニタ!$C$30:$C$74,B165,新生児モニタ!$K$30:$K$74)*((新生児モニタ!$H$3-新生児モニタ!$I$3)/新生児モニタ!$H$3),0)</f>
        <v>0</v>
      </c>
      <c r="AG165" s="68">
        <f t="shared" si="53"/>
        <v>0</v>
      </c>
    </row>
    <row r="166" spans="2:33">
      <c r="B166" s="64" t="s">
        <v>813</v>
      </c>
      <c r="C166" s="67">
        <f>IFERROR(SUMIF(初度設備!$C$30:$C$74,B166,初度設備!$N$30:$N$74)*((初度設備!$H$3-初度設備!$I$3)/初度設備!$H$3),0)</f>
        <v>0</v>
      </c>
      <c r="D166" s="68">
        <f t="shared" si="38"/>
        <v>0</v>
      </c>
      <c r="E166" s="67">
        <f>IFERROR(SUMIF(人工呼吸器!$C$30:$C$74,B166,人工呼吸器!$N$30:$N$74)*((人工呼吸器!$H$3-人工呼吸器!$I$3)/人工呼吸器!$H$3),0)</f>
        <v>0</v>
      </c>
      <c r="F166" s="68">
        <f t="shared" si="39"/>
        <v>0</v>
      </c>
      <c r="G166" s="68">
        <f t="shared" si="40"/>
        <v>0</v>
      </c>
      <c r="H166" s="68">
        <f t="shared" si="41"/>
        <v>0</v>
      </c>
      <c r="I166" s="67">
        <f>IFERROR(SUMIF(簡易陰圧装置!$C$30:$C$74,B166,簡易陰圧装置!$N$30:$N$74)*((簡易陰圧装置!$H$3-簡易陰圧装置!$I$3)/簡易陰圧装置!$H$3),0)</f>
        <v>0</v>
      </c>
      <c r="J166" s="68">
        <f t="shared" si="42"/>
        <v>0</v>
      </c>
      <c r="K166" s="67">
        <f>IFERROR(SUMIF(#REF!,B166,#REF!)*((#REF!-#REF!)/#REF!),0)</f>
        <v>0</v>
      </c>
      <c r="L166" s="68">
        <f t="shared" si="43"/>
        <v>0</v>
      </c>
      <c r="M166" s="67">
        <f>IFERROR(SUMIF(体外式膜型人工肺!$C$30:$C$74,B166,体外式膜型人工肺!$N$30:$N$74)*((体外式膜型人工肺!$H$3-体外式膜型人工肺!$I$3)/体外式膜型人工肺!$H$3),0)</f>
        <v>0</v>
      </c>
      <c r="N166" s="68">
        <f t="shared" si="44"/>
        <v>0</v>
      </c>
      <c r="O166" s="68">
        <f t="shared" si="45"/>
        <v>0</v>
      </c>
      <c r="P166" s="68">
        <f t="shared" si="46"/>
        <v>0</v>
      </c>
      <c r="Q166" s="67">
        <f>IFERROR(SUMIF(紫外線照射装置!$C$30:$C$74,B166,紫外線照射装置!$N$30:$N$74)*((紫外線照射装置!$H$3-紫外線照射装置!$I$3)/紫外線照射装置!$H$3),0)</f>
        <v>0</v>
      </c>
      <c r="R166" s="68">
        <f t="shared" si="47"/>
        <v>0</v>
      </c>
      <c r="S166" s="101">
        <f t="shared" si="48"/>
        <v>0</v>
      </c>
      <c r="T166" s="67">
        <f>IFERROR(SUMIF(超音波画像診断装置!$C$30:$C$74,B166,超音波画像診断装置!$K$30:$K$74)*((超音波画像診断装置!$H$3-超音波画像診断装置!$I$3)/超音波画像診断装置!$H$3),0)</f>
        <v>0</v>
      </c>
      <c r="U166" s="68">
        <f t="shared" si="49"/>
        <v>0</v>
      </c>
      <c r="V166" s="67">
        <f>IFERROR(SUMIF(血液浄化装置!$C$30:$C$74,B166,血液浄化装置!$K$30:$K$74)*((血液浄化装置!$H$3-血液浄化装置!$I$3)/血液浄化装置!$H$3),0)</f>
        <v>0</v>
      </c>
      <c r="W166" s="68">
        <f t="shared" si="50"/>
        <v>0</v>
      </c>
      <c r="X166" s="67">
        <f>IFERROR(SUMIF(気管支鏡!$C$30:$C$74,B166,気管支鏡!$K$30:$K$74)*((気管支鏡!$H$3-気管支鏡!$I$3)/気管支鏡!$H$3),0)</f>
        <v>0</v>
      </c>
      <c r="Y166" s="68">
        <f t="shared" si="36"/>
        <v>0</v>
      </c>
      <c r="Z166" s="67">
        <f>IFERROR(SUMIF(CT撮影装置!$C$30:$C$74,B166,CT撮影装置!$K$30:$K$74)*((CT撮影装置!$H$3-CT撮影装置!$I$3)/CT撮影装置!$H$3),0)</f>
        <v>0</v>
      </c>
      <c r="AA166" s="68">
        <f t="shared" si="51"/>
        <v>0</v>
      </c>
      <c r="AB166" s="67">
        <f>IFERROR(SUMIF(生体情報モニタ!$C$30:$C$74,B166,生体情報モニタ!$K$30:$K$74)*((生体情報モニタ!$H$3-生体情報モニタ!$I$3)/生体情報モニタ!$H$3),0)</f>
        <v>0</v>
      </c>
      <c r="AC166" s="68">
        <f t="shared" si="37"/>
        <v>0</v>
      </c>
      <c r="AD166" s="67">
        <f>IFERROR(SUMIF(分娩監視装置!$C$30:$C$74,B166,分娩監視装置!$K$30:$K$74)*((分娩監視装置!$H$3-分娩監視装置!$I$3)/分娩監視装置!$H$3),0)</f>
        <v>0</v>
      </c>
      <c r="AE166" s="68">
        <f t="shared" si="52"/>
        <v>0</v>
      </c>
      <c r="AF166" s="67">
        <f>IFERROR(SUMIF(新生児モニタ!$C$30:$C$74,B166,新生児モニタ!$K$30:$K$74)*((新生児モニタ!$H$3-新生児モニタ!$I$3)/新生児モニタ!$H$3),0)</f>
        <v>0</v>
      </c>
      <c r="AG166" s="68">
        <f t="shared" si="53"/>
        <v>0</v>
      </c>
    </row>
    <row r="167" spans="2:33">
      <c r="B167" s="64" t="s">
        <v>814</v>
      </c>
      <c r="C167" s="67">
        <f>IFERROR(SUMIF(初度設備!$C$30:$C$74,B167,初度設備!$N$30:$N$74)*((初度設備!$H$3-初度設備!$I$3)/初度設備!$H$3),0)</f>
        <v>0</v>
      </c>
      <c r="D167" s="68">
        <f t="shared" si="38"/>
        <v>0</v>
      </c>
      <c r="E167" s="67">
        <f>IFERROR(SUMIF(人工呼吸器!$C$30:$C$74,B167,人工呼吸器!$N$30:$N$74)*((人工呼吸器!$H$3-人工呼吸器!$I$3)/人工呼吸器!$H$3),0)</f>
        <v>0</v>
      </c>
      <c r="F167" s="68">
        <f t="shared" si="39"/>
        <v>0</v>
      </c>
      <c r="G167" s="68">
        <f t="shared" si="40"/>
        <v>0</v>
      </c>
      <c r="H167" s="68">
        <f t="shared" si="41"/>
        <v>0</v>
      </c>
      <c r="I167" s="67">
        <f>IFERROR(SUMIF(簡易陰圧装置!$C$30:$C$74,B167,簡易陰圧装置!$N$30:$N$74)*((簡易陰圧装置!$H$3-簡易陰圧装置!$I$3)/簡易陰圧装置!$H$3),0)</f>
        <v>0</v>
      </c>
      <c r="J167" s="68">
        <f t="shared" si="42"/>
        <v>0</v>
      </c>
      <c r="K167" s="67">
        <f>IFERROR(SUMIF(#REF!,B167,#REF!)*((#REF!-#REF!)/#REF!),0)</f>
        <v>0</v>
      </c>
      <c r="L167" s="68">
        <f t="shared" si="43"/>
        <v>0</v>
      </c>
      <c r="M167" s="67">
        <f>IFERROR(SUMIF(体外式膜型人工肺!$C$30:$C$74,B167,体外式膜型人工肺!$N$30:$N$74)*((体外式膜型人工肺!$H$3-体外式膜型人工肺!$I$3)/体外式膜型人工肺!$H$3),0)</f>
        <v>0</v>
      </c>
      <c r="N167" s="68">
        <f t="shared" si="44"/>
        <v>0</v>
      </c>
      <c r="O167" s="68">
        <f t="shared" si="45"/>
        <v>0</v>
      </c>
      <c r="P167" s="68">
        <f t="shared" si="46"/>
        <v>0</v>
      </c>
      <c r="Q167" s="67">
        <f>IFERROR(SUMIF(紫外線照射装置!$C$30:$C$74,B167,紫外線照射装置!$N$30:$N$74)*((紫外線照射装置!$H$3-紫外線照射装置!$I$3)/紫外線照射装置!$H$3),0)</f>
        <v>0</v>
      </c>
      <c r="R167" s="68">
        <f t="shared" si="47"/>
        <v>0</v>
      </c>
      <c r="S167" s="101">
        <f t="shared" si="48"/>
        <v>0</v>
      </c>
      <c r="T167" s="67">
        <f>IFERROR(SUMIF(超音波画像診断装置!$C$30:$C$74,B167,超音波画像診断装置!$K$30:$K$74)*((超音波画像診断装置!$H$3-超音波画像診断装置!$I$3)/超音波画像診断装置!$H$3),0)</f>
        <v>0</v>
      </c>
      <c r="U167" s="68">
        <f t="shared" si="49"/>
        <v>0</v>
      </c>
      <c r="V167" s="67">
        <f>IFERROR(SUMIF(血液浄化装置!$C$30:$C$74,B167,血液浄化装置!$K$30:$K$74)*((血液浄化装置!$H$3-血液浄化装置!$I$3)/血液浄化装置!$H$3),0)</f>
        <v>0</v>
      </c>
      <c r="W167" s="68">
        <f t="shared" si="50"/>
        <v>0</v>
      </c>
      <c r="X167" s="67">
        <f>IFERROR(SUMIF(気管支鏡!$C$30:$C$74,B167,気管支鏡!$K$30:$K$74)*((気管支鏡!$H$3-気管支鏡!$I$3)/気管支鏡!$H$3),0)</f>
        <v>0</v>
      </c>
      <c r="Y167" s="68">
        <f t="shared" si="36"/>
        <v>0</v>
      </c>
      <c r="Z167" s="67">
        <f>IFERROR(SUMIF(CT撮影装置!$C$30:$C$74,B167,CT撮影装置!$K$30:$K$74)*((CT撮影装置!$H$3-CT撮影装置!$I$3)/CT撮影装置!$H$3),0)</f>
        <v>0</v>
      </c>
      <c r="AA167" s="68">
        <f t="shared" si="51"/>
        <v>0</v>
      </c>
      <c r="AB167" s="67">
        <f>IFERROR(SUMIF(生体情報モニタ!$C$30:$C$74,B167,生体情報モニタ!$K$30:$K$74)*((生体情報モニタ!$H$3-生体情報モニタ!$I$3)/生体情報モニタ!$H$3),0)</f>
        <v>0</v>
      </c>
      <c r="AC167" s="68">
        <f t="shared" si="37"/>
        <v>0</v>
      </c>
      <c r="AD167" s="67">
        <f>IFERROR(SUMIF(分娩監視装置!$C$30:$C$74,B167,分娩監視装置!$K$30:$K$74)*((分娩監視装置!$H$3-分娩監視装置!$I$3)/分娩監視装置!$H$3),0)</f>
        <v>0</v>
      </c>
      <c r="AE167" s="68">
        <f t="shared" si="52"/>
        <v>0</v>
      </c>
      <c r="AF167" s="67">
        <f>IFERROR(SUMIF(新生児モニタ!$C$30:$C$74,B167,新生児モニタ!$K$30:$K$74)*((新生児モニタ!$H$3-新生児モニタ!$I$3)/新生児モニタ!$H$3),0)</f>
        <v>0</v>
      </c>
      <c r="AG167" s="68">
        <f t="shared" si="53"/>
        <v>0</v>
      </c>
    </row>
    <row r="168" spans="2:33">
      <c r="B168" s="64" t="s">
        <v>815</v>
      </c>
      <c r="C168" s="67">
        <f>IFERROR(SUMIF(初度設備!$C$30:$C$74,B168,初度設備!$N$30:$N$74)*((初度設備!$H$3-初度設備!$I$3)/初度設備!$H$3),0)</f>
        <v>0</v>
      </c>
      <c r="D168" s="68">
        <f t="shared" si="38"/>
        <v>0</v>
      </c>
      <c r="E168" s="67">
        <f>IFERROR(SUMIF(人工呼吸器!$C$30:$C$74,B168,人工呼吸器!$N$30:$N$74)*((人工呼吸器!$H$3-人工呼吸器!$I$3)/人工呼吸器!$H$3),0)</f>
        <v>0</v>
      </c>
      <c r="F168" s="68">
        <f t="shared" si="39"/>
        <v>0</v>
      </c>
      <c r="G168" s="68">
        <f t="shared" si="40"/>
        <v>0</v>
      </c>
      <c r="H168" s="68">
        <f t="shared" si="41"/>
        <v>0</v>
      </c>
      <c r="I168" s="67">
        <f>IFERROR(SUMIF(簡易陰圧装置!$C$30:$C$74,B168,簡易陰圧装置!$N$30:$N$74)*((簡易陰圧装置!$H$3-簡易陰圧装置!$I$3)/簡易陰圧装置!$H$3),0)</f>
        <v>0</v>
      </c>
      <c r="J168" s="68">
        <f t="shared" si="42"/>
        <v>0</v>
      </c>
      <c r="K168" s="67">
        <f>IFERROR(SUMIF(#REF!,B168,#REF!)*((#REF!-#REF!)/#REF!),0)</f>
        <v>0</v>
      </c>
      <c r="L168" s="68">
        <f t="shared" si="43"/>
        <v>0</v>
      </c>
      <c r="M168" s="67">
        <f>IFERROR(SUMIF(体外式膜型人工肺!$C$30:$C$74,B168,体外式膜型人工肺!$N$30:$N$74)*((体外式膜型人工肺!$H$3-体外式膜型人工肺!$I$3)/体外式膜型人工肺!$H$3),0)</f>
        <v>0</v>
      </c>
      <c r="N168" s="68">
        <f t="shared" si="44"/>
        <v>0</v>
      </c>
      <c r="O168" s="68">
        <f t="shared" si="45"/>
        <v>0</v>
      </c>
      <c r="P168" s="68">
        <f t="shared" si="46"/>
        <v>0</v>
      </c>
      <c r="Q168" s="67">
        <f>IFERROR(SUMIF(紫外線照射装置!$C$30:$C$74,B168,紫外線照射装置!$N$30:$N$74)*((紫外線照射装置!$H$3-紫外線照射装置!$I$3)/紫外線照射装置!$H$3),0)</f>
        <v>0</v>
      </c>
      <c r="R168" s="68">
        <f t="shared" si="47"/>
        <v>0</v>
      </c>
      <c r="S168" s="101">
        <f t="shared" si="48"/>
        <v>0</v>
      </c>
      <c r="T168" s="67">
        <f>IFERROR(SUMIF(超音波画像診断装置!$C$30:$C$74,B168,超音波画像診断装置!$K$30:$K$74)*((超音波画像診断装置!$H$3-超音波画像診断装置!$I$3)/超音波画像診断装置!$H$3),0)</f>
        <v>0</v>
      </c>
      <c r="U168" s="68">
        <f t="shared" si="49"/>
        <v>0</v>
      </c>
      <c r="V168" s="67">
        <f>IFERROR(SUMIF(血液浄化装置!$C$30:$C$74,B168,血液浄化装置!$K$30:$K$74)*((血液浄化装置!$H$3-血液浄化装置!$I$3)/血液浄化装置!$H$3),0)</f>
        <v>0</v>
      </c>
      <c r="W168" s="68">
        <f t="shared" si="50"/>
        <v>0</v>
      </c>
      <c r="X168" s="67">
        <f>IFERROR(SUMIF(気管支鏡!$C$30:$C$74,B168,気管支鏡!$K$30:$K$74)*((気管支鏡!$H$3-気管支鏡!$I$3)/気管支鏡!$H$3),0)</f>
        <v>0</v>
      </c>
      <c r="Y168" s="68">
        <f t="shared" si="36"/>
        <v>0</v>
      </c>
      <c r="Z168" s="67">
        <f>IFERROR(SUMIF(CT撮影装置!$C$30:$C$74,B168,CT撮影装置!$K$30:$K$74)*((CT撮影装置!$H$3-CT撮影装置!$I$3)/CT撮影装置!$H$3),0)</f>
        <v>0</v>
      </c>
      <c r="AA168" s="68">
        <f t="shared" si="51"/>
        <v>0</v>
      </c>
      <c r="AB168" s="67">
        <f>IFERROR(SUMIF(生体情報モニタ!$C$30:$C$74,B168,生体情報モニタ!$K$30:$K$74)*((生体情報モニタ!$H$3-生体情報モニタ!$I$3)/生体情報モニタ!$H$3),0)</f>
        <v>0</v>
      </c>
      <c r="AC168" s="68">
        <f t="shared" si="37"/>
        <v>0</v>
      </c>
      <c r="AD168" s="67">
        <f>IFERROR(SUMIF(分娩監視装置!$C$30:$C$74,B168,分娩監視装置!$K$30:$K$74)*((分娩監視装置!$H$3-分娩監視装置!$I$3)/分娩監視装置!$H$3),0)</f>
        <v>0</v>
      </c>
      <c r="AE168" s="68">
        <f t="shared" si="52"/>
        <v>0</v>
      </c>
      <c r="AF168" s="67">
        <f>IFERROR(SUMIF(新生児モニタ!$C$30:$C$74,B168,新生児モニタ!$K$30:$K$74)*((新生児モニタ!$H$3-新生児モニタ!$I$3)/新生児モニタ!$H$3),0)</f>
        <v>0</v>
      </c>
      <c r="AG168" s="68">
        <f t="shared" si="53"/>
        <v>0</v>
      </c>
    </row>
    <row r="169" spans="2:33">
      <c r="B169" s="64" t="s">
        <v>816</v>
      </c>
      <c r="C169" s="67">
        <f>IFERROR(SUMIF(初度設備!$C$30:$C$74,B169,初度設備!$N$30:$N$74)*((初度設備!$H$3-初度設備!$I$3)/初度設備!$H$3),0)</f>
        <v>0</v>
      </c>
      <c r="D169" s="68">
        <f t="shared" si="38"/>
        <v>0</v>
      </c>
      <c r="E169" s="67">
        <f>IFERROR(SUMIF(人工呼吸器!$C$30:$C$74,B169,人工呼吸器!$N$30:$N$74)*((人工呼吸器!$H$3-人工呼吸器!$I$3)/人工呼吸器!$H$3),0)</f>
        <v>0</v>
      </c>
      <c r="F169" s="68">
        <f t="shared" si="39"/>
        <v>0</v>
      </c>
      <c r="G169" s="68">
        <f t="shared" si="40"/>
        <v>0</v>
      </c>
      <c r="H169" s="68">
        <f t="shared" si="41"/>
        <v>0</v>
      </c>
      <c r="I169" s="67">
        <f>IFERROR(SUMIF(簡易陰圧装置!$C$30:$C$74,B169,簡易陰圧装置!$N$30:$N$74)*((簡易陰圧装置!$H$3-簡易陰圧装置!$I$3)/簡易陰圧装置!$H$3),0)</f>
        <v>0</v>
      </c>
      <c r="J169" s="68">
        <f t="shared" si="42"/>
        <v>0</v>
      </c>
      <c r="K169" s="67">
        <f>IFERROR(SUMIF(#REF!,B169,#REF!)*((#REF!-#REF!)/#REF!),0)</f>
        <v>0</v>
      </c>
      <c r="L169" s="68">
        <f t="shared" si="43"/>
        <v>0</v>
      </c>
      <c r="M169" s="67">
        <f>IFERROR(SUMIF(体外式膜型人工肺!$C$30:$C$74,B169,体外式膜型人工肺!$N$30:$N$74)*((体外式膜型人工肺!$H$3-体外式膜型人工肺!$I$3)/体外式膜型人工肺!$H$3),0)</f>
        <v>0</v>
      </c>
      <c r="N169" s="68">
        <f t="shared" si="44"/>
        <v>0</v>
      </c>
      <c r="O169" s="68">
        <f t="shared" si="45"/>
        <v>0</v>
      </c>
      <c r="P169" s="68">
        <f t="shared" si="46"/>
        <v>0</v>
      </c>
      <c r="Q169" s="67">
        <f>IFERROR(SUMIF(紫外線照射装置!$C$30:$C$74,B169,紫外線照射装置!$N$30:$N$74)*((紫外線照射装置!$H$3-紫外線照射装置!$I$3)/紫外線照射装置!$H$3),0)</f>
        <v>0</v>
      </c>
      <c r="R169" s="68">
        <f t="shared" si="47"/>
        <v>0</v>
      </c>
      <c r="S169" s="101">
        <f t="shared" si="48"/>
        <v>0</v>
      </c>
      <c r="T169" s="67">
        <f>IFERROR(SUMIF(超音波画像診断装置!$C$30:$C$74,B169,超音波画像診断装置!$K$30:$K$74)*((超音波画像診断装置!$H$3-超音波画像診断装置!$I$3)/超音波画像診断装置!$H$3),0)</f>
        <v>0</v>
      </c>
      <c r="U169" s="68">
        <f t="shared" si="49"/>
        <v>0</v>
      </c>
      <c r="V169" s="67">
        <f>IFERROR(SUMIF(血液浄化装置!$C$30:$C$74,B169,血液浄化装置!$K$30:$K$74)*((血液浄化装置!$H$3-血液浄化装置!$I$3)/血液浄化装置!$H$3),0)</f>
        <v>0</v>
      </c>
      <c r="W169" s="68">
        <f t="shared" si="50"/>
        <v>0</v>
      </c>
      <c r="X169" s="67">
        <f>IFERROR(SUMIF(気管支鏡!$C$30:$C$74,B169,気管支鏡!$K$30:$K$74)*((気管支鏡!$H$3-気管支鏡!$I$3)/気管支鏡!$H$3),0)</f>
        <v>0</v>
      </c>
      <c r="Y169" s="68">
        <f t="shared" si="36"/>
        <v>0</v>
      </c>
      <c r="Z169" s="67">
        <f>IFERROR(SUMIF(CT撮影装置!$C$30:$C$74,B169,CT撮影装置!$K$30:$K$74)*((CT撮影装置!$H$3-CT撮影装置!$I$3)/CT撮影装置!$H$3),0)</f>
        <v>0</v>
      </c>
      <c r="AA169" s="68">
        <f t="shared" si="51"/>
        <v>0</v>
      </c>
      <c r="AB169" s="67">
        <f>IFERROR(SUMIF(生体情報モニタ!$C$30:$C$74,B169,生体情報モニタ!$K$30:$K$74)*((生体情報モニタ!$H$3-生体情報モニタ!$I$3)/生体情報モニタ!$H$3),0)</f>
        <v>0</v>
      </c>
      <c r="AC169" s="68">
        <f t="shared" si="37"/>
        <v>0</v>
      </c>
      <c r="AD169" s="67">
        <f>IFERROR(SUMIF(分娩監視装置!$C$30:$C$74,B169,分娩監視装置!$K$30:$K$74)*((分娩監視装置!$H$3-分娩監視装置!$I$3)/分娩監視装置!$H$3),0)</f>
        <v>0</v>
      </c>
      <c r="AE169" s="68">
        <f t="shared" si="52"/>
        <v>0</v>
      </c>
      <c r="AF169" s="67">
        <f>IFERROR(SUMIF(新生児モニタ!$C$30:$C$74,B169,新生児モニタ!$K$30:$K$74)*((新生児モニタ!$H$3-新生児モニタ!$I$3)/新生児モニタ!$H$3),0)</f>
        <v>0</v>
      </c>
      <c r="AG169" s="68">
        <f t="shared" si="53"/>
        <v>0</v>
      </c>
    </row>
    <row r="170" spans="2:33">
      <c r="B170" s="64" t="s">
        <v>817</v>
      </c>
      <c r="C170" s="67">
        <f>IFERROR(SUMIF(初度設備!$C$30:$C$74,B170,初度設備!$N$30:$N$74)*((初度設備!$H$3-初度設備!$I$3)/初度設備!$H$3),0)</f>
        <v>0</v>
      </c>
      <c r="D170" s="68">
        <f t="shared" si="38"/>
        <v>0</v>
      </c>
      <c r="E170" s="67">
        <f>IFERROR(SUMIF(人工呼吸器!$C$30:$C$74,B170,人工呼吸器!$N$30:$N$74)*((人工呼吸器!$H$3-人工呼吸器!$I$3)/人工呼吸器!$H$3),0)</f>
        <v>0</v>
      </c>
      <c r="F170" s="68">
        <f t="shared" si="39"/>
        <v>0</v>
      </c>
      <c r="G170" s="68">
        <f t="shared" si="40"/>
        <v>0</v>
      </c>
      <c r="H170" s="68">
        <f t="shared" si="41"/>
        <v>0</v>
      </c>
      <c r="I170" s="67">
        <f>IFERROR(SUMIF(簡易陰圧装置!$C$30:$C$74,B170,簡易陰圧装置!$N$30:$N$74)*((簡易陰圧装置!$H$3-簡易陰圧装置!$I$3)/簡易陰圧装置!$H$3),0)</f>
        <v>0</v>
      </c>
      <c r="J170" s="68">
        <f t="shared" si="42"/>
        <v>0</v>
      </c>
      <c r="K170" s="67">
        <f>IFERROR(SUMIF(#REF!,B170,#REF!)*((#REF!-#REF!)/#REF!),0)</f>
        <v>0</v>
      </c>
      <c r="L170" s="68">
        <f t="shared" si="43"/>
        <v>0</v>
      </c>
      <c r="M170" s="67">
        <f>IFERROR(SUMIF(体外式膜型人工肺!$C$30:$C$74,B170,体外式膜型人工肺!$N$30:$N$74)*((体外式膜型人工肺!$H$3-体外式膜型人工肺!$I$3)/体外式膜型人工肺!$H$3),0)</f>
        <v>0</v>
      </c>
      <c r="N170" s="68">
        <f t="shared" si="44"/>
        <v>0</v>
      </c>
      <c r="O170" s="68">
        <f t="shared" si="45"/>
        <v>0</v>
      </c>
      <c r="P170" s="68">
        <f t="shared" si="46"/>
        <v>0</v>
      </c>
      <c r="Q170" s="67">
        <f>IFERROR(SUMIF(紫外線照射装置!$C$30:$C$74,B170,紫外線照射装置!$N$30:$N$74)*((紫外線照射装置!$H$3-紫外線照射装置!$I$3)/紫外線照射装置!$H$3),0)</f>
        <v>0</v>
      </c>
      <c r="R170" s="68">
        <f t="shared" si="47"/>
        <v>0</v>
      </c>
      <c r="S170" s="101">
        <f t="shared" si="48"/>
        <v>0</v>
      </c>
      <c r="T170" s="67">
        <f>IFERROR(SUMIF(超音波画像診断装置!$C$30:$C$74,B170,超音波画像診断装置!$K$30:$K$74)*((超音波画像診断装置!$H$3-超音波画像診断装置!$I$3)/超音波画像診断装置!$H$3),0)</f>
        <v>0</v>
      </c>
      <c r="U170" s="68">
        <f t="shared" si="49"/>
        <v>0</v>
      </c>
      <c r="V170" s="67">
        <f>IFERROR(SUMIF(血液浄化装置!$C$30:$C$74,B170,血液浄化装置!$K$30:$K$74)*((血液浄化装置!$H$3-血液浄化装置!$I$3)/血液浄化装置!$H$3),0)</f>
        <v>0</v>
      </c>
      <c r="W170" s="68">
        <f t="shared" si="50"/>
        <v>0</v>
      </c>
      <c r="X170" s="67">
        <f>IFERROR(SUMIF(気管支鏡!$C$30:$C$74,B170,気管支鏡!$K$30:$K$74)*((気管支鏡!$H$3-気管支鏡!$I$3)/気管支鏡!$H$3),0)</f>
        <v>0</v>
      </c>
      <c r="Y170" s="68">
        <f t="shared" si="36"/>
        <v>0</v>
      </c>
      <c r="Z170" s="67">
        <f>IFERROR(SUMIF(CT撮影装置!$C$30:$C$74,B170,CT撮影装置!$K$30:$K$74)*((CT撮影装置!$H$3-CT撮影装置!$I$3)/CT撮影装置!$H$3),0)</f>
        <v>0</v>
      </c>
      <c r="AA170" s="68">
        <f t="shared" si="51"/>
        <v>0</v>
      </c>
      <c r="AB170" s="67">
        <f>IFERROR(SUMIF(生体情報モニタ!$C$30:$C$74,B170,生体情報モニタ!$K$30:$K$74)*((生体情報モニタ!$H$3-生体情報モニタ!$I$3)/生体情報モニタ!$H$3),0)</f>
        <v>0</v>
      </c>
      <c r="AC170" s="68">
        <f t="shared" si="37"/>
        <v>0</v>
      </c>
      <c r="AD170" s="67">
        <f>IFERROR(SUMIF(分娩監視装置!$C$30:$C$74,B170,分娩監視装置!$K$30:$K$74)*((分娩監視装置!$H$3-分娩監視装置!$I$3)/分娩監視装置!$H$3),0)</f>
        <v>0</v>
      </c>
      <c r="AE170" s="68">
        <f t="shared" si="52"/>
        <v>0</v>
      </c>
      <c r="AF170" s="67">
        <f>IFERROR(SUMIF(新生児モニタ!$C$30:$C$74,B170,新生児モニタ!$K$30:$K$74)*((新生児モニタ!$H$3-新生児モニタ!$I$3)/新生児モニタ!$H$3),0)</f>
        <v>0</v>
      </c>
      <c r="AG170" s="68">
        <f t="shared" si="53"/>
        <v>0</v>
      </c>
    </row>
    <row r="171" spans="2:33">
      <c r="B171" s="64" t="s">
        <v>818</v>
      </c>
      <c r="C171" s="67">
        <f>IFERROR(SUMIF(初度設備!$C$30:$C$74,B171,初度設備!$N$30:$N$74)*((初度設備!$H$3-初度設備!$I$3)/初度設備!$H$3),0)</f>
        <v>0</v>
      </c>
      <c r="D171" s="68">
        <f t="shared" si="38"/>
        <v>0</v>
      </c>
      <c r="E171" s="67">
        <f>IFERROR(SUMIF(人工呼吸器!$C$30:$C$74,B171,人工呼吸器!$N$30:$N$74)*((人工呼吸器!$H$3-人工呼吸器!$I$3)/人工呼吸器!$H$3),0)</f>
        <v>0</v>
      </c>
      <c r="F171" s="68">
        <f t="shared" si="39"/>
        <v>0</v>
      </c>
      <c r="G171" s="68">
        <f t="shared" si="40"/>
        <v>0</v>
      </c>
      <c r="H171" s="68">
        <f t="shared" si="41"/>
        <v>0</v>
      </c>
      <c r="I171" s="67">
        <f>IFERROR(SUMIF(簡易陰圧装置!$C$30:$C$74,B171,簡易陰圧装置!$N$30:$N$74)*((簡易陰圧装置!$H$3-簡易陰圧装置!$I$3)/簡易陰圧装置!$H$3),0)</f>
        <v>0</v>
      </c>
      <c r="J171" s="68">
        <f t="shared" si="42"/>
        <v>0</v>
      </c>
      <c r="K171" s="67">
        <f>IFERROR(SUMIF(#REF!,B171,#REF!)*((#REF!-#REF!)/#REF!),0)</f>
        <v>0</v>
      </c>
      <c r="L171" s="68">
        <f t="shared" si="43"/>
        <v>0</v>
      </c>
      <c r="M171" s="67">
        <f>IFERROR(SUMIF(体外式膜型人工肺!$C$30:$C$74,B171,体外式膜型人工肺!$N$30:$N$74)*((体外式膜型人工肺!$H$3-体外式膜型人工肺!$I$3)/体外式膜型人工肺!$H$3),0)</f>
        <v>0</v>
      </c>
      <c r="N171" s="68">
        <f t="shared" si="44"/>
        <v>0</v>
      </c>
      <c r="O171" s="68">
        <f t="shared" si="45"/>
        <v>0</v>
      </c>
      <c r="P171" s="68">
        <f t="shared" si="46"/>
        <v>0</v>
      </c>
      <c r="Q171" s="67">
        <f>IFERROR(SUMIF(紫外線照射装置!$C$30:$C$74,B171,紫外線照射装置!$N$30:$N$74)*((紫外線照射装置!$H$3-紫外線照射装置!$I$3)/紫外線照射装置!$H$3),0)</f>
        <v>0</v>
      </c>
      <c r="R171" s="68">
        <f t="shared" si="47"/>
        <v>0</v>
      </c>
      <c r="S171" s="101">
        <f t="shared" si="48"/>
        <v>0</v>
      </c>
      <c r="T171" s="67">
        <f>IFERROR(SUMIF(超音波画像診断装置!$C$30:$C$74,B171,超音波画像診断装置!$K$30:$K$74)*((超音波画像診断装置!$H$3-超音波画像診断装置!$I$3)/超音波画像診断装置!$H$3),0)</f>
        <v>0</v>
      </c>
      <c r="U171" s="68">
        <f t="shared" si="49"/>
        <v>0</v>
      </c>
      <c r="V171" s="67">
        <f>IFERROR(SUMIF(血液浄化装置!$C$30:$C$74,B171,血液浄化装置!$K$30:$K$74)*((血液浄化装置!$H$3-血液浄化装置!$I$3)/血液浄化装置!$H$3),0)</f>
        <v>0</v>
      </c>
      <c r="W171" s="68">
        <f t="shared" si="50"/>
        <v>0</v>
      </c>
      <c r="X171" s="67">
        <f>IFERROR(SUMIF(気管支鏡!$C$30:$C$74,B171,気管支鏡!$K$30:$K$74)*((気管支鏡!$H$3-気管支鏡!$I$3)/気管支鏡!$H$3),0)</f>
        <v>0</v>
      </c>
      <c r="Y171" s="68">
        <f t="shared" si="36"/>
        <v>0</v>
      </c>
      <c r="Z171" s="67">
        <f>IFERROR(SUMIF(CT撮影装置!$C$30:$C$74,B171,CT撮影装置!$K$30:$K$74)*((CT撮影装置!$H$3-CT撮影装置!$I$3)/CT撮影装置!$H$3),0)</f>
        <v>0</v>
      </c>
      <c r="AA171" s="68">
        <f t="shared" si="51"/>
        <v>0</v>
      </c>
      <c r="AB171" s="67">
        <f>IFERROR(SUMIF(生体情報モニタ!$C$30:$C$74,B171,生体情報モニタ!$K$30:$K$74)*((生体情報モニタ!$H$3-生体情報モニタ!$I$3)/生体情報モニタ!$H$3),0)</f>
        <v>0</v>
      </c>
      <c r="AC171" s="68">
        <f t="shared" si="37"/>
        <v>0</v>
      </c>
      <c r="AD171" s="67">
        <f>IFERROR(SUMIF(分娩監視装置!$C$30:$C$74,B171,分娩監視装置!$K$30:$K$74)*((分娩監視装置!$H$3-分娩監視装置!$I$3)/分娩監視装置!$H$3),0)</f>
        <v>0</v>
      </c>
      <c r="AE171" s="68">
        <f t="shared" si="52"/>
        <v>0</v>
      </c>
      <c r="AF171" s="67">
        <f>IFERROR(SUMIF(新生児モニタ!$C$30:$C$74,B171,新生児モニタ!$K$30:$K$74)*((新生児モニタ!$H$3-新生児モニタ!$I$3)/新生児モニタ!$H$3),0)</f>
        <v>0</v>
      </c>
      <c r="AG171" s="68">
        <f t="shared" si="53"/>
        <v>0</v>
      </c>
    </row>
    <row r="172" spans="2:33">
      <c r="B172" s="64" t="s">
        <v>819</v>
      </c>
      <c r="C172" s="67">
        <f>IFERROR(SUMIF(初度設備!$C$30:$C$74,B172,初度設備!$N$30:$N$74)*((初度設備!$H$3-初度設備!$I$3)/初度設備!$H$3),0)</f>
        <v>0</v>
      </c>
      <c r="D172" s="68">
        <f t="shared" si="38"/>
        <v>0</v>
      </c>
      <c r="E172" s="67">
        <f>IFERROR(SUMIF(人工呼吸器!$C$30:$C$74,B172,人工呼吸器!$N$30:$N$74)*((人工呼吸器!$H$3-人工呼吸器!$I$3)/人工呼吸器!$H$3),0)</f>
        <v>0</v>
      </c>
      <c r="F172" s="68">
        <f t="shared" si="39"/>
        <v>0</v>
      </c>
      <c r="G172" s="68">
        <f t="shared" si="40"/>
        <v>0</v>
      </c>
      <c r="H172" s="68">
        <f t="shared" si="41"/>
        <v>0</v>
      </c>
      <c r="I172" s="67">
        <f>IFERROR(SUMIF(簡易陰圧装置!$C$30:$C$74,B172,簡易陰圧装置!$N$30:$N$74)*((簡易陰圧装置!$H$3-簡易陰圧装置!$I$3)/簡易陰圧装置!$H$3),0)</f>
        <v>0</v>
      </c>
      <c r="J172" s="68">
        <f t="shared" si="42"/>
        <v>0</v>
      </c>
      <c r="K172" s="67">
        <f>IFERROR(SUMIF(#REF!,B172,#REF!)*((#REF!-#REF!)/#REF!),0)</f>
        <v>0</v>
      </c>
      <c r="L172" s="68">
        <f t="shared" si="43"/>
        <v>0</v>
      </c>
      <c r="M172" s="67">
        <f>IFERROR(SUMIF(体外式膜型人工肺!$C$30:$C$74,B172,体外式膜型人工肺!$N$30:$N$74)*((体外式膜型人工肺!$H$3-体外式膜型人工肺!$I$3)/体外式膜型人工肺!$H$3),0)</f>
        <v>0</v>
      </c>
      <c r="N172" s="68">
        <f t="shared" si="44"/>
        <v>0</v>
      </c>
      <c r="O172" s="68">
        <f t="shared" si="45"/>
        <v>0</v>
      </c>
      <c r="P172" s="68">
        <f t="shared" si="46"/>
        <v>0</v>
      </c>
      <c r="Q172" s="67">
        <f>IFERROR(SUMIF(紫外線照射装置!$C$30:$C$74,B172,紫外線照射装置!$N$30:$N$74)*((紫外線照射装置!$H$3-紫外線照射装置!$I$3)/紫外線照射装置!$H$3),0)</f>
        <v>0</v>
      </c>
      <c r="R172" s="68">
        <f t="shared" si="47"/>
        <v>0</v>
      </c>
      <c r="S172" s="101">
        <f t="shared" si="48"/>
        <v>0</v>
      </c>
      <c r="T172" s="67">
        <f>IFERROR(SUMIF(超音波画像診断装置!$C$30:$C$74,B172,超音波画像診断装置!$K$30:$K$74)*((超音波画像診断装置!$H$3-超音波画像診断装置!$I$3)/超音波画像診断装置!$H$3),0)</f>
        <v>0</v>
      </c>
      <c r="U172" s="68">
        <f t="shared" si="49"/>
        <v>0</v>
      </c>
      <c r="V172" s="67">
        <f>IFERROR(SUMIF(血液浄化装置!$C$30:$C$74,B172,血液浄化装置!$K$30:$K$74)*((血液浄化装置!$H$3-血液浄化装置!$I$3)/血液浄化装置!$H$3),0)</f>
        <v>0</v>
      </c>
      <c r="W172" s="68">
        <f t="shared" si="50"/>
        <v>0</v>
      </c>
      <c r="X172" s="67">
        <f>IFERROR(SUMIF(気管支鏡!$C$30:$C$74,B172,気管支鏡!$K$30:$K$74)*((気管支鏡!$H$3-気管支鏡!$I$3)/気管支鏡!$H$3),0)</f>
        <v>0</v>
      </c>
      <c r="Y172" s="68">
        <f t="shared" si="36"/>
        <v>0</v>
      </c>
      <c r="Z172" s="67">
        <f>IFERROR(SUMIF(CT撮影装置!$C$30:$C$74,B172,CT撮影装置!$K$30:$K$74)*((CT撮影装置!$H$3-CT撮影装置!$I$3)/CT撮影装置!$H$3),0)</f>
        <v>0</v>
      </c>
      <c r="AA172" s="68">
        <f t="shared" si="51"/>
        <v>0</v>
      </c>
      <c r="AB172" s="67">
        <f>IFERROR(SUMIF(生体情報モニタ!$C$30:$C$74,B172,生体情報モニタ!$K$30:$K$74)*((生体情報モニタ!$H$3-生体情報モニタ!$I$3)/生体情報モニタ!$H$3),0)</f>
        <v>0</v>
      </c>
      <c r="AC172" s="68">
        <f t="shared" si="37"/>
        <v>0</v>
      </c>
      <c r="AD172" s="67">
        <f>IFERROR(SUMIF(分娩監視装置!$C$30:$C$74,B172,分娩監視装置!$K$30:$K$74)*((分娩監視装置!$H$3-分娩監視装置!$I$3)/分娩監視装置!$H$3),0)</f>
        <v>0</v>
      </c>
      <c r="AE172" s="68">
        <f t="shared" si="52"/>
        <v>0</v>
      </c>
      <c r="AF172" s="67">
        <f>IFERROR(SUMIF(新生児モニタ!$C$30:$C$74,B172,新生児モニタ!$K$30:$K$74)*((新生児モニタ!$H$3-新生児モニタ!$I$3)/新生児モニタ!$H$3),0)</f>
        <v>0</v>
      </c>
      <c r="AG172" s="68">
        <f t="shared" si="53"/>
        <v>0</v>
      </c>
    </row>
    <row r="173" spans="2:33">
      <c r="B173" s="64" t="s">
        <v>820</v>
      </c>
      <c r="C173" s="67">
        <f>IFERROR(SUMIF(初度設備!$C$30:$C$74,B173,初度設備!$N$30:$N$74)*((初度設備!$H$3-初度設備!$I$3)/初度設備!$H$3),0)</f>
        <v>0</v>
      </c>
      <c r="D173" s="68">
        <f t="shared" si="38"/>
        <v>0</v>
      </c>
      <c r="E173" s="67">
        <f>IFERROR(SUMIF(人工呼吸器!$C$30:$C$74,B173,人工呼吸器!$N$30:$N$74)*((人工呼吸器!$H$3-人工呼吸器!$I$3)/人工呼吸器!$H$3),0)</f>
        <v>0</v>
      </c>
      <c r="F173" s="68">
        <f t="shared" si="39"/>
        <v>0</v>
      </c>
      <c r="G173" s="68">
        <f t="shared" si="40"/>
        <v>0</v>
      </c>
      <c r="H173" s="68">
        <f t="shared" si="41"/>
        <v>0</v>
      </c>
      <c r="I173" s="67">
        <f>IFERROR(SUMIF(簡易陰圧装置!$C$30:$C$74,B173,簡易陰圧装置!$N$30:$N$74)*((簡易陰圧装置!$H$3-簡易陰圧装置!$I$3)/簡易陰圧装置!$H$3),0)</f>
        <v>0</v>
      </c>
      <c r="J173" s="68">
        <f t="shared" si="42"/>
        <v>0</v>
      </c>
      <c r="K173" s="67">
        <f>IFERROR(SUMIF(#REF!,B173,#REF!)*((#REF!-#REF!)/#REF!),0)</f>
        <v>0</v>
      </c>
      <c r="L173" s="68">
        <f t="shared" si="43"/>
        <v>0</v>
      </c>
      <c r="M173" s="67">
        <f>IFERROR(SUMIF(体外式膜型人工肺!$C$30:$C$74,B173,体外式膜型人工肺!$N$30:$N$74)*((体外式膜型人工肺!$H$3-体外式膜型人工肺!$I$3)/体外式膜型人工肺!$H$3),0)</f>
        <v>0</v>
      </c>
      <c r="N173" s="68">
        <f t="shared" si="44"/>
        <v>0</v>
      </c>
      <c r="O173" s="68">
        <f t="shared" si="45"/>
        <v>0</v>
      </c>
      <c r="P173" s="68">
        <f t="shared" si="46"/>
        <v>0</v>
      </c>
      <c r="Q173" s="67">
        <f>IFERROR(SUMIF(紫外線照射装置!$C$30:$C$74,B173,紫外線照射装置!$N$30:$N$74)*((紫外線照射装置!$H$3-紫外線照射装置!$I$3)/紫外線照射装置!$H$3),0)</f>
        <v>0</v>
      </c>
      <c r="R173" s="68">
        <f t="shared" si="47"/>
        <v>0</v>
      </c>
      <c r="S173" s="101">
        <f t="shared" si="48"/>
        <v>0</v>
      </c>
      <c r="T173" s="67">
        <f>IFERROR(SUMIF(超音波画像診断装置!$C$30:$C$74,B173,超音波画像診断装置!$K$30:$K$74)*((超音波画像診断装置!$H$3-超音波画像診断装置!$I$3)/超音波画像診断装置!$H$3),0)</f>
        <v>15400000</v>
      </c>
      <c r="U173" s="68">
        <f t="shared" si="49"/>
        <v>11000000</v>
      </c>
      <c r="V173" s="67">
        <f>IFERROR(SUMIF(血液浄化装置!$C$30:$C$74,B173,血液浄化装置!$K$30:$K$74)*((血液浄化装置!$H$3-血液浄化装置!$I$3)/血液浄化装置!$H$3),0)</f>
        <v>17600000</v>
      </c>
      <c r="W173" s="68">
        <f t="shared" si="50"/>
        <v>6600000</v>
      </c>
      <c r="X173" s="67">
        <f>IFERROR(SUMIF(気管支鏡!$C$30:$C$74,B173,気管支鏡!$K$30:$K$74)*((気管支鏡!$H$3-気管支鏡!$I$3)/気管支鏡!$H$3),0)</f>
        <v>19800000</v>
      </c>
      <c r="Y173" s="68">
        <f t="shared" si="36"/>
        <v>5500000</v>
      </c>
      <c r="Z173" s="67">
        <f>IFERROR(SUMIF(CT撮影装置!$C$30:$C$74,B173,CT撮影装置!$K$30:$K$74)*((CT撮影装置!$H$3-CT撮影装置!$I$3)/CT撮影装置!$H$3),0)</f>
        <v>24200000</v>
      </c>
      <c r="AA173" s="68">
        <f t="shared" si="51"/>
        <v>24200000</v>
      </c>
      <c r="AB173" s="67">
        <f>IFERROR(SUMIF(生体情報モニタ!$C$30:$C$74,B173,生体情報モニタ!$K$30:$K$74)*((生体情報モニタ!$H$3-生体情報モニタ!$I$3)/生体情報モニタ!$H$3),0)</f>
        <v>26400000</v>
      </c>
      <c r="AC173" s="68">
        <f t="shared" si="37"/>
        <v>1100000</v>
      </c>
      <c r="AD173" s="67">
        <f>IFERROR(SUMIF(分娩監視装置!$C$30:$C$74,B173,分娩監視装置!$K$30:$K$74)*((分娩監視装置!$H$3-分娩監視装置!$I$3)/分娩監視装置!$H$3),0)</f>
        <v>28600000</v>
      </c>
      <c r="AE173" s="68">
        <f t="shared" si="52"/>
        <v>2200000</v>
      </c>
      <c r="AF173" s="67">
        <f>IFERROR(SUMIF(新生児モニタ!$C$30:$C$74,B173,新生児モニタ!$K$30:$K$74)*((新生児モニタ!$H$3-新生児モニタ!$I$3)/新生児モニタ!$H$3),0)</f>
        <v>30800000</v>
      </c>
      <c r="AG173" s="68">
        <f t="shared" si="53"/>
        <v>1100000</v>
      </c>
    </row>
    <row r="174" spans="2:33">
      <c r="B174" s="64" t="s">
        <v>821</v>
      </c>
      <c r="C174" s="67">
        <f>IFERROR(SUMIF(初度設備!$C$30:$C$74,B174,初度設備!$N$30:$N$74)*((初度設備!$H$3-初度設備!$I$3)/初度設備!$H$3),0)</f>
        <v>0</v>
      </c>
      <c r="D174" s="68">
        <f t="shared" si="38"/>
        <v>0</v>
      </c>
      <c r="E174" s="67">
        <f>IFERROR(SUMIF(人工呼吸器!$C$30:$C$74,B174,人工呼吸器!$N$30:$N$74)*((人工呼吸器!$H$3-人工呼吸器!$I$3)/人工呼吸器!$H$3),0)</f>
        <v>0</v>
      </c>
      <c r="F174" s="68">
        <f t="shared" si="39"/>
        <v>0</v>
      </c>
      <c r="G174" s="68">
        <f t="shared" si="40"/>
        <v>0</v>
      </c>
      <c r="H174" s="68">
        <f t="shared" si="41"/>
        <v>0</v>
      </c>
      <c r="I174" s="67">
        <f>IFERROR(SUMIF(簡易陰圧装置!$C$30:$C$74,B174,簡易陰圧装置!$N$30:$N$74)*((簡易陰圧装置!$H$3-簡易陰圧装置!$I$3)/簡易陰圧装置!$H$3),0)</f>
        <v>0</v>
      </c>
      <c r="J174" s="68">
        <f t="shared" si="42"/>
        <v>0</v>
      </c>
      <c r="K174" s="67">
        <f>IFERROR(SUMIF(#REF!,B174,#REF!)*((#REF!-#REF!)/#REF!),0)</f>
        <v>0</v>
      </c>
      <c r="L174" s="68">
        <f t="shared" si="43"/>
        <v>0</v>
      </c>
      <c r="M174" s="67">
        <f>IFERROR(SUMIF(体外式膜型人工肺!$C$30:$C$74,B174,体外式膜型人工肺!$N$30:$N$74)*((体外式膜型人工肺!$H$3-体外式膜型人工肺!$I$3)/体外式膜型人工肺!$H$3),0)</f>
        <v>0</v>
      </c>
      <c r="N174" s="68">
        <f t="shared" si="44"/>
        <v>0</v>
      </c>
      <c r="O174" s="68">
        <f t="shared" si="45"/>
        <v>0</v>
      </c>
      <c r="P174" s="68">
        <f t="shared" si="46"/>
        <v>0</v>
      </c>
      <c r="Q174" s="67">
        <f>IFERROR(SUMIF(紫外線照射装置!$C$30:$C$74,B174,紫外線照射装置!$N$30:$N$74)*((紫外線照射装置!$H$3-紫外線照射装置!$I$3)/紫外線照射装置!$H$3),0)</f>
        <v>0</v>
      </c>
      <c r="R174" s="68">
        <f t="shared" si="47"/>
        <v>0</v>
      </c>
      <c r="S174" s="101">
        <f t="shared" si="48"/>
        <v>0</v>
      </c>
      <c r="T174" s="67">
        <f>IFERROR(SUMIF(超音波画像診断装置!$C$30:$C$74,B174,超音波画像診断装置!$K$30:$K$74)*((超音波画像診断装置!$H$3-超音波画像診断装置!$I$3)/超音波画像診断装置!$H$3),0)</f>
        <v>0</v>
      </c>
      <c r="U174" s="68">
        <f t="shared" si="49"/>
        <v>0</v>
      </c>
      <c r="V174" s="67">
        <f>IFERROR(SUMIF(血液浄化装置!$C$30:$C$74,B174,血液浄化装置!$K$30:$K$74)*((血液浄化装置!$H$3-血液浄化装置!$I$3)/血液浄化装置!$H$3),0)</f>
        <v>0</v>
      </c>
      <c r="W174" s="68">
        <f t="shared" si="50"/>
        <v>0</v>
      </c>
      <c r="X174" s="67">
        <f>IFERROR(SUMIF(気管支鏡!$C$30:$C$74,B174,気管支鏡!$K$30:$K$74)*((気管支鏡!$H$3-気管支鏡!$I$3)/気管支鏡!$H$3),0)</f>
        <v>0</v>
      </c>
      <c r="Y174" s="68">
        <f t="shared" si="36"/>
        <v>0</v>
      </c>
      <c r="Z174" s="67">
        <f>IFERROR(SUMIF(CT撮影装置!$C$30:$C$74,B174,CT撮影装置!$K$30:$K$74)*((CT撮影装置!$H$3-CT撮影装置!$I$3)/CT撮影装置!$H$3),0)</f>
        <v>0</v>
      </c>
      <c r="AA174" s="68">
        <f t="shared" si="51"/>
        <v>0</v>
      </c>
      <c r="AB174" s="67">
        <f>IFERROR(SUMIF(生体情報モニタ!$C$30:$C$74,B174,生体情報モニタ!$K$30:$K$74)*((生体情報モニタ!$H$3-生体情報モニタ!$I$3)/生体情報モニタ!$H$3),0)</f>
        <v>0</v>
      </c>
      <c r="AC174" s="68">
        <f t="shared" si="37"/>
        <v>0</v>
      </c>
      <c r="AD174" s="67">
        <f>IFERROR(SUMIF(分娩監視装置!$C$30:$C$74,B174,分娩監視装置!$K$30:$K$74)*((分娩監視装置!$H$3-分娩監視装置!$I$3)/分娩監視装置!$H$3),0)</f>
        <v>0</v>
      </c>
      <c r="AE174" s="68">
        <f t="shared" si="52"/>
        <v>0</v>
      </c>
      <c r="AF174" s="67">
        <f>IFERROR(SUMIF(新生児モニタ!$C$30:$C$74,B174,新生児モニタ!$K$30:$K$74)*((新生児モニタ!$H$3-新生児モニタ!$I$3)/新生児モニタ!$H$3),0)</f>
        <v>0</v>
      </c>
      <c r="AG174" s="68">
        <f t="shared" si="53"/>
        <v>0</v>
      </c>
    </row>
    <row r="175" spans="2:33">
      <c r="B175" s="64" t="s">
        <v>822</v>
      </c>
      <c r="C175" s="67">
        <f>IFERROR(SUMIF(初度設備!$C$30:$C$74,B175,初度設備!$N$30:$N$74)*((初度設備!$H$3-初度設備!$I$3)/初度設備!$H$3),0)</f>
        <v>0</v>
      </c>
      <c r="D175" s="68">
        <f t="shared" si="38"/>
        <v>0</v>
      </c>
      <c r="E175" s="67">
        <f>IFERROR(SUMIF(人工呼吸器!$C$30:$C$74,B175,人工呼吸器!$N$30:$N$74)*((人工呼吸器!$H$3-人工呼吸器!$I$3)/人工呼吸器!$H$3),0)</f>
        <v>0</v>
      </c>
      <c r="F175" s="68">
        <f t="shared" si="39"/>
        <v>0</v>
      </c>
      <c r="G175" s="68">
        <f t="shared" si="40"/>
        <v>0</v>
      </c>
      <c r="H175" s="68">
        <f t="shared" si="41"/>
        <v>0</v>
      </c>
      <c r="I175" s="67">
        <f>IFERROR(SUMIF(簡易陰圧装置!$C$30:$C$74,B175,簡易陰圧装置!$N$30:$N$74)*((簡易陰圧装置!$H$3-簡易陰圧装置!$I$3)/簡易陰圧装置!$H$3),0)</f>
        <v>0</v>
      </c>
      <c r="J175" s="68">
        <f t="shared" si="42"/>
        <v>0</v>
      </c>
      <c r="K175" s="67">
        <f>IFERROR(SUMIF(#REF!,B175,#REF!)*((#REF!-#REF!)/#REF!),0)</f>
        <v>0</v>
      </c>
      <c r="L175" s="68">
        <f t="shared" si="43"/>
        <v>0</v>
      </c>
      <c r="M175" s="67">
        <f>IFERROR(SUMIF(体外式膜型人工肺!$C$30:$C$74,B175,体外式膜型人工肺!$N$30:$N$74)*((体外式膜型人工肺!$H$3-体外式膜型人工肺!$I$3)/体外式膜型人工肺!$H$3),0)</f>
        <v>0</v>
      </c>
      <c r="N175" s="68">
        <f t="shared" si="44"/>
        <v>0</v>
      </c>
      <c r="O175" s="68">
        <f t="shared" si="45"/>
        <v>0</v>
      </c>
      <c r="P175" s="68">
        <f t="shared" si="46"/>
        <v>0</v>
      </c>
      <c r="Q175" s="67">
        <f>IFERROR(SUMIF(紫外線照射装置!$C$30:$C$74,B175,紫外線照射装置!$N$30:$N$74)*((紫外線照射装置!$H$3-紫外線照射装置!$I$3)/紫外線照射装置!$H$3),0)</f>
        <v>0</v>
      </c>
      <c r="R175" s="68">
        <f t="shared" si="47"/>
        <v>0</v>
      </c>
      <c r="S175" s="101">
        <f t="shared" si="48"/>
        <v>0</v>
      </c>
      <c r="T175" s="67">
        <f>IFERROR(SUMIF(超音波画像診断装置!$C$30:$C$74,B175,超音波画像診断装置!$K$30:$K$74)*((超音波画像診断装置!$H$3-超音波画像診断装置!$I$3)/超音波画像診断装置!$H$3),0)</f>
        <v>0</v>
      </c>
      <c r="U175" s="68">
        <f t="shared" si="49"/>
        <v>0</v>
      </c>
      <c r="V175" s="67">
        <f>IFERROR(SUMIF(血液浄化装置!$C$30:$C$74,B175,血液浄化装置!$K$30:$K$74)*((血液浄化装置!$H$3-血液浄化装置!$I$3)/血液浄化装置!$H$3),0)</f>
        <v>0</v>
      </c>
      <c r="W175" s="68">
        <f t="shared" si="50"/>
        <v>0</v>
      </c>
      <c r="X175" s="67">
        <f>IFERROR(SUMIF(気管支鏡!$C$30:$C$74,B175,気管支鏡!$K$30:$K$74)*((気管支鏡!$H$3-気管支鏡!$I$3)/気管支鏡!$H$3),0)</f>
        <v>0</v>
      </c>
      <c r="Y175" s="68">
        <f t="shared" si="36"/>
        <v>0</v>
      </c>
      <c r="Z175" s="67">
        <f>IFERROR(SUMIF(CT撮影装置!$C$30:$C$74,B175,CT撮影装置!$K$30:$K$74)*((CT撮影装置!$H$3-CT撮影装置!$I$3)/CT撮影装置!$H$3),0)</f>
        <v>0</v>
      </c>
      <c r="AA175" s="68">
        <f t="shared" si="51"/>
        <v>0</v>
      </c>
      <c r="AB175" s="67">
        <f>IFERROR(SUMIF(生体情報モニタ!$C$30:$C$74,B175,生体情報モニタ!$K$30:$K$74)*((生体情報モニタ!$H$3-生体情報モニタ!$I$3)/生体情報モニタ!$H$3),0)</f>
        <v>0</v>
      </c>
      <c r="AC175" s="68">
        <f t="shared" si="37"/>
        <v>0</v>
      </c>
      <c r="AD175" s="67">
        <f>IFERROR(SUMIF(分娩監視装置!$C$30:$C$74,B175,分娩監視装置!$K$30:$K$74)*((分娩監視装置!$H$3-分娩監視装置!$I$3)/分娩監視装置!$H$3),0)</f>
        <v>0</v>
      </c>
      <c r="AE175" s="68">
        <f t="shared" si="52"/>
        <v>0</v>
      </c>
      <c r="AF175" s="67">
        <f>IFERROR(SUMIF(新生児モニタ!$C$30:$C$74,B175,新生児モニタ!$K$30:$K$74)*((新生児モニタ!$H$3-新生児モニタ!$I$3)/新生児モニタ!$H$3),0)</f>
        <v>0</v>
      </c>
      <c r="AG175" s="68">
        <f t="shared" si="53"/>
        <v>0</v>
      </c>
    </row>
    <row r="176" spans="2:33">
      <c r="B176" s="64" t="s">
        <v>823</v>
      </c>
      <c r="C176" s="67">
        <f>IFERROR(SUMIF(初度設備!$C$30:$C$74,B176,初度設備!$N$30:$N$74)*((初度設備!$H$3-初度設備!$I$3)/初度設備!$H$3),0)</f>
        <v>0</v>
      </c>
      <c r="D176" s="68">
        <f t="shared" si="38"/>
        <v>0</v>
      </c>
      <c r="E176" s="67">
        <f>IFERROR(SUMIF(人工呼吸器!$C$30:$C$74,B176,人工呼吸器!$N$30:$N$74)*((人工呼吸器!$H$3-人工呼吸器!$I$3)/人工呼吸器!$H$3),0)</f>
        <v>0</v>
      </c>
      <c r="F176" s="68">
        <f t="shared" si="39"/>
        <v>0</v>
      </c>
      <c r="G176" s="68">
        <f t="shared" si="40"/>
        <v>0</v>
      </c>
      <c r="H176" s="68">
        <f t="shared" si="41"/>
        <v>0</v>
      </c>
      <c r="I176" s="67">
        <f>IFERROR(SUMIF(簡易陰圧装置!$C$30:$C$74,B176,簡易陰圧装置!$N$30:$N$74)*((簡易陰圧装置!$H$3-簡易陰圧装置!$I$3)/簡易陰圧装置!$H$3),0)</f>
        <v>0</v>
      </c>
      <c r="J176" s="68">
        <f t="shared" si="42"/>
        <v>0</v>
      </c>
      <c r="K176" s="67">
        <f>IFERROR(SUMIF(#REF!,B176,#REF!)*((#REF!-#REF!)/#REF!),0)</f>
        <v>0</v>
      </c>
      <c r="L176" s="68">
        <f t="shared" si="43"/>
        <v>0</v>
      </c>
      <c r="M176" s="67">
        <f>IFERROR(SUMIF(体外式膜型人工肺!$C$30:$C$74,B176,体外式膜型人工肺!$N$30:$N$74)*((体外式膜型人工肺!$H$3-体外式膜型人工肺!$I$3)/体外式膜型人工肺!$H$3),0)</f>
        <v>0</v>
      </c>
      <c r="N176" s="68">
        <f t="shared" si="44"/>
        <v>0</v>
      </c>
      <c r="O176" s="68">
        <f t="shared" si="45"/>
        <v>0</v>
      </c>
      <c r="P176" s="68">
        <f t="shared" si="46"/>
        <v>0</v>
      </c>
      <c r="Q176" s="67">
        <f>IFERROR(SUMIF(紫外線照射装置!$C$30:$C$74,B176,紫外線照射装置!$N$30:$N$74)*((紫外線照射装置!$H$3-紫外線照射装置!$I$3)/紫外線照射装置!$H$3),0)</f>
        <v>0</v>
      </c>
      <c r="R176" s="68">
        <f t="shared" si="47"/>
        <v>0</v>
      </c>
      <c r="S176" s="101">
        <f t="shared" si="48"/>
        <v>0</v>
      </c>
      <c r="T176" s="67">
        <f>IFERROR(SUMIF(超音波画像診断装置!$C$30:$C$74,B176,超音波画像診断装置!$K$30:$K$74)*((超音波画像診断装置!$H$3-超音波画像診断装置!$I$3)/超音波画像診断装置!$H$3),0)</f>
        <v>0</v>
      </c>
      <c r="U176" s="68">
        <f t="shared" si="49"/>
        <v>0</v>
      </c>
      <c r="V176" s="67">
        <f>IFERROR(SUMIF(血液浄化装置!$C$30:$C$74,B176,血液浄化装置!$K$30:$K$74)*((血液浄化装置!$H$3-血液浄化装置!$I$3)/血液浄化装置!$H$3),0)</f>
        <v>0</v>
      </c>
      <c r="W176" s="68">
        <f t="shared" si="50"/>
        <v>0</v>
      </c>
      <c r="X176" s="67">
        <f>IFERROR(SUMIF(気管支鏡!$C$30:$C$74,B176,気管支鏡!$K$30:$K$74)*((気管支鏡!$H$3-気管支鏡!$I$3)/気管支鏡!$H$3),0)</f>
        <v>0</v>
      </c>
      <c r="Y176" s="68">
        <f t="shared" si="36"/>
        <v>0</v>
      </c>
      <c r="Z176" s="67">
        <f>IFERROR(SUMIF(CT撮影装置!$C$30:$C$74,B176,CT撮影装置!$K$30:$K$74)*((CT撮影装置!$H$3-CT撮影装置!$I$3)/CT撮影装置!$H$3),0)</f>
        <v>0</v>
      </c>
      <c r="AA176" s="68">
        <f t="shared" si="51"/>
        <v>0</v>
      </c>
      <c r="AB176" s="67">
        <f>IFERROR(SUMIF(生体情報モニタ!$C$30:$C$74,B176,生体情報モニタ!$K$30:$K$74)*((生体情報モニタ!$H$3-生体情報モニタ!$I$3)/生体情報モニタ!$H$3),0)</f>
        <v>0</v>
      </c>
      <c r="AC176" s="68">
        <f t="shared" si="37"/>
        <v>0</v>
      </c>
      <c r="AD176" s="67">
        <f>IFERROR(SUMIF(分娩監視装置!$C$30:$C$74,B176,分娩監視装置!$K$30:$K$74)*((分娩監視装置!$H$3-分娩監視装置!$I$3)/分娩監視装置!$H$3),0)</f>
        <v>0</v>
      </c>
      <c r="AE176" s="68">
        <f t="shared" si="52"/>
        <v>0</v>
      </c>
      <c r="AF176" s="67">
        <f>IFERROR(SUMIF(新生児モニタ!$C$30:$C$74,B176,新生児モニタ!$K$30:$K$74)*((新生児モニタ!$H$3-新生児モニタ!$I$3)/新生児モニタ!$H$3),0)</f>
        <v>0</v>
      </c>
      <c r="AG176" s="68">
        <f t="shared" si="53"/>
        <v>0</v>
      </c>
    </row>
    <row r="177" spans="2:33">
      <c r="B177" s="64" t="s">
        <v>824</v>
      </c>
      <c r="C177" s="67">
        <f>IFERROR(SUMIF(初度設備!$C$30:$C$74,B177,初度設備!$N$30:$N$74)*((初度設備!$H$3-初度設備!$I$3)/初度設備!$H$3),0)</f>
        <v>0</v>
      </c>
      <c r="D177" s="68">
        <f t="shared" si="38"/>
        <v>0</v>
      </c>
      <c r="E177" s="67">
        <f>IFERROR(SUMIF(人工呼吸器!$C$30:$C$74,B177,人工呼吸器!$N$30:$N$74)*((人工呼吸器!$H$3-人工呼吸器!$I$3)/人工呼吸器!$H$3),0)</f>
        <v>0</v>
      </c>
      <c r="F177" s="68">
        <f t="shared" si="39"/>
        <v>0</v>
      </c>
      <c r="G177" s="68">
        <f t="shared" si="40"/>
        <v>0</v>
      </c>
      <c r="H177" s="68">
        <f t="shared" si="41"/>
        <v>0</v>
      </c>
      <c r="I177" s="67">
        <f>IFERROR(SUMIF(簡易陰圧装置!$C$30:$C$74,B177,簡易陰圧装置!$N$30:$N$74)*((簡易陰圧装置!$H$3-簡易陰圧装置!$I$3)/簡易陰圧装置!$H$3),0)</f>
        <v>0</v>
      </c>
      <c r="J177" s="68">
        <f t="shared" si="42"/>
        <v>0</v>
      </c>
      <c r="K177" s="67">
        <f>IFERROR(SUMIF(#REF!,B177,#REF!)*((#REF!-#REF!)/#REF!),0)</f>
        <v>0</v>
      </c>
      <c r="L177" s="68">
        <f t="shared" si="43"/>
        <v>0</v>
      </c>
      <c r="M177" s="67">
        <f>IFERROR(SUMIF(体外式膜型人工肺!$C$30:$C$74,B177,体外式膜型人工肺!$N$30:$N$74)*((体外式膜型人工肺!$H$3-体外式膜型人工肺!$I$3)/体外式膜型人工肺!$H$3),0)</f>
        <v>0</v>
      </c>
      <c r="N177" s="68">
        <f t="shared" si="44"/>
        <v>0</v>
      </c>
      <c r="O177" s="68">
        <f t="shared" si="45"/>
        <v>0</v>
      </c>
      <c r="P177" s="68">
        <f t="shared" si="46"/>
        <v>0</v>
      </c>
      <c r="Q177" s="67">
        <f>IFERROR(SUMIF(紫外線照射装置!$C$30:$C$74,B177,紫外線照射装置!$N$30:$N$74)*((紫外線照射装置!$H$3-紫外線照射装置!$I$3)/紫外線照射装置!$H$3),0)</f>
        <v>0</v>
      </c>
      <c r="R177" s="68">
        <f t="shared" si="47"/>
        <v>0</v>
      </c>
      <c r="S177" s="101">
        <f t="shared" si="48"/>
        <v>0</v>
      </c>
      <c r="T177" s="67">
        <f>IFERROR(SUMIF(超音波画像診断装置!$C$30:$C$74,B177,超音波画像診断装置!$K$30:$K$74)*((超音波画像診断装置!$H$3-超音波画像診断装置!$I$3)/超音波画像診断装置!$H$3),0)</f>
        <v>0</v>
      </c>
      <c r="U177" s="68">
        <f t="shared" si="49"/>
        <v>0</v>
      </c>
      <c r="V177" s="67">
        <f>IFERROR(SUMIF(血液浄化装置!$C$30:$C$74,B177,血液浄化装置!$K$30:$K$74)*((血液浄化装置!$H$3-血液浄化装置!$I$3)/血液浄化装置!$H$3),0)</f>
        <v>0</v>
      </c>
      <c r="W177" s="68">
        <f t="shared" si="50"/>
        <v>0</v>
      </c>
      <c r="X177" s="67">
        <f>IFERROR(SUMIF(気管支鏡!$C$30:$C$74,B177,気管支鏡!$K$30:$K$74)*((気管支鏡!$H$3-気管支鏡!$I$3)/気管支鏡!$H$3),0)</f>
        <v>0</v>
      </c>
      <c r="Y177" s="68">
        <f t="shared" si="36"/>
        <v>0</v>
      </c>
      <c r="Z177" s="67">
        <f>IFERROR(SUMIF(CT撮影装置!$C$30:$C$74,B177,CT撮影装置!$K$30:$K$74)*((CT撮影装置!$H$3-CT撮影装置!$I$3)/CT撮影装置!$H$3),0)</f>
        <v>0</v>
      </c>
      <c r="AA177" s="68">
        <f t="shared" si="51"/>
        <v>0</v>
      </c>
      <c r="AB177" s="67">
        <f>IFERROR(SUMIF(生体情報モニタ!$C$30:$C$74,B177,生体情報モニタ!$K$30:$K$74)*((生体情報モニタ!$H$3-生体情報モニタ!$I$3)/生体情報モニタ!$H$3),0)</f>
        <v>0</v>
      </c>
      <c r="AC177" s="68">
        <f t="shared" si="37"/>
        <v>0</v>
      </c>
      <c r="AD177" s="67">
        <f>IFERROR(SUMIF(分娩監視装置!$C$30:$C$74,B177,分娩監視装置!$K$30:$K$74)*((分娩監視装置!$H$3-分娩監視装置!$I$3)/分娩監視装置!$H$3),0)</f>
        <v>0</v>
      </c>
      <c r="AE177" s="68">
        <f t="shared" si="52"/>
        <v>0</v>
      </c>
      <c r="AF177" s="67">
        <f>IFERROR(SUMIF(新生児モニタ!$C$30:$C$74,B177,新生児モニタ!$K$30:$K$74)*((新生児モニタ!$H$3-新生児モニタ!$I$3)/新生児モニタ!$H$3),0)</f>
        <v>0</v>
      </c>
      <c r="AG177" s="68">
        <f t="shared" si="53"/>
        <v>0</v>
      </c>
    </row>
    <row r="178" spans="2:33">
      <c r="B178" s="64" t="s">
        <v>825</v>
      </c>
      <c r="C178" s="67">
        <f>IFERROR(SUMIF(初度設備!$C$30:$C$74,B178,初度設備!$N$30:$N$74)*((初度設備!$H$3-初度設備!$I$3)/初度設備!$H$3),0)</f>
        <v>0</v>
      </c>
      <c r="D178" s="68">
        <f t="shared" si="38"/>
        <v>0</v>
      </c>
      <c r="E178" s="67">
        <f>IFERROR(SUMIF(人工呼吸器!$C$30:$C$74,B178,人工呼吸器!$N$30:$N$74)*((人工呼吸器!$H$3-人工呼吸器!$I$3)/人工呼吸器!$H$3),0)</f>
        <v>0</v>
      </c>
      <c r="F178" s="68">
        <f t="shared" si="39"/>
        <v>0</v>
      </c>
      <c r="G178" s="68">
        <f t="shared" si="40"/>
        <v>0</v>
      </c>
      <c r="H178" s="68">
        <f t="shared" si="41"/>
        <v>0</v>
      </c>
      <c r="I178" s="67">
        <f>IFERROR(SUMIF(簡易陰圧装置!$C$30:$C$74,B178,簡易陰圧装置!$N$30:$N$74)*((簡易陰圧装置!$H$3-簡易陰圧装置!$I$3)/簡易陰圧装置!$H$3),0)</f>
        <v>0</v>
      </c>
      <c r="J178" s="68">
        <f t="shared" si="42"/>
        <v>0</v>
      </c>
      <c r="K178" s="67">
        <f>IFERROR(SUMIF(#REF!,B178,#REF!)*((#REF!-#REF!)/#REF!),0)</f>
        <v>0</v>
      </c>
      <c r="L178" s="68">
        <f t="shared" si="43"/>
        <v>0</v>
      </c>
      <c r="M178" s="67">
        <f>IFERROR(SUMIF(体外式膜型人工肺!$C$30:$C$74,B178,体外式膜型人工肺!$N$30:$N$74)*((体外式膜型人工肺!$H$3-体外式膜型人工肺!$I$3)/体外式膜型人工肺!$H$3),0)</f>
        <v>0</v>
      </c>
      <c r="N178" s="68">
        <f t="shared" si="44"/>
        <v>0</v>
      </c>
      <c r="O178" s="68">
        <f t="shared" si="45"/>
        <v>0</v>
      </c>
      <c r="P178" s="68">
        <f t="shared" si="46"/>
        <v>0</v>
      </c>
      <c r="Q178" s="67">
        <f>IFERROR(SUMIF(紫外線照射装置!$C$30:$C$74,B178,紫外線照射装置!$N$30:$N$74)*((紫外線照射装置!$H$3-紫外線照射装置!$I$3)/紫外線照射装置!$H$3),0)</f>
        <v>0</v>
      </c>
      <c r="R178" s="68">
        <f t="shared" si="47"/>
        <v>0</v>
      </c>
      <c r="S178" s="101">
        <f t="shared" si="48"/>
        <v>0</v>
      </c>
      <c r="T178" s="67">
        <f>IFERROR(SUMIF(超音波画像診断装置!$C$30:$C$74,B178,超音波画像診断装置!$K$30:$K$74)*((超音波画像診断装置!$H$3-超音波画像診断装置!$I$3)/超音波画像診断装置!$H$3),0)</f>
        <v>0</v>
      </c>
      <c r="U178" s="68">
        <f t="shared" si="49"/>
        <v>0</v>
      </c>
      <c r="V178" s="67">
        <f>IFERROR(SUMIF(血液浄化装置!$C$30:$C$74,B178,血液浄化装置!$K$30:$K$74)*((血液浄化装置!$H$3-血液浄化装置!$I$3)/血液浄化装置!$H$3),0)</f>
        <v>0</v>
      </c>
      <c r="W178" s="68">
        <f t="shared" si="50"/>
        <v>0</v>
      </c>
      <c r="X178" s="67">
        <f>IFERROR(SUMIF(気管支鏡!$C$30:$C$74,B178,気管支鏡!$K$30:$K$74)*((気管支鏡!$H$3-気管支鏡!$I$3)/気管支鏡!$H$3),0)</f>
        <v>0</v>
      </c>
      <c r="Y178" s="68">
        <f t="shared" si="36"/>
        <v>0</v>
      </c>
      <c r="Z178" s="67">
        <f>IFERROR(SUMIF(CT撮影装置!$C$30:$C$74,B178,CT撮影装置!$K$30:$K$74)*((CT撮影装置!$H$3-CT撮影装置!$I$3)/CT撮影装置!$H$3),0)</f>
        <v>0</v>
      </c>
      <c r="AA178" s="68">
        <f t="shared" si="51"/>
        <v>0</v>
      </c>
      <c r="AB178" s="67">
        <f>IFERROR(SUMIF(生体情報モニタ!$C$30:$C$74,B178,生体情報モニタ!$K$30:$K$74)*((生体情報モニタ!$H$3-生体情報モニタ!$I$3)/生体情報モニタ!$H$3),0)</f>
        <v>0</v>
      </c>
      <c r="AC178" s="68">
        <f t="shared" si="37"/>
        <v>0</v>
      </c>
      <c r="AD178" s="67">
        <f>IFERROR(SUMIF(分娩監視装置!$C$30:$C$74,B178,分娩監視装置!$K$30:$K$74)*((分娩監視装置!$H$3-分娩監視装置!$I$3)/分娩監視装置!$H$3),0)</f>
        <v>0</v>
      </c>
      <c r="AE178" s="68">
        <f t="shared" si="52"/>
        <v>0</v>
      </c>
      <c r="AF178" s="67">
        <f>IFERROR(SUMIF(新生児モニタ!$C$30:$C$74,B178,新生児モニタ!$K$30:$K$74)*((新生児モニタ!$H$3-新生児モニタ!$I$3)/新生児モニタ!$H$3),0)</f>
        <v>0</v>
      </c>
      <c r="AG178" s="68">
        <f t="shared" si="53"/>
        <v>0</v>
      </c>
    </row>
    <row r="179" spans="2:33">
      <c r="B179" s="64" t="s">
        <v>826</v>
      </c>
      <c r="C179" s="67">
        <f>IFERROR(SUMIF(初度設備!$C$30:$C$74,B179,初度設備!$N$30:$N$74)*((初度設備!$H$3-初度設備!$I$3)/初度設備!$H$3),0)</f>
        <v>0</v>
      </c>
      <c r="D179" s="68">
        <f t="shared" si="38"/>
        <v>0</v>
      </c>
      <c r="E179" s="67">
        <f>IFERROR(SUMIF(人工呼吸器!$C$30:$C$74,B179,人工呼吸器!$N$30:$N$74)*((人工呼吸器!$H$3-人工呼吸器!$I$3)/人工呼吸器!$H$3),0)</f>
        <v>0</v>
      </c>
      <c r="F179" s="68">
        <f t="shared" si="39"/>
        <v>0</v>
      </c>
      <c r="G179" s="68">
        <f t="shared" si="40"/>
        <v>0</v>
      </c>
      <c r="H179" s="68">
        <f t="shared" si="41"/>
        <v>0</v>
      </c>
      <c r="I179" s="67">
        <f>IFERROR(SUMIF(簡易陰圧装置!$C$30:$C$74,B179,簡易陰圧装置!$N$30:$N$74)*((簡易陰圧装置!$H$3-簡易陰圧装置!$I$3)/簡易陰圧装置!$H$3),0)</f>
        <v>0</v>
      </c>
      <c r="J179" s="68">
        <f t="shared" si="42"/>
        <v>0</v>
      </c>
      <c r="K179" s="67">
        <f>IFERROR(SUMIF(#REF!,B179,#REF!)*((#REF!-#REF!)/#REF!),0)</f>
        <v>0</v>
      </c>
      <c r="L179" s="68">
        <f t="shared" si="43"/>
        <v>0</v>
      </c>
      <c r="M179" s="67">
        <f>IFERROR(SUMIF(体外式膜型人工肺!$C$30:$C$74,B179,体外式膜型人工肺!$N$30:$N$74)*((体外式膜型人工肺!$H$3-体外式膜型人工肺!$I$3)/体外式膜型人工肺!$H$3),0)</f>
        <v>0</v>
      </c>
      <c r="N179" s="68">
        <f t="shared" si="44"/>
        <v>0</v>
      </c>
      <c r="O179" s="68">
        <f t="shared" si="45"/>
        <v>0</v>
      </c>
      <c r="P179" s="68">
        <f t="shared" si="46"/>
        <v>0</v>
      </c>
      <c r="Q179" s="67">
        <f>IFERROR(SUMIF(紫外線照射装置!$C$30:$C$74,B179,紫外線照射装置!$N$30:$N$74)*((紫外線照射装置!$H$3-紫外線照射装置!$I$3)/紫外線照射装置!$H$3),0)</f>
        <v>0</v>
      </c>
      <c r="R179" s="68">
        <f t="shared" si="47"/>
        <v>0</v>
      </c>
      <c r="S179" s="101">
        <f t="shared" si="48"/>
        <v>0</v>
      </c>
      <c r="T179" s="67">
        <f>IFERROR(SUMIF(超音波画像診断装置!$C$30:$C$74,B179,超音波画像診断装置!$K$30:$K$74)*((超音波画像診断装置!$H$3-超音波画像診断装置!$I$3)/超音波画像診断装置!$H$3),0)</f>
        <v>0</v>
      </c>
      <c r="U179" s="68">
        <f t="shared" si="49"/>
        <v>0</v>
      </c>
      <c r="V179" s="67">
        <f>IFERROR(SUMIF(血液浄化装置!$C$30:$C$74,B179,血液浄化装置!$K$30:$K$74)*((血液浄化装置!$H$3-血液浄化装置!$I$3)/血液浄化装置!$H$3),0)</f>
        <v>0</v>
      </c>
      <c r="W179" s="68">
        <f t="shared" si="50"/>
        <v>0</v>
      </c>
      <c r="X179" s="67">
        <f>IFERROR(SUMIF(気管支鏡!$C$30:$C$74,B179,気管支鏡!$K$30:$K$74)*((気管支鏡!$H$3-気管支鏡!$I$3)/気管支鏡!$H$3),0)</f>
        <v>0</v>
      </c>
      <c r="Y179" s="68">
        <f t="shared" si="36"/>
        <v>0</v>
      </c>
      <c r="Z179" s="67">
        <f>IFERROR(SUMIF(CT撮影装置!$C$30:$C$74,B179,CT撮影装置!$K$30:$K$74)*((CT撮影装置!$H$3-CT撮影装置!$I$3)/CT撮影装置!$H$3),0)</f>
        <v>0</v>
      </c>
      <c r="AA179" s="68">
        <f t="shared" si="51"/>
        <v>0</v>
      </c>
      <c r="AB179" s="67">
        <f>IFERROR(SUMIF(生体情報モニタ!$C$30:$C$74,B179,生体情報モニタ!$K$30:$K$74)*((生体情報モニタ!$H$3-生体情報モニタ!$I$3)/生体情報モニタ!$H$3),0)</f>
        <v>0</v>
      </c>
      <c r="AC179" s="68">
        <f t="shared" si="37"/>
        <v>0</v>
      </c>
      <c r="AD179" s="67">
        <f>IFERROR(SUMIF(分娩監視装置!$C$30:$C$74,B179,分娩監視装置!$K$30:$K$74)*((分娩監視装置!$H$3-分娩監視装置!$I$3)/分娩監視装置!$H$3),0)</f>
        <v>0</v>
      </c>
      <c r="AE179" s="68">
        <f t="shared" si="52"/>
        <v>0</v>
      </c>
      <c r="AF179" s="67">
        <f>IFERROR(SUMIF(新生児モニタ!$C$30:$C$74,B179,新生児モニタ!$K$30:$K$74)*((新生児モニタ!$H$3-新生児モニタ!$I$3)/新生児モニタ!$H$3),0)</f>
        <v>0</v>
      </c>
      <c r="AG179" s="68">
        <f t="shared" si="53"/>
        <v>0</v>
      </c>
    </row>
    <row r="180" spans="2:33">
      <c r="B180" s="64" t="s">
        <v>827</v>
      </c>
      <c r="C180" s="67">
        <f>IFERROR(SUMIF(初度設備!$C$30:$C$74,B180,初度設備!$N$30:$N$74)*((初度設備!$H$3-初度設備!$I$3)/初度設備!$H$3),0)</f>
        <v>0</v>
      </c>
      <c r="D180" s="68">
        <f t="shared" si="38"/>
        <v>0</v>
      </c>
      <c r="E180" s="67">
        <f>IFERROR(SUMIF(人工呼吸器!$C$30:$C$74,B180,人工呼吸器!$N$30:$N$74)*((人工呼吸器!$H$3-人工呼吸器!$I$3)/人工呼吸器!$H$3),0)</f>
        <v>0</v>
      </c>
      <c r="F180" s="68">
        <f t="shared" si="39"/>
        <v>0</v>
      </c>
      <c r="G180" s="68">
        <f t="shared" si="40"/>
        <v>0</v>
      </c>
      <c r="H180" s="68">
        <f t="shared" si="41"/>
        <v>0</v>
      </c>
      <c r="I180" s="67">
        <f>IFERROR(SUMIF(簡易陰圧装置!$C$30:$C$74,B180,簡易陰圧装置!$N$30:$N$74)*((簡易陰圧装置!$H$3-簡易陰圧装置!$I$3)/簡易陰圧装置!$H$3),0)</f>
        <v>0</v>
      </c>
      <c r="J180" s="68">
        <f t="shared" si="42"/>
        <v>0</v>
      </c>
      <c r="K180" s="67">
        <f>IFERROR(SUMIF(#REF!,B180,#REF!)*((#REF!-#REF!)/#REF!),0)</f>
        <v>0</v>
      </c>
      <c r="L180" s="68">
        <f t="shared" si="43"/>
        <v>0</v>
      </c>
      <c r="M180" s="67">
        <f>IFERROR(SUMIF(体外式膜型人工肺!$C$30:$C$74,B180,体外式膜型人工肺!$N$30:$N$74)*((体外式膜型人工肺!$H$3-体外式膜型人工肺!$I$3)/体外式膜型人工肺!$H$3),0)</f>
        <v>0</v>
      </c>
      <c r="N180" s="68">
        <f t="shared" si="44"/>
        <v>0</v>
      </c>
      <c r="O180" s="68">
        <f t="shared" si="45"/>
        <v>0</v>
      </c>
      <c r="P180" s="68">
        <f t="shared" si="46"/>
        <v>0</v>
      </c>
      <c r="Q180" s="67">
        <f>IFERROR(SUMIF(紫外線照射装置!$C$30:$C$74,B180,紫外線照射装置!$N$30:$N$74)*((紫外線照射装置!$H$3-紫外線照射装置!$I$3)/紫外線照射装置!$H$3),0)</f>
        <v>0</v>
      </c>
      <c r="R180" s="68">
        <f t="shared" si="47"/>
        <v>0</v>
      </c>
      <c r="S180" s="101">
        <f t="shared" si="48"/>
        <v>0</v>
      </c>
      <c r="T180" s="67">
        <f>IFERROR(SUMIF(超音波画像診断装置!$C$30:$C$74,B180,超音波画像診断装置!$K$30:$K$74)*((超音波画像診断装置!$H$3-超音波画像診断装置!$I$3)/超音波画像診断装置!$H$3),0)</f>
        <v>0</v>
      </c>
      <c r="U180" s="68">
        <f t="shared" si="49"/>
        <v>0</v>
      </c>
      <c r="V180" s="67">
        <f>IFERROR(SUMIF(血液浄化装置!$C$30:$C$74,B180,血液浄化装置!$K$30:$K$74)*((血液浄化装置!$H$3-血液浄化装置!$I$3)/血液浄化装置!$H$3),0)</f>
        <v>0</v>
      </c>
      <c r="W180" s="68">
        <f t="shared" si="50"/>
        <v>0</v>
      </c>
      <c r="X180" s="67">
        <f>IFERROR(SUMIF(気管支鏡!$C$30:$C$74,B180,気管支鏡!$K$30:$K$74)*((気管支鏡!$H$3-気管支鏡!$I$3)/気管支鏡!$H$3),0)</f>
        <v>0</v>
      </c>
      <c r="Y180" s="68">
        <f t="shared" si="36"/>
        <v>0</v>
      </c>
      <c r="Z180" s="67">
        <f>IFERROR(SUMIF(CT撮影装置!$C$30:$C$74,B180,CT撮影装置!$K$30:$K$74)*((CT撮影装置!$H$3-CT撮影装置!$I$3)/CT撮影装置!$H$3),0)</f>
        <v>0</v>
      </c>
      <c r="AA180" s="68">
        <f t="shared" si="51"/>
        <v>0</v>
      </c>
      <c r="AB180" s="67">
        <f>IFERROR(SUMIF(生体情報モニタ!$C$30:$C$74,B180,生体情報モニタ!$K$30:$K$74)*((生体情報モニタ!$H$3-生体情報モニタ!$I$3)/生体情報モニタ!$H$3),0)</f>
        <v>0</v>
      </c>
      <c r="AC180" s="68">
        <f t="shared" si="37"/>
        <v>0</v>
      </c>
      <c r="AD180" s="67">
        <f>IFERROR(SUMIF(分娩監視装置!$C$30:$C$74,B180,分娩監視装置!$K$30:$K$74)*((分娩監視装置!$H$3-分娩監視装置!$I$3)/分娩監視装置!$H$3),0)</f>
        <v>0</v>
      </c>
      <c r="AE180" s="68">
        <f t="shared" si="52"/>
        <v>0</v>
      </c>
      <c r="AF180" s="67">
        <f>IFERROR(SUMIF(新生児モニタ!$C$30:$C$74,B180,新生児モニタ!$K$30:$K$74)*((新生児モニタ!$H$3-新生児モニタ!$I$3)/新生児モニタ!$H$3),0)</f>
        <v>0</v>
      </c>
      <c r="AG180" s="68">
        <f t="shared" si="53"/>
        <v>0</v>
      </c>
    </row>
    <row r="181" spans="2:33">
      <c r="B181" s="64" t="s">
        <v>828</v>
      </c>
      <c r="C181" s="67">
        <f>IFERROR(SUMIF(初度設備!$C$30:$C$74,B181,初度設備!$N$30:$N$74)*((初度設備!$H$3-初度設備!$I$3)/初度設備!$H$3),0)</f>
        <v>0</v>
      </c>
      <c r="D181" s="68">
        <f t="shared" si="38"/>
        <v>0</v>
      </c>
      <c r="E181" s="67">
        <f>IFERROR(SUMIF(人工呼吸器!$C$30:$C$74,B181,人工呼吸器!$N$30:$N$74)*((人工呼吸器!$H$3-人工呼吸器!$I$3)/人工呼吸器!$H$3),0)</f>
        <v>0</v>
      </c>
      <c r="F181" s="68">
        <f t="shared" si="39"/>
        <v>0</v>
      </c>
      <c r="G181" s="68">
        <f t="shared" si="40"/>
        <v>0</v>
      </c>
      <c r="H181" s="68">
        <f t="shared" si="41"/>
        <v>0</v>
      </c>
      <c r="I181" s="67">
        <f>IFERROR(SUMIF(簡易陰圧装置!$C$30:$C$74,B181,簡易陰圧装置!$N$30:$N$74)*((簡易陰圧装置!$H$3-簡易陰圧装置!$I$3)/簡易陰圧装置!$H$3),0)</f>
        <v>0</v>
      </c>
      <c r="J181" s="68">
        <f t="shared" si="42"/>
        <v>0</v>
      </c>
      <c r="K181" s="67">
        <f>IFERROR(SUMIF(#REF!,B181,#REF!)*((#REF!-#REF!)/#REF!),0)</f>
        <v>0</v>
      </c>
      <c r="L181" s="68">
        <f t="shared" si="43"/>
        <v>0</v>
      </c>
      <c r="M181" s="67">
        <f>IFERROR(SUMIF(体外式膜型人工肺!$C$30:$C$74,B181,体外式膜型人工肺!$N$30:$N$74)*((体外式膜型人工肺!$H$3-体外式膜型人工肺!$I$3)/体外式膜型人工肺!$H$3),0)</f>
        <v>0</v>
      </c>
      <c r="N181" s="68">
        <f t="shared" si="44"/>
        <v>0</v>
      </c>
      <c r="O181" s="68">
        <f t="shared" si="45"/>
        <v>0</v>
      </c>
      <c r="P181" s="68">
        <f t="shared" si="46"/>
        <v>0</v>
      </c>
      <c r="Q181" s="67">
        <f>IFERROR(SUMIF(紫外線照射装置!$C$30:$C$74,B181,紫外線照射装置!$N$30:$N$74)*((紫外線照射装置!$H$3-紫外線照射装置!$I$3)/紫外線照射装置!$H$3),0)</f>
        <v>0</v>
      </c>
      <c r="R181" s="68">
        <f t="shared" si="47"/>
        <v>0</v>
      </c>
      <c r="S181" s="101">
        <f t="shared" si="48"/>
        <v>0</v>
      </c>
      <c r="T181" s="67">
        <f>IFERROR(SUMIF(超音波画像診断装置!$C$30:$C$74,B181,超音波画像診断装置!$K$30:$K$74)*((超音波画像診断装置!$H$3-超音波画像診断装置!$I$3)/超音波画像診断装置!$H$3),0)</f>
        <v>0</v>
      </c>
      <c r="U181" s="68">
        <f t="shared" si="49"/>
        <v>0</v>
      </c>
      <c r="V181" s="67">
        <f>IFERROR(SUMIF(血液浄化装置!$C$30:$C$74,B181,血液浄化装置!$K$30:$K$74)*((血液浄化装置!$H$3-血液浄化装置!$I$3)/血液浄化装置!$H$3),0)</f>
        <v>0</v>
      </c>
      <c r="W181" s="68">
        <f t="shared" si="50"/>
        <v>0</v>
      </c>
      <c r="X181" s="67">
        <f>IFERROR(SUMIF(気管支鏡!$C$30:$C$74,B181,気管支鏡!$K$30:$K$74)*((気管支鏡!$H$3-気管支鏡!$I$3)/気管支鏡!$H$3),0)</f>
        <v>0</v>
      </c>
      <c r="Y181" s="68">
        <f t="shared" si="36"/>
        <v>0</v>
      </c>
      <c r="Z181" s="67">
        <f>IFERROR(SUMIF(CT撮影装置!$C$30:$C$74,B181,CT撮影装置!$K$30:$K$74)*((CT撮影装置!$H$3-CT撮影装置!$I$3)/CT撮影装置!$H$3),0)</f>
        <v>0</v>
      </c>
      <c r="AA181" s="68">
        <f t="shared" si="51"/>
        <v>0</v>
      </c>
      <c r="AB181" s="67">
        <f>IFERROR(SUMIF(生体情報モニタ!$C$30:$C$74,B181,生体情報モニタ!$K$30:$K$74)*((生体情報モニタ!$H$3-生体情報モニタ!$I$3)/生体情報モニタ!$H$3),0)</f>
        <v>0</v>
      </c>
      <c r="AC181" s="68">
        <f t="shared" si="37"/>
        <v>0</v>
      </c>
      <c r="AD181" s="67">
        <f>IFERROR(SUMIF(分娩監視装置!$C$30:$C$74,B181,分娩監視装置!$K$30:$K$74)*((分娩監視装置!$H$3-分娩監視装置!$I$3)/分娩監視装置!$H$3),0)</f>
        <v>0</v>
      </c>
      <c r="AE181" s="68">
        <f t="shared" si="52"/>
        <v>0</v>
      </c>
      <c r="AF181" s="67">
        <f>IFERROR(SUMIF(新生児モニタ!$C$30:$C$74,B181,新生児モニタ!$K$30:$K$74)*((新生児モニタ!$H$3-新生児モニタ!$I$3)/新生児モニタ!$H$3),0)</f>
        <v>0</v>
      </c>
      <c r="AG181" s="68">
        <f t="shared" si="53"/>
        <v>0</v>
      </c>
    </row>
    <row r="182" spans="2:33">
      <c r="B182" s="64" t="s">
        <v>829</v>
      </c>
      <c r="C182" s="67">
        <f>IFERROR(SUMIF(初度設備!$C$30:$C$74,B182,初度設備!$N$30:$N$74)*((初度設備!$H$3-初度設備!$I$3)/初度設備!$H$3),0)</f>
        <v>0</v>
      </c>
      <c r="D182" s="68">
        <f t="shared" si="38"/>
        <v>0</v>
      </c>
      <c r="E182" s="67">
        <f>IFERROR(SUMIF(人工呼吸器!$C$30:$C$74,B182,人工呼吸器!$N$30:$N$74)*((人工呼吸器!$H$3-人工呼吸器!$I$3)/人工呼吸器!$H$3),0)</f>
        <v>0</v>
      </c>
      <c r="F182" s="68">
        <f t="shared" si="39"/>
        <v>0</v>
      </c>
      <c r="G182" s="68">
        <f t="shared" si="40"/>
        <v>0</v>
      </c>
      <c r="H182" s="68">
        <f t="shared" si="41"/>
        <v>0</v>
      </c>
      <c r="I182" s="67">
        <f>IFERROR(SUMIF(簡易陰圧装置!$C$30:$C$74,B182,簡易陰圧装置!$N$30:$N$74)*((簡易陰圧装置!$H$3-簡易陰圧装置!$I$3)/簡易陰圧装置!$H$3),0)</f>
        <v>0</v>
      </c>
      <c r="J182" s="68">
        <f t="shared" si="42"/>
        <v>0</v>
      </c>
      <c r="K182" s="67">
        <f>IFERROR(SUMIF(#REF!,B182,#REF!)*((#REF!-#REF!)/#REF!),0)</f>
        <v>0</v>
      </c>
      <c r="L182" s="68">
        <f t="shared" si="43"/>
        <v>0</v>
      </c>
      <c r="M182" s="67">
        <f>IFERROR(SUMIF(体外式膜型人工肺!$C$30:$C$74,B182,体外式膜型人工肺!$N$30:$N$74)*((体外式膜型人工肺!$H$3-体外式膜型人工肺!$I$3)/体外式膜型人工肺!$H$3),0)</f>
        <v>0</v>
      </c>
      <c r="N182" s="68">
        <f t="shared" si="44"/>
        <v>0</v>
      </c>
      <c r="O182" s="68">
        <f t="shared" si="45"/>
        <v>0</v>
      </c>
      <c r="P182" s="68">
        <f t="shared" si="46"/>
        <v>0</v>
      </c>
      <c r="Q182" s="67">
        <f>IFERROR(SUMIF(紫外線照射装置!$C$30:$C$74,B182,紫外線照射装置!$N$30:$N$74)*((紫外線照射装置!$H$3-紫外線照射装置!$I$3)/紫外線照射装置!$H$3),0)</f>
        <v>0</v>
      </c>
      <c r="R182" s="68">
        <f t="shared" si="47"/>
        <v>0</v>
      </c>
      <c r="S182" s="101">
        <f t="shared" si="48"/>
        <v>0</v>
      </c>
      <c r="T182" s="67">
        <f>IFERROR(SUMIF(超音波画像診断装置!$C$30:$C$74,B182,超音波画像診断装置!$K$30:$K$74)*((超音波画像診断装置!$H$3-超音波画像診断装置!$I$3)/超音波画像診断装置!$H$3),0)</f>
        <v>0</v>
      </c>
      <c r="U182" s="68">
        <f t="shared" si="49"/>
        <v>0</v>
      </c>
      <c r="V182" s="67">
        <f>IFERROR(SUMIF(血液浄化装置!$C$30:$C$74,B182,血液浄化装置!$K$30:$K$74)*((血液浄化装置!$H$3-血液浄化装置!$I$3)/血液浄化装置!$H$3),0)</f>
        <v>0</v>
      </c>
      <c r="W182" s="68">
        <f t="shared" si="50"/>
        <v>0</v>
      </c>
      <c r="X182" s="67">
        <f>IFERROR(SUMIF(気管支鏡!$C$30:$C$74,B182,気管支鏡!$K$30:$K$74)*((気管支鏡!$H$3-気管支鏡!$I$3)/気管支鏡!$H$3),0)</f>
        <v>0</v>
      </c>
      <c r="Y182" s="68">
        <f t="shared" si="36"/>
        <v>0</v>
      </c>
      <c r="Z182" s="67">
        <f>IFERROR(SUMIF(CT撮影装置!$C$30:$C$74,B182,CT撮影装置!$K$30:$K$74)*((CT撮影装置!$H$3-CT撮影装置!$I$3)/CT撮影装置!$H$3),0)</f>
        <v>0</v>
      </c>
      <c r="AA182" s="68">
        <f t="shared" si="51"/>
        <v>0</v>
      </c>
      <c r="AB182" s="67">
        <f>IFERROR(SUMIF(生体情報モニタ!$C$30:$C$74,B182,生体情報モニタ!$K$30:$K$74)*((生体情報モニタ!$H$3-生体情報モニタ!$I$3)/生体情報モニタ!$H$3),0)</f>
        <v>0</v>
      </c>
      <c r="AC182" s="68">
        <f t="shared" si="37"/>
        <v>0</v>
      </c>
      <c r="AD182" s="67">
        <f>IFERROR(SUMIF(分娩監視装置!$C$30:$C$74,B182,分娩監視装置!$K$30:$K$74)*((分娩監視装置!$H$3-分娩監視装置!$I$3)/分娩監視装置!$H$3),0)</f>
        <v>0</v>
      </c>
      <c r="AE182" s="68">
        <f t="shared" si="52"/>
        <v>0</v>
      </c>
      <c r="AF182" s="67">
        <f>IFERROR(SUMIF(新生児モニタ!$C$30:$C$74,B182,新生児モニタ!$K$30:$K$74)*((新生児モニタ!$H$3-新生児モニタ!$I$3)/新生児モニタ!$H$3),0)</f>
        <v>0</v>
      </c>
      <c r="AG182" s="68">
        <f t="shared" si="53"/>
        <v>0</v>
      </c>
    </row>
    <row r="183" spans="2:33">
      <c r="B183" s="64" t="s">
        <v>830</v>
      </c>
      <c r="C183" s="67">
        <f>IFERROR(SUMIF(初度設備!$C$30:$C$74,B183,初度設備!$N$30:$N$74)*((初度設備!$H$3-初度設備!$I$3)/初度設備!$H$3),0)</f>
        <v>0</v>
      </c>
      <c r="D183" s="68">
        <f t="shared" si="38"/>
        <v>0</v>
      </c>
      <c r="E183" s="67">
        <f>IFERROR(SUMIF(人工呼吸器!$C$30:$C$74,B183,人工呼吸器!$N$30:$N$74)*((人工呼吸器!$H$3-人工呼吸器!$I$3)/人工呼吸器!$H$3),0)</f>
        <v>0</v>
      </c>
      <c r="F183" s="68">
        <f t="shared" si="39"/>
        <v>0</v>
      </c>
      <c r="G183" s="68">
        <f t="shared" si="40"/>
        <v>0</v>
      </c>
      <c r="H183" s="68">
        <f t="shared" si="41"/>
        <v>0</v>
      </c>
      <c r="I183" s="67">
        <f>IFERROR(SUMIF(簡易陰圧装置!$C$30:$C$74,B183,簡易陰圧装置!$N$30:$N$74)*((簡易陰圧装置!$H$3-簡易陰圧装置!$I$3)/簡易陰圧装置!$H$3),0)</f>
        <v>0</v>
      </c>
      <c r="J183" s="68">
        <f t="shared" si="42"/>
        <v>0</v>
      </c>
      <c r="K183" s="67">
        <f>IFERROR(SUMIF(#REF!,B183,#REF!)*((#REF!-#REF!)/#REF!),0)</f>
        <v>0</v>
      </c>
      <c r="L183" s="68">
        <f t="shared" si="43"/>
        <v>0</v>
      </c>
      <c r="M183" s="67">
        <f>IFERROR(SUMIF(体外式膜型人工肺!$C$30:$C$74,B183,体外式膜型人工肺!$N$30:$N$74)*((体外式膜型人工肺!$H$3-体外式膜型人工肺!$I$3)/体外式膜型人工肺!$H$3),0)</f>
        <v>0</v>
      </c>
      <c r="N183" s="68">
        <f t="shared" si="44"/>
        <v>0</v>
      </c>
      <c r="O183" s="68">
        <f t="shared" si="45"/>
        <v>0</v>
      </c>
      <c r="P183" s="68">
        <f t="shared" si="46"/>
        <v>0</v>
      </c>
      <c r="Q183" s="67">
        <f>IFERROR(SUMIF(紫外線照射装置!$C$30:$C$74,B183,紫外線照射装置!$N$30:$N$74)*((紫外線照射装置!$H$3-紫外線照射装置!$I$3)/紫外線照射装置!$H$3),0)</f>
        <v>0</v>
      </c>
      <c r="R183" s="68">
        <f t="shared" si="47"/>
        <v>0</v>
      </c>
      <c r="S183" s="101">
        <f t="shared" si="48"/>
        <v>0</v>
      </c>
      <c r="T183" s="67">
        <f>IFERROR(SUMIF(超音波画像診断装置!$C$30:$C$74,B183,超音波画像診断装置!$K$30:$K$74)*((超音波画像診断装置!$H$3-超音波画像診断装置!$I$3)/超音波画像診断装置!$H$3),0)</f>
        <v>0</v>
      </c>
      <c r="U183" s="68">
        <f t="shared" si="49"/>
        <v>0</v>
      </c>
      <c r="V183" s="67">
        <f>IFERROR(SUMIF(血液浄化装置!$C$30:$C$74,B183,血液浄化装置!$K$30:$K$74)*((血液浄化装置!$H$3-血液浄化装置!$I$3)/血液浄化装置!$H$3),0)</f>
        <v>0</v>
      </c>
      <c r="W183" s="68">
        <f t="shared" si="50"/>
        <v>0</v>
      </c>
      <c r="X183" s="67">
        <f>IFERROR(SUMIF(気管支鏡!$C$30:$C$74,B183,気管支鏡!$K$30:$K$74)*((気管支鏡!$H$3-気管支鏡!$I$3)/気管支鏡!$H$3),0)</f>
        <v>0</v>
      </c>
      <c r="Y183" s="68">
        <f t="shared" si="36"/>
        <v>0</v>
      </c>
      <c r="Z183" s="67">
        <f>IFERROR(SUMIF(CT撮影装置!$C$30:$C$74,B183,CT撮影装置!$K$30:$K$74)*((CT撮影装置!$H$3-CT撮影装置!$I$3)/CT撮影装置!$H$3),0)</f>
        <v>0</v>
      </c>
      <c r="AA183" s="68">
        <f t="shared" si="51"/>
        <v>0</v>
      </c>
      <c r="AB183" s="67">
        <f>IFERROR(SUMIF(生体情報モニタ!$C$30:$C$74,B183,生体情報モニタ!$K$30:$K$74)*((生体情報モニタ!$H$3-生体情報モニタ!$I$3)/生体情報モニタ!$H$3),0)</f>
        <v>0</v>
      </c>
      <c r="AC183" s="68">
        <f t="shared" si="37"/>
        <v>0</v>
      </c>
      <c r="AD183" s="67">
        <f>IFERROR(SUMIF(分娩監視装置!$C$30:$C$74,B183,分娩監視装置!$K$30:$K$74)*((分娩監視装置!$H$3-分娩監視装置!$I$3)/分娩監視装置!$H$3),0)</f>
        <v>0</v>
      </c>
      <c r="AE183" s="68">
        <f t="shared" si="52"/>
        <v>0</v>
      </c>
      <c r="AF183" s="67">
        <f>IFERROR(SUMIF(新生児モニタ!$C$30:$C$74,B183,新生児モニタ!$K$30:$K$74)*((新生児モニタ!$H$3-新生児モニタ!$I$3)/新生児モニタ!$H$3),0)</f>
        <v>0</v>
      </c>
      <c r="AG183" s="68">
        <f t="shared" si="53"/>
        <v>0</v>
      </c>
    </row>
    <row r="184" spans="2:33">
      <c r="B184" s="64" t="s">
        <v>831</v>
      </c>
      <c r="C184" s="67">
        <f>IFERROR(SUMIF(初度設備!$C$30:$C$74,B184,初度設備!$N$30:$N$74)*((初度設備!$H$3-初度設備!$I$3)/初度設備!$H$3),0)</f>
        <v>0</v>
      </c>
      <c r="D184" s="68">
        <f t="shared" si="38"/>
        <v>0</v>
      </c>
      <c r="E184" s="67">
        <f>IFERROR(SUMIF(人工呼吸器!$C$30:$C$74,B184,人工呼吸器!$N$30:$N$74)*((人工呼吸器!$H$3-人工呼吸器!$I$3)/人工呼吸器!$H$3),0)</f>
        <v>0</v>
      </c>
      <c r="F184" s="68">
        <f t="shared" si="39"/>
        <v>0</v>
      </c>
      <c r="G184" s="68">
        <f t="shared" si="40"/>
        <v>0</v>
      </c>
      <c r="H184" s="68">
        <f t="shared" si="41"/>
        <v>0</v>
      </c>
      <c r="I184" s="67">
        <f>IFERROR(SUMIF(簡易陰圧装置!$C$30:$C$74,B184,簡易陰圧装置!$N$30:$N$74)*((簡易陰圧装置!$H$3-簡易陰圧装置!$I$3)/簡易陰圧装置!$H$3),0)</f>
        <v>0</v>
      </c>
      <c r="J184" s="68">
        <f t="shared" si="42"/>
        <v>0</v>
      </c>
      <c r="K184" s="67">
        <f>IFERROR(SUMIF(#REF!,B184,#REF!)*((#REF!-#REF!)/#REF!),0)</f>
        <v>0</v>
      </c>
      <c r="L184" s="68">
        <f t="shared" si="43"/>
        <v>0</v>
      </c>
      <c r="M184" s="67">
        <f>IFERROR(SUMIF(体外式膜型人工肺!$C$30:$C$74,B184,体外式膜型人工肺!$N$30:$N$74)*((体外式膜型人工肺!$H$3-体外式膜型人工肺!$I$3)/体外式膜型人工肺!$H$3),0)</f>
        <v>0</v>
      </c>
      <c r="N184" s="68">
        <f t="shared" si="44"/>
        <v>0</v>
      </c>
      <c r="O184" s="68">
        <f t="shared" si="45"/>
        <v>0</v>
      </c>
      <c r="P184" s="68">
        <f t="shared" si="46"/>
        <v>0</v>
      </c>
      <c r="Q184" s="67">
        <f>IFERROR(SUMIF(紫外線照射装置!$C$30:$C$74,B184,紫外線照射装置!$N$30:$N$74)*((紫外線照射装置!$H$3-紫外線照射装置!$I$3)/紫外線照射装置!$H$3),0)</f>
        <v>0</v>
      </c>
      <c r="R184" s="68">
        <f t="shared" si="47"/>
        <v>0</v>
      </c>
      <c r="S184" s="101">
        <f t="shared" si="48"/>
        <v>0</v>
      </c>
      <c r="T184" s="67">
        <f>IFERROR(SUMIF(超音波画像診断装置!$C$30:$C$74,B184,超音波画像診断装置!$K$30:$K$74)*((超音波画像診断装置!$H$3-超音波画像診断装置!$I$3)/超音波画像診断装置!$H$3),0)</f>
        <v>0</v>
      </c>
      <c r="U184" s="68">
        <f t="shared" si="49"/>
        <v>0</v>
      </c>
      <c r="V184" s="67">
        <f>IFERROR(SUMIF(血液浄化装置!$C$30:$C$74,B184,血液浄化装置!$K$30:$K$74)*((血液浄化装置!$H$3-血液浄化装置!$I$3)/血液浄化装置!$H$3),0)</f>
        <v>0</v>
      </c>
      <c r="W184" s="68">
        <f t="shared" si="50"/>
        <v>0</v>
      </c>
      <c r="X184" s="67">
        <f>IFERROR(SUMIF(気管支鏡!$C$30:$C$74,B184,気管支鏡!$K$30:$K$74)*((気管支鏡!$H$3-気管支鏡!$I$3)/気管支鏡!$H$3),0)</f>
        <v>0</v>
      </c>
      <c r="Y184" s="68">
        <f t="shared" si="36"/>
        <v>0</v>
      </c>
      <c r="Z184" s="67">
        <f>IFERROR(SUMIF(CT撮影装置!$C$30:$C$74,B184,CT撮影装置!$K$30:$K$74)*((CT撮影装置!$H$3-CT撮影装置!$I$3)/CT撮影装置!$H$3),0)</f>
        <v>0</v>
      </c>
      <c r="AA184" s="68">
        <f t="shared" si="51"/>
        <v>0</v>
      </c>
      <c r="AB184" s="67">
        <f>IFERROR(SUMIF(生体情報モニタ!$C$30:$C$74,B184,生体情報モニタ!$K$30:$K$74)*((生体情報モニタ!$H$3-生体情報モニタ!$I$3)/生体情報モニタ!$H$3),0)</f>
        <v>0</v>
      </c>
      <c r="AC184" s="68">
        <f t="shared" si="37"/>
        <v>0</v>
      </c>
      <c r="AD184" s="67">
        <f>IFERROR(SUMIF(分娩監視装置!$C$30:$C$74,B184,分娩監視装置!$K$30:$K$74)*((分娩監視装置!$H$3-分娩監視装置!$I$3)/分娩監視装置!$H$3),0)</f>
        <v>0</v>
      </c>
      <c r="AE184" s="68">
        <f t="shared" si="52"/>
        <v>0</v>
      </c>
      <c r="AF184" s="67">
        <f>IFERROR(SUMIF(新生児モニタ!$C$30:$C$74,B184,新生児モニタ!$K$30:$K$74)*((新生児モニタ!$H$3-新生児モニタ!$I$3)/新生児モニタ!$H$3),0)</f>
        <v>0</v>
      </c>
      <c r="AG184" s="68">
        <f t="shared" si="53"/>
        <v>0</v>
      </c>
    </row>
    <row r="185" spans="2:33">
      <c r="B185" s="64" t="s">
        <v>832</v>
      </c>
      <c r="C185" s="67">
        <f>IFERROR(SUMIF(初度設備!$C$30:$C$74,B185,初度設備!$N$30:$N$74)*((初度設備!$H$3-初度設備!$I$3)/初度設備!$H$3),0)</f>
        <v>0</v>
      </c>
      <c r="D185" s="68">
        <f t="shared" si="38"/>
        <v>0</v>
      </c>
      <c r="E185" s="67">
        <f>IFERROR(SUMIF(人工呼吸器!$C$30:$C$74,B185,人工呼吸器!$N$30:$N$74)*((人工呼吸器!$H$3-人工呼吸器!$I$3)/人工呼吸器!$H$3),0)</f>
        <v>0</v>
      </c>
      <c r="F185" s="68">
        <f t="shared" si="39"/>
        <v>0</v>
      </c>
      <c r="G185" s="68">
        <f t="shared" si="40"/>
        <v>0</v>
      </c>
      <c r="H185" s="68">
        <f t="shared" si="41"/>
        <v>0</v>
      </c>
      <c r="I185" s="67">
        <f>IFERROR(SUMIF(簡易陰圧装置!$C$30:$C$74,B185,簡易陰圧装置!$N$30:$N$74)*((簡易陰圧装置!$H$3-簡易陰圧装置!$I$3)/簡易陰圧装置!$H$3),0)</f>
        <v>0</v>
      </c>
      <c r="J185" s="68">
        <f t="shared" si="42"/>
        <v>0</v>
      </c>
      <c r="K185" s="67">
        <f>IFERROR(SUMIF(#REF!,B185,#REF!)*((#REF!-#REF!)/#REF!),0)</f>
        <v>0</v>
      </c>
      <c r="L185" s="68">
        <f t="shared" si="43"/>
        <v>0</v>
      </c>
      <c r="M185" s="67">
        <f>IFERROR(SUMIF(体外式膜型人工肺!$C$30:$C$74,B185,体外式膜型人工肺!$N$30:$N$74)*((体外式膜型人工肺!$H$3-体外式膜型人工肺!$I$3)/体外式膜型人工肺!$H$3),0)</f>
        <v>0</v>
      </c>
      <c r="N185" s="68">
        <f t="shared" si="44"/>
        <v>0</v>
      </c>
      <c r="O185" s="68">
        <f t="shared" si="45"/>
        <v>0</v>
      </c>
      <c r="P185" s="68">
        <f t="shared" si="46"/>
        <v>0</v>
      </c>
      <c r="Q185" s="67">
        <f>IFERROR(SUMIF(紫外線照射装置!$C$30:$C$74,B185,紫外線照射装置!$N$30:$N$74)*((紫外線照射装置!$H$3-紫外線照射装置!$I$3)/紫外線照射装置!$H$3),0)</f>
        <v>0</v>
      </c>
      <c r="R185" s="68">
        <f t="shared" si="47"/>
        <v>0</v>
      </c>
      <c r="S185" s="101">
        <f t="shared" si="48"/>
        <v>0</v>
      </c>
      <c r="T185" s="67">
        <f>IFERROR(SUMIF(超音波画像診断装置!$C$30:$C$74,B185,超音波画像診断装置!$K$30:$K$74)*((超音波画像診断装置!$H$3-超音波画像診断装置!$I$3)/超音波画像診断装置!$H$3),0)</f>
        <v>0</v>
      </c>
      <c r="U185" s="68">
        <f t="shared" si="49"/>
        <v>0</v>
      </c>
      <c r="V185" s="67">
        <f>IFERROR(SUMIF(血液浄化装置!$C$30:$C$74,B185,血液浄化装置!$K$30:$K$74)*((血液浄化装置!$H$3-血液浄化装置!$I$3)/血液浄化装置!$H$3),0)</f>
        <v>0</v>
      </c>
      <c r="W185" s="68">
        <f t="shared" si="50"/>
        <v>0</v>
      </c>
      <c r="X185" s="67">
        <f>IFERROR(SUMIF(気管支鏡!$C$30:$C$74,B185,気管支鏡!$K$30:$K$74)*((気管支鏡!$H$3-気管支鏡!$I$3)/気管支鏡!$H$3),0)</f>
        <v>0</v>
      </c>
      <c r="Y185" s="68">
        <f t="shared" si="36"/>
        <v>0</v>
      </c>
      <c r="Z185" s="67">
        <f>IFERROR(SUMIF(CT撮影装置!$C$30:$C$74,B185,CT撮影装置!$K$30:$K$74)*((CT撮影装置!$H$3-CT撮影装置!$I$3)/CT撮影装置!$H$3),0)</f>
        <v>0</v>
      </c>
      <c r="AA185" s="68">
        <f t="shared" si="51"/>
        <v>0</v>
      </c>
      <c r="AB185" s="67">
        <f>IFERROR(SUMIF(生体情報モニタ!$C$30:$C$74,B185,生体情報モニタ!$K$30:$K$74)*((生体情報モニタ!$H$3-生体情報モニタ!$I$3)/生体情報モニタ!$H$3),0)</f>
        <v>0</v>
      </c>
      <c r="AC185" s="68">
        <f t="shared" si="37"/>
        <v>0</v>
      </c>
      <c r="AD185" s="67">
        <f>IFERROR(SUMIF(分娩監視装置!$C$30:$C$74,B185,分娩監視装置!$K$30:$K$74)*((分娩監視装置!$H$3-分娩監視装置!$I$3)/分娩監視装置!$H$3),0)</f>
        <v>0</v>
      </c>
      <c r="AE185" s="68">
        <f t="shared" si="52"/>
        <v>0</v>
      </c>
      <c r="AF185" s="67">
        <f>IFERROR(SUMIF(新生児モニタ!$C$30:$C$74,B185,新生児モニタ!$K$30:$K$74)*((新生児モニタ!$H$3-新生児モニタ!$I$3)/新生児モニタ!$H$3),0)</f>
        <v>0</v>
      </c>
      <c r="AG185" s="68">
        <f t="shared" si="53"/>
        <v>0</v>
      </c>
    </row>
    <row r="186" spans="2:33">
      <c r="B186" s="64" t="s">
        <v>833</v>
      </c>
      <c r="C186" s="67">
        <f>IFERROR(SUMIF(初度設備!$C$30:$C$74,B186,初度設備!$N$30:$N$74)*((初度設備!$H$3-初度設備!$I$3)/初度設備!$H$3),0)</f>
        <v>0</v>
      </c>
      <c r="D186" s="68">
        <f t="shared" si="38"/>
        <v>0</v>
      </c>
      <c r="E186" s="67">
        <f>IFERROR(SUMIF(人工呼吸器!$C$30:$C$74,B186,人工呼吸器!$N$30:$N$74)*((人工呼吸器!$H$3-人工呼吸器!$I$3)/人工呼吸器!$H$3),0)</f>
        <v>0</v>
      </c>
      <c r="F186" s="68">
        <f t="shared" si="39"/>
        <v>0</v>
      </c>
      <c r="G186" s="68">
        <f t="shared" si="40"/>
        <v>0</v>
      </c>
      <c r="H186" s="68">
        <f t="shared" si="41"/>
        <v>0</v>
      </c>
      <c r="I186" s="67">
        <f>IFERROR(SUMIF(簡易陰圧装置!$C$30:$C$74,B186,簡易陰圧装置!$N$30:$N$74)*((簡易陰圧装置!$H$3-簡易陰圧装置!$I$3)/簡易陰圧装置!$H$3),0)</f>
        <v>0</v>
      </c>
      <c r="J186" s="68">
        <f t="shared" si="42"/>
        <v>0</v>
      </c>
      <c r="K186" s="67">
        <f>IFERROR(SUMIF(#REF!,B186,#REF!)*((#REF!-#REF!)/#REF!),0)</f>
        <v>0</v>
      </c>
      <c r="L186" s="68">
        <f t="shared" si="43"/>
        <v>0</v>
      </c>
      <c r="M186" s="67">
        <f>IFERROR(SUMIF(体外式膜型人工肺!$C$30:$C$74,B186,体外式膜型人工肺!$N$30:$N$74)*((体外式膜型人工肺!$H$3-体外式膜型人工肺!$I$3)/体外式膜型人工肺!$H$3),0)</f>
        <v>0</v>
      </c>
      <c r="N186" s="68">
        <f t="shared" si="44"/>
        <v>0</v>
      </c>
      <c r="O186" s="68">
        <f t="shared" si="45"/>
        <v>0</v>
      </c>
      <c r="P186" s="68">
        <f t="shared" si="46"/>
        <v>0</v>
      </c>
      <c r="Q186" s="67">
        <f>IFERROR(SUMIF(紫外線照射装置!$C$30:$C$74,B186,紫外線照射装置!$N$30:$N$74)*((紫外線照射装置!$H$3-紫外線照射装置!$I$3)/紫外線照射装置!$H$3),0)</f>
        <v>0</v>
      </c>
      <c r="R186" s="68">
        <f t="shared" si="47"/>
        <v>0</v>
      </c>
      <c r="S186" s="101">
        <f t="shared" si="48"/>
        <v>0</v>
      </c>
      <c r="T186" s="67">
        <f>IFERROR(SUMIF(超音波画像診断装置!$C$30:$C$74,B186,超音波画像診断装置!$K$30:$K$74)*((超音波画像診断装置!$H$3-超音波画像診断装置!$I$3)/超音波画像診断装置!$H$3),0)</f>
        <v>0</v>
      </c>
      <c r="U186" s="68">
        <f t="shared" si="49"/>
        <v>0</v>
      </c>
      <c r="V186" s="67">
        <f>IFERROR(SUMIF(血液浄化装置!$C$30:$C$74,B186,血液浄化装置!$K$30:$K$74)*((血液浄化装置!$H$3-血液浄化装置!$I$3)/血液浄化装置!$H$3),0)</f>
        <v>0</v>
      </c>
      <c r="W186" s="68">
        <f t="shared" si="50"/>
        <v>0</v>
      </c>
      <c r="X186" s="67">
        <f>IFERROR(SUMIF(気管支鏡!$C$30:$C$74,B186,気管支鏡!$K$30:$K$74)*((気管支鏡!$H$3-気管支鏡!$I$3)/気管支鏡!$H$3),0)</f>
        <v>0</v>
      </c>
      <c r="Y186" s="68">
        <f t="shared" si="36"/>
        <v>0</v>
      </c>
      <c r="Z186" s="67">
        <f>IFERROR(SUMIF(CT撮影装置!$C$30:$C$74,B186,CT撮影装置!$K$30:$K$74)*((CT撮影装置!$H$3-CT撮影装置!$I$3)/CT撮影装置!$H$3),0)</f>
        <v>0</v>
      </c>
      <c r="AA186" s="68">
        <f t="shared" si="51"/>
        <v>0</v>
      </c>
      <c r="AB186" s="67">
        <f>IFERROR(SUMIF(生体情報モニタ!$C$30:$C$74,B186,生体情報モニタ!$K$30:$K$74)*((生体情報モニタ!$H$3-生体情報モニタ!$I$3)/生体情報モニタ!$H$3),0)</f>
        <v>0</v>
      </c>
      <c r="AC186" s="68">
        <f t="shared" si="37"/>
        <v>0</v>
      </c>
      <c r="AD186" s="67">
        <f>IFERROR(SUMIF(分娩監視装置!$C$30:$C$74,B186,分娩監視装置!$K$30:$K$74)*((分娩監視装置!$H$3-分娩監視装置!$I$3)/分娩監視装置!$H$3),0)</f>
        <v>0</v>
      </c>
      <c r="AE186" s="68">
        <f t="shared" si="52"/>
        <v>0</v>
      </c>
      <c r="AF186" s="67">
        <f>IFERROR(SUMIF(新生児モニタ!$C$30:$C$74,B186,新生児モニタ!$K$30:$K$74)*((新生児モニタ!$H$3-新生児モニタ!$I$3)/新生児モニタ!$H$3),0)</f>
        <v>0</v>
      </c>
      <c r="AG186" s="68">
        <f t="shared" si="53"/>
        <v>0</v>
      </c>
    </row>
    <row r="187" spans="2:33">
      <c r="B187" s="64" t="s">
        <v>834</v>
      </c>
      <c r="C187" s="67">
        <f>IFERROR(SUMIF(初度設備!$C$30:$C$74,B187,初度設備!$N$30:$N$74)*((初度設備!$H$3-初度設備!$I$3)/初度設備!$H$3),0)</f>
        <v>0</v>
      </c>
      <c r="D187" s="68">
        <f t="shared" si="38"/>
        <v>0</v>
      </c>
      <c r="E187" s="67">
        <f>IFERROR(SUMIF(人工呼吸器!$C$30:$C$74,B187,人工呼吸器!$N$30:$N$74)*((人工呼吸器!$H$3-人工呼吸器!$I$3)/人工呼吸器!$H$3),0)</f>
        <v>0</v>
      </c>
      <c r="F187" s="68">
        <f t="shared" si="39"/>
        <v>0</v>
      </c>
      <c r="G187" s="68">
        <f t="shared" si="40"/>
        <v>0</v>
      </c>
      <c r="H187" s="68">
        <f t="shared" si="41"/>
        <v>0</v>
      </c>
      <c r="I187" s="67">
        <f>IFERROR(SUMIF(簡易陰圧装置!$C$30:$C$74,B187,簡易陰圧装置!$N$30:$N$74)*((簡易陰圧装置!$H$3-簡易陰圧装置!$I$3)/簡易陰圧装置!$H$3),0)</f>
        <v>0</v>
      </c>
      <c r="J187" s="68">
        <f t="shared" si="42"/>
        <v>0</v>
      </c>
      <c r="K187" s="67">
        <f>IFERROR(SUMIF(#REF!,B187,#REF!)*((#REF!-#REF!)/#REF!),0)</f>
        <v>0</v>
      </c>
      <c r="L187" s="68">
        <f t="shared" si="43"/>
        <v>0</v>
      </c>
      <c r="M187" s="67">
        <f>IFERROR(SUMIF(体外式膜型人工肺!$C$30:$C$74,B187,体外式膜型人工肺!$N$30:$N$74)*((体外式膜型人工肺!$H$3-体外式膜型人工肺!$I$3)/体外式膜型人工肺!$H$3),0)</f>
        <v>0</v>
      </c>
      <c r="N187" s="68">
        <f t="shared" si="44"/>
        <v>0</v>
      </c>
      <c r="O187" s="68">
        <f t="shared" si="45"/>
        <v>0</v>
      </c>
      <c r="P187" s="68">
        <f t="shared" si="46"/>
        <v>0</v>
      </c>
      <c r="Q187" s="67">
        <f>IFERROR(SUMIF(紫外線照射装置!$C$30:$C$74,B187,紫外線照射装置!$N$30:$N$74)*((紫外線照射装置!$H$3-紫外線照射装置!$I$3)/紫外線照射装置!$H$3),0)</f>
        <v>0</v>
      </c>
      <c r="R187" s="68">
        <f t="shared" si="47"/>
        <v>0</v>
      </c>
      <c r="S187" s="101">
        <f t="shared" si="48"/>
        <v>0</v>
      </c>
      <c r="T187" s="67">
        <f>IFERROR(SUMIF(超音波画像診断装置!$C$30:$C$74,B187,超音波画像診断装置!$K$30:$K$74)*((超音波画像診断装置!$H$3-超音波画像診断装置!$I$3)/超音波画像診断装置!$H$3),0)</f>
        <v>0</v>
      </c>
      <c r="U187" s="68">
        <f t="shared" si="49"/>
        <v>0</v>
      </c>
      <c r="V187" s="67">
        <f>IFERROR(SUMIF(血液浄化装置!$C$30:$C$74,B187,血液浄化装置!$K$30:$K$74)*((血液浄化装置!$H$3-血液浄化装置!$I$3)/血液浄化装置!$H$3),0)</f>
        <v>0</v>
      </c>
      <c r="W187" s="68">
        <f t="shared" si="50"/>
        <v>0</v>
      </c>
      <c r="X187" s="67">
        <f>IFERROR(SUMIF(気管支鏡!$C$30:$C$74,B187,気管支鏡!$K$30:$K$74)*((気管支鏡!$H$3-気管支鏡!$I$3)/気管支鏡!$H$3),0)</f>
        <v>0</v>
      </c>
      <c r="Y187" s="68">
        <f t="shared" si="36"/>
        <v>0</v>
      </c>
      <c r="Z187" s="67">
        <f>IFERROR(SUMIF(CT撮影装置!$C$30:$C$74,B187,CT撮影装置!$K$30:$K$74)*((CT撮影装置!$H$3-CT撮影装置!$I$3)/CT撮影装置!$H$3),0)</f>
        <v>0</v>
      </c>
      <c r="AA187" s="68">
        <f t="shared" si="51"/>
        <v>0</v>
      </c>
      <c r="AB187" s="67">
        <f>IFERROR(SUMIF(生体情報モニタ!$C$30:$C$74,B187,生体情報モニタ!$K$30:$K$74)*((生体情報モニタ!$H$3-生体情報モニタ!$I$3)/生体情報モニタ!$H$3),0)</f>
        <v>0</v>
      </c>
      <c r="AC187" s="68">
        <f t="shared" si="37"/>
        <v>0</v>
      </c>
      <c r="AD187" s="67">
        <f>IFERROR(SUMIF(分娩監視装置!$C$30:$C$74,B187,分娩監視装置!$K$30:$K$74)*((分娩監視装置!$H$3-分娩監視装置!$I$3)/分娩監視装置!$H$3),0)</f>
        <v>0</v>
      </c>
      <c r="AE187" s="68">
        <f t="shared" si="52"/>
        <v>0</v>
      </c>
      <c r="AF187" s="67">
        <f>IFERROR(SUMIF(新生児モニタ!$C$30:$C$74,B187,新生児モニタ!$K$30:$K$74)*((新生児モニタ!$H$3-新生児モニタ!$I$3)/新生児モニタ!$H$3),0)</f>
        <v>0</v>
      </c>
      <c r="AG187" s="68">
        <f t="shared" si="53"/>
        <v>0</v>
      </c>
    </row>
    <row r="188" spans="2:33">
      <c r="B188" s="64" t="s">
        <v>835</v>
      </c>
      <c r="C188" s="67">
        <f>IFERROR(SUMIF(初度設備!$C$30:$C$74,B188,初度設備!$N$30:$N$74)*((初度設備!$H$3-初度設備!$I$3)/初度設備!$H$3),0)</f>
        <v>0</v>
      </c>
      <c r="D188" s="68">
        <f t="shared" si="38"/>
        <v>0</v>
      </c>
      <c r="E188" s="67">
        <f>IFERROR(SUMIF(人工呼吸器!$C$30:$C$74,B188,人工呼吸器!$N$30:$N$74)*((人工呼吸器!$H$3-人工呼吸器!$I$3)/人工呼吸器!$H$3),0)</f>
        <v>0</v>
      </c>
      <c r="F188" s="68">
        <f t="shared" si="39"/>
        <v>0</v>
      </c>
      <c r="G188" s="68">
        <f t="shared" si="40"/>
        <v>0</v>
      </c>
      <c r="H188" s="68">
        <f t="shared" si="41"/>
        <v>0</v>
      </c>
      <c r="I188" s="67">
        <f>IFERROR(SUMIF(簡易陰圧装置!$C$30:$C$74,B188,簡易陰圧装置!$N$30:$N$74)*((簡易陰圧装置!$H$3-簡易陰圧装置!$I$3)/簡易陰圧装置!$H$3),0)</f>
        <v>0</v>
      </c>
      <c r="J188" s="68">
        <f t="shared" si="42"/>
        <v>0</v>
      </c>
      <c r="K188" s="67">
        <f>IFERROR(SUMIF(#REF!,B188,#REF!)*((#REF!-#REF!)/#REF!),0)</f>
        <v>0</v>
      </c>
      <c r="L188" s="68">
        <f t="shared" si="43"/>
        <v>0</v>
      </c>
      <c r="M188" s="67">
        <f>IFERROR(SUMIF(体外式膜型人工肺!$C$30:$C$74,B188,体外式膜型人工肺!$N$30:$N$74)*((体外式膜型人工肺!$H$3-体外式膜型人工肺!$I$3)/体外式膜型人工肺!$H$3),0)</f>
        <v>0</v>
      </c>
      <c r="N188" s="68">
        <f t="shared" si="44"/>
        <v>0</v>
      </c>
      <c r="O188" s="68">
        <f t="shared" si="45"/>
        <v>0</v>
      </c>
      <c r="P188" s="68">
        <f t="shared" si="46"/>
        <v>0</v>
      </c>
      <c r="Q188" s="67">
        <f>IFERROR(SUMIF(紫外線照射装置!$C$30:$C$74,B188,紫外線照射装置!$N$30:$N$74)*((紫外線照射装置!$H$3-紫外線照射装置!$I$3)/紫外線照射装置!$H$3),0)</f>
        <v>0</v>
      </c>
      <c r="R188" s="68">
        <f t="shared" si="47"/>
        <v>0</v>
      </c>
      <c r="S188" s="101">
        <f t="shared" si="48"/>
        <v>0</v>
      </c>
      <c r="T188" s="67">
        <f>IFERROR(SUMIF(超音波画像診断装置!$C$30:$C$74,B188,超音波画像診断装置!$K$30:$K$74)*((超音波画像診断装置!$H$3-超音波画像診断装置!$I$3)/超音波画像診断装置!$H$3),0)</f>
        <v>0</v>
      </c>
      <c r="U188" s="68">
        <f t="shared" si="49"/>
        <v>0</v>
      </c>
      <c r="V188" s="67">
        <f>IFERROR(SUMIF(血液浄化装置!$C$30:$C$74,B188,血液浄化装置!$K$30:$K$74)*((血液浄化装置!$H$3-血液浄化装置!$I$3)/血液浄化装置!$H$3),0)</f>
        <v>0</v>
      </c>
      <c r="W188" s="68">
        <f t="shared" si="50"/>
        <v>0</v>
      </c>
      <c r="X188" s="67">
        <f>IFERROR(SUMIF(気管支鏡!$C$30:$C$74,B188,気管支鏡!$K$30:$K$74)*((気管支鏡!$H$3-気管支鏡!$I$3)/気管支鏡!$H$3),0)</f>
        <v>0</v>
      </c>
      <c r="Y188" s="68">
        <f t="shared" si="36"/>
        <v>0</v>
      </c>
      <c r="Z188" s="67">
        <f>IFERROR(SUMIF(CT撮影装置!$C$30:$C$74,B188,CT撮影装置!$K$30:$K$74)*((CT撮影装置!$H$3-CT撮影装置!$I$3)/CT撮影装置!$H$3),0)</f>
        <v>0</v>
      </c>
      <c r="AA188" s="68">
        <f t="shared" si="51"/>
        <v>0</v>
      </c>
      <c r="AB188" s="67">
        <f>IFERROR(SUMIF(生体情報モニタ!$C$30:$C$74,B188,生体情報モニタ!$K$30:$K$74)*((生体情報モニタ!$H$3-生体情報モニタ!$I$3)/生体情報モニタ!$H$3),0)</f>
        <v>0</v>
      </c>
      <c r="AC188" s="68">
        <f t="shared" si="37"/>
        <v>0</v>
      </c>
      <c r="AD188" s="67">
        <f>IFERROR(SUMIF(分娩監視装置!$C$30:$C$74,B188,分娩監視装置!$K$30:$K$74)*((分娩監視装置!$H$3-分娩監視装置!$I$3)/分娩監視装置!$H$3),0)</f>
        <v>0</v>
      </c>
      <c r="AE188" s="68">
        <f t="shared" si="52"/>
        <v>0</v>
      </c>
      <c r="AF188" s="67">
        <f>IFERROR(SUMIF(新生児モニタ!$C$30:$C$74,B188,新生児モニタ!$K$30:$K$74)*((新生児モニタ!$H$3-新生児モニタ!$I$3)/新生児モニタ!$H$3),0)</f>
        <v>0</v>
      </c>
      <c r="AG188" s="68">
        <f t="shared" si="53"/>
        <v>0</v>
      </c>
    </row>
    <row r="189" spans="2:33">
      <c r="B189" s="64" t="s">
        <v>836</v>
      </c>
      <c r="C189" s="67">
        <f>IFERROR(SUMIF(初度設備!$C$30:$C$74,B189,初度設備!$N$30:$N$74)*((初度設備!$H$3-初度設備!$I$3)/初度設備!$H$3),0)</f>
        <v>0</v>
      </c>
      <c r="D189" s="68">
        <f t="shared" si="38"/>
        <v>0</v>
      </c>
      <c r="E189" s="67">
        <f>IFERROR(SUMIF(人工呼吸器!$C$30:$C$74,B189,人工呼吸器!$N$30:$N$74)*((人工呼吸器!$H$3-人工呼吸器!$I$3)/人工呼吸器!$H$3),0)</f>
        <v>0</v>
      </c>
      <c r="F189" s="68">
        <f t="shared" si="39"/>
        <v>0</v>
      </c>
      <c r="G189" s="68">
        <f t="shared" si="40"/>
        <v>0</v>
      </c>
      <c r="H189" s="68">
        <f t="shared" si="41"/>
        <v>0</v>
      </c>
      <c r="I189" s="67">
        <f>IFERROR(SUMIF(簡易陰圧装置!$C$30:$C$74,B189,簡易陰圧装置!$N$30:$N$74)*((簡易陰圧装置!$H$3-簡易陰圧装置!$I$3)/簡易陰圧装置!$H$3),0)</f>
        <v>0</v>
      </c>
      <c r="J189" s="68">
        <f t="shared" si="42"/>
        <v>0</v>
      </c>
      <c r="K189" s="67">
        <f>IFERROR(SUMIF(#REF!,B189,#REF!)*((#REF!-#REF!)/#REF!),0)</f>
        <v>0</v>
      </c>
      <c r="L189" s="68">
        <f t="shared" si="43"/>
        <v>0</v>
      </c>
      <c r="M189" s="67">
        <f>IFERROR(SUMIF(体外式膜型人工肺!$C$30:$C$74,B189,体外式膜型人工肺!$N$30:$N$74)*((体外式膜型人工肺!$H$3-体外式膜型人工肺!$I$3)/体外式膜型人工肺!$H$3),0)</f>
        <v>0</v>
      </c>
      <c r="N189" s="68">
        <f t="shared" si="44"/>
        <v>0</v>
      </c>
      <c r="O189" s="68">
        <f t="shared" si="45"/>
        <v>0</v>
      </c>
      <c r="P189" s="68">
        <f t="shared" si="46"/>
        <v>0</v>
      </c>
      <c r="Q189" s="67">
        <f>IFERROR(SUMIF(紫外線照射装置!$C$30:$C$74,B189,紫外線照射装置!$N$30:$N$74)*((紫外線照射装置!$H$3-紫外線照射装置!$I$3)/紫外線照射装置!$H$3),0)</f>
        <v>0</v>
      </c>
      <c r="R189" s="68">
        <f t="shared" si="47"/>
        <v>0</v>
      </c>
      <c r="S189" s="101">
        <f t="shared" si="48"/>
        <v>0</v>
      </c>
      <c r="T189" s="67">
        <f>IFERROR(SUMIF(超音波画像診断装置!$C$30:$C$74,B189,超音波画像診断装置!$K$30:$K$74)*((超音波画像診断装置!$H$3-超音波画像診断装置!$I$3)/超音波画像診断装置!$H$3),0)</f>
        <v>0</v>
      </c>
      <c r="U189" s="68">
        <f t="shared" si="49"/>
        <v>0</v>
      </c>
      <c r="V189" s="67">
        <f>IFERROR(SUMIF(血液浄化装置!$C$30:$C$74,B189,血液浄化装置!$K$30:$K$74)*((血液浄化装置!$H$3-血液浄化装置!$I$3)/血液浄化装置!$H$3),0)</f>
        <v>0</v>
      </c>
      <c r="W189" s="68">
        <f t="shared" si="50"/>
        <v>0</v>
      </c>
      <c r="X189" s="67">
        <f>IFERROR(SUMIF(気管支鏡!$C$30:$C$74,B189,気管支鏡!$K$30:$K$74)*((気管支鏡!$H$3-気管支鏡!$I$3)/気管支鏡!$H$3),0)</f>
        <v>0</v>
      </c>
      <c r="Y189" s="68">
        <f t="shared" si="36"/>
        <v>0</v>
      </c>
      <c r="Z189" s="67">
        <f>IFERROR(SUMIF(CT撮影装置!$C$30:$C$74,B189,CT撮影装置!$K$30:$K$74)*((CT撮影装置!$H$3-CT撮影装置!$I$3)/CT撮影装置!$H$3),0)</f>
        <v>0</v>
      </c>
      <c r="AA189" s="68">
        <f t="shared" si="51"/>
        <v>0</v>
      </c>
      <c r="AB189" s="67">
        <f>IFERROR(SUMIF(生体情報モニタ!$C$30:$C$74,B189,生体情報モニタ!$K$30:$K$74)*((生体情報モニタ!$H$3-生体情報モニタ!$I$3)/生体情報モニタ!$H$3),0)</f>
        <v>0</v>
      </c>
      <c r="AC189" s="68">
        <f t="shared" si="37"/>
        <v>0</v>
      </c>
      <c r="AD189" s="67">
        <f>IFERROR(SUMIF(分娩監視装置!$C$30:$C$74,B189,分娩監視装置!$K$30:$K$74)*((分娩監視装置!$H$3-分娩監視装置!$I$3)/分娩監視装置!$H$3),0)</f>
        <v>0</v>
      </c>
      <c r="AE189" s="68">
        <f t="shared" si="52"/>
        <v>0</v>
      </c>
      <c r="AF189" s="67">
        <f>IFERROR(SUMIF(新生児モニタ!$C$30:$C$74,B189,新生児モニタ!$K$30:$K$74)*((新生児モニタ!$H$3-新生児モニタ!$I$3)/新生児モニタ!$H$3),0)</f>
        <v>0</v>
      </c>
      <c r="AG189" s="68">
        <f t="shared" si="53"/>
        <v>0</v>
      </c>
    </row>
    <row r="190" spans="2:33">
      <c r="B190" s="64" t="s">
        <v>837</v>
      </c>
      <c r="C190" s="67">
        <f>IFERROR(SUMIF(初度設備!$C$30:$C$74,B190,初度設備!$N$30:$N$74)*((初度設備!$H$3-初度設備!$I$3)/初度設備!$H$3),0)</f>
        <v>0</v>
      </c>
      <c r="D190" s="68">
        <f t="shared" si="38"/>
        <v>0</v>
      </c>
      <c r="E190" s="67">
        <f>IFERROR(SUMIF(人工呼吸器!$C$30:$C$74,B190,人工呼吸器!$N$30:$N$74)*((人工呼吸器!$H$3-人工呼吸器!$I$3)/人工呼吸器!$H$3),0)</f>
        <v>0</v>
      </c>
      <c r="F190" s="68">
        <f t="shared" si="39"/>
        <v>0</v>
      </c>
      <c r="G190" s="68">
        <f t="shared" si="40"/>
        <v>0</v>
      </c>
      <c r="H190" s="68">
        <f t="shared" si="41"/>
        <v>0</v>
      </c>
      <c r="I190" s="67">
        <f>IFERROR(SUMIF(簡易陰圧装置!$C$30:$C$74,B190,簡易陰圧装置!$N$30:$N$74)*((簡易陰圧装置!$H$3-簡易陰圧装置!$I$3)/簡易陰圧装置!$H$3),0)</f>
        <v>0</v>
      </c>
      <c r="J190" s="68">
        <f t="shared" si="42"/>
        <v>0</v>
      </c>
      <c r="K190" s="67">
        <f>IFERROR(SUMIF(#REF!,B190,#REF!)*((#REF!-#REF!)/#REF!),0)</f>
        <v>0</v>
      </c>
      <c r="L190" s="68">
        <f t="shared" si="43"/>
        <v>0</v>
      </c>
      <c r="M190" s="67">
        <f>IFERROR(SUMIF(体外式膜型人工肺!$C$30:$C$74,B190,体外式膜型人工肺!$N$30:$N$74)*((体外式膜型人工肺!$H$3-体外式膜型人工肺!$I$3)/体外式膜型人工肺!$H$3),0)</f>
        <v>0</v>
      </c>
      <c r="N190" s="68">
        <f t="shared" si="44"/>
        <v>0</v>
      </c>
      <c r="O190" s="68">
        <f t="shared" si="45"/>
        <v>0</v>
      </c>
      <c r="P190" s="68">
        <f t="shared" si="46"/>
        <v>0</v>
      </c>
      <c r="Q190" s="67">
        <f>IFERROR(SUMIF(紫外線照射装置!$C$30:$C$74,B190,紫外線照射装置!$N$30:$N$74)*((紫外線照射装置!$H$3-紫外線照射装置!$I$3)/紫外線照射装置!$H$3),0)</f>
        <v>0</v>
      </c>
      <c r="R190" s="68">
        <f t="shared" si="47"/>
        <v>0</v>
      </c>
      <c r="S190" s="101">
        <f t="shared" si="48"/>
        <v>0</v>
      </c>
      <c r="T190" s="67">
        <f>IFERROR(SUMIF(超音波画像診断装置!$C$30:$C$74,B190,超音波画像診断装置!$K$30:$K$74)*((超音波画像診断装置!$H$3-超音波画像診断装置!$I$3)/超音波画像診断装置!$H$3),0)</f>
        <v>0</v>
      </c>
      <c r="U190" s="68">
        <f t="shared" si="49"/>
        <v>0</v>
      </c>
      <c r="V190" s="67">
        <f>IFERROR(SUMIF(血液浄化装置!$C$30:$C$74,B190,血液浄化装置!$K$30:$K$74)*((血液浄化装置!$H$3-血液浄化装置!$I$3)/血液浄化装置!$H$3),0)</f>
        <v>0</v>
      </c>
      <c r="W190" s="68">
        <f t="shared" si="50"/>
        <v>0</v>
      </c>
      <c r="X190" s="67">
        <f>IFERROR(SUMIF(気管支鏡!$C$30:$C$74,B190,気管支鏡!$K$30:$K$74)*((気管支鏡!$H$3-気管支鏡!$I$3)/気管支鏡!$H$3),0)</f>
        <v>0</v>
      </c>
      <c r="Y190" s="68">
        <f t="shared" si="36"/>
        <v>0</v>
      </c>
      <c r="Z190" s="67">
        <f>IFERROR(SUMIF(CT撮影装置!$C$30:$C$74,B190,CT撮影装置!$K$30:$K$74)*((CT撮影装置!$H$3-CT撮影装置!$I$3)/CT撮影装置!$H$3),0)</f>
        <v>0</v>
      </c>
      <c r="AA190" s="68">
        <f t="shared" si="51"/>
        <v>0</v>
      </c>
      <c r="AB190" s="67">
        <f>IFERROR(SUMIF(生体情報モニタ!$C$30:$C$74,B190,生体情報モニタ!$K$30:$K$74)*((生体情報モニタ!$H$3-生体情報モニタ!$I$3)/生体情報モニタ!$H$3),0)</f>
        <v>0</v>
      </c>
      <c r="AC190" s="68">
        <f t="shared" si="37"/>
        <v>0</v>
      </c>
      <c r="AD190" s="67">
        <f>IFERROR(SUMIF(分娩監視装置!$C$30:$C$74,B190,分娩監視装置!$K$30:$K$74)*((分娩監視装置!$H$3-分娩監視装置!$I$3)/分娩監視装置!$H$3),0)</f>
        <v>0</v>
      </c>
      <c r="AE190" s="68">
        <f t="shared" si="52"/>
        <v>0</v>
      </c>
      <c r="AF190" s="67">
        <f>IFERROR(SUMIF(新生児モニタ!$C$30:$C$74,B190,新生児モニタ!$K$30:$K$74)*((新生児モニタ!$H$3-新生児モニタ!$I$3)/新生児モニタ!$H$3),0)</f>
        <v>0</v>
      </c>
      <c r="AG190" s="68">
        <f t="shared" si="53"/>
        <v>0</v>
      </c>
    </row>
    <row r="191" spans="2:33">
      <c r="B191" s="64" t="s">
        <v>838</v>
      </c>
      <c r="C191" s="67">
        <f>IFERROR(SUMIF(初度設備!$C$30:$C$74,B191,初度設備!$N$30:$N$74)*((初度設備!$H$3-初度設備!$I$3)/初度設備!$H$3),0)</f>
        <v>0</v>
      </c>
      <c r="D191" s="68">
        <f t="shared" si="38"/>
        <v>0</v>
      </c>
      <c r="E191" s="67">
        <f>IFERROR(SUMIF(人工呼吸器!$C$30:$C$74,B191,人工呼吸器!$N$30:$N$74)*((人工呼吸器!$H$3-人工呼吸器!$I$3)/人工呼吸器!$H$3),0)</f>
        <v>0</v>
      </c>
      <c r="F191" s="68">
        <f t="shared" si="39"/>
        <v>0</v>
      </c>
      <c r="G191" s="68">
        <f t="shared" si="40"/>
        <v>0</v>
      </c>
      <c r="H191" s="68">
        <f t="shared" si="41"/>
        <v>0</v>
      </c>
      <c r="I191" s="67">
        <f>IFERROR(SUMIF(簡易陰圧装置!$C$30:$C$74,B191,簡易陰圧装置!$N$30:$N$74)*((簡易陰圧装置!$H$3-簡易陰圧装置!$I$3)/簡易陰圧装置!$H$3),0)</f>
        <v>0</v>
      </c>
      <c r="J191" s="68">
        <f t="shared" si="42"/>
        <v>0</v>
      </c>
      <c r="K191" s="67">
        <f>IFERROR(SUMIF(#REF!,B191,#REF!)*((#REF!-#REF!)/#REF!),0)</f>
        <v>0</v>
      </c>
      <c r="L191" s="68">
        <f t="shared" si="43"/>
        <v>0</v>
      </c>
      <c r="M191" s="67">
        <f>IFERROR(SUMIF(体外式膜型人工肺!$C$30:$C$74,B191,体外式膜型人工肺!$N$30:$N$74)*((体外式膜型人工肺!$H$3-体外式膜型人工肺!$I$3)/体外式膜型人工肺!$H$3),0)</f>
        <v>0</v>
      </c>
      <c r="N191" s="68">
        <f t="shared" si="44"/>
        <v>0</v>
      </c>
      <c r="O191" s="68">
        <f t="shared" si="45"/>
        <v>0</v>
      </c>
      <c r="P191" s="68">
        <f t="shared" si="46"/>
        <v>0</v>
      </c>
      <c r="Q191" s="67">
        <f>IFERROR(SUMIF(紫外線照射装置!$C$30:$C$74,B191,紫外線照射装置!$N$30:$N$74)*((紫外線照射装置!$H$3-紫外線照射装置!$I$3)/紫外線照射装置!$H$3),0)</f>
        <v>0</v>
      </c>
      <c r="R191" s="68">
        <f t="shared" si="47"/>
        <v>0</v>
      </c>
      <c r="S191" s="101">
        <f t="shared" si="48"/>
        <v>0</v>
      </c>
      <c r="T191" s="67">
        <f>IFERROR(SUMIF(超音波画像診断装置!$C$30:$C$74,B191,超音波画像診断装置!$K$30:$K$74)*((超音波画像診断装置!$H$3-超音波画像診断装置!$I$3)/超音波画像診断装置!$H$3),0)</f>
        <v>0</v>
      </c>
      <c r="U191" s="68">
        <f t="shared" si="49"/>
        <v>0</v>
      </c>
      <c r="V191" s="67">
        <f>IFERROR(SUMIF(血液浄化装置!$C$30:$C$74,B191,血液浄化装置!$K$30:$K$74)*((血液浄化装置!$H$3-血液浄化装置!$I$3)/血液浄化装置!$H$3),0)</f>
        <v>0</v>
      </c>
      <c r="W191" s="68">
        <f t="shared" si="50"/>
        <v>0</v>
      </c>
      <c r="X191" s="67">
        <f>IFERROR(SUMIF(気管支鏡!$C$30:$C$74,B191,気管支鏡!$K$30:$K$74)*((気管支鏡!$H$3-気管支鏡!$I$3)/気管支鏡!$H$3),0)</f>
        <v>0</v>
      </c>
      <c r="Y191" s="68">
        <f t="shared" si="36"/>
        <v>0</v>
      </c>
      <c r="Z191" s="67">
        <f>IFERROR(SUMIF(CT撮影装置!$C$30:$C$74,B191,CT撮影装置!$K$30:$K$74)*((CT撮影装置!$H$3-CT撮影装置!$I$3)/CT撮影装置!$H$3),0)</f>
        <v>0</v>
      </c>
      <c r="AA191" s="68">
        <f t="shared" si="51"/>
        <v>0</v>
      </c>
      <c r="AB191" s="67">
        <f>IFERROR(SUMIF(生体情報モニタ!$C$30:$C$74,B191,生体情報モニタ!$K$30:$K$74)*((生体情報モニタ!$H$3-生体情報モニタ!$I$3)/生体情報モニタ!$H$3),0)</f>
        <v>0</v>
      </c>
      <c r="AC191" s="68">
        <f t="shared" si="37"/>
        <v>0</v>
      </c>
      <c r="AD191" s="67">
        <f>IFERROR(SUMIF(分娩監視装置!$C$30:$C$74,B191,分娩監視装置!$K$30:$K$74)*((分娩監視装置!$H$3-分娩監視装置!$I$3)/分娩監視装置!$H$3),0)</f>
        <v>0</v>
      </c>
      <c r="AE191" s="68">
        <f t="shared" si="52"/>
        <v>0</v>
      </c>
      <c r="AF191" s="67">
        <f>IFERROR(SUMIF(新生児モニタ!$C$30:$C$74,B191,新生児モニタ!$K$30:$K$74)*((新生児モニタ!$H$3-新生児モニタ!$I$3)/新生児モニタ!$H$3),0)</f>
        <v>0</v>
      </c>
      <c r="AG191" s="68">
        <f t="shared" si="53"/>
        <v>0</v>
      </c>
    </row>
    <row r="192" spans="2:33">
      <c r="B192" s="64" t="s">
        <v>839</v>
      </c>
      <c r="C192" s="67">
        <f>IFERROR(SUMIF(初度設備!$C$30:$C$74,B192,初度設備!$N$30:$N$74)*((初度設備!$H$3-初度設備!$I$3)/初度設備!$H$3),0)</f>
        <v>0</v>
      </c>
      <c r="D192" s="68">
        <f t="shared" si="38"/>
        <v>0</v>
      </c>
      <c r="E192" s="67">
        <f>IFERROR(SUMIF(人工呼吸器!$C$30:$C$74,B192,人工呼吸器!$N$30:$N$74)*((人工呼吸器!$H$3-人工呼吸器!$I$3)/人工呼吸器!$H$3),0)</f>
        <v>0</v>
      </c>
      <c r="F192" s="68">
        <f t="shared" si="39"/>
        <v>0</v>
      </c>
      <c r="G192" s="68">
        <f t="shared" si="40"/>
        <v>0</v>
      </c>
      <c r="H192" s="68">
        <f t="shared" si="41"/>
        <v>0</v>
      </c>
      <c r="I192" s="67">
        <f>IFERROR(SUMIF(簡易陰圧装置!$C$30:$C$74,B192,簡易陰圧装置!$N$30:$N$74)*((簡易陰圧装置!$H$3-簡易陰圧装置!$I$3)/簡易陰圧装置!$H$3),0)</f>
        <v>0</v>
      </c>
      <c r="J192" s="68">
        <f t="shared" si="42"/>
        <v>0</v>
      </c>
      <c r="K192" s="67">
        <f>IFERROR(SUMIF(#REF!,B192,#REF!)*((#REF!-#REF!)/#REF!),0)</f>
        <v>0</v>
      </c>
      <c r="L192" s="68">
        <f t="shared" si="43"/>
        <v>0</v>
      </c>
      <c r="M192" s="67">
        <f>IFERROR(SUMIF(体外式膜型人工肺!$C$30:$C$74,B192,体外式膜型人工肺!$N$30:$N$74)*((体外式膜型人工肺!$H$3-体外式膜型人工肺!$I$3)/体外式膜型人工肺!$H$3),0)</f>
        <v>0</v>
      </c>
      <c r="N192" s="68">
        <f t="shared" si="44"/>
        <v>0</v>
      </c>
      <c r="O192" s="68">
        <f t="shared" si="45"/>
        <v>0</v>
      </c>
      <c r="P192" s="68">
        <f t="shared" si="46"/>
        <v>0</v>
      </c>
      <c r="Q192" s="67">
        <f>IFERROR(SUMIF(紫外線照射装置!$C$30:$C$74,B192,紫外線照射装置!$N$30:$N$74)*((紫外線照射装置!$H$3-紫外線照射装置!$I$3)/紫外線照射装置!$H$3),0)</f>
        <v>0</v>
      </c>
      <c r="R192" s="68">
        <f t="shared" si="47"/>
        <v>0</v>
      </c>
      <c r="S192" s="101">
        <f t="shared" si="48"/>
        <v>0</v>
      </c>
      <c r="T192" s="67">
        <f>IFERROR(SUMIF(超音波画像診断装置!$C$30:$C$74,B192,超音波画像診断装置!$K$30:$K$74)*((超音波画像診断装置!$H$3-超音波画像診断装置!$I$3)/超音波画像診断装置!$H$3),0)</f>
        <v>0</v>
      </c>
      <c r="U192" s="68">
        <f t="shared" si="49"/>
        <v>0</v>
      </c>
      <c r="V192" s="67">
        <f>IFERROR(SUMIF(血液浄化装置!$C$30:$C$74,B192,血液浄化装置!$K$30:$K$74)*((血液浄化装置!$H$3-血液浄化装置!$I$3)/血液浄化装置!$H$3),0)</f>
        <v>0</v>
      </c>
      <c r="W192" s="68">
        <f t="shared" si="50"/>
        <v>0</v>
      </c>
      <c r="X192" s="67">
        <f>IFERROR(SUMIF(気管支鏡!$C$30:$C$74,B192,気管支鏡!$K$30:$K$74)*((気管支鏡!$H$3-気管支鏡!$I$3)/気管支鏡!$H$3),0)</f>
        <v>0</v>
      </c>
      <c r="Y192" s="68">
        <f t="shared" si="36"/>
        <v>0</v>
      </c>
      <c r="Z192" s="67">
        <f>IFERROR(SUMIF(CT撮影装置!$C$30:$C$74,B192,CT撮影装置!$K$30:$K$74)*((CT撮影装置!$H$3-CT撮影装置!$I$3)/CT撮影装置!$H$3),0)</f>
        <v>0</v>
      </c>
      <c r="AA192" s="68">
        <f t="shared" si="51"/>
        <v>0</v>
      </c>
      <c r="AB192" s="67">
        <f>IFERROR(SUMIF(生体情報モニタ!$C$30:$C$74,B192,生体情報モニタ!$K$30:$K$74)*((生体情報モニタ!$H$3-生体情報モニタ!$I$3)/生体情報モニタ!$H$3),0)</f>
        <v>0</v>
      </c>
      <c r="AC192" s="68">
        <f t="shared" si="37"/>
        <v>0</v>
      </c>
      <c r="AD192" s="67">
        <f>IFERROR(SUMIF(分娩監視装置!$C$30:$C$74,B192,分娩監視装置!$K$30:$K$74)*((分娩監視装置!$H$3-分娩監視装置!$I$3)/分娩監視装置!$H$3),0)</f>
        <v>0</v>
      </c>
      <c r="AE192" s="68">
        <f t="shared" si="52"/>
        <v>0</v>
      </c>
      <c r="AF192" s="67">
        <f>IFERROR(SUMIF(新生児モニタ!$C$30:$C$74,B192,新生児モニタ!$K$30:$K$74)*((新生児モニタ!$H$3-新生児モニタ!$I$3)/新生児モニタ!$H$3),0)</f>
        <v>0</v>
      </c>
      <c r="AG192" s="68">
        <f t="shared" si="53"/>
        <v>0</v>
      </c>
    </row>
    <row r="193" spans="2:33">
      <c r="B193" s="64" t="s">
        <v>840</v>
      </c>
      <c r="C193" s="67">
        <f>IFERROR(SUMIF(初度設備!$C$30:$C$74,B193,初度設備!$N$30:$N$74)*((初度設備!$H$3-初度設備!$I$3)/初度設備!$H$3),0)</f>
        <v>0</v>
      </c>
      <c r="D193" s="68">
        <f t="shared" si="38"/>
        <v>0</v>
      </c>
      <c r="E193" s="67">
        <f>IFERROR(SUMIF(人工呼吸器!$C$30:$C$74,B193,人工呼吸器!$N$30:$N$74)*((人工呼吸器!$H$3-人工呼吸器!$I$3)/人工呼吸器!$H$3),0)</f>
        <v>0</v>
      </c>
      <c r="F193" s="68">
        <f t="shared" si="39"/>
        <v>0</v>
      </c>
      <c r="G193" s="68">
        <f t="shared" si="40"/>
        <v>0</v>
      </c>
      <c r="H193" s="68">
        <f t="shared" si="41"/>
        <v>0</v>
      </c>
      <c r="I193" s="67">
        <f>IFERROR(SUMIF(簡易陰圧装置!$C$30:$C$74,B193,簡易陰圧装置!$N$30:$N$74)*((簡易陰圧装置!$H$3-簡易陰圧装置!$I$3)/簡易陰圧装置!$H$3),0)</f>
        <v>0</v>
      </c>
      <c r="J193" s="68">
        <f t="shared" si="42"/>
        <v>0</v>
      </c>
      <c r="K193" s="67">
        <f>IFERROR(SUMIF(#REF!,B193,#REF!)*((#REF!-#REF!)/#REF!),0)</f>
        <v>0</v>
      </c>
      <c r="L193" s="68">
        <f t="shared" si="43"/>
        <v>0</v>
      </c>
      <c r="M193" s="67">
        <f>IFERROR(SUMIF(体外式膜型人工肺!$C$30:$C$74,B193,体外式膜型人工肺!$N$30:$N$74)*((体外式膜型人工肺!$H$3-体外式膜型人工肺!$I$3)/体外式膜型人工肺!$H$3),0)</f>
        <v>0</v>
      </c>
      <c r="N193" s="68">
        <f t="shared" si="44"/>
        <v>0</v>
      </c>
      <c r="O193" s="68">
        <f t="shared" si="45"/>
        <v>0</v>
      </c>
      <c r="P193" s="68">
        <f t="shared" si="46"/>
        <v>0</v>
      </c>
      <c r="Q193" s="67">
        <f>IFERROR(SUMIF(紫外線照射装置!$C$30:$C$74,B193,紫外線照射装置!$N$30:$N$74)*((紫外線照射装置!$H$3-紫外線照射装置!$I$3)/紫外線照射装置!$H$3),0)</f>
        <v>0</v>
      </c>
      <c r="R193" s="68">
        <f t="shared" si="47"/>
        <v>0</v>
      </c>
      <c r="S193" s="101">
        <f t="shared" si="48"/>
        <v>0</v>
      </c>
      <c r="T193" s="67">
        <f>IFERROR(SUMIF(超音波画像診断装置!$C$30:$C$74,B193,超音波画像診断装置!$K$30:$K$74)*((超音波画像診断装置!$H$3-超音波画像診断装置!$I$3)/超音波画像診断装置!$H$3),0)</f>
        <v>0</v>
      </c>
      <c r="U193" s="68">
        <f t="shared" si="49"/>
        <v>0</v>
      </c>
      <c r="V193" s="67">
        <f>IFERROR(SUMIF(血液浄化装置!$C$30:$C$74,B193,血液浄化装置!$K$30:$K$74)*((血液浄化装置!$H$3-血液浄化装置!$I$3)/血液浄化装置!$H$3),0)</f>
        <v>0</v>
      </c>
      <c r="W193" s="68">
        <f t="shared" si="50"/>
        <v>0</v>
      </c>
      <c r="X193" s="67">
        <f>IFERROR(SUMIF(気管支鏡!$C$30:$C$74,B193,気管支鏡!$K$30:$K$74)*((気管支鏡!$H$3-気管支鏡!$I$3)/気管支鏡!$H$3),0)</f>
        <v>0</v>
      </c>
      <c r="Y193" s="68">
        <f t="shared" si="36"/>
        <v>0</v>
      </c>
      <c r="Z193" s="67">
        <f>IFERROR(SUMIF(CT撮影装置!$C$30:$C$74,B193,CT撮影装置!$K$30:$K$74)*((CT撮影装置!$H$3-CT撮影装置!$I$3)/CT撮影装置!$H$3),0)</f>
        <v>0</v>
      </c>
      <c r="AA193" s="68">
        <f t="shared" si="51"/>
        <v>0</v>
      </c>
      <c r="AB193" s="67">
        <f>IFERROR(SUMIF(生体情報モニタ!$C$30:$C$74,B193,生体情報モニタ!$K$30:$K$74)*((生体情報モニタ!$H$3-生体情報モニタ!$I$3)/生体情報モニタ!$H$3),0)</f>
        <v>0</v>
      </c>
      <c r="AC193" s="68">
        <f t="shared" si="37"/>
        <v>0</v>
      </c>
      <c r="AD193" s="67">
        <f>IFERROR(SUMIF(分娩監視装置!$C$30:$C$74,B193,分娩監視装置!$K$30:$K$74)*((分娩監視装置!$H$3-分娩監視装置!$I$3)/分娩監視装置!$H$3),0)</f>
        <v>0</v>
      </c>
      <c r="AE193" s="68">
        <f t="shared" si="52"/>
        <v>0</v>
      </c>
      <c r="AF193" s="67">
        <f>IFERROR(SUMIF(新生児モニタ!$C$30:$C$74,B193,新生児モニタ!$K$30:$K$74)*((新生児モニタ!$H$3-新生児モニタ!$I$3)/新生児モニタ!$H$3),0)</f>
        <v>0</v>
      </c>
      <c r="AG193" s="68">
        <f t="shared" si="53"/>
        <v>0</v>
      </c>
    </row>
    <row r="194" spans="2:33">
      <c r="B194" s="64" t="s">
        <v>841</v>
      </c>
      <c r="C194" s="67">
        <f>IFERROR(SUMIF(初度設備!$C$30:$C$74,B194,初度設備!$N$30:$N$74)*((初度設備!$H$3-初度設備!$I$3)/初度設備!$H$3),0)</f>
        <v>0</v>
      </c>
      <c r="D194" s="68">
        <f t="shared" si="38"/>
        <v>0</v>
      </c>
      <c r="E194" s="67">
        <f>IFERROR(SUMIF(人工呼吸器!$C$30:$C$74,B194,人工呼吸器!$N$30:$N$74)*((人工呼吸器!$H$3-人工呼吸器!$I$3)/人工呼吸器!$H$3),0)</f>
        <v>0</v>
      </c>
      <c r="F194" s="68">
        <f t="shared" si="39"/>
        <v>0</v>
      </c>
      <c r="G194" s="68">
        <f t="shared" si="40"/>
        <v>0</v>
      </c>
      <c r="H194" s="68">
        <f t="shared" si="41"/>
        <v>0</v>
      </c>
      <c r="I194" s="67">
        <f>IFERROR(SUMIF(簡易陰圧装置!$C$30:$C$74,B194,簡易陰圧装置!$N$30:$N$74)*((簡易陰圧装置!$H$3-簡易陰圧装置!$I$3)/簡易陰圧装置!$H$3),0)</f>
        <v>0</v>
      </c>
      <c r="J194" s="68">
        <f t="shared" si="42"/>
        <v>0</v>
      </c>
      <c r="K194" s="67">
        <f>IFERROR(SUMIF(#REF!,B194,#REF!)*((#REF!-#REF!)/#REF!),0)</f>
        <v>0</v>
      </c>
      <c r="L194" s="68">
        <f t="shared" si="43"/>
        <v>0</v>
      </c>
      <c r="M194" s="67">
        <f>IFERROR(SUMIF(体外式膜型人工肺!$C$30:$C$74,B194,体外式膜型人工肺!$N$30:$N$74)*((体外式膜型人工肺!$H$3-体外式膜型人工肺!$I$3)/体外式膜型人工肺!$H$3),0)</f>
        <v>0</v>
      </c>
      <c r="N194" s="68">
        <f t="shared" si="44"/>
        <v>0</v>
      </c>
      <c r="O194" s="68">
        <f t="shared" si="45"/>
        <v>0</v>
      </c>
      <c r="P194" s="68">
        <f t="shared" si="46"/>
        <v>0</v>
      </c>
      <c r="Q194" s="67">
        <f>IFERROR(SUMIF(紫外線照射装置!$C$30:$C$74,B194,紫外線照射装置!$N$30:$N$74)*((紫外線照射装置!$H$3-紫外線照射装置!$I$3)/紫外線照射装置!$H$3),0)</f>
        <v>0</v>
      </c>
      <c r="R194" s="68">
        <f t="shared" si="47"/>
        <v>0</v>
      </c>
      <c r="S194" s="101">
        <f t="shared" si="48"/>
        <v>0</v>
      </c>
      <c r="T194" s="67">
        <f>IFERROR(SUMIF(超音波画像診断装置!$C$30:$C$74,B194,超音波画像診断装置!$K$30:$K$74)*((超音波画像診断装置!$H$3-超音波画像診断装置!$I$3)/超音波画像診断装置!$H$3),0)</f>
        <v>0</v>
      </c>
      <c r="U194" s="68">
        <f t="shared" si="49"/>
        <v>0</v>
      </c>
      <c r="V194" s="67">
        <f>IFERROR(SUMIF(血液浄化装置!$C$30:$C$74,B194,血液浄化装置!$K$30:$K$74)*((血液浄化装置!$H$3-血液浄化装置!$I$3)/血液浄化装置!$H$3),0)</f>
        <v>0</v>
      </c>
      <c r="W194" s="68">
        <f t="shared" si="50"/>
        <v>0</v>
      </c>
      <c r="X194" s="67">
        <f>IFERROR(SUMIF(気管支鏡!$C$30:$C$74,B194,気管支鏡!$K$30:$K$74)*((気管支鏡!$H$3-気管支鏡!$I$3)/気管支鏡!$H$3),0)</f>
        <v>0</v>
      </c>
      <c r="Y194" s="68">
        <f t="shared" si="36"/>
        <v>0</v>
      </c>
      <c r="Z194" s="67">
        <f>IFERROR(SUMIF(CT撮影装置!$C$30:$C$74,B194,CT撮影装置!$K$30:$K$74)*((CT撮影装置!$H$3-CT撮影装置!$I$3)/CT撮影装置!$H$3),0)</f>
        <v>0</v>
      </c>
      <c r="AA194" s="68">
        <f t="shared" si="51"/>
        <v>0</v>
      </c>
      <c r="AB194" s="67">
        <f>IFERROR(SUMIF(生体情報モニタ!$C$30:$C$74,B194,生体情報モニタ!$K$30:$K$74)*((生体情報モニタ!$H$3-生体情報モニタ!$I$3)/生体情報モニタ!$H$3),0)</f>
        <v>0</v>
      </c>
      <c r="AC194" s="68">
        <f t="shared" si="37"/>
        <v>0</v>
      </c>
      <c r="AD194" s="67">
        <f>IFERROR(SUMIF(分娩監視装置!$C$30:$C$74,B194,分娩監視装置!$K$30:$K$74)*((分娩監視装置!$H$3-分娩監視装置!$I$3)/分娩監視装置!$H$3),0)</f>
        <v>0</v>
      </c>
      <c r="AE194" s="68">
        <f t="shared" si="52"/>
        <v>0</v>
      </c>
      <c r="AF194" s="67">
        <f>IFERROR(SUMIF(新生児モニタ!$C$30:$C$74,B194,新生児モニタ!$K$30:$K$74)*((新生児モニタ!$H$3-新生児モニタ!$I$3)/新生児モニタ!$H$3),0)</f>
        <v>0</v>
      </c>
      <c r="AG194" s="68">
        <f t="shared" si="53"/>
        <v>0</v>
      </c>
    </row>
    <row r="195" spans="2:33">
      <c r="B195" s="64" t="s">
        <v>842</v>
      </c>
      <c r="C195" s="67">
        <f>IFERROR(SUMIF(初度設備!$C$30:$C$74,B195,初度設備!$N$30:$N$74)*((初度設備!$H$3-初度設備!$I$3)/初度設備!$H$3),0)</f>
        <v>0</v>
      </c>
      <c r="D195" s="68">
        <f t="shared" si="38"/>
        <v>0</v>
      </c>
      <c r="E195" s="67">
        <f>IFERROR(SUMIF(人工呼吸器!$C$30:$C$74,B195,人工呼吸器!$N$30:$N$74)*((人工呼吸器!$H$3-人工呼吸器!$I$3)/人工呼吸器!$H$3),0)</f>
        <v>0</v>
      </c>
      <c r="F195" s="68">
        <f t="shared" si="39"/>
        <v>0</v>
      </c>
      <c r="G195" s="68">
        <f t="shared" si="40"/>
        <v>0</v>
      </c>
      <c r="H195" s="68">
        <f t="shared" si="41"/>
        <v>0</v>
      </c>
      <c r="I195" s="67">
        <f>IFERROR(SUMIF(簡易陰圧装置!$C$30:$C$74,B195,簡易陰圧装置!$N$30:$N$74)*((簡易陰圧装置!$H$3-簡易陰圧装置!$I$3)/簡易陰圧装置!$H$3),0)</f>
        <v>0</v>
      </c>
      <c r="J195" s="68">
        <f t="shared" si="42"/>
        <v>0</v>
      </c>
      <c r="K195" s="67">
        <f>IFERROR(SUMIF(#REF!,B195,#REF!)*((#REF!-#REF!)/#REF!),0)</f>
        <v>0</v>
      </c>
      <c r="L195" s="68">
        <f t="shared" si="43"/>
        <v>0</v>
      </c>
      <c r="M195" s="67">
        <f>IFERROR(SUMIF(体外式膜型人工肺!$C$30:$C$74,B195,体外式膜型人工肺!$N$30:$N$74)*((体外式膜型人工肺!$H$3-体外式膜型人工肺!$I$3)/体外式膜型人工肺!$H$3),0)</f>
        <v>0</v>
      </c>
      <c r="N195" s="68">
        <f t="shared" si="44"/>
        <v>0</v>
      </c>
      <c r="O195" s="68">
        <f t="shared" si="45"/>
        <v>0</v>
      </c>
      <c r="P195" s="68">
        <f t="shared" si="46"/>
        <v>0</v>
      </c>
      <c r="Q195" s="67">
        <f>IFERROR(SUMIF(紫外線照射装置!$C$30:$C$74,B195,紫外線照射装置!$N$30:$N$74)*((紫外線照射装置!$H$3-紫外線照射装置!$I$3)/紫外線照射装置!$H$3),0)</f>
        <v>0</v>
      </c>
      <c r="R195" s="68">
        <f t="shared" si="47"/>
        <v>0</v>
      </c>
      <c r="S195" s="101">
        <f t="shared" si="48"/>
        <v>0</v>
      </c>
      <c r="T195" s="67">
        <f>IFERROR(SUMIF(超音波画像診断装置!$C$30:$C$74,B195,超音波画像診断装置!$K$30:$K$74)*((超音波画像診断装置!$H$3-超音波画像診断装置!$I$3)/超音波画像診断装置!$H$3),0)</f>
        <v>0</v>
      </c>
      <c r="U195" s="68">
        <f t="shared" si="49"/>
        <v>0</v>
      </c>
      <c r="V195" s="67">
        <f>IFERROR(SUMIF(血液浄化装置!$C$30:$C$74,B195,血液浄化装置!$K$30:$K$74)*((血液浄化装置!$H$3-血液浄化装置!$I$3)/血液浄化装置!$H$3),0)</f>
        <v>0</v>
      </c>
      <c r="W195" s="68">
        <f t="shared" si="50"/>
        <v>0</v>
      </c>
      <c r="X195" s="67">
        <f>IFERROR(SUMIF(気管支鏡!$C$30:$C$74,B195,気管支鏡!$K$30:$K$74)*((気管支鏡!$H$3-気管支鏡!$I$3)/気管支鏡!$H$3),0)</f>
        <v>0</v>
      </c>
      <c r="Y195" s="68">
        <f t="shared" si="36"/>
        <v>0</v>
      </c>
      <c r="Z195" s="67">
        <f>IFERROR(SUMIF(CT撮影装置!$C$30:$C$74,B195,CT撮影装置!$K$30:$K$74)*((CT撮影装置!$H$3-CT撮影装置!$I$3)/CT撮影装置!$H$3),0)</f>
        <v>0</v>
      </c>
      <c r="AA195" s="68">
        <f t="shared" si="51"/>
        <v>0</v>
      </c>
      <c r="AB195" s="67">
        <f>IFERROR(SUMIF(生体情報モニタ!$C$30:$C$74,B195,生体情報モニタ!$K$30:$K$74)*((生体情報モニタ!$H$3-生体情報モニタ!$I$3)/生体情報モニタ!$H$3),0)</f>
        <v>0</v>
      </c>
      <c r="AC195" s="68">
        <f t="shared" si="37"/>
        <v>0</v>
      </c>
      <c r="AD195" s="67">
        <f>IFERROR(SUMIF(分娩監視装置!$C$30:$C$74,B195,分娩監視装置!$K$30:$K$74)*((分娩監視装置!$H$3-分娩監視装置!$I$3)/分娩監視装置!$H$3),0)</f>
        <v>0</v>
      </c>
      <c r="AE195" s="68">
        <f t="shared" si="52"/>
        <v>0</v>
      </c>
      <c r="AF195" s="67">
        <f>IFERROR(SUMIF(新生児モニタ!$C$30:$C$74,B195,新生児モニタ!$K$30:$K$74)*((新生児モニタ!$H$3-新生児モニタ!$I$3)/新生児モニタ!$H$3),0)</f>
        <v>0</v>
      </c>
      <c r="AG195" s="68">
        <f t="shared" si="53"/>
        <v>0</v>
      </c>
    </row>
    <row r="196" spans="2:33">
      <c r="B196" s="64" t="s">
        <v>843</v>
      </c>
      <c r="C196" s="67">
        <f>IFERROR(SUMIF(初度設備!$C$30:$C$74,B196,初度設備!$N$30:$N$74)*((初度設備!$H$3-初度設備!$I$3)/初度設備!$H$3),0)</f>
        <v>0</v>
      </c>
      <c r="D196" s="68">
        <f t="shared" si="38"/>
        <v>0</v>
      </c>
      <c r="E196" s="67">
        <f>IFERROR(SUMIF(人工呼吸器!$C$30:$C$74,B196,人工呼吸器!$N$30:$N$74)*((人工呼吸器!$H$3-人工呼吸器!$I$3)/人工呼吸器!$H$3),0)</f>
        <v>0</v>
      </c>
      <c r="F196" s="68">
        <f t="shared" si="39"/>
        <v>0</v>
      </c>
      <c r="G196" s="68">
        <f t="shared" si="40"/>
        <v>0</v>
      </c>
      <c r="H196" s="68">
        <f t="shared" si="41"/>
        <v>0</v>
      </c>
      <c r="I196" s="67">
        <f>IFERROR(SUMIF(簡易陰圧装置!$C$30:$C$74,B196,簡易陰圧装置!$N$30:$N$74)*((簡易陰圧装置!$H$3-簡易陰圧装置!$I$3)/簡易陰圧装置!$H$3),0)</f>
        <v>0</v>
      </c>
      <c r="J196" s="68">
        <f t="shared" si="42"/>
        <v>0</v>
      </c>
      <c r="K196" s="67">
        <f>IFERROR(SUMIF(#REF!,B196,#REF!)*((#REF!-#REF!)/#REF!),0)</f>
        <v>0</v>
      </c>
      <c r="L196" s="68">
        <f t="shared" si="43"/>
        <v>0</v>
      </c>
      <c r="M196" s="67">
        <f>IFERROR(SUMIF(体外式膜型人工肺!$C$30:$C$74,B196,体外式膜型人工肺!$N$30:$N$74)*((体外式膜型人工肺!$H$3-体外式膜型人工肺!$I$3)/体外式膜型人工肺!$H$3),0)</f>
        <v>0</v>
      </c>
      <c r="N196" s="68">
        <f t="shared" si="44"/>
        <v>0</v>
      </c>
      <c r="O196" s="68">
        <f t="shared" si="45"/>
        <v>0</v>
      </c>
      <c r="P196" s="68">
        <f t="shared" si="46"/>
        <v>0</v>
      </c>
      <c r="Q196" s="67">
        <f>IFERROR(SUMIF(紫外線照射装置!$C$30:$C$74,B196,紫外線照射装置!$N$30:$N$74)*((紫外線照射装置!$H$3-紫外線照射装置!$I$3)/紫外線照射装置!$H$3),0)</f>
        <v>0</v>
      </c>
      <c r="R196" s="68">
        <f t="shared" si="47"/>
        <v>0</v>
      </c>
      <c r="S196" s="101">
        <f t="shared" si="48"/>
        <v>0</v>
      </c>
      <c r="T196" s="67">
        <f>IFERROR(SUMIF(超音波画像診断装置!$C$30:$C$74,B196,超音波画像診断装置!$K$30:$K$74)*((超音波画像診断装置!$H$3-超音波画像診断装置!$I$3)/超音波画像診断装置!$H$3),0)</f>
        <v>0</v>
      </c>
      <c r="U196" s="68">
        <f t="shared" si="49"/>
        <v>0</v>
      </c>
      <c r="V196" s="67">
        <f>IFERROR(SUMIF(血液浄化装置!$C$30:$C$74,B196,血液浄化装置!$K$30:$K$74)*((血液浄化装置!$H$3-血液浄化装置!$I$3)/血液浄化装置!$H$3),0)</f>
        <v>0</v>
      </c>
      <c r="W196" s="68">
        <f t="shared" si="50"/>
        <v>0</v>
      </c>
      <c r="X196" s="67">
        <f>IFERROR(SUMIF(気管支鏡!$C$30:$C$74,B196,気管支鏡!$K$30:$K$74)*((気管支鏡!$H$3-気管支鏡!$I$3)/気管支鏡!$H$3),0)</f>
        <v>0</v>
      </c>
      <c r="Y196" s="68">
        <f t="shared" si="36"/>
        <v>0</v>
      </c>
      <c r="Z196" s="67">
        <f>IFERROR(SUMIF(CT撮影装置!$C$30:$C$74,B196,CT撮影装置!$K$30:$K$74)*((CT撮影装置!$H$3-CT撮影装置!$I$3)/CT撮影装置!$H$3),0)</f>
        <v>0</v>
      </c>
      <c r="AA196" s="68">
        <f t="shared" si="51"/>
        <v>0</v>
      </c>
      <c r="AB196" s="67">
        <f>IFERROR(SUMIF(生体情報モニタ!$C$30:$C$74,B196,生体情報モニタ!$K$30:$K$74)*((生体情報モニタ!$H$3-生体情報モニタ!$I$3)/生体情報モニタ!$H$3),0)</f>
        <v>0</v>
      </c>
      <c r="AC196" s="68">
        <f t="shared" si="37"/>
        <v>0</v>
      </c>
      <c r="AD196" s="67">
        <f>IFERROR(SUMIF(分娩監視装置!$C$30:$C$74,B196,分娩監視装置!$K$30:$K$74)*((分娩監視装置!$H$3-分娩監視装置!$I$3)/分娩監視装置!$H$3),0)</f>
        <v>0</v>
      </c>
      <c r="AE196" s="68">
        <f t="shared" si="52"/>
        <v>0</v>
      </c>
      <c r="AF196" s="67">
        <f>IFERROR(SUMIF(新生児モニタ!$C$30:$C$74,B196,新生児モニタ!$K$30:$K$74)*((新生児モニタ!$H$3-新生児モニタ!$I$3)/新生児モニタ!$H$3),0)</f>
        <v>0</v>
      </c>
      <c r="AG196" s="68">
        <f t="shared" si="53"/>
        <v>0</v>
      </c>
    </row>
    <row r="197" spans="2:33">
      <c r="B197" s="64" t="s">
        <v>844</v>
      </c>
      <c r="C197" s="67">
        <f>IFERROR(SUMIF(初度設備!$C$30:$C$74,B197,初度設備!$N$30:$N$74)*((初度設備!$H$3-初度設備!$I$3)/初度設備!$H$3),0)</f>
        <v>0</v>
      </c>
      <c r="D197" s="68">
        <f t="shared" si="38"/>
        <v>0</v>
      </c>
      <c r="E197" s="67">
        <f>IFERROR(SUMIF(人工呼吸器!$C$30:$C$74,B197,人工呼吸器!$N$30:$N$74)*((人工呼吸器!$H$3-人工呼吸器!$I$3)/人工呼吸器!$H$3),0)</f>
        <v>0</v>
      </c>
      <c r="F197" s="68">
        <f t="shared" si="39"/>
        <v>0</v>
      </c>
      <c r="G197" s="68">
        <f t="shared" si="40"/>
        <v>0</v>
      </c>
      <c r="H197" s="68">
        <f t="shared" si="41"/>
        <v>0</v>
      </c>
      <c r="I197" s="67">
        <f>IFERROR(SUMIF(簡易陰圧装置!$C$30:$C$74,B197,簡易陰圧装置!$N$30:$N$74)*((簡易陰圧装置!$H$3-簡易陰圧装置!$I$3)/簡易陰圧装置!$H$3),0)</f>
        <v>0</v>
      </c>
      <c r="J197" s="68">
        <f t="shared" si="42"/>
        <v>0</v>
      </c>
      <c r="K197" s="67">
        <f>IFERROR(SUMIF(#REF!,B197,#REF!)*((#REF!-#REF!)/#REF!),0)</f>
        <v>0</v>
      </c>
      <c r="L197" s="68">
        <f t="shared" si="43"/>
        <v>0</v>
      </c>
      <c r="M197" s="67">
        <f>IFERROR(SUMIF(体外式膜型人工肺!$C$30:$C$74,B197,体外式膜型人工肺!$N$30:$N$74)*((体外式膜型人工肺!$H$3-体外式膜型人工肺!$I$3)/体外式膜型人工肺!$H$3),0)</f>
        <v>0</v>
      </c>
      <c r="N197" s="68">
        <f t="shared" si="44"/>
        <v>0</v>
      </c>
      <c r="O197" s="68">
        <f t="shared" si="45"/>
        <v>0</v>
      </c>
      <c r="P197" s="68">
        <f t="shared" si="46"/>
        <v>0</v>
      </c>
      <c r="Q197" s="67">
        <f>IFERROR(SUMIF(紫外線照射装置!$C$30:$C$74,B197,紫外線照射装置!$N$30:$N$74)*((紫外線照射装置!$H$3-紫外線照射装置!$I$3)/紫外線照射装置!$H$3),0)</f>
        <v>0</v>
      </c>
      <c r="R197" s="68">
        <f t="shared" si="47"/>
        <v>0</v>
      </c>
      <c r="S197" s="101">
        <f t="shared" si="48"/>
        <v>0</v>
      </c>
      <c r="T197" s="67">
        <f>IFERROR(SUMIF(超音波画像診断装置!$C$30:$C$74,B197,超音波画像診断装置!$K$30:$K$74)*((超音波画像診断装置!$H$3-超音波画像診断装置!$I$3)/超音波画像診断装置!$H$3),0)</f>
        <v>0</v>
      </c>
      <c r="U197" s="68">
        <f t="shared" si="49"/>
        <v>0</v>
      </c>
      <c r="V197" s="67">
        <f>IFERROR(SUMIF(血液浄化装置!$C$30:$C$74,B197,血液浄化装置!$K$30:$K$74)*((血液浄化装置!$H$3-血液浄化装置!$I$3)/血液浄化装置!$H$3),0)</f>
        <v>0</v>
      </c>
      <c r="W197" s="68">
        <f t="shared" si="50"/>
        <v>0</v>
      </c>
      <c r="X197" s="67">
        <f>IFERROR(SUMIF(気管支鏡!$C$30:$C$74,B197,気管支鏡!$K$30:$K$74)*((気管支鏡!$H$3-気管支鏡!$I$3)/気管支鏡!$H$3),0)</f>
        <v>0</v>
      </c>
      <c r="Y197" s="68">
        <f t="shared" si="36"/>
        <v>0</v>
      </c>
      <c r="Z197" s="67">
        <f>IFERROR(SUMIF(CT撮影装置!$C$30:$C$74,B197,CT撮影装置!$K$30:$K$74)*((CT撮影装置!$H$3-CT撮影装置!$I$3)/CT撮影装置!$H$3),0)</f>
        <v>0</v>
      </c>
      <c r="AA197" s="68">
        <f t="shared" si="51"/>
        <v>0</v>
      </c>
      <c r="AB197" s="67">
        <f>IFERROR(SUMIF(生体情報モニタ!$C$30:$C$74,B197,生体情報モニタ!$K$30:$K$74)*((生体情報モニタ!$H$3-生体情報モニタ!$I$3)/生体情報モニタ!$H$3),0)</f>
        <v>0</v>
      </c>
      <c r="AC197" s="68">
        <f t="shared" si="37"/>
        <v>0</v>
      </c>
      <c r="AD197" s="67">
        <f>IFERROR(SUMIF(分娩監視装置!$C$30:$C$74,B197,分娩監視装置!$K$30:$K$74)*((分娩監視装置!$H$3-分娩監視装置!$I$3)/分娩監視装置!$H$3),0)</f>
        <v>0</v>
      </c>
      <c r="AE197" s="68">
        <f t="shared" si="52"/>
        <v>0</v>
      </c>
      <c r="AF197" s="67">
        <f>IFERROR(SUMIF(新生児モニタ!$C$30:$C$74,B197,新生児モニタ!$K$30:$K$74)*((新生児モニタ!$H$3-新生児モニタ!$I$3)/新生児モニタ!$H$3),0)</f>
        <v>0</v>
      </c>
      <c r="AG197" s="68">
        <f t="shared" si="53"/>
        <v>0</v>
      </c>
    </row>
    <row r="198" spans="2:33">
      <c r="B198" s="64" t="s">
        <v>845</v>
      </c>
      <c r="C198" s="67">
        <f>IFERROR(SUMIF(初度設備!$C$30:$C$74,B198,初度設備!$N$30:$N$74)*((初度設備!$H$3-初度設備!$I$3)/初度設備!$H$3),0)</f>
        <v>0</v>
      </c>
      <c r="D198" s="68">
        <f t="shared" si="38"/>
        <v>0</v>
      </c>
      <c r="E198" s="67">
        <f>IFERROR(SUMIF(人工呼吸器!$C$30:$C$74,B198,人工呼吸器!$N$30:$N$74)*((人工呼吸器!$H$3-人工呼吸器!$I$3)/人工呼吸器!$H$3),0)</f>
        <v>0</v>
      </c>
      <c r="F198" s="68">
        <f t="shared" si="39"/>
        <v>0</v>
      </c>
      <c r="G198" s="68">
        <f t="shared" si="40"/>
        <v>0</v>
      </c>
      <c r="H198" s="68">
        <f t="shared" si="41"/>
        <v>0</v>
      </c>
      <c r="I198" s="67">
        <f>IFERROR(SUMIF(簡易陰圧装置!$C$30:$C$74,B198,簡易陰圧装置!$N$30:$N$74)*((簡易陰圧装置!$H$3-簡易陰圧装置!$I$3)/簡易陰圧装置!$H$3),0)</f>
        <v>0</v>
      </c>
      <c r="J198" s="68">
        <f t="shared" si="42"/>
        <v>0</v>
      </c>
      <c r="K198" s="67">
        <f>IFERROR(SUMIF(#REF!,B198,#REF!)*((#REF!-#REF!)/#REF!),0)</f>
        <v>0</v>
      </c>
      <c r="L198" s="68">
        <f t="shared" si="43"/>
        <v>0</v>
      </c>
      <c r="M198" s="67">
        <f>IFERROR(SUMIF(体外式膜型人工肺!$C$30:$C$74,B198,体外式膜型人工肺!$N$30:$N$74)*((体外式膜型人工肺!$H$3-体外式膜型人工肺!$I$3)/体外式膜型人工肺!$H$3),0)</f>
        <v>0</v>
      </c>
      <c r="N198" s="68">
        <f t="shared" si="44"/>
        <v>0</v>
      </c>
      <c r="O198" s="68">
        <f t="shared" si="45"/>
        <v>0</v>
      </c>
      <c r="P198" s="68">
        <f t="shared" si="46"/>
        <v>0</v>
      </c>
      <c r="Q198" s="67">
        <f>IFERROR(SUMIF(紫外線照射装置!$C$30:$C$74,B198,紫外線照射装置!$N$30:$N$74)*((紫外線照射装置!$H$3-紫外線照射装置!$I$3)/紫外線照射装置!$H$3),0)</f>
        <v>0</v>
      </c>
      <c r="R198" s="68">
        <f t="shared" si="47"/>
        <v>0</v>
      </c>
      <c r="S198" s="101">
        <f t="shared" si="48"/>
        <v>0</v>
      </c>
      <c r="T198" s="67">
        <f>IFERROR(SUMIF(超音波画像診断装置!$C$30:$C$74,B198,超音波画像診断装置!$K$30:$K$74)*((超音波画像診断装置!$H$3-超音波画像診断装置!$I$3)/超音波画像診断装置!$H$3),0)</f>
        <v>0</v>
      </c>
      <c r="U198" s="68">
        <f t="shared" si="49"/>
        <v>0</v>
      </c>
      <c r="V198" s="67">
        <f>IFERROR(SUMIF(血液浄化装置!$C$30:$C$74,B198,血液浄化装置!$K$30:$K$74)*((血液浄化装置!$H$3-血液浄化装置!$I$3)/血液浄化装置!$H$3),0)</f>
        <v>0</v>
      </c>
      <c r="W198" s="68">
        <f t="shared" si="50"/>
        <v>0</v>
      </c>
      <c r="X198" s="67">
        <f>IFERROR(SUMIF(気管支鏡!$C$30:$C$74,B198,気管支鏡!$K$30:$K$74)*((気管支鏡!$H$3-気管支鏡!$I$3)/気管支鏡!$H$3),0)</f>
        <v>0</v>
      </c>
      <c r="Y198" s="68">
        <f t="shared" si="36"/>
        <v>0</v>
      </c>
      <c r="Z198" s="67">
        <f>IFERROR(SUMIF(CT撮影装置!$C$30:$C$74,B198,CT撮影装置!$K$30:$K$74)*((CT撮影装置!$H$3-CT撮影装置!$I$3)/CT撮影装置!$H$3),0)</f>
        <v>0</v>
      </c>
      <c r="AA198" s="68">
        <f t="shared" si="51"/>
        <v>0</v>
      </c>
      <c r="AB198" s="67">
        <f>IFERROR(SUMIF(生体情報モニタ!$C$30:$C$74,B198,生体情報モニタ!$K$30:$K$74)*((生体情報モニタ!$H$3-生体情報モニタ!$I$3)/生体情報モニタ!$H$3),0)</f>
        <v>0</v>
      </c>
      <c r="AC198" s="68">
        <f t="shared" si="37"/>
        <v>0</v>
      </c>
      <c r="AD198" s="67">
        <f>IFERROR(SUMIF(分娩監視装置!$C$30:$C$74,B198,分娩監視装置!$K$30:$K$74)*((分娩監視装置!$H$3-分娩監視装置!$I$3)/分娩監視装置!$H$3),0)</f>
        <v>0</v>
      </c>
      <c r="AE198" s="68">
        <f t="shared" si="52"/>
        <v>0</v>
      </c>
      <c r="AF198" s="67">
        <f>IFERROR(SUMIF(新生児モニタ!$C$30:$C$74,B198,新生児モニタ!$K$30:$K$74)*((新生児モニタ!$H$3-新生児モニタ!$I$3)/新生児モニタ!$H$3),0)</f>
        <v>0</v>
      </c>
      <c r="AG198" s="68">
        <f t="shared" si="53"/>
        <v>0</v>
      </c>
    </row>
    <row r="199" spans="2:33">
      <c r="B199" s="64" t="s">
        <v>846</v>
      </c>
      <c r="C199" s="67">
        <f>IFERROR(SUMIF(初度設備!$C$30:$C$74,B199,初度設備!$N$30:$N$74)*((初度設備!$H$3-初度設備!$I$3)/初度設備!$H$3),0)</f>
        <v>0</v>
      </c>
      <c r="D199" s="68">
        <f t="shared" si="38"/>
        <v>0</v>
      </c>
      <c r="E199" s="67">
        <f>IFERROR(SUMIF(人工呼吸器!$C$30:$C$74,B199,人工呼吸器!$N$30:$N$74)*((人工呼吸器!$H$3-人工呼吸器!$I$3)/人工呼吸器!$H$3),0)</f>
        <v>0</v>
      </c>
      <c r="F199" s="68">
        <f t="shared" si="39"/>
        <v>0</v>
      </c>
      <c r="G199" s="68">
        <f t="shared" si="40"/>
        <v>0</v>
      </c>
      <c r="H199" s="68">
        <f t="shared" si="41"/>
        <v>0</v>
      </c>
      <c r="I199" s="67">
        <f>IFERROR(SUMIF(簡易陰圧装置!$C$30:$C$74,B199,簡易陰圧装置!$N$30:$N$74)*((簡易陰圧装置!$H$3-簡易陰圧装置!$I$3)/簡易陰圧装置!$H$3),0)</f>
        <v>0</v>
      </c>
      <c r="J199" s="68">
        <f t="shared" si="42"/>
        <v>0</v>
      </c>
      <c r="K199" s="67">
        <f>IFERROR(SUMIF(#REF!,B199,#REF!)*((#REF!-#REF!)/#REF!),0)</f>
        <v>0</v>
      </c>
      <c r="L199" s="68">
        <f t="shared" si="43"/>
        <v>0</v>
      </c>
      <c r="M199" s="67">
        <f>IFERROR(SUMIF(体外式膜型人工肺!$C$30:$C$74,B199,体外式膜型人工肺!$N$30:$N$74)*((体外式膜型人工肺!$H$3-体外式膜型人工肺!$I$3)/体外式膜型人工肺!$H$3),0)</f>
        <v>0</v>
      </c>
      <c r="N199" s="68">
        <f t="shared" si="44"/>
        <v>0</v>
      </c>
      <c r="O199" s="68">
        <f t="shared" si="45"/>
        <v>0</v>
      </c>
      <c r="P199" s="68">
        <f t="shared" si="46"/>
        <v>0</v>
      </c>
      <c r="Q199" s="67">
        <f>IFERROR(SUMIF(紫外線照射装置!$C$30:$C$74,B199,紫外線照射装置!$N$30:$N$74)*((紫外線照射装置!$H$3-紫外線照射装置!$I$3)/紫外線照射装置!$H$3),0)</f>
        <v>0</v>
      </c>
      <c r="R199" s="68">
        <f t="shared" si="47"/>
        <v>0</v>
      </c>
      <c r="S199" s="101">
        <f t="shared" si="48"/>
        <v>0</v>
      </c>
      <c r="T199" s="67">
        <f>IFERROR(SUMIF(超音波画像診断装置!$C$30:$C$74,B199,超音波画像診断装置!$K$30:$K$74)*((超音波画像診断装置!$H$3-超音波画像診断装置!$I$3)/超音波画像診断装置!$H$3),0)</f>
        <v>0</v>
      </c>
      <c r="U199" s="68">
        <f t="shared" si="49"/>
        <v>0</v>
      </c>
      <c r="V199" s="67">
        <f>IFERROR(SUMIF(血液浄化装置!$C$30:$C$74,B199,血液浄化装置!$K$30:$K$74)*((血液浄化装置!$H$3-血液浄化装置!$I$3)/血液浄化装置!$H$3),0)</f>
        <v>0</v>
      </c>
      <c r="W199" s="68">
        <f t="shared" si="50"/>
        <v>0</v>
      </c>
      <c r="X199" s="67">
        <f>IFERROR(SUMIF(気管支鏡!$C$30:$C$74,B199,気管支鏡!$K$30:$K$74)*((気管支鏡!$H$3-気管支鏡!$I$3)/気管支鏡!$H$3),0)</f>
        <v>0</v>
      </c>
      <c r="Y199" s="68">
        <f t="shared" si="36"/>
        <v>0</v>
      </c>
      <c r="Z199" s="67">
        <f>IFERROR(SUMIF(CT撮影装置!$C$30:$C$74,B199,CT撮影装置!$K$30:$K$74)*((CT撮影装置!$H$3-CT撮影装置!$I$3)/CT撮影装置!$H$3),0)</f>
        <v>0</v>
      </c>
      <c r="AA199" s="68">
        <f t="shared" si="51"/>
        <v>0</v>
      </c>
      <c r="AB199" s="67">
        <f>IFERROR(SUMIF(生体情報モニタ!$C$30:$C$74,B199,生体情報モニタ!$K$30:$K$74)*((生体情報モニタ!$H$3-生体情報モニタ!$I$3)/生体情報モニタ!$H$3),0)</f>
        <v>0</v>
      </c>
      <c r="AC199" s="68">
        <f t="shared" si="37"/>
        <v>0</v>
      </c>
      <c r="AD199" s="67">
        <f>IFERROR(SUMIF(分娩監視装置!$C$30:$C$74,B199,分娩監視装置!$K$30:$K$74)*((分娩監視装置!$H$3-分娩監視装置!$I$3)/分娩監視装置!$H$3),0)</f>
        <v>0</v>
      </c>
      <c r="AE199" s="68">
        <f t="shared" si="52"/>
        <v>0</v>
      </c>
      <c r="AF199" s="67">
        <f>IFERROR(SUMIF(新生児モニタ!$C$30:$C$74,B199,新生児モニタ!$K$30:$K$74)*((新生児モニタ!$H$3-新生児モニタ!$I$3)/新生児モニタ!$H$3),0)</f>
        <v>0</v>
      </c>
      <c r="AG199" s="68">
        <f t="shared" si="53"/>
        <v>0</v>
      </c>
    </row>
    <row r="200" spans="2:33">
      <c r="B200" s="64" t="s">
        <v>847</v>
      </c>
      <c r="C200" s="67">
        <f>IFERROR(SUMIF(初度設備!$C$30:$C$74,B200,初度設備!$N$30:$N$74)*((初度設備!$H$3-初度設備!$I$3)/初度設備!$H$3),0)</f>
        <v>0</v>
      </c>
      <c r="D200" s="68">
        <f t="shared" si="38"/>
        <v>0</v>
      </c>
      <c r="E200" s="67">
        <f>IFERROR(SUMIF(人工呼吸器!$C$30:$C$74,B200,人工呼吸器!$N$30:$N$74)*((人工呼吸器!$H$3-人工呼吸器!$I$3)/人工呼吸器!$H$3),0)</f>
        <v>0</v>
      </c>
      <c r="F200" s="68">
        <f t="shared" si="39"/>
        <v>0</v>
      </c>
      <c r="G200" s="68">
        <f t="shared" si="40"/>
        <v>0</v>
      </c>
      <c r="H200" s="68">
        <f t="shared" si="41"/>
        <v>0</v>
      </c>
      <c r="I200" s="67">
        <f>IFERROR(SUMIF(簡易陰圧装置!$C$30:$C$74,B200,簡易陰圧装置!$N$30:$N$74)*((簡易陰圧装置!$H$3-簡易陰圧装置!$I$3)/簡易陰圧装置!$H$3),0)</f>
        <v>0</v>
      </c>
      <c r="J200" s="68">
        <f t="shared" si="42"/>
        <v>0</v>
      </c>
      <c r="K200" s="67">
        <f>IFERROR(SUMIF(#REF!,B200,#REF!)*((#REF!-#REF!)/#REF!),0)</f>
        <v>0</v>
      </c>
      <c r="L200" s="68">
        <f t="shared" si="43"/>
        <v>0</v>
      </c>
      <c r="M200" s="67">
        <f>IFERROR(SUMIF(体外式膜型人工肺!$C$30:$C$74,B200,体外式膜型人工肺!$N$30:$N$74)*((体外式膜型人工肺!$H$3-体外式膜型人工肺!$I$3)/体外式膜型人工肺!$H$3),0)</f>
        <v>0</v>
      </c>
      <c r="N200" s="68">
        <f t="shared" si="44"/>
        <v>0</v>
      </c>
      <c r="O200" s="68">
        <f t="shared" si="45"/>
        <v>0</v>
      </c>
      <c r="P200" s="68">
        <f t="shared" si="46"/>
        <v>0</v>
      </c>
      <c r="Q200" s="67">
        <f>IFERROR(SUMIF(紫外線照射装置!$C$30:$C$74,B200,紫外線照射装置!$N$30:$N$74)*((紫外線照射装置!$H$3-紫外線照射装置!$I$3)/紫外線照射装置!$H$3),0)</f>
        <v>0</v>
      </c>
      <c r="R200" s="68">
        <f t="shared" si="47"/>
        <v>0</v>
      </c>
      <c r="S200" s="101">
        <f t="shared" si="48"/>
        <v>0</v>
      </c>
      <c r="T200" s="67">
        <f>IFERROR(SUMIF(超音波画像診断装置!$C$30:$C$74,B200,超音波画像診断装置!$K$30:$K$74)*((超音波画像診断装置!$H$3-超音波画像診断装置!$I$3)/超音波画像診断装置!$H$3),0)</f>
        <v>0</v>
      </c>
      <c r="U200" s="68">
        <f t="shared" si="49"/>
        <v>0</v>
      </c>
      <c r="V200" s="67">
        <f>IFERROR(SUMIF(血液浄化装置!$C$30:$C$74,B200,血液浄化装置!$K$30:$K$74)*((血液浄化装置!$H$3-血液浄化装置!$I$3)/血液浄化装置!$H$3),0)</f>
        <v>0</v>
      </c>
      <c r="W200" s="68">
        <f t="shared" si="50"/>
        <v>0</v>
      </c>
      <c r="X200" s="67">
        <f>IFERROR(SUMIF(気管支鏡!$C$30:$C$74,B200,気管支鏡!$K$30:$K$74)*((気管支鏡!$H$3-気管支鏡!$I$3)/気管支鏡!$H$3),0)</f>
        <v>0</v>
      </c>
      <c r="Y200" s="68">
        <f t="shared" si="36"/>
        <v>0</v>
      </c>
      <c r="Z200" s="67">
        <f>IFERROR(SUMIF(CT撮影装置!$C$30:$C$74,B200,CT撮影装置!$K$30:$K$74)*((CT撮影装置!$H$3-CT撮影装置!$I$3)/CT撮影装置!$H$3),0)</f>
        <v>0</v>
      </c>
      <c r="AA200" s="68">
        <f t="shared" si="51"/>
        <v>0</v>
      </c>
      <c r="AB200" s="67">
        <f>IFERROR(SUMIF(生体情報モニタ!$C$30:$C$74,B200,生体情報モニタ!$K$30:$K$74)*((生体情報モニタ!$H$3-生体情報モニタ!$I$3)/生体情報モニタ!$H$3),0)</f>
        <v>0</v>
      </c>
      <c r="AC200" s="68">
        <f t="shared" si="37"/>
        <v>0</v>
      </c>
      <c r="AD200" s="67">
        <f>IFERROR(SUMIF(分娩監視装置!$C$30:$C$74,B200,分娩監視装置!$K$30:$K$74)*((分娩監視装置!$H$3-分娩監視装置!$I$3)/分娩監視装置!$H$3),0)</f>
        <v>0</v>
      </c>
      <c r="AE200" s="68">
        <f t="shared" si="52"/>
        <v>0</v>
      </c>
      <c r="AF200" s="67">
        <f>IFERROR(SUMIF(新生児モニタ!$C$30:$C$74,B200,新生児モニタ!$K$30:$K$74)*((新生児モニタ!$H$3-新生児モニタ!$I$3)/新生児モニタ!$H$3),0)</f>
        <v>0</v>
      </c>
      <c r="AG200" s="68">
        <f t="shared" si="53"/>
        <v>0</v>
      </c>
    </row>
    <row r="201" spans="2:33">
      <c r="B201" s="64" t="s">
        <v>848</v>
      </c>
      <c r="C201" s="67">
        <f>IFERROR(SUMIF(初度設備!$C$30:$C$74,B201,初度設備!$N$30:$N$74)*((初度設備!$H$3-初度設備!$I$3)/初度設備!$H$3),0)</f>
        <v>0</v>
      </c>
      <c r="D201" s="68">
        <f t="shared" si="38"/>
        <v>0</v>
      </c>
      <c r="E201" s="67">
        <f>IFERROR(SUMIF(人工呼吸器!$C$30:$C$74,B201,人工呼吸器!$N$30:$N$74)*((人工呼吸器!$H$3-人工呼吸器!$I$3)/人工呼吸器!$H$3),0)</f>
        <v>0</v>
      </c>
      <c r="F201" s="68">
        <f t="shared" si="39"/>
        <v>0</v>
      </c>
      <c r="G201" s="68">
        <f t="shared" si="40"/>
        <v>0</v>
      </c>
      <c r="H201" s="68">
        <f t="shared" si="41"/>
        <v>0</v>
      </c>
      <c r="I201" s="67">
        <f>IFERROR(SUMIF(簡易陰圧装置!$C$30:$C$74,B201,簡易陰圧装置!$N$30:$N$74)*((簡易陰圧装置!$H$3-簡易陰圧装置!$I$3)/簡易陰圧装置!$H$3),0)</f>
        <v>0</v>
      </c>
      <c r="J201" s="68">
        <f t="shared" si="42"/>
        <v>0</v>
      </c>
      <c r="K201" s="67">
        <f>IFERROR(SUMIF(#REF!,B201,#REF!)*((#REF!-#REF!)/#REF!),0)</f>
        <v>0</v>
      </c>
      <c r="L201" s="68">
        <f t="shared" si="43"/>
        <v>0</v>
      </c>
      <c r="M201" s="67">
        <f>IFERROR(SUMIF(体外式膜型人工肺!$C$30:$C$74,B201,体外式膜型人工肺!$N$30:$N$74)*((体外式膜型人工肺!$H$3-体外式膜型人工肺!$I$3)/体外式膜型人工肺!$H$3),0)</f>
        <v>0</v>
      </c>
      <c r="N201" s="68">
        <f t="shared" si="44"/>
        <v>0</v>
      </c>
      <c r="O201" s="68">
        <f t="shared" si="45"/>
        <v>0</v>
      </c>
      <c r="P201" s="68">
        <f t="shared" si="46"/>
        <v>0</v>
      </c>
      <c r="Q201" s="67">
        <f>IFERROR(SUMIF(紫外線照射装置!$C$30:$C$74,B201,紫外線照射装置!$N$30:$N$74)*((紫外線照射装置!$H$3-紫外線照射装置!$I$3)/紫外線照射装置!$H$3),0)</f>
        <v>0</v>
      </c>
      <c r="R201" s="68">
        <f t="shared" si="47"/>
        <v>0</v>
      </c>
      <c r="S201" s="101">
        <f t="shared" si="48"/>
        <v>0</v>
      </c>
      <c r="T201" s="67">
        <f>IFERROR(SUMIF(超音波画像診断装置!$C$30:$C$74,B201,超音波画像診断装置!$K$30:$K$74)*((超音波画像診断装置!$H$3-超音波画像診断装置!$I$3)/超音波画像診断装置!$H$3),0)</f>
        <v>0</v>
      </c>
      <c r="U201" s="68">
        <f t="shared" si="49"/>
        <v>0</v>
      </c>
      <c r="V201" s="67">
        <f>IFERROR(SUMIF(血液浄化装置!$C$30:$C$74,B201,血液浄化装置!$K$30:$K$74)*((血液浄化装置!$H$3-血液浄化装置!$I$3)/血液浄化装置!$H$3),0)</f>
        <v>0</v>
      </c>
      <c r="W201" s="68">
        <f t="shared" si="50"/>
        <v>0</v>
      </c>
      <c r="X201" s="67">
        <f>IFERROR(SUMIF(気管支鏡!$C$30:$C$74,B201,気管支鏡!$K$30:$K$74)*((気管支鏡!$H$3-気管支鏡!$I$3)/気管支鏡!$H$3),0)</f>
        <v>0</v>
      </c>
      <c r="Y201" s="68">
        <f t="shared" si="36"/>
        <v>0</v>
      </c>
      <c r="Z201" s="67">
        <f>IFERROR(SUMIF(CT撮影装置!$C$30:$C$74,B201,CT撮影装置!$K$30:$K$74)*((CT撮影装置!$H$3-CT撮影装置!$I$3)/CT撮影装置!$H$3),0)</f>
        <v>0</v>
      </c>
      <c r="AA201" s="68">
        <f t="shared" si="51"/>
        <v>0</v>
      </c>
      <c r="AB201" s="67">
        <f>IFERROR(SUMIF(生体情報モニタ!$C$30:$C$74,B201,生体情報モニタ!$K$30:$K$74)*((生体情報モニタ!$H$3-生体情報モニタ!$I$3)/生体情報モニタ!$H$3),0)</f>
        <v>0</v>
      </c>
      <c r="AC201" s="68">
        <f t="shared" si="37"/>
        <v>0</v>
      </c>
      <c r="AD201" s="67">
        <f>IFERROR(SUMIF(分娩監視装置!$C$30:$C$74,B201,分娩監視装置!$K$30:$K$74)*((分娩監視装置!$H$3-分娩監視装置!$I$3)/分娩監視装置!$H$3),0)</f>
        <v>0</v>
      </c>
      <c r="AE201" s="68">
        <f t="shared" si="52"/>
        <v>0</v>
      </c>
      <c r="AF201" s="67">
        <f>IFERROR(SUMIF(新生児モニタ!$C$30:$C$74,B201,新生児モニタ!$K$30:$K$74)*((新生児モニタ!$H$3-新生児モニタ!$I$3)/新生児モニタ!$H$3),0)</f>
        <v>0</v>
      </c>
      <c r="AG201" s="68">
        <f t="shared" si="53"/>
        <v>0</v>
      </c>
    </row>
    <row r="202" spans="2:33">
      <c r="B202" s="64" t="s">
        <v>849</v>
      </c>
      <c r="C202" s="67">
        <f>IFERROR(SUMIF(初度設備!$C$30:$C$74,B202,初度設備!$N$30:$N$74)*((初度設備!$H$3-初度設備!$I$3)/初度設備!$H$3),0)</f>
        <v>0</v>
      </c>
      <c r="D202" s="68">
        <f t="shared" si="38"/>
        <v>0</v>
      </c>
      <c r="E202" s="67">
        <f>IFERROR(SUMIF(人工呼吸器!$C$30:$C$74,B202,人工呼吸器!$N$30:$N$74)*((人工呼吸器!$H$3-人工呼吸器!$I$3)/人工呼吸器!$H$3),0)</f>
        <v>0</v>
      </c>
      <c r="F202" s="68">
        <f t="shared" si="39"/>
        <v>0</v>
      </c>
      <c r="G202" s="68">
        <f t="shared" si="40"/>
        <v>0</v>
      </c>
      <c r="H202" s="68">
        <f t="shared" si="41"/>
        <v>0</v>
      </c>
      <c r="I202" s="67">
        <f>IFERROR(SUMIF(簡易陰圧装置!$C$30:$C$74,B202,簡易陰圧装置!$N$30:$N$74)*((簡易陰圧装置!$H$3-簡易陰圧装置!$I$3)/簡易陰圧装置!$H$3),0)</f>
        <v>0</v>
      </c>
      <c r="J202" s="68">
        <f t="shared" si="42"/>
        <v>0</v>
      </c>
      <c r="K202" s="67">
        <f>IFERROR(SUMIF(#REF!,B202,#REF!)*((#REF!-#REF!)/#REF!),0)</f>
        <v>0</v>
      </c>
      <c r="L202" s="68">
        <f t="shared" si="43"/>
        <v>0</v>
      </c>
      <c r="M202" s="67">
        <f>IFERROR(SUMIF(体外式膜型人工肺!$C$30:$C$74,B202,体外式膜型人工肺!$N$30:$N$74)*((体外式膜型人工肺!$H$3-体外式膜型人工肺!$I$3)/体外式膜型人工肺!$H$3),0)</f>
        <v>0</v>
      </c>
      <c r="N202" s="68">
        <f t="shared" si="44"/>
        <v>0</v>
      </c>
      <c r="O202" s="68">
        <f t="shared" si="45"/>
        <v>0</v>
      </c>
      <c r="P202" s="68">
        <f t="shared" si="46"/>
        <v>0</v>
      </c>
      <c r="Q202" s="67">
        <f>IFERROR(SUMIF(紫外線照射装置!$C$30:$C$74,B202,紫外線照射装置!$N$30:$N$74)*((紫外線照射装置!$H$3-紫外線照射装置!$I$3)/紫外線照射装置!$H$3),0)</f>
        <v>0</v>
      </c>
      <c r="R202" s="68">
        <f t="shared" si="47"/>
        <v>0</v>
      </c>
      <c r="S202" s="101">
        <f t="shared" si="48"/>
        <v>0</v>
      </c>
      <c r="T202" s="67">
        <f>IFERROR(SUMIF(超音波画像診断装置!$C$30:$C$74,B202,超音波画像診断装置!$K$30:$K$74)*((超音波画像診断装置!$H$3-超音波画像診断装置!$I$3)/超音波画像診断装置!$H$3),0)</f>
        <v>0</v>
      </c>
      <c r="U202" s="68">
        <f t="shared" si="49"/>
        <v>0</v>
      </c>
      <c r="V202" s="67">
        <f>IFERROR(SUMIF(血液浄化装置!$C$30:$C$74,B202,血液浄化装置!$K$30:$K$74)*((血液浄化装置!$H$3-血液浄化装置!$I$3)/血液浄化装置!$H$3),0)</f>
        <v>0</v>
      </c>
      <c r="W202" s="68">
        <f t="shared" si="50"/>
        <v>0</v>
      </c>
      <c r="X202" s="67">
        <f>IFERROR(SUMIF(気管支鏡!$C$30:$C$74,B202,気管支鏡!$K$30:$K$74)*((気管支鏡!$H$3-気管支鏡!$I$3)/気管支鏡!$H$3),0)</f>
        <v>0</v>
      </c>
      <c r="Y202" s="68">
        <f t="shared" si="36"/>
        <v>0</v>
      </c>
      <c r="Z202" s="67">
        <f>IFERROR(SUMIF(CT撮影装置!$C$30:$C$74,B202,CT撮影装置!$K$30:$K$74)*((CT撮影装置!$H$3-CT撮影装置!$I$3)/CT撮影装置!$H$3),0)</f>
        <v>0</v>
      </c>
      <c r="AA202" s="68">
        <f t="shared" si="51"/>
        <v>0</v>
      </c>
      <c r="AB202" s="67">
        <f>IFERROR(SUMIF(生体情報モニタ!$C$30:$C$74,B202,生体情報モニタ!$K$30:$K$74)*((生体情報モニタ!$H$3-生体情報モニタ!$I$3)/生体情報モニタ!$H$3),0)</f>
        <v>0</v>
      </c>
      <c r="AC202" s="68">
        <f t="shared" si="37"/>
        <v>0</v>
      </c>
      <c r="AD202" s="67">
        <f>IFERROR(SUMIF(分娩監視装置!$C$30:$C$74,B202,分娩監視装置!$K$30:$K$74)*((分娩監視装置!$H$3-分娩監視装置!$I$3)/分娩監視装置!$H$3),0)</f>
        <v>0</v>
      </c>
      <c r="AE202" s="68">
        <f t="shared" si="52"/>
        <v>0</v>
      </c>
      <c r="AF202" s="67">
        <f>IFERROR(SUMIF(新生児モニタ!$C$30:$C$74,B202,新生児モニタ!$K$30:$K$74)*((新生児モニタ!$H$3-新生児モニタ!$I$3)/新生児モニタ!$H$3),0)</f>
        <v>0</v>
      </c>
      <c r="AG202" s="68">
        <f t="shared" si="53"/>
        <v>0</v>
      </c>
    </row>
    <row r="203" spans="2:33">
      <c r="B203" s="64" t="s">
        <v>850</v>
      </c>
      <c r="C203" s="67">
        <f>IFERROR(SUMIF(初度設備!$C$30:$C$74,B203,初度設備!$N$30:$N$74)*((初度設備!$H$3-初度設備!$I$3)/初度設備!$H$3),0)</f>
        <v>0</v>
      </c>
      <c r="D203" s="68">
        <f t="shared" si="38"/>
        <v>0</v>
      </c>
      <c r="E203" s="67">
        <f>IFERROR(SUMIF(人工呼吸器!$C$30:$C$74,B203,人工呼吸器!$N$30:$N$74)*((人工呼吸器!$H$3-人工呼吸器!$I$3)/人工呼吸器!$H$3),0)</f>
        <v>0</v>
      </c>
      <c r="F203" s="68">
        <f t="shared" si="39"/>
        <v>0</v>
      </c>
      <c r="G203" s="68">
        <f t="shared" si="40"/>
        <v>0</v>
      </c>
      <c r="H203" s="68">
        <f t="shared" si="41"/>
        <v>0</v>
      </c>
      <c r="I203" s="67">
        <f>IFERROR(SUMIF(簡易陰圧装置!$C$30:$C$74,B203,簡易陰圧装置!$N$30:$N$74)*((簡易陰圧装置!$H$3-簡易陰圧装置!$I$3)/簡易陰圧装置!$H$3),0)</f>
        <v>0</v>
      </c>
      <c r="J203" s="68">
        <f t="shared" si="42"/>
        <v>0</v>
      </c>
      <c r="K203" s="67">
        <f>IFERROR(SUMIF(#REF!,B203,#REF!)*((#REF!-#REF!)/#REF!),0)</f>
        <v>0</v>
      </c>
      <c r="L203" s="68">
        <f t="shared" si="43"/>
        <v>0</v>
      </c>
      <c r="M203" s="67">
        <f>IFERROR(SUMIF(体外式膜型人工肺!$C$30:$C$74,B203,体外式膜型人工肺!$N$30:$N$74)*((体外式膜型人工肺!$H$3-体外式膜型人工肺!$I$3)/体外式膜型人工肺!$H$3),0)</f>
        <v>0</v>
      </c>
      <c r="N203" s="68">
        <f t="shared" si="44"/>
        <v>0</v>
      </c>
      <c r="O203" s="68">
        <f t="shared" si="45"/>
        <v>0</v>
      </c>
      <c r="P203" s="68">
        <f t="shared" si="46"/>
        <v>0</v>
      </c>
      <c r="Q203" s="67">
        <f>IFERROR(SUMIF(紫外線照射装置!$C$30:$C$74,B203,紫外線照射装置!$N$30:$N$74)*((紫外線照射装置!$H$3-紫外線照射装置!$I$3)/紫外線照射装置!$H$3),0)</f>
        <v>0</v>
      </c>
      <c r="R203" s="68">
        <f t="shared" si="47"/>
        <v>0</v>
      </c>
      <c r="S203" s="101">
        <f t="shared" si="48"/>
        <v>0</v>
      </c>
      <c r="T203" s="67">
        <f>IFERROR(SUMIF(超音波画像診断装置!$C$30:$C$74,B203,超音波画像診断装置!$K$30:$K$74)*((超音波画像診断装置!$H$3-超音波画像診断装置!$I$3)/超音波画像診断装置!$H$3),0)</f>
        <v>0</v>
      </c>
      <c r="U203" s="68">
        <f t="shared" si="49"/>
        <v>0</v>
      </c>
      <c r="V203" s="67">
        <f>IFERROR(SUMIF(血液浄化装置!$C$30:$C$74,B203,血液浄化装置!$K$30:$K$74)*((血液浄化装置!$H$3-血液浄化装置!$I$3)/血液浄化装置!$H$3),0)</f>
        <v>0</v>
      </c>
      <c r="W203" s="68">
        <f t="shared" si="50"/>
        <v>0</v>
      </c>
      <c r="X203" s="67">
        <f>IFERROR(SUMIF(気管支鏡!$C$30:$C$74,B203,気管支鏡!$K$30:$K$74)*((気管支鏡!$H$3-気管支鏡!$I$3)/気管支鏡!$H$3),0)</f>
        <v>0</v>
      </c>
      <c r="Y203" s="68">
        <f t="shared" si="36"/>
        <v>0</v>
      </c>
      <c r="Z203" s="67">
        <f>IFERROR(SUMIF(CT撮影装置!$C$30:$C$74,B203,CT撮影装置!$K$30:$K$74)*((CT撮影装置!$H$3-CT撮影装置!$I$3)/CT撮影装置!$H$3),0)</f>
        <v>0</v>
      </c>
      <c r="AA203" s="68">
        <f t="shared" si="51"/>
        <v>0</v>
      </c>
      <c r="AB203" s="67">
        <f>IFERROR(SUMIF(生体情報モニタ!$C$30:$C$74,B203,生体情報モニタ!$K$30:$K$74)*((生体情報モニタ!$H$3-生体情報モニタ!$I$3)/生体情報モニタ!$H$3),0)</f>
        <v>0</v>
      </c>
      <c r="AC203" s="68">
        <f t="shared" si="37"/>
        <v>0</v>
      </c>
      <c r="AD203" s="67">
        <f>IFERROR(SUMIF(分娩監視装置!$C$30:$C$74,B203,分娩監視装置!$K$30:$K$74)*((分娩監視装置!$H$3-分娩監視装置!$I$3)/分娩監視装置!$H$3),0)</f>
        <v>0</v>
      </c>
      <c r="AE203" s="68">
        <f t="shared" si="52"/>
        <v>0</v>
      </c>
      <c r="AF203" s="67">
        <f>IFERROR(SUMIF(新生児モニタ!$C$30:$C$74,B203,新生児モニタ!$K$30:$K$74)*((新生児モニタ!$H$3-新生児モニタ!$I$3)/新生児モニタ!$H$3),0)</f>
        <v>0</v>
      </c>
      <c r="AG203" s="68">
        <f t="shared" si="53"/>
        <v>0</v>
      </c>
    </row>
    <row r="204" spans="2:33">
      <c r="B204" s="64" t="s">
        <v>851</v>
      </c>
      <c r="C204" s="67">
        <f>IFERROR(SUMIF(初度設備!$C$30:$C$74,B204,初度設備!$N$30:$N$74)*((初度設備!$H$3-初度設備!$I$3)/初度設備!$H$3),0)</f>
        <v>0</v>
      </c>
      <c r="D204" s="68">
        <f t="shared" si="38"/>
        <v>0</v>
      </c>
      <c r="E204" s="67">
        <f>IFERROR(SUMIF(人工呼吸器!$C$30:$C$74,B204,人工呼吸器!$N$30:$N$74)*((人工呼吸器!$H$3-人工呼吸器!$I$3)/人工呼吸器!$H$3),0)</f>
        <v>0</v>
      </c>
      <c r="F204" s="68">
        <f t="shared" si="39"/>
        <v>0</v>
      </c>
      <c r="G204" s="68">
        <f t="shared" si="40"/>
        <v>0</v>
      </c>
      <c r="H204" s="68">
        <f t="shared" si="41"/>
        <v>0</v>
      </c>
      <c r="I204" s="67">
        <f>IFERROR(SUMIF(簡易陰圧装置!$C$30:$C$74,B204,簡易陰圧装置!$N$30:$N$74)*((簡易陰圧装置!$H$3-簡易陰圧装置!$I$3)/簡易陰圧装置!$H$3),0)</f>
        <v>0</v>
      </c>
      <c r="J204" s="68">
        <f t="shared" si="42"/>
        <v>0</v>
      </c>
      <c r="K204" s="67">
        <f>IFERROR(SUMIF(#REF!,B204,#REF!)*((#REF!-#REF!)/#REF!),0)</f>
        <v>0</v>
      </c>
      <c r="L204" s="68">
        <f t="shared" si="43"/>
        <v>0</v>
      </c>
      <c r="M204" s="67">
        <f>IFERROR(SUMIF(体外式膜型人工肺!$C$30:$C$74,B204,体外式膜型人工肺!$N$30:$N$74)*((体外式膜型人工肺!$H$3-体外式膜型人工肺!$I$3)/体外式膜型人工肺!$H$3),0)</f>
        <v>0</v>
      </c>
      <c r="N204" s="68">
        <f t="shared" si="44"/>
        <v>0</v>
      </c>
      <c r="O204" s="68">
        <f t="shared" si="45"/>
        <v>0</v>
      </c>
      <c r="P204" s="68">
        <f t="shared" si="46"/>
        <v>0</v>
      </c>
      <c r="Q204" s="67">
        <f>IFERROR(SUMIF(紫外線照射装置!$C$30:$C$74,B204,紫外線照射装置!$N$30:$N$74)*((紫外線照射装置!$H$3-紫外線照射装置!$I$3)/紫外線照射装置!$H$3),0)</f>
        <v>0</v>
      </c>
      <c r="R204" s="68">
        <f t="shared" si="47"/>
        <v>0</v>
      </c>
      <c r="S204" s="101">
        <f t="shared" si="48"/>
        <v>0</v>
      </c>
      <c r="T204" s="67">
        <f>IFERROR(SUMIF(超音波画像診断装置!$C$30:$C$74,B204,超音波画像診断装置!$K$30:$K$74)*((超音波画像診断装置!$H$3-超音波画像診断装置!$I$3)/超音波画像診断装置!$H$3),0)</f>
        <v>0</v>
      </c>
      <c r="U204" s="68">
        <f t="shared" si="49"/>
        <v>0</v>
      </c>
      <c r="V204" s="67">
        <f>IFERROR(SUMIF(血液浄化装置!$C$30:$C$74,B204,血液浄化装置!$K$30:$K$74)*((血液浄化装置!$H$3-血液浄化装置!$I$3)/血液浄化装置!$H$3),0)</f>
        <v>0</v>
      </c>
      <c r="W204" s="68">
        <f t="shared" si="50"/>
        <v>0</v>
      </c>
      <c r="X204" s="67">
        <f>IFERROR(SUMIF(気管支鏡!$C$30:$C$74,B204,気管支鏡!$K$30:$K$74)*((気管支鏡!$H$3-気管支鏡!$I$3)/気管支鏡!$H$3),0)</f>
        <v>0</v>
      </c>
      <c r="Y204" s="68">
        <f t="shared" si="36"/>
        <v>0</v>
      </c>
      <c r="Z204" s="67">
        <f>IFERROR(SUMIF(CT撮影装置!$C$30:$C$74,B204,CT撮影装置!$K$30:$K$74)*((CT撮影装置!$H$3-CT撮影装置!$I$3)/CT撮影装置!$H$3),0)</f>
        <v>0</v>
      </c>
      <c r="AA204" s="68">
        <f t="shared" si="51"/>
        <v>0</v>
      </c>
      <c r="AB204" s="67">
        <f>IFERROR(SUMIF(生体情報モニタ!$C$30:$C$74,B204,生体情報モニタ!$K$30:$K$74)*((生体情報モニタ!$H$3-生体情報モニタ!$I$3)/生体情報モニタ!$H$3),0)</f>
        <v>0</v>
      </c>
      <c r="AC204" s="68">
        <f t="shared" si="37"/>
        <v>0</v>
      </c>
      <c r="AD204" s="67">
        <f>IFERROR(SUMIF(分娩監視装置!$C$30:$C$74,B204,分娩監視装置!$K$30:$K$74)*((分娩監視装置!$H$3-分娩監視装置!$I$3)/分娩監視装置!$H$3),0)</f>
        <v>0</v>
      </c>
      <c r="AE204" s="68">
        <f t="shared" si="52"/>
        <v>0</v>
      </c>
      <c r="AF204" s="67">
        <f>IFERROR(SUMIF(新生児モニタ!$C$30:$C$74,B204,新生児モニタ!$K$30:$K$74)*((新生児モニタ!$H$3-新生児モニタ!$I$3)/新生児モニタ!$H$3),0)</f>
        <v>0</v>
      </c>
      <c r="AG204" s="68">
        <f t="shared" si="53"/>
        <v>0</v>
      </c>
    </row>
    <row r="205" spans="2:33">
      <c r="B205" s="64" t="s">
        <v>852</v>
      </c>
      <c r="C205" s="67">
        <f>IFERROR(SUMIF(初度設備!$C$30:$C$74,B205,初度設備!$N$30:$N$74)*((初度設備!$H$3-初度設備!$I$3)/初度設備!$H$3),0)</f>
        <v>0</v>
      </c>
      <c r="D205" s="68">
        <f t="shared" si="38"/>
        <v>0</v>
      </c>
      <c r="E205" s="67">
        <f>IFERROR(SUMIF(人工呼吸器!$C$30:$C$74,B205,人工呼吸器!$N$30:$N$74)*((人工呼吸器!$H$3-人工呼吸器!$I$3)/人工呼吸器!$H$3),0)</f>
        <v>0</v>
      </c>
      <c r="F205" s="68">
        <f t="shared" si="39"/>
        <v>0</v>
      </c>
      <c r="G205" s="68">
        <f t="shared" si="40"/>
        <v>0</v>
      </c>
      <c r="H205" s="68">
        <f t="shared" si="41"/>
        <v>0</v>
      </c>
      <c r="I205" s="67">
        <f>IFERROR(SUMIF(簡易陰圧装置!$C$30:$C$74,B205,簡易陰圧装置!$N$30:$N$74)*((簡易陰圧装置!$H$3-簡易陰圧装置!$I$3)/簡易陰圧装置!$H$3),0)</f>
        <v>0</v>
      </c>
      <c r="J205" s="68">
        <f t="shared" si="42"/>
        <v>0</v>
      </c>
      <c r="K205" s="67">
        <f>IFERROR(SUMIF(#REF!,B205,#REF!)*((#REF!-#REF!)/#REF!),0)</f>
        <v>0</v>
      </c>
      <c r="L205" s="68">
        <f t="shared" si="43"/>
        <v>0</v>
      </c>
      <c r="M205" s="67">
        <f>IFERROR(SUMIF(体外式膜型人工肺!$C$30:$C$74,B205,体外式膜型人工肺!$N$30:$N$74)*((体外式膜型人工肺!$H$3-体外式膜型人工肺!$I$3)/体外式膜型人工肺!$H$3),0)</f>
        <v>0</v>
      </c>
      <c r="N205" s="68">
        <f t="shared" si="44"/>
        <v>0</v>
      </c>
      <c r="O205" s="68">
        <f t="shared" si="45"/>
        <v>0</v>
      </c>
      <c r="P205" s="68">
        <f t="shared" si="46"/>
        <v>0</v>
      </c>
      <c r="Q205" s="67">
        <f>IFERROR(SUMIF(紫外線照射装置!$C$30:$C$74,B205,紫外線照射装置!$N$30:$N$74)*((紫外線照射装置!$H$3-紫外線照射装置!$I$3)/紫外線照射装置!$H$3),0)</f>
        <v>0</v>
      </c>
      <c r="R205" s="68">
        <f t="shared" si="47"/>
        <v>0</v>
      </c>
      <c r="S205" s="101">
        <f t="shared" si="48"/>
        <v>0</v>
      </c>
      <c r="T205" s="67">
        <f>IFERROR(SUMIF(超音波画像診断装置!$C$30:$C$74,B205,超音波画像診断装置!$K$30:$K$74)*((超音波画像診断装置!$H$3-超音波画像診断装置!$I$3)/超音波画像診断装置!$H$3),0)</f>
        <v>0</v>
      </c>
      <c r="U205" s="68">
        <f t="shared" si="49"/>
        <v>0</v>
      </c>
      <c r="V205" s="67">
        <f>IFERROR(SUMIF(血液浄化装置!$C$30:$C$74,B205,血液浄化装置!$K$30:$K$74)*((血液浄化装置!$H$3-血液浄化装置!$I$3)/血液浄化装置!$H$3),0)</f>
        <v>0</v>
      </c>
      <c r="W205" s="68">
        <f t="shared" si="50"/>
        <v>0</v>
      </c>
      <c r="X205" s="67">
        <f>IFERROR(SUMIF(気管支鏡!$C$30:$C$74,B205,気管支鏡!$K$30:$K$74)*((気管支鏡!$H$3-気管支鏡!$I$3)/気管支鏡!$H$3),0)</f>
        <v>0</v>
      </c>
      <c r="Y205" s="68">
        <f t="shared" si="36"/>
        <v>0</v>
      </c>
      <c r="Z205" s="67">
        <f>IFERROR(SUMIF(CT撮影装置!$C$30:$C$74,B205,CT撮影装置!$K$30:$K$74)*((CT撮影装置!$H$3-CT撮影装置!$I$3)/CT撮影装置!$H$3),0)</f>
        <v>0</v>
      </c>
      <c r="AA205" s="68">
        <f t="shared" si="51"/>
        <v>0</v>
      </c>
      <c r="AB205" s="67">
        <f>IFERROR(SUMIF(生体情報モニタ!$C$30:$C$74,B205,生体情報モニタ!$K$30:$K$74)*((生体情報モニタ!$H$3-生体情報モニタ!$I$3)/生体情報モニタ!$H$3),0)</f>
        <v>0</v>
      </c>
      <c r="AC205" s="68">
        <f t="shared" si="37"/>
        <v>0</v>
      </c>
      <c r="AD205" s="67">
        <f>IFERROR(SUMIF(分娩監視装置!$C$30:$C$74,B205,分娩監視装置!$K$30:$K$74)*((分娩監視装置!$H$3-分娩監視装置!$I$3)/分娩監視装置!$H$3),0)</f>
        <v>0</v>
      </c>
      <c r="AE205" s="68">
        <f t="shared" si="52"/>
        <v>0</v>
      </c>
      <c r="AF205" s="67">
        <f>IFERROR(SUMIF(新生児モニタ!$C$30:$C$74,B205,新生児モニタ!$K$30:$K$74)*((新生児モニタ!$H$3-新生児モニタ!$I$3)/新生児モニタ!$H$3),0)</f>
        <v>0</v>
      </c>
      <c r="AG205" s="68">
        <f t="shared" si="53"/>
        <v>0</v>
      </c>
    </row>
    <row r="206" spans="2:33">
      <c r="B206" s="64" t="s">
        <v>853</v>
      </c>
      <c r="C206" s="67">
        <f>IFERROR(SUMIF(初度設備!$C$30:$C$74,B206,初度設備!$N$30:$N$74)*((初度設備!$H$3-初度設備!$I$3)/初度設備!$H$3),0)</f>
        <v>0</v>
      </c>
      <c r="D206" s="68">
        <f t="shared" si="38"/>
        <v>0</v>
      </c>
      <c r="E206" s="67">
        <f>IFERROR(SUMIF(人工呼吸器!$C$30:$C$74,B206,人工呼吸器!$N$30:$N$74)*((人工呼吸器!$H$3-人工呼吸器!$I$3)/人工呼吸器!$H$3),0)</f>
        <v>0</v>
      </c>
      <c r="F206" s="68">
        <f t="shared" si="39"/>
        <v>0</v>
      </c>
      <c r="G206" s="68">
        <f t="shared" si="40"/>
        <v>0</v>
      </c>
      <c r="H206" s="68">
        <f t="shared" si="41"/>
        <v>0</v>
      </c>
      <c r="I206" s="67">
        <f>IFERROR(SUMIF(簡易陰圧装置!$C$30:$C$74,B206,簡易陰圧装置!$N$30:$N$74)*((簡易陰圧装置!$H$3-簡易陰圧装置!$I$3)/簡易陰圧装置!$H$3),0)</f>
        <v>0</v>
      </c>
      <c r="J206" s="68">
        <f t="shared" si="42"/>
        <v>0</v>
      </c>
      <c r="K206" s="67">
        <f>IFERROR(SUMIF(#REF!,B206,#REF!)*((#REF!-#REF!)/#REF!),0)</f>
        <v>0</v>
      </c>
      <c r="L206" s="68">
        <f t="shared" si="43"/>
        <v>0</v>
      </c>
      <c r="M206" s="67">
        <f>IFERROR(SUMIF(体外式膜型人工肺!$C$30:$C$74,B206,体外式膜型人工肺!$N$30:$N$74)*((体外式膜型人工肺!$H$3-体外式膜型人工肺!$I$3)/体外式膜型人工肺!$H$3),0)</f>
        <v>0</v>
      </c>
      <c r="N206" s="68">
        <f t="shared" si="44"/>
        <v>0</v>
      </c>
      <c r="O206" s="68">
        <f t="shared" si="45"/>
        <v>0</v>
      </c>
      <c r="P206" s="68">
        <f t="shared" si="46"/>
        <v>0</v>
      </c>
      <c r="Q206" s="67">
        <f>IFERROR(SUMIF(紫外線照射装置!$C$30:$C$74,B206,紫外線照射装置!$N$30:$N$74)*((紫外線照射装置!$H$3-紫外線照射装置!$I$3)/紫外線照射装置!$H$3),0)</f>
        <v>0</v>
      </c>
      <c r="R206" s="68">
        <f t="shared" si="47"/>
        <v>0</v>
      </c>
      <c r="S206" s="101">
        <f t="shared" si="48"/>
        <v>0</v>
      </c>
      <c r="T206" s="67">
        <f>IFERROR(SUMIF(超音波画像診断装置!$C$30:$C$74,B206,超音波画像診断装置!$K$30:$K$74)*((超音波画像診断装置!$H$3-超音波画像診断装置!$I$3)/超音波画像診断装置!$H$3),0)</f>
        <v>0</v>
      </c>
      <c r="U206" s="68">
        <f t="shared" si="49"/>
        <v>0</v>
      </c>
      <c r="V206" s="67">
        <f>IFERROR(SUMIF(血液浄化装置!$C$30:$C$74,B206,血液浄化装置!$K$30:$K$74)*((血液浄化装置!$H$3-血液浄化装置!$I$3)/血液浄化装置!$H$3),0)</f>
        <v>0</v>
      </c>
      <c r="W206" s="68">
        <f t="shared" si="50"/>
        <v>0</v>
      </c>
      <c r="X206" s="67">
        <f>IFERROR(SUMIF(気管支鏡!$C$30:$C$74,B206,気管支鏡!$K$30:$K$74)*((気管支鏡!$H$3-気管支鏡!$I$3)/気管支鏡!$H$3),0)</f>
        <v>0</v>
      </c>
      <c r="Y206" s="68">
        <f t="shared" si="36"/>
        <v>0</v>
      </c>
      <c r="Z206" s="67">
        <f>IFERROR(SUMIF(CT撮影装置!$C$30:$C$74,B206,CT撮影装置!$K$30:$K$74)*((CT撮影装置!$H$3-CT撮影装置!$I$3)/CT撮影装置!$H$3),0)</f>
        <v>0</v>
      </c>
      <c r="AA206" s="68">
        <f t="shared" si="51"/>
        <v>0</v>
      </c>
      <c r="AB206" s="67">
        <f>IFERROR(SUMIF(生体情報モニタ!$C$30:$C$74,B206,生体情報モニタ!$K$30:$K$74)*((生体情報モニタ!$H$3-生体情報モニタ!$I$3)/生体情報モニタ!$H$3),0)</f>
        <v>0</v>
      </c>
      <c r="AC206" s="68">
        <f t="shared" si="37"/>
        <v>0</v>
      </c>
      <c r="AD206" s="67">
        <f>IFERROR(SUMIF(分娩監視装置!$C$30:$C$74,B206,分娩監視装置!$K$30:$K$74)*((分娩監視装置!$H$3-分娩監視装置!$I$3)/分娩監視装置!$H$3),0)</f>
        <v>0</v>
      </c>
      <c r="AE206" s="68">
        <f t="shared" si="52"/>
        <v>0</v>
      </c>
      <c r="AF206" s="67">
        <f>IFERROR(SUMIF(新生児モニタ!$C$30:$C$74,B206,新生児モニタ!$K$30:$K$74)*((新生児モニタ!$H$3-新生児モニタ!$I$3)/新生児モニタ!$H$3),0)</f>
        <v>0</v>
      </c>
      <c r="AG206" s="68">
        <f t="shared" si="53"/>
        <v>0</v>
      </c>
    </row>
    <row r="207" spans="2:33">
      <c r="B207" s="64" t="s">
        <v>854</v>
      </c>
      <c r="C207" s="67">
        <f>IFERROR(SUMIF(初度設備!$C$30:$C$74,B207,初度設備!$N$30:$N$74)*((初度設備!$H$3-初度設備!$I$3)/初度設備!$H$3),0)</f>
        <v>0</v>
      </c>
      <c r="D207" s="68">
        <f t="shared" si="38"/>
        <v>0</v>
      </c>
      <c r="E207" s="67">
        <f>IFERROR(SUMIF(人工呼吸器!$C$30:$C$74,B207,人工呼吸器!$N$30:$N$74)*((人工呼吸器!$H$3-人工呼吸器!$I$3)/人工呼吸器!$H$3),0)</f>
        <v>0</v>
      </c>
      <c r="F207" s="68">
        <f t="shared" si="39"/>
        <v>0</v>
      </c>
      <c r="G207" s="68">
        <f t="shared" si="40"/>
        <v>0</v>
      </c>
      <c r="H207" s="68">
        <f t="shared" si="41"/>
        <v>0</v>
      </c>
      <c r="I207" s="67">
        <f>IFERROR(SUMIF(簡易陰圧装置!$C$30:$C$74,B207,簡易陰圧装置!$N$30:$N$74)*((簡易陰圧装置!$H$3-簡易陰圧装置!$I$3)/簡易陰圧装置!$H$3),0)</f>
        <v>0</v>
      </c>
      <c r="J207" s="68">
        <f t="shared" si="42"/>
        <v>0</v>
      </c>
      <c r="K207" s="67">
        <f>IFERROR(SUMIF(#REF!,B207,#REF!)*((#REF!-#REF!)/#REF!),0)</f>
        <v>0</v>
      </c>
      <c r="L207" s="68">
        <f t="shared" si="43"/>
        <v>0</v>
      </c>
      <c r="M207" s="67">
        <f>IFERROR(SUMIF(体外式膜型人工肺!$C$30:$C$74,B207,体外式膜型人工肺!$N$30:$N$74)*((体外式膜型人工肺!$H$3-体外式膜型人工肺!$I$3)/体外式膜型人工肺!$H$3),0)</f>
        <v>0</v>
      </c>
      <c r="N207" s="68">
        <f t="shared" si="44"/>
        <v>0</v>
      </c>
      <c r="O207" s="68">
        <f t="shared" si="45"/>
        <v>0</v>
      </c>
      <c r="P207" s="68">
        <f t="shared" si="46"/>
        <v>0</v>
      </c>
      <c r="Q207" s="67">
        <f>IFERROR(SUMIF(紫外線照射装置!$C$30:$C$74,B207,紫外線照射装置!$N$30:$N$74)*((紫外線照射装置!$H$3-紫外線照射装置!$I$3)/紫外線照射装置!$H$3),0)</f>
        <v>0</v>
      </c>
      <c r="R207" s="68">
        <f t="shared" si="47"/>
        <v>0</v>
      </c>
      <c r="S207" s="101">
        <f t="shared" si="48"/>
        <v>0</v>
      </c>
      <c r="T207" s="67">
        <f>IFERROR(SUMIF(超音波画像診断装置!$C$30:$C$74,B207,超音波画像診断装置!$K$30:$K$74)*((超音波画像診断装置!$H$3-超音波画像診断装置!$I$3)/超音波画像診断装置!$H$3),0)</f>
        <v>0</v>
      </c>
      <c r="U207" s="68">
        <f t="shared" si="49"/>
        <v>0</v>
      </c>
      <c r="V207" s="67">
        <f>IFERROR(SUMIF(血液浄化装置!$C$30:$C$74,B207,血液浄化装置!$K$30:$K$74)*((血液浄化装置!$H$3-血液浄化装置!$I$3)/血液浄化装置!$H$3),0)</f>
        <v>0</v>
      </c>
      <c r="W207" s="68">
        <f t="shared" si="50"/>
        <v>0</v>
      </c>
      <c r="X207" s="67">
        <f>IFERROR(SUMIF(気管支鏡!$C$30:$C$74,B207,気管支鏡!$K$30:$K$74)*((気管支鏡!$H$3-気管支鏡!$I$3)/気管支鏡!$H$3),0)</f>
        <v>0</v>
      </c>
      <c r="Y207" s="68">
        <f t="shared" si="36"/>
        <v>0</v>
      </c>
      <c r="Z207" s="67">
        <f>IFERROR(SUMIF(CT撮影装置!$C$30:$C$74,B207,CT撮影装置!$K$30:$K$74)*((CT撮影装置!$H$3-CT撮影装置!$I$3)/CT撮影装置!$H$3),0)</f>
        <v>0</v>
      </c>
      <c r="AA207" s="68">
        <f t="shared" si="51"/>
        <v>0</v>
      </c>
      <c r="AB207" s="67">
        <f>IFERROR(SUMIF(生体情報モニタ!$C$30:$C$74,B207,生体情報モニタ!$K$30:$K$74)*((生体情報モニタ!$H$3-生体情報モニタ!$I$3)/生体情報モニタ!$H$3),0)</f>
        <v>0</v>
      </c>
      <c r="AC207" s="68">
        <f t="shared" si="37"/>
        <v>0</v>
      </c>
      <c r="AD207" s="67">
        <f>IFERROR(SUMIF(分娩監視装置!$C$30:$C$74,B207,分娩監視装置!$K$30:$K$74)*((分娩監視装置!$H$3-分娩監視装置!$I$3)/分娩監視装置!$H$3),0)</f>
        <v>0</v>
      </c>
      <c r="AE207" s="68">
        <f t="shared" si="52"/>
        <v>0</v>
      </c>
      <c r="AF207" s="67">
        <f>IFERROR(SUMIF(新生児モニタ!$C$30:$C$74,B207,新生児モニタ!$K$30:$K$74)*((新生児モニタ!$H$3-新生児モニタ!$I$3)/新生児モニタ!$H$3),0)</f>
        <v>0</v>
      </c>
      <c r="AG207" s="68">
        <f t="shared" si="53"/>
        <v>0</v>
      </c>
    </row>
    <row r="208" spans="2:33">
      <c r="B208" s="64" t="s">
        <v>855</v>
      </c>
      <c r="C208" s="67">
        <f>IFERROR(SUMIF(初度設備!$C$30:$C$74,B208,初度設備!$N$30:$N$74)*((初度設備!$H$3-初度設備!$I$3)/初度設備!$H$3),0)</f>
        <v>0</v>
      </c>
      <c r="D208" s="68">
        <f t="shared" si="38"/>
        <v>0</v>
      </c>
      <c r="E208" s="67">
        <f>IFERROR(SUMIF(人工呼吸器!$C$30:$C$74,B208,人工呼吸器!$N$30:$N$74)*((人工呼吸器!$H$3-人工呼吸器!$I$3)/人工呼吸器!$H$3),0)</f>
        <v>0</v>
      </c>
      <c r="F208" s="68">
        <f t="shared" si="39"/>
        <v>0</v>
      </c>
      <c r="G208" s="68">
        <f t="shared" si="40"/>
        <v>0</v>
      </c>
      <c r="H208" s="68">
        <f t="shared" si="41"/>
        <v>0</v>
      </c>
      <c r="I208" s="67">
        <f>IFERROR(SUMIF(簡易陰圧装置!$C$30:$C$74,B208,簡易陰圧装置!$N$30:$N$74)*((簡易陰圧装置!$H$3-簡易陰圧装置!$I$3)/簡易陰圧装置!$H$3),0)</f>
        <v>0</v>
      </c>
      <c r="J208" s="68">
        <f t="shared" si="42"/>
        <v>0</v>
      </c>
      <c r="K208" s="67">
        <f>IFERROR(SUMIF(#REF!,B208,#REF!)*((#REF!-#REF!)/#REF!),0)</f>
        <v>0</v>
      </c>
      <c r="L208" s="68">
        <f t="shared" si="43"/>
        <v>0</v>
      </c>
      <c r="M208" s="67">
        <f>IFERROR(SUMIF(体外式膜型人工肺!$C$30:$C$74,B208,体外式膜型人工肺!$N$30:$N$74)*((体外式膜型人工肺!$H$3-体外式膜型人工肺!$I$3)/体外式膜型人工肺!$H$3),0)</f>
        <v>0</v>
      </c>
      <c r="N208" s="68">
        <f t="shared" si="44"/>
        <v>0</v>
      </c>
      <c r="O208" s="68">
        <f t="shared" si="45"/>
        <v>0</v>
      </c>
      <c r="P208" s="68">
        <f t="shared" si="46"/>
        <v>0</v>
      </c>
      <c r="Q208" s="67">
        <f>IFERROR(SUMIF(紫外線照射装置!$C$30:$C$74,B208,紫外線照射装置!$N$30:$N$74)*((紫外線照射装置!$H$3-紫外線照射装置!$I$3)/紫外線照射装置!$H$3),0)</f>
        <v>0</v>
      </c>
      <c r="R208" s="68">
        <f t="shared" si="47"/>
        <v>0</v>
      </c>
      <c r="S208" s="101">
        <f t="shared" si="48"/>
        <v>0</v>
      </c>
      <c r="T208" s="67">
        <f>IFERROR(SUMIF(超音波画像診断装置!$C$30:$C$74,B208,超音波画像診断装置!$K$30:$K$74)*((超音波画像診断装置!$H$3-超音波画像診断装置!$I$3)/超音波画像診断装置!$H$3),0)</f>
        <v>0</v>
      </c>
      <c r="U208" s="68">
        <f t="shared" si="49"/>
        <v>0</v>
      </c>
      <c r="V208" s="67">
        <f>IFERROR(SUMIF(血液浄化装置!$C$30:$C$74,B208,血液浄化装置!$K$30:$K$74)*((血液浄化装置!$H$3-血液浄化装置!$I$3)/血液浄化装置!$H$3),0)</f>
        <v>0</v>
      </c>
      <c r="W208" s="68">
        <f t="shared" si="50"/>
        <v>0</v>
      </c>
      <c r="X208" s="67">
        <f>IFERROR(SUMIF(気管支鏡!$C$30:$C$74,B208,気管支鏡!$K$30:$K$74)*((気管支鏡!$H$3-気管支鏡!$I$3)/気管支鏡!$H$3),0)</f>
        <v>0</v>
      </c>
      <c r="Y208" s="68">
        <f t="shared" si="36"/>
        <v>0</v>
      </c>
      <c r="Z208" s="67">
        <f>IFERROR(SUMIF(CT撮影装置!$C$30:$C$74,B208,CT撮影装置!$K$30:$K$74)*((CT撮影装置!$H$3-CT撮影装置!$I$3)/CT撮影装置!$H$3),0)</f>
        <v>0</v>
      </c>
      <c r="AA208" s="68">
        <f t="shared" si="51"/>
        <v>0</v>
      </c>
      <c r="AB208" s="67">
        <f>IFERROR(SUMIF(生体情報モニタ!$C$30:$C$74,B208,生体情報モニタ!$K$30:$K$74)*((生体情報モニタ!$H$3-生体情報モニタ!$I$3)/生体情報モニタ!$H$3),0)</f>
        <v>0</v>
      </c>
      <c r="AC208" s="68">
        <f t="shared" si="37"/>
        <v>0</v>
      </c>
      <c r="AD208" s="67">
        <f>IFERROR(SUMIF(分娩監視装置!$C$30:$C$74,B208,分娩監視装置!$K$30:$K$74)*((分娩監視装置!$H$3-分娩監視装置!$I$3)/分娩監視装置!$H$3),0)</f>
        <v>0</v>
      </c>
      <c r="AE208" s="68">
        <f t="shared" si="52"/>
        <v>0</v>
      </c>
      <c r="AF208" s="67">
        <f>IFERROR(SUMIF(新生児モニタ!$C$30:$C$74,B208,新生児モニタ!$K$30:$K$74)*((新生児モニタ!$H$3-新生児モニタ!$I$3)/新生児モニタ!$H$3),0)</f>
        <v>0</v>
      </c>
      <c r="AG208" s="68">
        <f t="shared" si="53"/>
        <v>0</v>
      </c>
    </row>
    <row r="209" spans="2:33">
      <c r="B209" s="64" t="s">
        <v>856</v>
      </c>
      <c r="C209" s="67">
        <f>IFERROR(SUMIF(初度設備!$C$30:$C$74,B209,初度設備!$N$30:$N$74)*((初度設備!$H$3-初度設備!$I$3)/初度設備!$H$3),0)</f>
        <v>0</v>
      </c>
      <c r="D209" s="68">
        <f t="shared" si="38"/>
        <v>0</v>
      </c>
      <c r="E209" s="67">
        <f>IFERROR(SUMIF(人工呼吸器!$C$30:$C$74,B209,人工呼吸器!$N$30:$N$74)*((人工呼吸器!$H$3-人工呼吸器!$I$3)/人工呼吸器!$H$3),0)</f>
        <v>0</v>
      </c>
      <c r="F209" s="68">
        <f t="shared" si="39"/>
        <v>0</v>
      </c>
      <c r="G209" s="68">
        <f t="shared" si="40"/>
        <v>0</v>
      </c>
      <c r="H209" s="68">
        <f t="shared" si="41"/>
        <v>0</v>
      </c>
      <c r="I209" s="67">
        <f>IFERROR(SUMIF(簡易陰圧装置!$C$30:$C$74,B209,簡易陰圧装置!$N$30:$N$74)*((簡易陰圧装置!$H$3-簡易陰圧装置!$I$3)/簡易陰圧装置!$H$3),0)</f>
        <v>0</v>
      </c>
      <c r="J209" s="68">
        <f t="shared" si="42"/>
        <v>0</v>
      </c>
      <c r="K209" s="67">
        <f>IFERROR(SUMIF(#REF!,B209,#REF!)*((#REF!-#REF!)/#REF!),0)</f>
        <v>0</v>
      </c>
      <c r="L209" s="68">
        <f t="shared" si="43"/>
        <v>0</v>
      </c>
      <c r="M209" s="67">
        <f>IFERROR(SUMIF(体外式膜型人工肺!$C$30:$C$74,B209,体外式膜型人工肺!$N$30:$N$74)*((体外式膜型人工肺!$H$3-体外式膜型人工肺!$I$3)/体外式膜型人工肺!$H$3),0)</f>
        <v>0</v>
      </c>
      <c r="N209" s="68">
        <f t="shared" si="44"/>
        <v>0</v>
      </c>
      <c r="O209" s="68">
        <f t="shared" si="45"/>
        <v>0</v>
      </c>
      <c r="P209" s="68">
        <f t="shared" si="46"/>
        <v>0</v>
      </c>
      <c r="Q209" s="67">
        <f>IFERROR(SUMIF(紫外線照射装置!$C$30:$C$74,B209,紫外線照射装置!$N$30:$N$74)*((紫外線照射装置!$H$3-紫外線照射装置!$I$3)/紫外線照射装置!$H$3),0)</f>
        <v>0</v>
      </c>
      <c r="R209" s="68">
        <f t="shared" si="47"/>
        <v>0</v>
      </c>
      <c r="S209" s="101">
        <f t="shared" si="48"/>
        <v>0</v>
      </c>
      <c r="T209" s="67">
        <f>IFERROR(SUMIF(超音波画像診断装置!$C$30:$C$74,B209,超音波画像診断装置!$K$30:$K$74)*((超音波画像診断装置!$H$3-超音波画像診断装置!$I$3)/超音波画像診断装置!$H$3),0)</f>
        <v>0</v>
      </c>
      <c r="U209" s="68">
        <f t="shared" si="49"/>
        <v>0</v>
      </c>
      <c r="V209" s="67">
        <f>IFERROR(SUMIF(血液浄化装置!$C$30:$C$74,B209,血液浄化装置!$K$30:$K$74)*((血液浄化装置!$H$3-血液浄化装置!$I$3)/血液浄化装置!$H$3),0)</f>
        <v>0</v>
      </c>
      <c r="W209" s="68">
        <f t="shared" si="50"/>
        <v>0</v>
      </c>
      <c r="X209" s="67">
        <f>IFERROR(SUMIF(気管支鏡!$C$30:$C$74,B209,気管支鏡!$K$30:$K$74)*((気管支鏡!$H$3-気管支鏡!$I$3)/気管支鏡!$H$3),0)</f>
        <v>0</v>
      </c>
      <c r="Y209" s="68">
        <f t="shared" si="36"/>
        <v>0</v>
      </c>
      <c r="Z209" s="67">
        <f>IFERROR(SUMIF(CT撮影装置!$C$30:$C$74,B209,CT撮影装置!$K$30:$K$74)*((CT撮影装置!$H$3-CT撮影装置!$I$3)/CT撮影装置!$H$3),0)</f>
        <v>0</v>
      </c>
      <c r="AA209" s="68">
        <f t="shared" si="51"/>
        <v>0</v>
      </c>
      <c r="AB209" s="67">
        <f>IFERROR(SUMIF(生体情報モニタ!$C$30:$C$74,B209,生体情報モニタ!$K$30:$K$74)*((生体情報モニタ!$H$3-生体情報モニタ!$I$3)/生体情報モニタ!$H$3),0)</f>
        <v>0</v>
      </c>
      <c r="AC209" s="68">
        <f t="shared" si="37"/>
        <v>0</v>
      </c>
      <c r="AD209" s="67">
        <f>IFERROR(SUMIF(分娩監視装置!$C$30:$C$74,B209,分娩監視装置!$K$30:$K$74)*((分娩監視装置!$H$3-分娩監視装置!$I$3)/分娩監視装置!$H$3),0)</f>
        <v>0</v>
      </c>
      <c r="AE209" s="68">
        <f t="shared" si="52"/>
        <v>0</v>
      </c>
      <c r="AF209" s="67">
        <f>IFERROR(SUMIF(新生児モニタ!$C$30:$C$74,B209,新生児モニタ!$K$30:$K$74)*((新生児モニタ!$H$3-新生児モニタ!$I$3)/新生児モニタ!$H$3),0)</f>
        <v>0</v>
      </c>
      <c r="AG209" s="68">
        <f t="shared" si="53"/>
        <v>0</v>
      </c>
    </row>
    <row r="210" spans="2:33">
      <c r="B210" s="64" t="s">
        <v>857</v>
      </c>
      <c r="C210" s="67">
        <f>IFERROR(SUMIF(初度設備!$C$30:$C$74,B210,初度設備!$N$30:$N$74)*((初度設備!$H$3-初度設備!$I$3)/初度設備!$H$3),0)</f>
        <v>0</v>
      </c>
      <c r="D210" s="68">
        <f t="shared" si="38"/>
        <v>0</v>
      </c>
      <c r="E210" s="67">
        <f>IFERROR(SUMIF(人工呼吸器!$C$30:$C$74,B210,人工呼吸器!$N$30:$N$74)*((人工呼吸器!$H$3-人工呼吸器!$I$3)/人工呼吸器!$H$3),0)</f>
        <v>0</v>
      </c>
      <c r="F210" s="68">
        <f t="shared" si="39"/>
        <v>0</v>
      </c>
      <c r="G210" s="68">
        <f t="shared" si="40"/>
        <v>0</v>
      </c>
      <c r="H210" s="68">
        <f t="shared" si="41"/>
        <v>0</v>
      </c>
      <c r="I210" s="67">
        <f>IFERROR(SUMIF(簡易陰圧装置!$C$30:$C$74,B210,簡易陰圧装置!$N$30:$N$74)*((簡易陰圧装置!$H$3-簡易陰圧装置!$I$3)/簡易陰圧装置!$H$3),0)</f>
        <v>0</v>
      </c>
      <c r="J210" s="68">
        <f t="shared" si="42"/>
        <v>0</v>
      </c>
      <c r="K210" s="67">
        <f>IFERROR(SUMIF(#REF!,B210,#REF!)*((#REF!-#REF!)/#REF!),0)</f>
        <v>0</v>
      </c>
      <c r="L210" s="68">
        <f t="shared" si="43"/>
        <v>0</v>
      </c>
      <c r="M210" s="67">
        <f>IFERROR(SUMIF(体外式膜型人工肺!$C$30:$C$74,B210,体外式膜型人工肺!$N$30:$N$74)*((体外式膜型人工肺!$H$3-体外式膜型人工肺!$I$3)/体外式膜型人工肺!$H$3),0)</f>
        <v>0</v>
      </c>
      <c r="N210" s="68">
        <f t="shared" si="44"/>
        <v>0</v>
      </c>
      <c r="O210" s="68">
        <f t="shared" si="45"/>
        <v>0</v>
      </c>
      <c r="P210" s="68">
        <f t="shared" si="46"/>
        <v>0</v>
      </c>
      <c r="Q210" s="67">
        <f>IFERROR(SUMIF(紫外線照射装置!$C$30:$C$74,B210,紫外線照射装置!$N$30:$N$74)*((紫外線照射装置!$H$3-紫外線照射装置!$I$3)/紫外線照射装置!$H$3),0)</f>
        <v>0</v>
      </c>
      <c r="R210" s="68">
        <f t="shared" si="47"/>
        <v>0</v>
      </c>
      <c r="S210" s="101">
        <f t="shared" si="48"/>
        <v>0</v>
      </c>
      <c r="T210" s="67">
        <f>IFERROR(SUMIF(超音波画像診断装置!$C$30:$C$74,B210,超音波画像診断装置!$K$30:$K$74)*((超音波画像診断装置!$H$3-超音波画像診断装置!$I$3)/超音波画像診断装置!$H$3),0)</f>
        <v>0</v>
      </c>
      <c r="U210" s="68">
        <f t="shared" si="49"/>
        <v>0</v>
      </c>
      <c r="V210" s="67">
        <f>IFERROR(SUMIF(血液浄化装置!$C$30:$C$74,B210,血液浄化装置!$K$30:$K$74)*((血液浄化装置!$H$3-血液浄化装置!$I$3)/血液浄化装置!$H$3),0)</f>
        <v>0</v>
      </c>
      <c r="W210" s="68">
        <f t="shared" si="50"/>
        <v>0</v>
      </c>
      <c r="X210" s="67">
        <f>IFERROR(SUMIF(気管支鏡!$C$30:$C$74,B210,気管支鏡!$K$30:$K$74)*((気管支鏡!$H$3-気管支鏡!$I$3)/気管支鏡!$H$3),0)</f>
        <v>0</v>
      </c>
      <c r="Y210" s="68">
        <f t="shared" si="36"/>
        <v>0</v>
      </c>
      <c r="Z210" s="67">
        <f>IFERROR(SUMIF(CT撮影装置!$C$30:$C$74,B210,CT撮影装置!$K$30:$K$74)*((CT撮影装置!$H$3-CT撮影装置!$I$3)/CT撮影装置!$H$3),0)</f>
        <v>0</v>
      </c>
      <c r="AA210" s="68">
        <f t="shared" si="51"/>
        <v>0</v>
      </c>
      <c r="AB210" s="67">
        <f>IFERROR(SUMIF(生体情報モニタ!$C$30:$C$74,B210,生体情報モニタ!$K$30:$K$74)*((生体情報モニタ!$H$3-生体情報モニタ!$I$3)/生体情報モニタ!$H$3),0)</f>
        <v>0</v>
      </c>
      <c r="AC210" s="68">
        <f t="shared" si="37"/>
        <v>0</v>
      </c>
      <c r="AD210" s="67">
        <f>IFERROR(SUMIF(分娩監視装置!$C$30:$C$74,B210,分娩監視装置!$K$30:$K$74)*((分娩監視装置!$H$3-分娩監視装置!$I$3)/分娩監視装置!$H$3),0)</f>
        <v>0</v>
      </c>
      <c r="AE210" s="68">
        <f t="shared" si="52"/>
        <v>0</v>
      </c>
      <c r="AF210" s="67">
        <f>IFERROR(SUMIF(新生児モニタ!$C$30:$C$74,B210,新生児モニタ!$K$30:$K$74)*((新生児モニタ!$H$3-新生児モニタ!$I$3)/新生児モニタ!$H$3),0)</f>
        <v>0</v>
      </c>
      <c r="AG210" s="68">
        <f t="shared" si="53"/>
        <v>0</v>
      </c>
    </row>
    <row r="211" spans="2:33">
      <c r="B211" s="64" t="s">
        <v>858</v>
      </c>
      <c r="C211" s="67">
        <f>IFERROR(SUMIF(初度設備!$C$30:$C$74,B211,初度設備!$N$30:$N$74)*((初度設備!$H$3-初度設備!$I$3)/初度設備!$H$3),0)</f>
        <v>0</v>
      </c>
      <c r="D211" s="68">
        <f t="shared" si="38"/>
        <v>0</v>
      </c>
      <c r="E211" s="67">
        <f>IFERROR(SUMIF(人工呼吸器!$C$30:$C$74,B211,人工呼吸器!$N$30:$N$74)*((人工呼吸器!$H$3-人工呼吸器!$I$3)/人工呼吸器!$H$3),0)</f>
        <v>0</v>
      </c>
      <c r="F211" s="68">
        <f t="shared" si="39"/>
        <v>0</v>
      </c>
      <c r="G211" s="68">
        <f t="shared" si="40"/>
        <v>0</v>
      </c>
      <c r="H211" s="68">
        <f t="shared" si="41"/>
        <v>0</v>
      </c>
      <c r="I211" s="67">
        <f>IFERROR(SUMIF(簡易陰圧装置!$C$30:$C$74,B211,簡易陰圧装置!$N$30:$N$74)*((簡易陰圧装置!$H$3-簡易陰圧装置!$I$3)/簡易陰圧装置!$H$3),0)</f>
        <v>0</v>
      </c>
      <c r="J211" s="68">
        <f t="shared" si="42"/>
        <v>0</v>
      </c>
      <c r="K211" s="67">
        <f>IFERROR(SUMIF(#REF!,B211,#REF!)*((#REF!-#REF!)/#REF!),0)</f>
        <v>0</v>
      </c>
      <c r="L211" s="68">
        <f t="shared" si="43"/>
        <v>0</v>
      </c>
      <c r="M211" s="67">
        <f>IFERROR(SUMIF(体外式膜型人工肺!$C$30:$C$74,B211,体外式膜型人工肺!$N$30:$N$74)*((体外式膜型人工肺!$H$3-体外式膜型人工肺!$I$3)/体外式膜型人工肺!$H$3),0)</f>
        <v>0</v>
      </c>
      <c r="N211" s="68">
        <f t="shared" si="44"/>
        <v>0</v>
      </c>
      <c r="O211" s="68">
        <f t="shared" si="45"/>
        <v>0</v>
      </c>
      <c r="P211" s="68">
        <f t="shared" si="46"/>
        <v>0</v>
      </c>
      <c r="Q211" s="67">
        <f>IFERROR(SUMIF(紫外線照射装置!$C$30:$C$74,B211,紫外線照射装置!$N$30:$N$74)*((紫外線照射装置!$H$3-紫外線照射装置!$I$3)/紫外線照射装置!$H$3),0)</f>
        <v>0</v>
      </c>
      <c r="R211" s="68">
        <f t="shared" si="47"/>
        <v>0</v>
      </c>
      <c r="S211" s="101">
        <f t="shared" si="48"/>
        <v>0</v>
      </c>
      <c r="T211" s="67">
        <f>IFERROR(SUMIF(超音波画像診断装置!$C$30:$C$74,B211,超音波画像診断装置!$K$30:$K$74)*((超音波画像診断装置!$H$3-超音波画像診断装置!$I$3)/超音波画像診断装置!$H$3),0)</f>
        <v>0</v>
      </c>
      <c r="U211" s="68">
        <f t="shared" si="49"/>
        <v>0</v>
      </c>
      <c r="V211" s="67">
        <f>IFERROR(SUMIF(血液浄化装置!$C$30:$C$74,B211,血液浄化装置!$K$30:$K$74)*((血液浄化装置!$H$3-血液浄化装置!$I$3)/血液浄化装置!$H$3),0)</f>
        <v>0</v>
      </c>
      <c r="W211" s="68">
        <f t="shared" si="50"/>
        <v>0</v>
      </c>
      <c r="X211" s="67">
        <f>IFERROR(SUMIF(気管支鏡!$C$30:$C$74,B211,気管支鏡!$K$30:$K$74)*((気管支鏡!$H$3-気管支鏡!$I$3)/気管支鏡!$H$3),0)</f>
        <v>0</v>
      </c>
      <c r="Y211" s="68">
        <f t="shared" si="36"/>
        <v>0</v>
      </c>
      <c r="Z211" s="67">
        <f>IFERROR(SUMIF(CT撮影装置!$C$30:$C$74,B211,CT撮影装置!$K$30:$K$74)*((CT撮影装置!$H$3-CT撮影装置!$I$3)/CT撮影装置!$H$3),0)</f>
        <v>0</v>
      </c>
      <c r="AA211" s="68">
        <f t="shared" si="51"/>
        <v>0</v>
      </c>
      <c r="AB211" s="67">
        <f>IFERROR(SUMIF(生体情報モニタ!$C$30:$C$74,B211,生体情報モニタ!$K$30:$K$74)*((生体情報モニタ!$H$3-生体情報モニタ!$I$3)/生体情報モニタ!$H$3),0)</f>
        <v>0</v>
      </c>
      <c r="AC211" s="68">
        <f t="shared" si="37"/>
        <v>0</v>
      </c>
      <c r="AD211" s="67">
        <f>IFERROR(SUMIF(分娩監視装置!$C$30:$C$74,B211,分娩監視装置!$K$30:$K$74)*((分娩監視装置!$H$3-分娩監視装置!$I$3)/分娩監視装置!$H$3),0)</f>
        <v>0</v>
      </c>
      <c r="AE211" s="68">
        <f t="shared" si="52"/>
        <v>0</v>
      </c>
      <c r="AF211" s="67">
        <f>IFERROR(SUMIF(新生児モニタ!$C$30:$C$74,B211,新生児モニタ!$K$30:$K$74)*((新生児モニタ!$H$3-新生児モニタ!$I$3)/新生児モニタ!$H$3),0)</f>
        <v>0</v>
      </c>
      <c r="AG211" s="68">
        <f t="shared" si="53"/>
        <v>0</v>
      </c>
    </row>
    <row r="212" spans="2:33">
      <c r="B212" s="64" t="s">
        <v>859</v>
      </c>
      <c r="C212" s="67">
        <f>IFERROR(SUMIF(初度設備!$C$30:$C$74,B212,初度設備!$N$30:$N$74)*((初度設備!$H$3-初度設備!$I$3)/初度設備!$H$3),0)</f>
        <v>0</v>
      </c>
      <c r="D212" s="68">
        <f t="shared" si="38"/>
        <v>0</v>
      </c>
      <c r="E212" s="67">
        <f>IFERROR(SUMIF(人工呼吸器!$C$30:$C$74,B212,人工呼吸器!$N$30:$N$74)*((人工呼吸器!$H$3-人工呼吸器!$I$3)/人工呼吸器!$H$3),0)</f>
        <v>0</v>
      </c>
      <c r="F212" s="68">
        <f t="shared" si="39"/>
        <v>0</v>
      </c>
      <c r="G212" s="68">
        <f t="shared" si="40"/>
        <v>0</v>
      </c>
      <c r="H212" s="68">
        <f t="shared" si="41"/>
        <v>0</v>
      </c>
      <c r="I212" s="67">
        <f>IFERROR(SUMIF(簡易陰圧装置!$C$30:$C$74,B212,簡易陰圧装置!$N$30:$N$74)*((簡易陰圧装置!$H$3-簡易陰圧装置!$I$3)/簡易陰圧装置!$H$3),0)</f>
        <v>0</v>
      </c>
      <c r="J212" s="68">
        <f t="shared" si="42"/>
        <v>0</v>
      </c>
      <c r="K212" s="67">
        <f>IFERROR(SUMIF(#REF!,B212,#REF!)*((#REF!-#REF!)/#REF!),0)</f>
        <v>0</v>
      </c>
      <c r="L212" s="68">
        <f t="shared" si="43"/>
        <v>0</v>
      </c>
      <c r="M212" s="67">
        <f>IFERROR(SUMIF(体外式膜型人工肺!$C$30:$C$74,B212,体外式膜型人工肺!$N$30:$N$74)*((体外式膜型人工肺!$H$3-体外式膜型人工肺!$I$3)/体外式膜型人工肺!$H$3),0)</f>
        <v>0</v>
      </c>
      <c r="N212" s="68">
        <f t="shared" si="44"/>
        <v>0</v>
      </c>
      <c r="O212" s="68">
        <f t="shared" si="45"/>
        <v>0</v>
      </c>
      <c r="P212" s="68">
        <f t="shared" si="46"/>
        <v>0</v>
      </c>
      <c r="Q212" s="67">
        <f>IFERROR(SUMIF(紫外線照射装置!$C$30:$C$74,B212,紫外線照射装置!$N$30:$N$74)*((紫外線照射装置!$H$3-紫外線照射装置!$I$3)/紫外線照射装置!$H$3),0)</f>
        <v>0</v>
      </c>
      <c r="R212" s="68">
        <f t="shared" si="47"/>
        <v>0</v>
      </c>
      <c r="S212" s="101">
        <f t="shared" si="48"/>
        <v>0</v>
      </c>
      <c r="T212" s="67">
        <f>IFERROR(SUMIF(超音波画像診断装置!$C$30:$C$74,B212,超音波画像診断装置!$K$30:$K$74)*((超音波画像診断装置!$H$3-超音波画像診断装置!$I$3)/超音波画像診断装置!$H$3),0)</f>
        <v>0</v>
      </c>
      <c r="U212" s="68">
        <f t="shared" si="49"/>
        <v>0</v>
      </c>
      <c r="V212" s="67">
        <f>IFERROR(SUMIF(血液浄化装置!$C$30:$C$74,B212,血液浄化装置!$K$30:$K$74)*((血液浄化装置!$H$3-血液浄化装置!$I$3)/血液浄化装置!$H$3),0)</f>
        <v>0</v>
      </c>
      <c r="W212" s="68">
        <f t="shared" si="50"/>
        <v>0</v>
      </c>
      <c r="X212" s="67">
        <f>IFERROR(SUMIF(気管支鏡!$C$30:$C$74,B212,気管支鏡!$K$30:$K$74)*((気管支鏡!$H$3-気管支鏡!$I$3)/気管支鏡!$H$3),0)</f>
        <v>0</v>
      </c>
      <c r="Y212" s="68">
        <f t="shared" si="36"/>
        <v>0</v>
      </c>
      <c r="Z212" s="67">
        <f>IFERROR(SUMIF(CT撮影装置!$C$30:$C$74,B212,CT撮影装置!$K$30:$K$74)*((CT撮影装置!$H$3-CT撮影装置!$I$3)/CT撮影装置!$H$3),0)</f>
        <v>0</v>
      </c>
      <c r="AA212" s="68">
        <f t="shared" si="51"/>
        <v>0</v>
      </c>
      <c r="AB212" s="67">
        <f>IFERROR(SUMIF(生体情報モニタ!$C$30:$C$74,B212,生体情報モニタ!$K$30:$K$74)*((生体情報モニタ!$H$3-生体情報モニタ!$I$3)/生体情報モニタ!$H$3),0)</f>
        <v>0</v>
      </c>
      <c r="AC212" s="68">
        <f t="shared" si="37"/>
        <v>0</v>
      </c>
      <c r="AD212" s="67">
        <f>IFERROR(SUMIF(分娩監視装置!$C$30:$C$74,B212,分娩監視装置!$K$30:$K$74)*((分娩監視装置!$H$3-分娩監視装置!$I$3)/分娩監視装置!$H$3),0)</f>
        <v>0</v>
      </c>
      <c r="AE212" s="68">
        <f t="shared" si="52"/>
        <v>0</v>
      </c>
      <c r="AF212" s="67">
        <f>IFERROR(SUMIF(新生児モニタ!$C$30:$C$74,B212,新生児モニタ!$K$30:$K$74)*((新生児モニタ!$H$3-新生児モニタ!$I$3)/新生児モニタ!$H$3),0)</f>
        <v>0</v>
      </c>
      <c r="AG212" s="68">
        <f t="shared" si="53"/>
        <v>0</v>
      </c>
    </row>
    <row r="213" spans="2:33">
      <c r="B213" s="64" t="s">
        <v>860</v>
      </c>
      <c r="C213" s="67">
        <f>IFERROR(SUMIF(初度設備!$C$30:$C$74,B213,初度設備!$N$30:$N$74)*((初度設備!$H$3-初度設備!$I$3)/初度設備!$H$3),0)</f>
        <v>0</v>
      </c>
      <c r="D213" s="68">
        <f t="shared" si="38"/>
        <v>0</v>
      </c>
      <c r="E213" s="67">
        <f>IFERROR(SUMIF(人工呼吸器!$C$30:$C$74,B213,人工呼吸器!$N$30:$N$74)*((人工呼吸器!$H$3-人工呼吸器!$I$3)/人工呼吸器!$H$3),0)</f>
        <v>0</v>
      </c>
      <c r="F213" s="68">
        <f t="shared" si="39"/>
        <v>0</v>
      </c>
      <c r="G213" s="68">
        <f t="shared" si="40"/>
        <v>0</v>
      </c>
      <c r="H213" s="68">
        <f t="shared" si="41"/>
        <v>0</v>
      </c>
      <c r="I213" s="67">
        <f>IFERROR(SUMIF(簡易陰圧装置!$C$30:$C$74,B213,簡易陰圧装置!$N$30:$N$74)*((簡易陰圧装置!$H$3-簡易陰圧装置!$I$3)/簡易陰圧装置!$H$3),0)</f>
        <v>0</v>
      </c>
      <c r="J213" s="68">
        <f t="shared" si="42"/>
        <v>0</v>
      </c>
      <c r="K213" s="67">
        <f>IFERROR(SUMIF(#REF!,B213,#REF!)*((#REF!-#REF!)/#REF!),0)</f>
        <v>0</v>
      </c>
      <c r="L213" s="68">
        <f t="shared" si="43"/>
        <v>0</v>
      </c>
      <c r="M213" s="67">
        <f>IFERROR(SUMIF(体外式膜型人工肺!$C$30:$C$74,B213,体外式膜型人工肺!$N$30:$N$74)*((体外式膜型人工肺!$H$3-体外式膜型人工肺!$I$3)/体外式膜型人工肺!$H$3),0)</f>
        <v>0</v>
      </c>
      <c r="N213" s="68">
        <f t="shared" si="44"/>
        <v>0</v>
      </c>
      <c r="O213" s="68">
        <f t="shared" si="45"/>
        <v>0</v>
      </c>
      <c r="P213" s="68">
        <f t="shared" si="46"/>
        <v>0</v>
      </c>
      <c r="Q213" s="67">
        <f>IFERROR(SUMIF(紫外線照射装置!$C$30:$C$74,B213,紫外線照射装置!$N$30:$N$74)*((紫外線照射装置!$H$3-紫外線照射装置!$I$3)/紫外線照射装置!$H$3),0)</f>
        <v>0</v>
      </c>
      <c r="R213" s="68">
        <f t="shared" si="47"/>
        <v>0</v>
      </c>
      <c r="S213" s="101">
        <f t="shared" si="48"/>
        <v>0</v>
      </c>
      <c r="T213" s="67">
        <f>IFERROR(SUMIF(超音波画像診断装置!$C$30:$C$74,B213,超音波画像診断装置!$K$30:$K$74)*((超音波画像診断装置!$H$3-超音波画像診断装置!$I$3)/超音波画像診断装置!$H$3),0)</f>
        <v>0</v>
      </c>
      <c r="U213" s="68">
        <f t="shared" si="49"/>
        <v>0</v>
      </c>
      <c r="V213" s="67">
        <f>IFERROR(SUMIF(血液浄化装置!$C$30:$C$74,B213,血液浄化装置!$K$30:$K$74)*((血液浄化装置!$H$3-血液浄化装置!$I$3)/血液浄化装置!$H$3),0)</f>
        <v>0</v>
      </c>
      <c r="W213" s="68">
        <f t="shared" si="50"/>
        <v>0</v>
      </c>
      <c r="X213" s="67">
        <f>IFERROR(SUMIF(気管支鏡!$C$30:$C$74,B213,気管支鏡!$K$30:$K$74)*((気管支鏡!$H$3-気管支鏡!$I$3)/気管支鏡!$H$3),0)</f>
        <v>0</v>
      </c>
      <c r="Y213" s="68">
        <f t="shared" si="36"/>
        <v>0</v>
      </c>
      <c r="Z213" s="67">
        <f>IFERROR(SUMIF(CT撮影装置!$C$30:$C$74,B213,CT撮影装置!$K$30:$K$74)*((CT撮影装置!$H$3-CT撮影装置!$I$3)/CT撮影装置!$H$3),0)</f>
        <v>0</v>
      </c>
      <c r="AA213" s="68">
        <f t="shared" si="51"/>
        <v>0</v>
      </c>
      <c r="AB213" s="67">
        <f>IFERROR(SUMIF(生体情報モニタ!$C$30:$C$74,B213,生体情報モニタ!$K$30:$K$74)*((生体情報モニタ!$H$3-生体情報モニタ!$I$3)/生体情報モニタ!$H$3),0)</f>
        <v>0</v>
      </c>
      <c r="AC213" s="68">
        <f t="shared" si="37"/>
        <v>0</v>
      </c>
      <c r="AD213" s="67">
        <f>IFERROR(SUMIF(分娩監視装置!$C$30:$C$74,B213,分娩監視装置!$K$30:$K$74)*((分娩監視装置!$H$3-分娩監視装置!$I$3)/分娩監視装置!$H$3),0)</f>
        <v>0</v>
      </c>
      <c r="AE213" s="68">
        <f t="shared" si="52"/>
        <v>0</v>
      </c>
      <c r="AF213" s="67">
        <f>IFERROR(SUMIF(新生児モニタ!$C$30:$C$74,B213,新生児モニタ!$K$30:$K$74)*((新生児モニタ!$H$3-新生児モニタ!$I$3)/新生児モニタ!$H$3),0)</f>
        <v>0</v>
      </c>
      <c r="AG213" s="68">
        <f t="shared" si="53"/>
        <v>0</v>
      </c>
    </row>
    <row r="214" spans="2:33">
      <c r="B214" s="64" t="s">
        <v>861</v>
      </c>
      <c r="C214" s="67">
        <f>IFERROR(SUMIF(初度設備!$C$30:$C$74,B214,初度設備!$N$30:$N$74)*((初度設備!$H$3-初度設備!$I$3)/初度設備!$H$3),0)</f>
        <v>0</v>
      </c>
      <c r="D214" s="68">
        <f t="shared" si="38"/>
        <v>0</v>
      </c>
      <c r="E214" s="67">
        <f>IFERROR(SUMIF(人工呼吸器!$C$30:$C$74,B214,人工呼吸器!$N$30:$N$74)*((人工呼吸器!$H$3-人工呼吸器!$I$3)/人工呼吸器!$H$3),0)</f>
        <v>0</v>
      </c>
      <c r="F214" s="68">
        <f t="shared" si="39"/>
        <v>0</v>
      </c>
      <c r="G214" s="68">
        <f t="shared" si="40"/>
        <v>0</v>
      </c>
      <c r="H214" s="68">
        <f t="shared" si="41"/>
        <v>0</v>
      </c>
      <c r="I214" s="67">
        <f>IFERROR(SUMIF(簡易陰圧装置!$C$30:$C$74,B214,簡易陰圧装置!$N$30:$N$74)*((簡易陰圧装置!$H$3-簡易陰圧装置!$I$3)/簡易陰圧装置!$H$3),0)</f>
        <v>0</v>
      </c>
      <c r="J214" s="68">
        <f t="shared" si="42"/>
        <v>0</v>
      </c>
      <c r="K214" s="67">
        <f>IFERROR(SUMIF(#REF!,B214,#REF!)*((#REF!-#REF!)/#REF!),0)</f>
        <v>0</v>
      </c>
      <c r="L214" s="68">
        <f t="shared" si="43"/>
        <v>0</v>
      </c>
      <c r="M214" s="67">
        <f>IFERROR(SUMIF(体外式膜型人工肺!$C$30:$C$74,B214,体外式膜型人工肺!$N$30:$N$74)*((体外式膜型人工肺!$H$3-体外式膜型人工肺!$I$3)/体外式膜型人工肺!$H$3),0)</f>
        <v>0</v>
      </c>
      <c r="N214" s="68">
        <f t="shared" si="44"/>
        <v>0</v>
      </c>
      <c r="O214" s="68">
        <f t="shared" si="45"/>
        <v>0</v>
      </c>
      <c r="P214" s="68">
        <f t="shared" si="46"/>
        <v>0</v>
      </c>
      <c r="Q214" s="67">
        <f>IFERROR(SUMIF(紫外線照射装置!$C$30:$C$74,B214,紫外線照射装置!$N$30:$N$74)*((紫外線照射装置!$H$3-紫外線照射装置!$I$3)/紫外線照射装置!$H$3),0)</f>
        <v>0</v>
      </c>
      <c r="R214" s="68">
        <f t="shared" si="47"/>
        <v>0</v>
      </c>
      <c r="S214" s="101">
        <f t="shared" si="48"/>
        <v>0</v>
      </c>
      <c r="T214" s="67">
        <f>IFERROR(SUMIF(超音波画像診断装置!$C$30:$C$74,B214,超音波画像診断装置!$K$30:$K$74)*((超音波画像診断装置!$H$3-超音波画像診断装置!$I$3)/超音波画像診断装置!$H$3),0)</f>
        <v>0</v>
      </c>
      <c r="U214" s="68">
        <f t="shared" si="49"/>
        <v>0</v>
      </c>
      <c r="V214" s="67">
        <f>IFERROR(SUMIF(血液浄化装置!$C$30:$C$74,B214,血液浄化装置!$K$30:$K$74)*((血液浄化装置!$H$3-血液浄化装置!$I$3)/血液浄化装置!$H$3),0)</f>
        <v>0</v>
      </c>
      <c r="W214" s="68">
        <f t="shared" si="50"/>
        <v>0</v>
      </c>
      <c r="X214" s="67">
        <f>IFERROR(SUMIF(気管支鏡!$C$30:$C$74,B214,気管支鏡!$K$30:$K$74)*((気管支鏡!$H$3-気管支鏡!$I$3)/気管支鏡!$H$3),0)</f>
        <v>0</v>
      </c>
      <c r="Y214" s="68">
        <f t="shared" si="36"/>
        <v>0</v>
      </c>
      <c r="Z214" s="67">
        <f>IFERROR(SUMIF(CT撮影装置!$C$30:$C$74,B214,CT撮影装置!$K$30:$K$74)*((CT撮影装置!$H$3-CT撮影装置!$I$3)/CT撮影装置!$H$3),0)</f>
        <v>0</v>
      </c>
      <c r="AA214" s="68">
        <f t="shared" si="51"/>
        <v>0</v>
      </c>
      <c r="AB214" s="67">
        <f>IFERROR(SUMIF(生体情報モニタ!$C$30:$C$74,B214,生体情報モニタ!$K$30:$K$74)*((生体情報モニタ!$H$3-生体情報モニタ!$I$3)/生体情報モニタ!$H$3),0)</f>
        <v>0</v>
      </c>
      <c r="AC214" s="68">
        <f t="shared" si="37"/>
        <v>0</v>
      </c>
      <c r="AD214" s="67">
        <f>IFERROR(SUMIF(分娩監視装置!$C$30:$C$74,B214,分娩監視装置!$K$30:$K$74)*((分娩監視装置!$H$3-分娩監視装置!$I$3)/分娩監視装置!$H$3),0)</f>
        <v>0</v>
      </c>
      <c r="AE214" s="68">
        <f t="shared" si="52"/>
        <v>0</v>
      </c>
      <c r="AF214" s="67">
        <f>IFERROR(SUMIF(新生児モニタ!$C$30:$C$74,B214,新生児モニタ!$K$30:$K$74)*((新生児モニタ!$H$3-新生児モニタ!$I$3)/新生児モニタ!$H$3),0)</f>
        <v>0</v>
      </c>
      <c r="AG214" s="68">
        <f t="shared" si="53"/>
        <v>0</v>
      </c>
    </row>
    <row r="215" spans="2:33">
      <c r="B215" s="64" t="s">
        <v>862</v>
      </c>
      <c r="C215" s="67">
        <f>IFERROR(SUMIF(初度設備!$C$30:$C$74,B215,初度設備!$N$30:$N$74)*((初度設備!$H$3-初度設備!$I$3)/初度設備!$H$3),0)</f>
        <v>0</v>
      </c>
      <c r="D215" s="68">
        <f t="shared" si="38"/>
        <v>0</v>
      </c>
      <c r="E215" s="67">
        <f>IFERROR(SUMIF(人工呼吸器!$C$30:$C$74,B215,人工呼吸器!$N$30:$N$74)*((人工呼吸器!$H$3-人工呼吸器!$I$3)/人工呼吸器!$H$3),0)</f>
        <v>0</v>
      </c>
      <c r="F215" s="68">
        <f t="shared" si="39"/>
        <v>0</v>
      </c>
      <c r="G215" s="68">
        <f t="shared" si="40"/>
        <v>0</v>
      </c>
      <c r="H215" s="68">
        <f t="shared" si="41"/>
        <v>0</v>
      </c>
      <c r="I215" s="67">
        <f>IFERROR(SUMIF(簡易陰圧装置!$C$30:$C$74,B215,簡易陰圧装置!$N$30:$N$74)*((簡易陰圧装置!$H$3-簡易陰圧装置!$I$3)/簡易陰圧装置!$H$3),0)</f>
        <v>0</v>
      </c>
      <c r="J215" s="68">
        <f t="shared" si="42"/>
        <v>0</v>
      </c>
      <c r="K215" s="67">
        <f>IFERROR(SUMIF(#REF!,B215,#REF!)*((#REF!-#REF!)/#REF!),0)</f>
        <v>0</v>
      </c>
      <c r="L215" s="68">
        <f t="shared" si="43"/>
        <v>0</v>
      </c>
      <c r="M215" s="67">
        <f>IFERROR(SUMIF(体外式膜型人工肺!$C$30:$C$74,B215,体外式膜型人工肺!$N$30:$N$74)*((体外式膜型人工肺!$H$3-体外式膜型人工肺!$I$3)/体外式膜型人工肺!$H$3),0)</f>
        <v>0</v>
      </c>
      <c r="N215" s="68">
        <f t="shared" si="44"/>
        <v>0</v>
      </c>
      <c r="O215" s="68">
        <f t="shared" si="45"/>
        <v>0</v>
      </c>
      <c r="P215" s="68">
        <f t="shared" si="46"/>
        <v>0</v>
      </c>
      <c r="Q215" s="67">
        <f>IFERROR(SUMIF(紫外線照射装置!$C$30:$C$74,B215,紫外線照射装置!$N$30:$N$74)*((紫外線照射装置!$H$3-紫外線照射装置!$I$3)/紫外線照射装置!$H$3),0)</f>
        <v>0</v>
      </c>
      <c r="R215" s="68">
        <f t="shared" si="47"/>
        <v>0</v>
      </c>
      <c r="S215" s="101">
        <f t="shared" si="48"/>
        <v>0</v>
      </c>
      <c r="T215" s="67">
        <f>IFERROR(SUMIF(超音波画像診断装置!$C$30:$C$74,B215,超音波画像診断装置!$K$30:$K$74)*((超音波画像診断装置!$H$3-超音波画像診断装置!$I$3)/超音波画像診断装置!$H$3),0)</f>
        <v>0</v>
      </c>
      <c r="U215" s="68">
        <f t="shared" si="49"/>
        <v>0</v>
      </c>
      <c r="V215" s="67">
        <f>IFERROR(SUMIF(血液浄化装置!$C$30:$C$74,B215,血液浄化装置!$K$30:$K$74)*((血液浄化装置!$H$3-血液浄化装置!$I$3)/血液浄化装置!$H$3),0)</f>
        <v>0</v>
      </c>
      <c r="W215" s="68">
        <f t="shared" si="50"/>
        <v>0</v>
      </c>
      <c r="X215" s="67">
        <f>IFERROR(SUMIF(気管支鏡!$C$30:$C$74,B215,気管支鏡!$K$30:$K$74)*((気管支鏡!$H$3-気管支鏡!$I$3)/気管支鏡!$H$3),0)</f>
        <v>0</v>
      </c>
      <c r="Y215" s="68">
        <f t="shared" ref="Y215:Y278" si="54">ROUNDDOWN(MIN(X215,$Y$21),-3)</f>
        <v>0</v>
      </c>
      <c r="Z215" s="67">
        <f>IFERROR(SUMIF(CT撮影装置!$C$30:$C$74,B215,CT撮影装置!$K$30:$K$74)*((CT撮影装置!$H$3-CT撮影装置!$I$3)/CT撮影装置!$H$3),0)</f>
        <v>0</v>
      </c>
      <c r="AA215" s="68">
        <f t="shared" si="51"/>
        <v>0</v>
      </c>
      <c r="AB215" s="67">
        <f>IFERROR(SUMIF(生体情報モニタ!$C$30:$C$74,B215,生体情報モニタ!$K$30:$K$74)*((生体情報モニタ!$H$3-生体情報モニタ!$I$3)/生体情報モニタ!$H$3),0)</f>
        <v>0</v>
      </c>
      <c r="AC215" s="68">
        <f t="shared" ref="AC215:AC278" si="55">ROUNDDOWN(MIN(AB215,$AC$21),-3)</f>
        <v>0</v>
      </c>
      <c r="AD215" s="67">
        <f>IFERROR(SUMIF(分娩監視装置!$C$30:$C$74,B215,分娩監視装置!$K$30:$K$74)*((分娩監視装置!$H$3-分娩監視装置!$I$3)/分娩監視装置!$H$3),0)</f>
        <v>0</v>
      </c>
      <c r="AE215" s="68">
        <f t="shared" si="52"/>
        <v>0</v>
      </c>
      <c r="AF215" s="67">
        <f>IFERROR(SUMIF(新生児モニタ!$C$30:$C$74,B215,新生児モニタ!$K$30:$K$74)*((新生児モニタ!$H$3-新生児モニタ!$I$3)/新生児モニタ!$H$3),0)</f>
        <v>0</v>
      </c>
      <c r="AG215" s="68">
        <f t="shared" si="53"/>
        <v>0</v>
      </c>
    </row>
    <row r="216" spans="2:33">
      <c r="B216" s="64" t="s">
        <v>863</v>
      </c>
      <c r="C216" s="67">
        <f>IFERROR(SUMIF(初度設備!$C$30:$C$74,B216,初度設備!$N$30:$N$74)*((初度設備!$H$3-初度設備!$I$3)/初度設備!$H$3),0)</f>
        <v>0</v>
      </c>
      <c r="D216" s="68">
        <f t="shared" ref="D216:D279" si="56">ROUNDDOWN(MIN(C216,$D$21),-3)</f>
        <v>0</v>
      </c>
      <c r="E216" s="67">
        <f>IFERROR(SUMIF(人工呼吸器!$C$30:$C$74,B216,人工呼吸器!$N$30:$N$74)*((人工呼吸器!$H$3-人工呼吸器!$I$3)/人工呼吸器!$H$3),0)</f>
        <v>0</v>
      </c>
      <c r="F216" s="68">
        <f t="shared" ref="F216:F279" si="57">ROUNDDOWN(E216,-3)</f>
        <v>0</v>
      </c>
      <c r="G216" s="68">
        <f t="shared" ref="G216:G279" si="58">IF(F216&gt;=5000000,5000000,F216)</f>
        <v>0</v>
      </c>
      <c r="H216" s="68">
        <f t="shared" ref="H216:H279" si="59">IF(G216=5000000,F216-5000000,0)</f>
        <v>0</v>
      </c>
      <c r="I216" s="67">
        <f>IFERROR(SUMIF(簡易陰圧装置!$C$30:$C$74,B216,簡易陰圧装置!$N$30:$N$74)*((簡易陰圧装置!$H$3-簡易陰圧装置!$I$3)/簡易陰圧装置!$H$3),0)</f>
        <v>0</v>
      </c>
      <c r="J216" s="68">
        <f t="shared" ref="J216:J279" si="60">ROUNDDOWN(MIN(I216,$J$21),-3)</f>
        <v>0</v>
      </c>
      <c r="K216" s="67">
        <f>IFERROR(SUMIF(#REF!,B216,#REF!)*((#REF!-#REF!)/#REF!),0)</f>
        <v>0</v>
      </c>
      <c r="L216" s="68">
        <f t="shared" ref="L216:L279" si="61">ROUNDDOWN(MIN(K216,$L$21),-3)</f>
        <v>0</v>
      </c>
      <c r="M216" s="67">
        <f>IFERROR(SUMIF(体外式膜型人工肺!$C$30:$C$74,B216,体外式膜型人工肺!$N$30:$N$74)*((体外式膜型人工肺!$H$3-体外式膜型人工肺!$I$3)/体外式膜型人工肺!$H$3),0)</f>
        <v>0</v>
      </c>
      <c r="N216" s="68">
        <f t="shared" ref="N216:N279" si="62">ROUNDDOWN(M216,-3)</f>
        <v>0</v>
      </c>
      <c r="O216" s="68">
        <f t="shared" ref="O216:O279" si="63">IF(N216&gt;=21000000,21000000,N216)</f>
        <v>0</v>
      </c>
      <c r="P216" s="68">
        <f t="shared" ref="P216:P279" si="64">IF(O216=21000000,N216-21000000,0)</f>
        <v>0</v>
      </c>
      <c r="Q216" s="67">
        <f>IFERROR(SUMIF(紫外線照射装置!$C$30:$C$74,B216,紫外線照射装置!$N$30:$N$74)*((紫外線照射装置!$H$3-紫外線照射装置!$I$3)/紫外線照射装置!$H$3),0)</f>
        <v>0</v>
      </c>
      <c r="R216" s="68">
        <f t="shared" ref="R216:R279" si="65">IFERROR(ROUNDDOWN(MIN(Q216,$R$21)/2,-3),0)</f>
        <v>0</v>
      </c>
      <c r="S216" s="101">
        <f t="shared" ref="S216:S279" si="66">R216</f>
        <v>0</v>
      </c>
      <c r="T216" s="67">
        <f>IFERROR(SUMIF(超音波画像診断装置!$C$30:$C$74,B216,超音波画像診断装置!$K$30:$K$74)*((超音波画像診断装置!$H$3-超音波画像診断装置!$I$3)/超音波画像診断装置!$H$3),0)</f>
        <v>0</v>
      </c>
      <c r="U216" s="68">
        <f t="shared" ref="U216:U279" si="67">ROUNDDOWN(MIN(T216,$U$21),-3)</f>
        <v>0</v>
      </c>
      <c r="V216" s="67">
        <f>IFERROR(SUMIF(血液浄化装置!$C$30:$C$74,B216,血液浄化装置!$K$30:$K$74)*((血液浄化装置!$H$3-血液浄化装置!$I$3)/血液浄化装置!$H$3),0)</f>
        <v>0</v>
      </c>
      <c r="W216" s="68">
        <f t="shared" ref="W216:W279" si="68">ROUNDDOWN(MIN(V216,$W$21),-3)</f>
        <v>0</v>
      </c>
      <c r="X216" s="67">
        <f>IFERROR(SUMIF(気管支鏡!$C$30:$C$74,B216,気管支鏡!$K$30:$K$74)*((気管支鏡!$H$3-気管支鏡!$I$3)/気管支鏡!$H$3),0)</f>
        <v>0</v>
      </c>
      <c r="Y216" s="68">
        <f t="shared" si="54"/>
        <v>0</v>
      </c>
      <c r="Z216" s="67">
        <f>IFERROR(SUMIF(CT撮影装置!$C$30:$C$74,B216,CT撮影装置!$K$30:$K$74)*((CT撮影装置!$H$3-CT撮影装置!$I$3)/CT撮影装置!$H$3),0)</f>
        <v>0</v>
      </c>
      <c r="AA216" s="68">
        <f t="shared" ref="AA216:AA279" si="69">ROUNDDOWN(MIN(Z216,$AA$21),-3)</f>
        <v>0</v>
      </c>
      <c r="AB216" s="67">
        <f>IFERROR(SUMIF(生体情報モニタ!$C$30:$C$74,B216,生体情報モニタ!$K$30:$K$74)*((生体情報モニタ!$H$3-生体情報モニタ!$I$3)/生体情報モニタ!$H$3),0)</f>
        <v>0</v>
      </c>
      <c r="AC216" s="68">
        <f t="shared" si="55"/>
        <v>0</v>
      </c>
      <c r="AD216" s="67">
        <f>IFERROR(SUMIF(分娩監視装置!$C$30:$C$74,B216,分娩監視装置!$K$30:$K$74)*((分娩監視装置!$H$3-分娩監視装置!$I$3)/分娩監視装置!$H$3),0)</f>
        <v>0</v>
      </c>
      <c r="AE216" s="68">
        <f t="shared" ref="AE216:AE279" si="70">ROUNDDOWN(MIN(AD216,$AE$21),-3)</f>
        <v>0</v>
      </c>
      <c r="AF216" s="67">
        <f>IFERROR(SUMIF(新生児モニタ!$C$30:$C$74,B216,新生児モニタ!$K$30:$K$74)*((新生児モニタ!$H$3-新生児モニタ!$I$3)/新生児モニタ!$H$3),0)</f>
        <v>0</v>
      </c>
      <c r="AG216" s="68">
        <f t="shared" ref="AG216:AG279" si="71">ROUNDDOWN(MIN(AF216,$AG$21),-3)</f>
        <v>0</v>
      </c>
    </row>
    <row r="217" spans="2:33">
      <c r="B217" s="64" t="s">
        <v>864</v>
      </c>
      <c r="C217" s="67">
        <f>IFERROR(SUMIF(初度設備!$C$30:$C$74,B217,初度設備!$N$30:$N$74)*((初度設備!$H$3-初度設備!$I$3)/初度設備!$H$3),0)</f>
        <v>0</v>
      </c>
      <c r="D217" s="68">
        <f t="shared" si="56"/>
        <v>0</v>
      </c>
      <c r="E217" s="67">
        <f>IFERROR(SUMIF(人工呼吸器!$C$30:$C$74,B217,人工呼吸器!$N$30:$N$74)*((人工呼吸器!$H$3-人工呼吸器!$I$3)/人工呼吸器!$H$3),0)</f>
        <v>0</v>
      </c>
      <c r="F217" s="68">
        <f t="shared" si="57"/>
        <v>0</v>
      </c>
      <c r="G217" s="68">
        <f t="shared" si="58"/>
        <v>0</v>
      </c>
      <c r="H217" s="68">
        <f t="shared" si="59"/>
        <v>0</v>
      </c>
      <c r="I217" s="67">
        <f>IFERROR(SUMIF(簡易陰圧装置!$C$30:$C$74,B217,簡易陰圧装置!$N$30:$N$74)*((簡易陰圧装置!$H$3-簡易陰圧装置!$I$3)/簡易陰圧装置!$H$3),0)</f>
        <v>0</v>
      </c>
      <c r="J217" s="68">
        <f t="shared" si="60"/>
        <v>0</v>
      </c>
      <c r="K217" s="67">
        <f>IFERROR(SUMIF(#REF!,B217,#REF!)*((#REF!-#REF!)/#REF!),0)</f>
        <v>0</v>
      </c>
      <c r="L217" s="68">
        <f t="shared" si="61"/>
        <v>0</v>
      </c>
      <c r="M217" s="67">
        <f>IFERROR(SUMIF(体外式膜型人工肺!$C$30:$C$74,B217,体外式膜型人工肺!$N$30:$N$74)*((体外式膜型人工肺!$H$3-体外式膜型人工肺!$I$3)/体外式膜型人工肺!$H$3),0)</f>
        <v>0</v>
      </c>
      <c r="N217" s="68">
        <f t="shared" si="62"/>
        <v>0</v>
      </c>
      <c r="O217" s="68">
        <f t="shared" si="63"/>
        <v>0</v>
      </c>
      <c r="P217" s="68">
        <f t="shared" si="64"/>
        <v>0</v>
      </c>
      <c r="Q217" s="67">
        <f>IFERROR(SUMIF(紫外線照射装置!$C$30:$C$74,B217,紫外線照射装置!$N$30:$N$74)*((紫外線照射装置!$H$3-紫外線照射装置!$I$3)/紫外線照射装置!$H$3),0)</f>
        <v>0</v>
      </c>
      <c r="R217" s="68">
        <f t="shared" si="65"/>
        <v>0</v>
      </c>
      <c r="S217" s="101">
        <f t="shared" si="66"/>
        <v>0</v>
      </c>
      <c r="T217" s="67">
        <f>IFERROR(SUMIF(超音波画像診断装置!$C$30:$C$74,B217,超音波画像診断装置!$K$30:$K$74)*((超音波画像診断装置!$H$3-超音波画像診断装置!$I$3)/超音波画像診断装置!$H$3),0)</f>
        <v>0</v>
      </c>
      <c r="U217" s="68">
        <f t="shared" si="67"/>
        <v>0</v>
      </c>
      <c r="V217" s="67">
        <f>IFERROR(SUMIF(血液浄化装置!$C$30:$C$74,B217,血液浄化装置!$K$30:$K$74)*((血液浄化装置!$H$3-血液浄化装置!$I$3)/血液浄化装置!$H$3),0)</f>
        <v>0</v>
      </c>
      <c r="W217" s="68">
        <f t="shared" si="68"/>
        <v>0</v>
      </c>
      <c r="X217" s="67">
        <f>IFERROR(SUMIF(気管支鏡!$C$30:$C$74,B217,気管支鏡!$K$30:$K$74)*((気管支鏡!$H$3-気管支鏡!$I$3)/気管支鏡!$H$3),0)</f>
        <v>0</v>
      </c>
      <c r="Y217" s="68">
        <f t="shared" si="54"/>
        <v>0</v>
      </c>
      <c r="Z217" s="67">
        <f>IFERROR(SUMIF(CT撮影装置!$C$30:$C$74,B217,CT撮影装置!$K$30:$K$74)*((CT撮影装置!$H$3-CT撮影装置!$I$3)/CT撮影装置!$H$3),0)</f>
        <v>0</v>
      </c>
      <c r="AA217" s="68">
        <f t="shared" si="69"/>
        <v>0</v>
      </c>
      <c r="AB217" s="67">
        <f>IFERROR(SUMIF(生体情報モニタ!$C$30:$C$74,B217,生体情報モニタ!$K$30:$K$74)*((生体情報モニタ!$H$3-生体情報モニタ!$I$3)/生体情報モニタ!$H$3),0)</f>
        <v>0</v>
      </c>
      <c r="AC217" s="68">
        <f t="shared" si="55"/>
        <v>0</v>
      </c>
      <c r="AD217" s="67">
        <f>IFERROR(SUMIF(分娩監視装置!$C$30:$C$74,B217,分娩監視装置!$K$30:$K$74)*((分娩監視装置!$H$3-分娩監視装置!$I$3)/分娩監視装置!$H$3),0)</f>
        <v>0</v>
      </c>
      <c r="AE217" s="68">
        <f t="shared" si="70"/>
        <v>0</v>
      </c>
      <c r="AF217" s="67">
        <f>IFERROR(SUMIF(新生児モニタ!$C$30:$C$74,B217,新生児モニタ!$K$30:$K$74)*((新生児モニタ!$H$3-新生児モニタ!$I$3)/新生児モニタ!$H$3),0)</f>
        <v>0</v>
      </c>
      <c r="AG217" s="68">
        <f t="shared" si="71"/>
        <v>0</v>
      </c>
    </row>
    <row r="218" spans="2:33">
      <c r="B218" s="64" t="s">
        <v>865</v>
      </c>
      <c r="C218" s="67">
        <f>IFERROR(SUMIF(初度設備!$C$30:$C$74,B218,初度設備!$N$30:$N$74)*((初度設備!$H$3-初度設備!$I$3)/初度設備!$H$3),0)</f>
        <v>0</v>
      </c>
      <c r="D218" s="68">
        <f t="shared" si="56"/>
        <v>0</v>
      </c>
      <c r="E218" s="67">
        <f>IFERROR(SUMIF(人工呼吸器!$C$30:$C$74,B218,人工呼吸器!$N$30:$N$74)*((人工呼吸器!$H$3-人工呼吸器!$I$3)/人工呼吸器!$H$3),0)</f>
        <v>0</v>
      </c>
      <c r="F218" s="68">
        <f t="shared" si="57"/>
        <v>0</v>
      </c>
      <c r="G218" s="68">
        <f t="shared" si="58"/>
        <v>0</v>
      </c>
      <c r="H218" s="68">
        <f t="shared" si="59"/>
        <v>0</v>
      </c>
      <c r="I218" s="67">
        <f>IFERROR(SUMIF(簡易陰圧装置!$C$30:$C$74,B218,簡易陰圧装置!$N$30:$N$74)*((簡易陰圧装置!$H$3-簡易陰圧装置!$I$3)/簡易陰圧装置!$H$3),0)</f>
        <v>0</v>
      </c>
      <c r="J218" s="68">
        <f t="shared" si="60"/>
        <v>0</v>
      </c>
      <c r="K218" s="67">
        <f>IFERROR(SUMIF(#REF!,B218,#REF!)*((#REF!-#REF!)/#REF!),0)</f>
        <v>0</v>
      </c>
      <c r="L218" s="68">
        <f t="shared" si="61"/>
        <v>0</v>
      </c>
      <c r="M218" s="67">
        <f>IFERROR(SUMIF(体外式膜型人工肺!$C$30:$C$74,B218,体外式膜型人工肺!$N$30:$N$74)*((体外式膜型人工肺!$H$3-体外式膜型人工肺!$I$3)/体外式膜型人工肺!$H$3),0)</f>
        <v>0</v>
      </c>
      <c r="N218" s="68">
        <f t="shared" si="62"/>
        <v>0</v>
      </c>
      <c r="O218" s="68">
        <f t="shared" si="63"/>
        <v>0</v>
      </c>
      <c r="P218" s="68">
        <f t="shared" si="64"/>
        <v>0</v>
      </c>
      <c r="Q218" s="67">
        <f>IFERROR(SUMIF(紫外線照射装置!$C$30:$C$74,B218,紫外線照射装置!$N$30:$N$74)*((紫外線照射装置!$H$3-紫外線照射装置!$I$3)/紫外線照射装置!$H$3),0)</f>
        <v>0</v>
      </c>
      <c r="R218" s="68">
        <f t="shared" si="65"/>
        <v>0</v>
      </c>
      <c r="S218" s="101">
        <f t="shared" si="66"/>
        <v>0</v>
      </c>
      <c r="T218" s="67">
        <f>IFERROR(SUMIF(超音波画像診断装置!$C$30:$C$74,B218,超音波画像診断装置!$K$30:$K$74)*((超音波画像診断装置!$H$3-超音波画像診断装置!$I$3)/超音波画像診断装置!$H$3),0)</f>
        <v>0</v>
      </c>
      <c r="U218" s="68">
        <f t="shared" si="67"/>
        <v>0</v>
      </c>
      <c r="V218" s="67">
        <f>IFERROR(SUMIF(血液浄化装置!$C$30:$C$74,B218,血液浄化装置!$K$30:$K$74)*((血液浄化装置!$H$3-血液浄化装置!$I$3)/血液浄化装置!$H$3),0)</f>
        <v>0</v>
      </c>
      <c r="W218" s="68">
        <f t="shared" si="68"/>
        <v>0</v>
      </c>
      <c r="X218" s="67">
        <f>IFERROR(SUMIF(気管支鏡!$C$30:$C$74,B218,気管支鏡!$K$30:$K$74)*((気管支鏡!$H$3-気管支鏡!$I$3)/気管支鏡!$H$3),0)</f>
        <v>0</v>
      </c>
      <c r="Y218" s="68">
        <f t="shared" si="54"/>
        <v>0</v>
      </c>
      <c r="Z218" s="67">
        <f>IFERROR(SUMIF(CT撮影装置!$C$30:$C$74,B218,CT撮影装置!$K$30:$K$74)*((CT撮影装置!$H$3-CT撮影装置!$I$3)/CT撮影装置!$H$3),0)</f>
        <v>0</v>
      </c>
      <c r="AA218" s="68">
        <f t="shared" si="69"/>
        <v>0</v>
      </c>
      <c r="AB218" s="67">
        <f>IFERROR(SUMIF(生体情報モニタ!$C$30:$C$74,B218,生体情報モニタ!$K$30:$K$74)*((生体情報モニタ!$H$3-生体情報モニタ!$I$3)/生体情報モニタ!$H$3),0)</f>
        <v>0</v>
      </c>
      <c r="AC218" s="68">
        <f t="shared" si="55"/>
        <v>0</v>
      </c>
      <c r="AD218" s="67">
        <f>IFERROR(SUMIF(分娩監視装置!$C$30:$C$74,B218,分娩監視装置!$K$30:$K$74)*((分娩監視装置!$H$3-分娩監視装置!$I$3)/分娩監視装置!$H$3),0)</f>
        <v>0</v>
      </c>
      <c r="AE218" s="68">
        <f t="shared" si="70"/>
        <v>0</v>
      </c>
      <c r="AF218" s="67">
        <f>IFERROR(SUMIF(新生児モニタ!$C$30:$C$74,B218,新生児モニタ!$K$30:$K$74)*((新生児モニタ!$H$3-新生児モニタ!$I$3)/新生児モニタ!$H$3),0)</f>
        <v>0</v>
      </c>
      <c r="AG218" s="68">
        <f t="shared" si="71"/>
        <v>0</v>
      </c>
    </row>
    <row r="219" spans="2:33">
      <c r="B219" s="64" t="s">
        <v>866</v>
      </c>
      <c r="C219" s="67">
        <f>IFERROR(SUMIF(初度設備!$C$30:$C$74,B219,初度設備!$N$30:$N$74)*((初度設備!$H$3-初度設備!$I$3)/初度設備!$H$3),0)</f>
        <v>0</v>
      </c>
      <c r="D219" s="68">
        <f t="shared" si="56"/>
        <v>0</v>
      </c>
      <c r="E219" s="67">
        <f>IFERROR(SUMIF(人工呼吸器!$C$30:$C$74,B219,人工呼吸器!$N$30:$N$74)*((人工呼吸器!$H$3-人工呼吸器!$I$3)/人工呼吸器!$H$3),0)</f>
        <v>0</v>
      </c>
      <c r="F219" s="68">
        <f t="shared" si="57"/>
        <v>0</v>
      </c>
      <c r="G219" s="68">
        <f t="shared" si="58"/>
        <v>0</v>
      </c>
      <c r="H219" s="68">
        <f t="shared" si="59"/>
        <v>0</v>
      </c>
      <c r="I219" s="67">
        <f>IFERROR(SUMIF(簡易陰圧装置!$C$30:$C$74,B219,簡易陰圧装置!$N$30:$N$74)*((簡易陰圧装置!$H$3-簡易陰圧装置!$I$3)/簡易陰圧装置!$H$3),0)</f>
        <v>0</v>
      </c>
      <c r="J219" s="68">
        <f t="shared" si="60"/>
        <v>0</v>
      </c>
      <c r="K219" s="67">
        <f>IFERROR(SUMIF(#REF!,B219,#REF!)*((#REF!-#REF!)/#REF!),0)</f>
        <v>0</v>
      </c>
      <c r="L219" s="68">
        <f t="shared" si="61"/>
        <v>0</v>
      </c>
      <c r="M219" s="67">
        <f>IFERROR(SUMIF(体外式膜型人工肺!$C$30:$C$74,B219,体外式膜型人工肺!$N$30:$N$74)*((体外式膜型人工肺!$H$3-体外式膜型人工肺!$I$3)/体外式膜型人工肺!$H$3),0)</f>
        <v>0</v>
      </c>
      <c r="N219" s="68">
        <f t="shared" si="62"/>
        <v>0</v>
      </c>
      <c r="O219" s="68">
        <f t="shared" si="63"/>
        <v>0</v>
      </c>
      <c r="P219" s="68">
        <f t="shared" si="64"/>
        <v>0</v>
      </c>
      <c r="Q219" s="67">
        <f>IFERROR(SUMIF(紫外線照射装置!$C$30:$C$74,B219,紫外線照射装置!$N$30:$N$74)*((紫外線照射装置!$H$3-紫外線照射装置!$I$3)/紫外線照射装置!$H$3),0)</f>
        <v>0</v>
      </c>
      <c r="R219" s="68">
        <f t="shared" si="65"/>
        <v>0</v>
      </c>
      <c r="S219" s="101">
        <f t="shared" si="66"/>
        <v>0</v>
      </c>
      <c r="T219" s="67">
        <f>IFERROR(SUMIF(超音波画像診断装置!$C$30:$C$74,B219,超音波画像診断装置!$K$30:$K$74)*((超音波画像診断装置!$H$3-超音波画像診断装置!$I$3)/超音波画像診断装置!$H$3),0)</f>
        <v>0</v>
      </c>
      <c r="U219" s="68">
        <f t="shared" si="67"/>
        <v>0</v>
      </c>
      <c r="V219" s="67">
        <f>IFERROR(SUMIF(血液浄化装置!$C$30:$C$74,B219,血液浄化装置!$K$30:$K$74)*((血液浄化装置!$H$3-血液浄化装置!$I$3)/血液浄化装置!$H$3),0)</f>
        <v>0</v>
      </c>
      <c r="W219" s="68">
        <f t="shared" si="68"/>
        <v>0</v>
      </c>
      <c r="X219" s="67">
        <f>IFERROR(SUMIF(気管支鏡!$C$30:$C$74,B219,気管支鏡!$K$30:$K$74)*((気管支鏡!$H$3-気管支鏡!$I$3)/気管支鏡!$H$3),0)</f>
        <v>0</v>
      </c>
      <c r="Y219" s="68">
        <f t="shared" si="54"/>
        <v>0</v>
      </c>
      <c r="Z219" s="67">
        <f>IFERROR(SUMIF(CT撮影装置!$C$30:$C$74,B219,CT撮影装置!$K$30:$K$74)*((CT撮影装置!$H$3-CT撮影装置!$I$3)/CT撮影装置!$H$3),0)</f>
        <v>0</v>
      </c>
      <c r="AA219" s="68">
        <f t="shared" si="69"/>
        <v>0</v>
      </c>
      <c r="AB219" s="67">
        <f>IFERROR(SUMIF(生体情報モニタ!$C$30:$C$74,B219,生体情報モニタ!$K$30:$K$74)*((生体情報モニタ!$H$3-生体情報モニタ!$I$3)/生体情報モニタ!$H$3),0)</f>
        <v>0</v>
      </c>
      <c r="AC219" s="68">
        <f t="shared" si="55"/>
        <v>0</v>
      </c>
      <c r="AD219" s="67">
        <f>IFERROR(SUMIF(分娩監視装置!$C$30:$C$74,B219,分娩監視装置!$K$30:$K$74)*((分娩監視装置!$H$3-分娩監視装置!$I$3)/分娩監視装置!$H$3),0)</f>
        <v>0</v>
      </c>
      <c r="AE219" s="68">
        <f t="shared" si="70"/>
        <v>0</v>
      </c>
      <c r="AF219" s="67">
        <f>IFERROR(SUMIF(新生児モニタ!$C$30:$C$74,B219,新生児モニタ!$K$30:$K$74)*((新生児モニタ!$H$3-新生児モニタ!$I$3)/新生児モニタ!$H$3),0)</f>
        <v>0</v>
      </c>
      <c r="AG219" s="68">
        <f t="shared" si="71"/>
        <v>0</v>
      </c>
    </row>
    <row r="220" spans="2:33">
      <c r="B220" s="64" t="s">
        <v>867</v>
      </c>
      <c r="C220" s="67">
        <f>IFERROR(SUMIF(初度設備!$C$30:$C$74,B220,初度設備!$N$30:$N$74)*((初度設備!$H$3-初度設備!$I$3)/初度設備!$H$3),0)</f>
        <v>0</v>
      </c>
      <c r="D220" s="68">
        <f t="shared" si="56"/>
        <v>0</v>
      </c>
      <c r="E220" s="67">
        <f>IFERROR(SUMIF(人工呼吸器!$C$30:$C$74,B220,人工呼吸器!$N$30:$N$74)*((人工呼吸器!$H$3-人工呼吸器!$I$3)/人工呼吸器!$H$3),0)</f>
        <v>0</v>
      </c>
      <c r="F220" s="68">
        <f t="shared" si="57"/>
        <v>0</v>
      </c>
      <c r="G220" s="68">
        <f t="shared" si="58"/>
        <v>0</v>
      </c>
      <c r="H220" s="68">
        <f t="shared" si="59"/>
        <v>0</v>
      </c>
      <c r="I220" s="67">
        <f>IFERROR(SUMIF(簡易陰圧装置!$C$30:$C$74,B220,簡易陰圧装置!$N$30:$N$74)*((簡易陰圧装置!$H$3-簡易陰圧装置!$I$3)/簡易陰圧装置!$H$3),0)</f>
        <v>0</v>
      </c>
      <c r="J220" s="68">
        <f t="shared" si="60"/>
        <v>0</v>
      </c>
      <c r="K220" s="67">
        <f>IFERROR(SUMIF(#REF!,B220,#REF!)*((#REF!-#REF!)/#REF!),0)</f>
        <v>0</v>
      </c>
      <c r="L220" s="68">
        <f t="shared" si="61"/>
        <v>0</v>
      </c>
      <c r="M220" s="67">
        <f>IFERROR(SUMIF(体外式膜型人工肺!$C$30:$C$74,B220,体外式膜型人工肺!$N$30:$N$74)*((体外式膜型人工肺!$H$3-体外式膜型人工肺!$I$3)/体外式膜型人工肺!$H$3),0)</f>
        <v>0</v>
      </c>
      <c r="N220" s="68">
        <f t="shared" si="62"/>
        <v>0</v>
      </c>
      <c r="O220" s="68">
        <f t="shared" si="63"/>
        <v>0</v>
      </c>
      <c r="P220" s="68">
        <f t="shared" si="64"/>
        <v>0</v>
      </c>
      <c r="Q220" s="67">
        <f>IFERROR(SUMIF(紫外線照射装置!$C$30:$C$74,B220,紫外線照射装置!$N$30:$N$74)*((紫外線照射装置!$H$3-紫外線照射装置!$I$3)/紫外線照射装置!$H$3),0)</f>
        <v>0</v>
      </c>
      <c r="R220" s="68">
        <f t="shared" si="65"/>
        <v>0</v>
      </c>
      <c r="S220" s="101">
        <f t="shared" si="66"/>
        <v>0</v>
      </c>
      <c r="T220" s="67">
        <f>IFERROR(SUMIF(超音波画像診断装置!$C$30:$C$74,B220,超音波画像診断装置!$K$30:$K$74)*((超音波画像診断装置!$H$3-超音波画像診断装置!$I$3)/超音波画像診断装置!$H$3),0)</f>
        <v>0</v>
      </c>
      <c r="U220" s="68">
        <f t="shared" si="67"/>
        <v>0</v>
      </c>
      <c r="V220" s="67">
        <f>IFERROR(SUMIF(血液浄化装置!$C$30:$C$74,B220,血液浄化装置!$K$30:$K$74)*((血液浄化装置!$H$3-血液浄化装置!$I$3)/血液浄化装置!$H$3),0)</f>
        <v>0</v>
      </c>
      <c r="W220" s="68">
        <f t="shared" si="68"/>
        <v>0</v>
      </c>
      <c r="X220" s="67">
        <f>IFERROR(SUMIF(気管支鏡!$C$30:$C$74,B220,気管支鏡!$K$30:$K$74)*((気管支鏡!$H$3-気管支鏡!$I$3)/気管支鏡!$H$3),0)</f>
        <v>0</v>
      </c>
      <c r="Y220" s="68">
        <f t="shared" si="54"/>
        <v>0</v>
      </c>
      <c r="Z220" s="67">
        <f>IFERROR(SUMIF(CT撮影装置!$C$30:$C$74,B220,CT撮影装置!$K$30:$K$74)*((CT撮影装置!$H$3-CT撮影装置!$I$3)/CT撮影装置!$H$3),0)</f>
        <v>0</v>
      </c>
      <c r="AA220" s="68">
        <f t="shared" si="69"/>
        <v>0</v>
      </c>
      <c r="AB220" s="67">
        <f>IFERROR(SUMIF(生体情報モニタ!$C$30:$C$74,B220,生体情報モニタ!$K$30:$K$74)*((生体情報モニタ!$H$3-生体情報モニタ!$I$3)/生体情報モニタ!$H$3),0)</f>
        <v>0</v>
      </c>
      <c r="AC220" s="68">
        <f t="shared" si="55"/>
        <v>0</v>
      </c>
      <c r="AD220" s="67">
        <f>IFERROR(SUMIF(分娩監視装置!$C$30:$C$74,B220,分娩監視装置!$K$30:$K$74)*((分娩監視装置!$H$3-分娩監視装置!$I$3)/分娩監視装置!$H$3),0)</f>
        <v>0</v>
      </c>
      <c r="AE220" s="68">
        <f t="shared" si="70"/>
        <v>0</v>
      </c>
      <c r="AF220" s="67">
        <f>IFERROR(SUMIF(新生児モニタ!$C$30:$C$74,B220,新生児モニタ!$K$30:$K$74)*((新生児モニタ!$H$3-新生児モニタ!$I$3)/新生児モニタ!$H$3),0)</f>
        <v>0</v>
      </c>
      <c r="AG220" s="68">
        <f t="shared" si="71"/>
        <v>0</v>
      </c>
    </row>
    <row r="221" spans="2:33">
      <c r="B221" s="64" t="s">
        <v>868</v>
      </c>
      <c r="C221" s="67">
        <f>IFERROR(SUMIF(初度設備!$C$30:$C$74,B221,初度設備!$N$30:$N$74)*((初度設備!$H$3-初度設備!$I$3)/初度設備!$H$3),0)</f>
        <v>0</v>
      </c>
      <c r="D221" s="68">
        <f t="shared" si="56"/>
        <v>0</v>
      </c>
      <c r="E221" s="67">
        <f>IFERROR(SUMIF(人工呼吸器!$C$30:$C$74,B221,人工呼吸器!$N$30:$N$74)*((人工呼吸器!$H$3-人工呼吸器!$I$3)/人工呼吸器!$H$3),0)</f>
        <v>0</v>
      </c>
      <c r="F221" s="68">
        <f t="shared" si="57"/>
        <v>0</v>
      </c>
      <c r="G221" s="68">
        <f t="shared" si="58"/>
        <v>0</v>
      </c>
      <c r="H221" s="68">
        <f t="shared" si="59"/>
        <v>0</v>
      </c>
      <c r="I221" s="67">
        <f>IFERROR(SUMIF(簡易陰圧装置!$C$30:$C$74,B221,簡易陰圧装置!$N$30:$N$74)*((簡易陰圧装置!$H$3-簡易陰圧装置!$I$3)/簡易陰圧装置!$H$3),0)</f>
        <v>0</v>
      </c>
      <c r="J221" s="68">
        <f t="shared" si="60"/>
        <v>0</v>
      </c>
      <c r="K221" s="67">
        <f>IFERROR(SUMIF(#REF!,B221,#REF!)*((#REF!-#REF!)/#REF!),0)</f>
        <v>0</v>
      </c>
      <c r="L221" s="68">
        <f t="shared" si="61"/>
        <v>0</v>
      </c>
      <c r="M221" s="67">
        <f>IFERROR(SUMIF(体外式膜型人工肺!$C$30:$C$74,B221,体外式膜型人工肺!$N$30:$N$74)*((体外式膜型人工肺!$H$3-体外式膜型人工肺!$I$3)/体外式膜型人工肺!$H$3),0)</f>
        <v>0</v>
      </c>
      <c r="N221" s="68">
        <f t="shared" si="62"/>
        <v>0</v>
      </c>
      <c r="O221" s="68">
        <f t="shared" si="63"/>
        <v>0</v>
      </c>
      <c r="P221" s="68">
        <f t="shared" si="64"/>
        <v>0</v>
      </c>
      <c r="Q221" s="67">
        <f>IFERROR(SUMIF(紫外線照射装置!$C$30:$C$74,B221,紫外線照射装置!$N$30:$N$74)*((紫外線照射装置!$H$3-紫外線照射装置!$I$3)/紫外線照射装置!$H$3),0)</f>
        <v>0</v>
      </c>
      <c r="R221" s="68">
        <f t="shared" si="65"/>
        <v>0</v>
      </c>
      <c r="S221" s="101">
        <f t="shared" si="66"/>
        <v>0</v>
      </c>
      <c r="T221" s="67">
        <f>IFERROR(SUMIF(超音波画像診断装置!$C$30:$C$74,B221,超音波画像診断装置!$K$30:$K$74)*((超音波画像診断装置!$H$3-超音波画像診断装置!$I$3)/超音波画像診断装置!$H$3),0)</f>
        <v>0</v>
      </c>
      <c r="U221" s="68">
        <f t="shared" si="67"/>
        <v>0</v>
      </c>
      <c r="V221" s="67">
        <f>IFERROR(SUMIF(血液浄化装置!$C$30:$C$74,B221,血液浄化装置!$K$30:$K$74)*((血液浄化装置!$H$3-血液浄化装置!$I$3)/血液浄化装置!$H$3),0)</f>
        <v>0</v>
      </c>
      <c r="W221" s="68">
        <f t="shared" si="68"/>
        <v>0</v>
      </c>
      <c r="X221" s="67">
        <f>IFERROR(SUMIF(気管支鏡!$C$30:$C$74,B221,気管支鏡!$K$30:$K$74)*((気管支鏡!$H$3-気管支鏡!$I$3)/気管支鏡!$H$3),0)</f>
        <v>0</v>
      </c>
      <c r="Y221" s="68">
        <f t="shared" si="54"/>
        <v>0</v>
      </c>
      <c r="Z221" s="67">
        <f>IFERROR(SUMIF(CT撮影装置!$C$30:$C$74,B221,CT撮影装置!$K$30:$K$74)*((CT撮影装置!$H$3-CT撮影装置!$I$3)/CT撮影装置!$H$3),0)</f>
        <v>0</v>
      </c>
      <c r="AA221" s="68">
        <f t="shared" si="69"/>
        <v>0</v>
      </c>
      <c r="AB221" s="67">
        <f>IFERROR(SUMIF(生体情報モニタ!$C$30:$C$74,B221,生体情報モニタ!$K$30:$K$74)*((生体情報モニタ!$H$3-生体情報モニタ!$I$3)/生体情報モニタ!$H$3),0)</f>
        <v>0</v>
      </c>
      <c r="AC221" s="68">
        <f t="shared" si="55"/>
        <v>0</v>
      </c>
      <c r="AD221" s="67">
        <f>IFERROR(SUMIF(分娩監視装置!$C$30:$C$74,B221,分娩監視装置!$K$30:$K$74)*((分娩監視装置!$H$3-分娩監視装置!$I$3)/分娩監視装置!$H$3),0)</f>
        <v>0</v>
      </c>
      <c r="AE221" s="68">
        <f t="shared" si="70"/>
        <v>0</v>
      </c>
      <c r="AF221" s="67">
        <f>IFERROR(SUMIF(新生児モニタ!$C$30:$C$74,B221,新生児モニタ!$K$30:$K$74)*((新生児モニタ!$H$3-新生児モニタ!$I$3)/新生児モニタ!$H$3),0)</f>
        <v>0</v>
      </c>
      <c r="AG221" s="68">
        <f t="shared" si="71"/>
        <v>0</v>
      </c>
    </row>
    <row r="222" spans="2:33">
      <c r="B222" s="64" t="s">
        <v>869</v>
      </c>
      <c r="C222" s="67">
        <f>IFERROR(SUMIF(初度設備!$C$30:$C$74,B222,初度設備!$N$30:$N$74)*((初度設備!$H$3-初度設備!$I$3)/初度設備!$H$3),0)</f>
        <v>0</v>
      </c>
      <c r="D222" s="68">
        <f t="shared" si="56"/>
        <v>0</v>
      </c>
      <c r="E222" s="67">
        <f>IFERROR(SUMIF(人工呼吸器!$C$30:$C$74,B222,人工呼吸器!$N$30:$N$74)*((人工呼吸器!$H$3-人工呼吸器!$I$3)/人工呼吸器!$H$3),0)</f>
        <v>0</v>
      </c>
      <c r="F222" s="68">
        <f t="shared" si="57"/>
        <v>0</v>
      </c>
      <c r="G222" s="68">
        <f t="shared" si="58"/>
        <v>0</v>
      </c>
      <c r="H222" s="68">
        <f t="shared" si="59"/>
        <v>0</v>
      </c>
      <c r="I222" s="67">
        <f>IFERROR(SUMIF(簡易陰圧装置!$C$30:$C$74,B222,簡易陰圧装置!$N$30:$N$74)*((簡易陰圧装置!$H$3-簡易陰圧装置!$I$3)/簡易陰圧装置!$H$3),0)</f>
        <v>0</v>
      </c>
      <c r="J222" s="68">
        <f t="shared" si="60"/>
        <v>0</v>
      </c>
      <c r="K222" s="67">
        <f>IFERROR(SUMIF(#REF!,B222,#REF!)*((#REF!-#REF!)/#REF!),0)</f>
        <v>0</v>
      </c>
      <c r="L222" s="68">
        <f t="shared" si="61"/>
        <v>0</v>
      </c>
      <c r="M222" s="67">
        <f>IFERROR(SUMIF(体外式膜型人工肺!$C$30:$C$74,B222,体外式膜型人工肺!$N$30:$N$74)*((体外式膜型人工肺!$H$3-体外式膜型人工肺!$I$3)/体外式膜型人工肺!$H$3),0)</f>
        <v>0</v>
      </c>
      <c r="N222" s="68">
        <f t="shared" si="62"/>
        <v>0</v>
      </c>
      <c r="O222" s="68">
        <f t="shared" si="63"/>
        <v>0</v>
      </c>
      <c r="P222" s="68">
        <f t="shared" si="64"/>
        <v>0</v>
      </c>
      <c r="Q222" s="67">
        <f>IFERROR(SUMIF(紫外線照射装置!$C$30:$C$74,B222,紫外線照射装置!$N$30:$N$74)*((紫外線照射装置!$H$3-紫外線照射装置!$I$3)/紫外線照射装置!$H$3),0)</f>
        <v>0</v>
      </c>
      <c r="R222" s="68">
        <f t="shared" si="65"/>
        <v>0</v>
      </c>
      <c r="S222" s="101">
        <f t="shared" si="66"/>
        <v>0</v>
      </c>
      <c r="T222" s="67">
        <f>IFERROR(SUMIF(超音波画像診断装置!$C$30:$C$74,B222,超音波画像診断装置!$K$30:$K$74)*((超音波画像診断装置!$H$3-超音波画像診断装置!$I$3)/超音波画像診断装置!$H$3),0)</f>
        <v>0</v>
      </c>
      <c r="U222" s="68">
        <f t="shared" si="67"/>
        <v>0</v>
      </c>
      <c r="V222" s="67">
        <f>IFERROR(SUMIF(血液浄化装置!$C$30:$C$74,B222,血液浄化装置!$K$30:$K$74)*((血液浄化装置!$H$3-血液浄化装置!$I$3)/血液浄化装置!$H$3),0)</f>
        <v>0</v>
      </c>
      <c r="W222" s="68">
        <f t="shared" si="68"/>
        <v>0</v>
      </c>
      <c r="X222" s="67">
        <f>IFERROR(SUMIF(気管支鏡!$C$30:$C$74,B222,気管支鏡!$K$30:$K$74)*((気管支鏡!$H$3-気管支鏡!$I$3)/気管支鏡!$H$3),0)</f>
        <v>0</v>
      </c>
      <c r="Y222" s="68">
        <f t="shared" si="54"/>
        <v>0</v>
      </c>
      <c r="Z222" s="67">
        <f>IFERROR(SUMIF(CT撮影装置!$C$30:$C$74,B222,CT撮影装置!$K$30:$K$74)*((CT撮影装置!$H$3-CT撮影装置!$I$3)/CT撮影装置!$H$3),0)</f>
        <v>0</v>
      </c>
      <c r="AA222" s="68">
        <f t="shared" si="69"/>
        <v>0</v>
      </c>
      <c r="AB222" s="67">
        <f>IFERROR(SUMIF(生体情報モニタ!$C$30:$C$74,B222,生体情報モニタ!$K$30:$K$74)*((生体情報モニタ!$H$3-生体情報モニタ!$I$3)/生体情報モニタ!$H$3),0)</f>
        <v>0</v>
      </c>
      <c r="AC222" s="68">
        <f t="shared" si="55"/>
        <v>0</v>
      </c>
      <c r="AD222" s="67">
        <f>IFERROR(SUMIF(分娩監視装置!$C$30:$C$74,B222,分娩監視装置!$K$30:$K$74)*((分娩監視装置!$H$3-分娩監視装置!$I$3)/分娩監視装置!$H$3),0)</f>
        <v>0</v>
      </c>
      <c r="AE222" s="68">
        <f t="shared" si="70"/>
        <v>0</v>
      </c>
      <c r="AF222" s="67">
        <f>IFERROR(SUMIF(新生児モニタ!$C$30:$C$74,B222,新生児モニタ!$K$30:$K$74)*((新生児モニタ!$H$3-新生児モニタ!$I$3)/新生児モニタ!$H$3),0)</f>
        <v>0</v>
      </c>
      <c r="AG222" s="68">
        <f t="shared" si="71"/>
        <v>0</v>
      </c>
    </row>
    <row r="223" spans="2:33">
      <c r="B223" s="64" t="s">
        <v>870</v>
      </c>
      <c r="C223" s="67">
        <f>IFERROR(SUMIF(初度設備!$C$30:$C$74,B223,初度設備!$N$30:$N$74)*((初度設備!$H$3-初度設備!$I$3)/初度設備!$H$3),0)</f>
        <v>0</v>
      </c>
      <c r="D223" s="68">
        <f t="shared" si="56"/>
        <v>0</v>
      </c>
      <c r="E223" s="67">
        <f>IFERROR(SUMIF(人工呼吸器!$C$30:$C$74,B223,人工呼吸器!$N$30:$N$74)*((人工呼吸器!$H$3-人工呼吸器!$I$3)/人工呼吸器!$H$3),0)</f>
        <v>0</v>
      </c>
      <c r="F223" s="68">
        <f t="shared" si="57"/>
        <v>0</v>
      </c>
      <c r="G223" s="68">
        <f t="shared" si="58"/>
        <v>0</v>
      </c>
      <c r="H223" s="68">
        <f t="shared" si="59"/>
        <v>0</v>
      </c>
      <c r="I223" s="67">
        <f>IFERROR(SUMIF(簡易陰圧装置!$C$30:$C$74,B223,簡易陰圧装置!$N$30:$N$74)*((簡易陰圧装置!$H$3-簡易陰圧装置!$I$3)/簡易陰圧装置!$H$3),0)</f>
        <v>0</v>
      </c>
      <c r="J223" s="68">
        <f t="shared" si="60"/>
        <v>0</v>
      </c>
      <c r="K223" s="67">
        <f>IFERROR(SUMIF(#REF!,B223,#REF!)*((#REF!-#REF!)/#REF!),0)</f>
        <v>0</v>
      </c>
      <c r="L223" s="68">
        <f t="shared" si="61"/>
        <v>0</v>
      </c>
      <c r="M223" s="67">
        <f>IFERROR(SUMIF(体外式膜型人工肺!$C$30:$C$74,B223,体外式膜型人工肺!$N$30:$N$74)*((体外式膜型人工肺!$H$3-体外式膜型人工肺!$I$3)/体外式膜型人工肺!$H$3),0)</f>
        <v>0</v>
      </c>
      <c r="N223" s="68">
        <f t="shared" si="62"/>
        <v>0</v>
      </c>
      <c r="O223" s="68">
        <f t="shared" si="63"/>
        <v>0</v>
      </c>
      <c r="P223" s="68">
        <f t="shared" si="64"/>
        <v>0</v>
      </c>
      <c r="Q223" s="67">
        <f>IFERROR(SUMIF(紫外線照射装置!$C$30:$C$74,B223,紫外線照射装置!$N$30:$N$74)*((紫外線照射装置!$H$3-紫外線照射装置!$I$3)/紫外線照射装置!$H$3),0)</f>
        <v>0</v>
      </c>
      <c r="R223" s="68">
        <f t="shared" si="65"/>
        <v>0</v>
      </c>
      <c r="S223" s="101">
        <f t="shared" si="66"/>
        <v>0</v>
      </c>
      <c r="T223" s="67">
        <f>IFERROR(SUMIF(超音波画像診断装置!$C$30:$C$74,B223,超音波画像診断装置!$K$30:$K$74)*((超音波画像診断装置!$H$3-超音波画像診断装置!$I$3)/超音波画像診断装置!$H$3),0)</f>
        <v>0</v>
      </c>
      <c r="U223" s="68">
        <f t="shared" si="67"/>
        <v>0</v>
      </c>
      <c r="V223" s="67">
        <f>IFERROR(SUMIF(血液浄化装置!$C$30:$C$74,B223,血液浄化装置!$K$30:$K$74)*((血液浄化装置!$H$3-血液浄化装置!$I$3)/血液浄化装置!$H$3),0)</f>
        <v>0</v>
      </c>
      <c r="W223" s="68">
        <f t="shared" si="68"/>
        <v>0</v>
      </c>
      <c r="X223" s="67">
        <f>IFERROR(SUMIF(気管支鏡!$C$30:$C$74,B223,気管支鏡!$K$30:$K$74)*((気管支鏡!$H$3-気管支鏡!$I$3)/気管支鏡!$H$3),0)</f>
        <v>0</v>
      </c>
      <c r="Y223" s="68">
        <f t="shared" si="54"/>
        <v>0</v>
      </c>
      <c r="Z223" s="67">
        <f>IFERROR(SUMIF(CT撮影装置!$C$30:$C$74,B223,CT撮影装置!$K$30:$K$74)*((CT撮影装置!$H$3-CT撮影装置!$I$3)/CT撮影装置!$H$3),0)</f>
        <v>0</v>
      </c>
      <c r="AA223" s="68">
        <f t="shared" si="69"/>
        <v>0</v>
      </c>
      <c r="AB223" s="67">
        <f>IFERROR(SUMIF(生体情報モニタ!$C$30:$C$74,B223,生体情報モニタ!$K$30:$K$74)*((生体情報モニタ!$H$3-生体情報モニタ!$I$3)/生体情報モニタ!$H$3),0)</f>
        <v>0</v>
      </c>
      <c r="AC223" s="68">
        <f t="shared" si="55"/>
        <v>0</v>
      </c>
      <c r="AD223" s="67">
        <f>IFERROR(SUMIF(分娩監視装置!$C$30:$C$74,B223,分娩監視装置!$K$30:$K$74)*((分娩監視装置!$H$3-分娩監視装置!$I$3)/分娩監視装置!$H$3),0)</f>
        <v>0</v>
      </c>
      <c r="AE223" s="68">
        <f t="shared" si="70"/>
        <v>0</v>
      </c>
      <c r="AF223" s="67">
        <f>IFERROR(SUMIF(新生児モニタ!$C$30:$C$74,B223,新生児モニタ!$K$30:$K$74)*((新生児モニタ!$H$3-新生児モニタ!$I$3)/新生児モニタ!$H$3),0)</f>
        <v>0</v>
      </c>
      <c r="AG223" s="68">
        <f t="shared" si="71"/>
        <v>0</v>
      </c>
    </row>
    <row r="224" spans="2:33">
      <c r="B224" s="64" t="s">
        <v>871</v>
      </c>
      <c r="C224" s="67">
        <f>IFERROR(SUMIF(初度設備!$C$30:$C$74,B224,初度設備!$N$30:$N$74)*((初度設備!$H$3-初度設備!$I$3)/初度設備!$H$3),0)</f>
        <v>0</v>
      </c>
      <c r="D224" s="68">
        <f t="shared" si="56"/>
        <v>0</v>
      </c>
      <c r="E224" s="67">
        <f>IFERROR(SUMIF(人工呼吸器!$C$30:$C$74,B224,人工呼吸器!$N$30:$N$74)*((人工呼吸器!$H$3-人工呼吸器!$I$3)/人工呼吸器!$H$3),0)</f>
        <v>0</v>
      </c>
      <c r="F224" s="68">
        <f t="shared" si="57"/>
        <v>0</v>
      </c>
      <c r="G224" s="68">
        <f t="shared" si="58"/>
        <v>0</v>
      </c>
      <c r="H224" s="68">
        <f t="shared" si="59"/>
        <v>0</v>
      </c>
      <c r="I224" s="67">
        <f>IFERROR(SUMIF(簡易陰圧装置!$C$30:$C$74,B224,簡易陰圧装置!$N$30:$N$74)*((簡易陰圧装置!$H$3-簡易陰圧装置!$I$3)/簡易陰圧装置!$H$3),0)</f>
        <v>0</v>
      </c>
      <c r="J224" s="68">
        <f t="shared" si="60"/>
        <v>0</v>
      </c>
      <c r="K224" s="67">
        <f>IFERROR(SUMIF(#REF!,B224,#REF!)*((#REF!-#REF!)/#REF!),0)</f>
        <v>0</v>
      </c>
      <c r="L224" s="68">
        <f t="shared" si="61"/>
        <v>0</v>
      </c>
      <c r="M224" s="67">
        <f>IFERROR(SUMIF(体外式膜型人工肺!$C$30:$C$74,B224,体外式膜型人工肺!$N$30:$N$74)*((体外式膜型人工肺!$H$3-体外式膜型人工肺!$I$3)/体外式膜型人工肺!$H$3),0)</f>
        <v>0</v>
      </c>
      <c r="N224" s="68">
        <f t="shared" si="62"/>
        <v>0</v>
      </c>
      <c r="O224" s="68">
        <f t="shared" si="63"/>
        <v>0</v>
      </c>
      <c r="P224" s="68">
        <f t="shared" si="64"/>
        <v>0</v>
      </c>
      <c r="Q224" s="67">
        <f>IFERROR(SUMIF(紫外線照射装置!$C$30:$C$74,B224,紫外線照射装置!$N$30:$N$74)*((紫外線照射装置!$H$3-紫外線照射装置!$I$3)/紫外線照射装置!$H$3),0)</f>
        <v>0</v>
      </c>
      <c r="R224" s="68">
        <f t="shared" si="65"/>
        <v>0</v>
      </c>
      <c r="S224" s="101">
        <f t="shared" si="66"/>
        <v>0</v>
      </c>
      <c r="T224" s="67">
        <f>IFERROR(SUMIF(超音波画像診断装置!$C$30:$C$74,B224,超音波画像診断装置!$K$30:$K$74)*((超音波画像診断装置!$H$3-超音波画像診断装置!$I$3)/超音波画像診断装置!$H$3),0)</f>
        <v>0</v>
      </c>
      <c r="U224" s="68">
        <f t="shared" si="67"/>
        <v>0</v>
      </c>
      <c r="V224" s="67">
        <f>IFERROR(SUMIF(血液浄化装置!$C$30:$C$74,B224,血液浄化装置!$K$30:$K$74)*((血液浄化装置!$H$3-血液浄化装置!$I$3)/血液浄化装置!$H$3),0)</f>
        <v>0</v>
      </c>
      <c r="W224" s="68">
        <f t="shared" si="68"/>
        <v>0</v>
      </c>
      <c r="X224" s="67">
        <f>IFERROR(SUMIF(気管支鏡!$C$30:$C$74,B224,気管支鏡!$K$30:$K$74)*((気管支鏡!$H$3-気管支鏡!$I$3)/気管支鏡!$H$3),0)</f>
        <v>0</v>
      </c>
      <c r="Y224" s="68">
        <f t="shared" si="54"/>
        <v>0</v>
      </c>
      <c r="Z224" s="67">
        <f>IFERROR(SUMIF(CT撮影装置!$C$30:$C$74,B224,CT撮影装置!$K$30:$K$74)*((CT撮影装置!$H$3-CT撮影装置!$I$3)/CT撮影装置!$H$3),0)</f>
        <v>0</v>
      </c>
      <c r="AA224" s="68">
        <f t="shared" si="69"/>
        <v>0</v>
      </c>
      <c r="AB224" s="67">
        <f>IFERROR(SUMIF(生体情報モニタ!$C$30:$C$74,B224,生体情報モニタ!$K$30:$K$74)*((生体情報モニタ!$H$3-生体情報モニタ!$I$3)/生体情報モニタ!$H$3),0)</f>
        <v>0</v>
      </c>
      <c r="AC224" s="68">
        <f t="shared" si="55"/>
        <v>0</v>
      </c>
      <c r="AD224" s="67">
        <f>IFERROR(SUMIF(分娩監視装置!$C$30:$C$74,B224,分娩監視装置!$K$30:$K$74)*((分娩監視装置!$H$3-分娩監視装置!$I$3)/分娩監視装置!$H$3),0)</f>
        <v>0</v>
      </c>
      <c r="AE224" s="68">
        <f t="shared" si="70"/>
        <v>0</v>
      </c>
      <c r="AF224" s="67">
        <f>IFERROR(SUMIF(新生児モニタ!$C$30:$C$74,B224,新生児モニタ!$K$30:$K$74)*((新生児モニタ!$H$3-新生児モニタ!$I$3)/新生児モニタ!$H$3),0)</f>
        <v>0</v>
      </c>
      <c r="AG224" s="68">
        <f t="shared" si="71"/>
        <v>0</v>
      </c>
    </row>
    <row r="225" spans="2:33">
      <c r="B225" s="64" t="s">
        <v>872</v>
      </c>
      <c r="C225" s="67">
        <f>IFERROR(SUMIF(初度設備!$C$30:$C$74,B225,初度設備!$N$30:$N$74)*((初度設備!$H$3-初度設備!$I$3)/初度設備!$H$3),0)</f>
        <v>0</v>
      </c>
      <c r="D225" s="68">
        <f t="shared" si="56"/>
        <v>0</v>
      </c>
      <c r="E225" s="67">
        <f>IFERROR(SUMIF(人工呼吸器!$C$30:$C$74,B225,人工呼吸器!$N$30:$N$74)*((人工呼吸器!$H$3-人工呼吸器!$I$3)/人工呼吸器!$H$3),0)</f>
        <v>0</v>
      </c>
      <c r="F225" s="68">
        <f t="shared" si="57"/>
        <v>0</v>
      </c>
      <c r="G225" s="68">
        <f t="shared" si="58"/>
        <v>0</v>
      </c>
      <c r="H225" s="68">
        <f t="shared" si="59"/>
        <v>0</v>
      </c>
      <c r="I225" s="67">
        <f>IFERROR(SUMIF(簡易陰圧装置!$C$30:$C$74,B225,簡易陰圧装置!$N$30:$N$74)*((簡易陰圧装置!$H$3-簡易陰圧装置!$I$3)/簡易陰圧装置!$H$3),0)</f>
        <v>0</v>
      </c>
      <c r="J225" s="68">
        <f t="shared" si="60"/>
        <v>0</v>
      </c>
      <c r="K225" s="67">
        <f>IFERROR(SUMIF(#REF!,B225,#REF!)*((#REF!-#REF!)/#REF!),0)</f>
        <v>0</v>
      </c>
      <c r="L225" s="68">
        <f t="shared" si="61"/>
        <v>0</v>
      </c>
      <c r="M225" s="67">
        <f>IFERROR(SUMIF(体外式膜型人工肺!$C$30:$C$74,B225,体外式膜型人工肺!$N$30:$N$74)*((体外式膜型人工肺!$H$3-体外式膜型人工肺!$I$3)/体外式膜型人工肺!$H$3),0)</f>
        <v>0</v>
      </c>
      <c r="N225" s="68">
        <f t="shared" si="62"/>
        <v>0</v>
      </c>
      <c r="O225" s="68">
        <f t="shared" si="63"/>
        <v>0</v>
      </c>
      <c r="P225" s="68">
        <f t="shared" si="64"/>
        <v>0</v>
      </c>
      <c r="Q225" s="67">
        <f>IFERROR(SUMIF(紫外線照射装置!$C$30:$C$74,B225,紫外線照射装置!$N$30:$N$74)*((紫外線照射装置!$H$3-紫外線照射装置!$I$3)/紫外線照射装置!$H$3),0)</f>
        <v>0</v>
      </c>
      <c r="R225" s="68">
        <f t="shared" si="65"/>
        <v>0</v>
      </c>
      <c r="S225" s="101">
        <f t="shared" si="66"/>
        <v>0</v>
      </c>
      <c r="T225" s="67">
        <f>IFERROR(SUMIF(超音波画像診断装置!$C$30:$C$74,B225,超音波画像診断装置!$K$30:$K$74)*((超音波画像診断装置!$H$3-超音波画像診断装置!$I$3)/超音波画像診断装置!$H$3),0)</f>
        <v>0</v>
      </c>
      <c r="U225" s="68">
        <f t="shared" si="67"/>
        <v>0</v>
      </c>
      <c r="V225" s="67">
        <f>IFERROR(SUMIF(血液浄化装置!$C$30:$C$74,B225,血液浄化装置!$K$30:$K$74)*((血液浄化装置!$H$3-血液浄化装置!$I$3)/血液浄化装置!$H$3),0)</f>
        <v>0</v>
      </c>
      <c r="W225" s="68">
        <f t="shared" si="68"/>
        <v>0</v>
      </c>
      <c r="X225" s="67">
        <f>IFERROR(SUMIF(気管支鏡!$C$30:$C$74,B225,気管支鏡!$K$30:$K$74)*((気管支鏡!$H$3-気管支鏡!$I$3)/気管支鏡!$H$3),0)</f>
        <v>0</v>
      </c>
      <c r="Y225" s="68">
        <f t="shared" si="54"/>
        <v>0</v>
      </c>
      <c r="Z225" s="67">
        <f>IFERROR(SUMIF(CT撮影装置!$C$30:$C$74,B225,CT撮影装置!$K$30:$K$74)*((CT撮影装置!$H$3-CT撮影装置!$I$3)/CT撮影装置!$H$3),0)</f>
        <v>0</v>
      </c>
      <c r="AA225" s="68">
        <f t="shared" si="69"/>
        <v>0</v>
      </c>
      <c r="AB225" s="67">
        <f>IFERROR(SUMIF(生体情報モニタ!$C$30:$C$74,B225,生体情報モニタ!$K$30:$K$74)*((生体情報モニタ!$H$3-生体情報モニタ!$I$3)/生体情報モニタ!$H$3),0)</f>
        <v>0</v>
      </c>
      <c r="AC225" s="68">
        <f t="shared" si="55"/>
        <v>0</v>
      </c>
      <c r="AD225" s="67">
        <f>IFERROR(SUMIF(分娩監視装置!$C$30:$C$74,B225,分娩監視装置!$K$30:$K$74)*((分娩監視装置!$H$3-分娩監視装置!$I$3)/分娩監視装置!$H$3),0)</f>
        <v>0</v>
      </c>
      <c r="AE225" s="68">
        <f t="shared" si="70"/>
        <v>0</v>
      </c>
      <c r="AF225" s="67">
        <f>IFERROR(SUMIF(新生児モニタ!$C$30:$C$74,B225,新生児モニタ!$K$30:$K$74)*((新生児モニタ!$H$3-新生児モニタ!$I$3)/新生児モニタ!$H$3),0)</f>
        <v>0</v>
      </c>
      <c r="AG225" s="68">
        <f t="shared" si="71"/>
        <v>0</v>
      </c>
    </row>
    <row r="226" spans="2:33">
      <c r="B226" s="64" t="s">
        <v>873</v>
      </c>
      <c r="C226" s="67">
        <f>IFERROR(SUMIF(初度設備!$C$30:$C$74,B226,初度設備!$N$30:$N$74)*((初度設備!$H$3-初度設備!$I$3)/初度設備!$H$3),0)</f>
        <v>0</v>
      </c>
      <c r="D226" s="68">
        <f t="shared" si="56"/>
        <v>0</v>
      </c>
      <c r="E226" s="67">
        <f>IFERROR(SUMIF(人工呼吸器!$C$30:$C$74,B226,人工呼吸器!$N$30:$N$74)*((人工呼吸器!$H$3-人工呼吸器!$I$3)/人工呼吸器!$H$3),0)</f>
        <v>0</v>
      </c>
      <c r="F226" s="68">
        <f t="shared" si="57"/>
        <v>0</v>
      </c>
      <c r="G226" s="68">
        <f t="shared" si="58"/>
        <v>0</v>
      </c>
      <c r="H226" s="68">
        <f t="shared" si="59"/>
        <v>0</v>
      </c>
      <c r="I226" s="67">
        <f>IFERROR(SUMIF(簡易陰圧装置!$C$30:$C$74,B226,簡易陰圧装置!$N$30:$N$74)*((簡易陰圧装置!$H$3-簡易陰圧装置!$I$3)/簡易陰圧装置!$H$3),0)</f>
        <v>0</v>
      </c>
      <c r="J226" s="68">
        <f t="shared" si="60"/>
        <v>0</v>
      </c>
      <c r="K226" s="67">
        <f>IFERROR(SUMIF(#REF!,B226,#REF!)*((#REF!-#REF!)/#REF!),0)</f>
        <v>0</v>
      </c>
      <c r="L226" s="68">
        <f t="shared" si="61"/>
        <v>0</v>
      </c>
      <c r="M226" s="67">
        <f>IFERROR(SUMIF(体外式膜型人工肺!$C$30:$C$74,B226,体外式膜型人工肺!$N$30:$N$74)*((体外式膜型人工肺!$H$3-体外式膜型人工肺!$I$3)/体外式膜型人工肺!$H$3),0)</f>
        <v>0</v>
      </c>
      <c r="N226" s="68">
        <f t="shared" si="62"/>
        <v>0</v>
      </c>
      <c r="O226" s="68">
        <f t="shared" si="63"/>
        <v>0</v>
      </c>
      <c r="P226" s="68">
        <f t="shared" si="64"/>
        <v>0</v>
      </c>
      <c r="Q226" s="67">
        <f>IFERROR(SUMIF(紫外線照射装置!$C$30:$C$74,B226,紫外線照射装置!$N$30:$N$74)*((紫外線照射装置!$H$3-紫外線照射装置!$I$3)/紫外線照射装置!$H$3),0)</f>
        <v>0</v>
      </c>
      <c r="R226" s="68">
        <f t="shared" si="65"/>
        <v>0</v>
      </c>
      <c r="S226" s="101">
        <f t="shared" si="66"/>
        <v>0</v>
      </c>
      <c r="T226" s="67">
        <f>IFERROR(SUMIF(超音波画像診断装置!$C$30:$C$74,B226,超音波画像診断装置!$K$30:$K$74)*((超音波画像診断装置!$H$3-超音波画像診断装置!$I$3)/超音波画像診断装置!$H$3),0)</f>
        <v>0</v>
      </c>
      <c r="U226" s="68">
        <f t="shared" si="67"/>
        <v>0</v>
      </c>
      <c r="V226" s="67">
        <f>IFERROR(SUMIF(血液浄化装置!$C$30:$C$74,B226,血液浄化装置!$K$30:$K$74)*((血液浄化装置!$H$3-血液浄化装置!$I$3)/血液浄化装置!$H$3),0)</f>
        <v>0</v>
      </c>
      <c r="W226" s="68">
        <f t="shared" si="68"/>
        <v>0</v>
      </c>
      <c r="X226" s="67">
        <f>IFERROR(SUMIF(気管支鏡!$C$30:$C$74,B226,気管支鏡!$K$30:$K$74)*((気管支鏡!$H$3-気管支鏡!$I$3)/気管支鏡!$H$3),0)</f>
        <v>0</v>
      </c>
      <c r="Y226" s="68">
        <f t="shared" si="54"/>
        <v>0</v>
      </c>
      <c r="Z226" s="67">
        <f>IFERROR(SUMIF(CT撮影装置!$C$30:$C$74,B226,CT撮影装置!$K$30:$K$74)*((CT撮影装置!$H$3-CT撮影装置!$I$3)/CT撮影装置!$H$3),0)</f>
        <v>0</v>
      </c>
      <c r="AA226" s="68">
        <f t="shared" si="69"/>
        <v>0</v>
      </c>
      <c r="AB226" s="67">
        <f>IFERROR(SUMIF(生体情報モニタ!$C$30:$C$74,B226,生体情報モニタ!$K$30:$K$74)*((生体情報モニタ!$H$3-生体情報モニタ!$I$3)/生体情報モニタ!$H$3),0)</f>
        <v>0</v>
      </c>
      <c r="AC226" s="68">
        <f t="shared" si="55"/>
        <v>0</v>
      </c>
      <c r="AD226" s="67">
        <f>IFERROR(SUMIF(分娩監視装置!$C$30:$C$74,B226,分娩監視装置!$K$30:$K$74)*((分娩監視装置!$H$3-分娩監視装置!$I$3)/分娩監視装置!$H$3),0)</f>
        <v>0</v>
      </c>
      <c r="AE226" s="68">
        <f t="shared" si="70"/>
        <v>0</v>
      </c>
      <c r="AF226" s="67">
        <f>IFERROR(SUMIF(新生児モニタ!$C$30:$C$74,B226,新生児モニタ!$K$30:$K$74)*((新生児モニタ!$H$3-新生児モニタ!$I$3)/新生児モニタ!$H$3),0)</f>
        <v>0</v>
      </c>
      <c r="AG226" s="68">
        <f t="shared" si="71"/>
        <v>0</v>
      </c>
    </row>
    <row r="227" spans="2:33">
      <c r="B227" s="64" t="s">
        <v>874</v>
      </c>
      <c r="C227" s="67">
        <f>IFERROR(SUMIF(初度設備!$C$30:$C$74,B227,初度設備!$N$30:$N$74)*((初度設備!$H$3-初度設備!$I$3)/初度設備!$H$3),0)</f>
        <v>0</v>
      </c>
      <c r="D227" s="68">
        <f t="shared" si="56"/>
        <v>0</v>
      </c>
      <c r="E227" s="67">
        <f>IFERROR(SUMIF(人工呼吸器!$C$30:$C$74,B227,人工呼吸器!$N$30:$N$74)*((人工呼吸器!$H$3-人工呼吸器!$I$3)/人工呼吸器!$H$3),0)</f>
        <v>0</v>
      </c>
      <c r="F227" s="68">
        <f t="shared" si="57"/>
        <v>0</v>
      </c>
      <c r="G227" s="68">
        <f t="shared" si="58"/>
        <v>0</v>
      </c>
      <c r="H227" s="68">
        <f t="shared" si="59"/>
        <v>0</v>
      </c>
      <c r="I227" s="67">
        <f>IFERROR(SUMIF(簡易陰圧装置!$C$30:$C$74,B227,簡易陰圧装置!$N$30:$N$74)*((簡易陰圧装置!$H$3-簡易陰圧装置!$I$3)/簡易陰圧装置!$H$3),0)</f>
        <v>0</v>
      </c>
      <c r="J227" s="68">
        <f t="shared" si="60"/>
        <v>0</v>
      </c>
      <c r="K227" s="67">
        <f>IFERROR(SUMIF(#REF!,B227,#REF!)*((#REF!-#REF!)/#REF!),0)</f>
        <v>0</v>
      </c>
      <c r="L227" s="68">
        <f t="shared" si="61"/>
        <v>0</v>
      </c>
      <c r="M227" s="67">
        <f>IFERROR(SUMIF(体外式膜型人工肺!$C$30:$C$74,B227,体外式膜型人工肺!$N$30:$N$74)*((体外式膜型人工肺!$H$3-体外式膜型人工肺!$I$3)/体外式膜型人工肺!$H$3),0)</f>
        <v>0</v>
      </c>
      <c r="N227" s="68">
        <f t="shared" si="62"/>
        <v>0</v>
      </c>
      <c r="O227" s="68">
        <f t="shared" si="63"/>
        <v>0</v>
      </c>
      <c r="P227" s="68">
        <f t="shared" si="64"/>
        <v>0</v>
      </c>
      <c r="Q227" s="67">
        <f>IFERROR(SUMIF(紫外線照射装置!$C$30:$C$74,B227,紫外線照射装置!$N$30:$N$74)*((紫外線照射装置!$H$3-紫外線照射装置!$I$3)/紫外線照射装置!$H$3),0)</f>
        <v>0</v>
      </c>
      <c r="R227" s="68">
        <f t="shared" si="65"/>
        <v>0</v>
      </c>
      <c r="S227" s="101">
        <f t="shared" si="66"/>
        <v>0</v>
      </c>
      <c r="T227" s="67">
        <f>IFERROR(SUMIF(超音波画像診断装置!$C$30:$C$74,B227,超音波画像診断装置!$K$30:$K$74)*((超音波画像診断装置!$H$3-超音波画像診断装置!$I$3)/超音波画像診断装置!$H$3),0)</f>
        <v>0</v>
      </c>
      <c r="U227" s="68">
        <f t="shared" si="67"/>
        <v>0</v>
      </c>
      <c r="V227" s="67">
        <f>IFERROR(SUMIF(血液浄化装置!$C$30:$C$74,B227,血液浄化装置!$K$30:$K$74)*((血液浄化装置!$H$3-血液浄化装置!$I$3)/血液浄化装置!$H$3),0)</f>
        <v>0</v>
      </c>
      <c r="W227" s="68">
        <f t="shared" si="68"/>
        <v>0</v>
      </c>
      <c r="X227" s="67">
        <f>IFERROR(SUMIF(気管支鏡!$C$30:$C$74,B227,気管支鏡!$K$30:$K$74)*((気管支鏡!$H$3-気管支鏡!$I$3)/気管支鏡!$H$3),0)</f>
        <v>0</v>
      </c>
      <c r="Y227" s="68">
        <f t="shared" si="54"/>
        <v>0</v>
      </c>
      <c r="Z227" s="67">
        <f>IFERROR(SUMIF(CT撮影装置!$C$30:$C$74,B227,CT撮影装置!$K$30:$K$74)*((CT撮影装置!$H$3-CT撮影装置!$I$3)/CT撮影装置!$H$3),0)</f>
        <v>0</v>
      </c>
      <c r="AA227" s="68">
        <f t="shared" si="69"/>
        <v>0</v>
      </c>
      <c r="AB227" s="67">
        <f>IFERROR(SUMIF(生体情報モニタ!$C$30:$C$74,B227,生体情報モニタ!$K$30:$K$74)*((生体情報モニタ!$H$3-生体情報モニタ!$I$3)/生体情報モニタ!$H$3),0)</f>
        <v>0</v>
      </c>
      <c r="AC227" s="68">
        <f t="shared" si="55"/>
        <v>0</v>
      </c>
      <c r="AD227" s="67">
        <f>IFERROR(SUMIF(分娩監視装置!$C$30:$C$74,B227,分娩監視装置!$K$30:$K$74)*((分娩監視装置!$H$3-分娩監視装置!$I$3)/分娩監視装置!$H$3),0)</f>
        <v>0</v>
      </c>
      <c r="AE227" s="68">
        <f t="shared" si="70"/>
        <v>0</v>
      </c>
      <c r="AF227" s="67">
        <f>IFERROR(SUMIF(新生児モニタ!$C$30:$C$74,B227,新生児モニタ!$K$30:$K$74)*((新生児モニタ!$H$3-新生児モニタ!$I$3)/新生児モニタ!$H$3),0)</f>
        <v>0</v>
      </c>
      <c r="AG227" s="68">
        <f t="shared" si="71"/>
        <v>0</v>
      </c>
    </row>
    <row r="228" spans="2:33">
      <c r="B228" s="64" t="s">
        <v>875</v>
      </c>
      <c r="C228" s="67">
        <f>IFERROR(SUMIF(初度設備!$C$30:$C$74,B228,初度設備!$N$30:$N$74)*((初度設備!$H$3-初度設備!$I$3)/初度設備!$H$3),0)</f>
        <v>0</v>
      </c>
      <c r="D228" s="68">
        <f t="shared" si="56"/>
        <v>0</v>
      </c>
      <c r="E228" s="67">
        <f>IFERROR(SUMIF(人工呼吸器!$C$30:$C$74,B228,人工呼吸器!$N$30:$N$74)*((人工呼吸器!$H$3-人工呼吸器!$I$3)/人工呼吸器!$H$3),0)</f>
        <v>0</v>
      </c>
      <c r="F228" s="68">
        <f t="shared" si="57"/>
        <v>0</v>
      </c>
      <c r="G228" s="68">
        <f t="shared" si="58"/>
        <v>0</v>
      </c>
      <c r="H228" s="68">
        <f t="shared" si="59"/>
        <v>0</v>
      </c>
      <c r="I228" s="67">
        <f>IFERROR(SUMIF(簡易陰圧装置!$C$30:$C$74,B228,簡易陰圧装置!$N$30:$N$74)*((簡易陰圧装置!$H$3-簡易陰圧装置!$I$3)/簡易陰圧装置!$H$3),0)</f>
        <v>0</v>
      </c>
      <c r="J228" s="68">
        <f t="shared" si="60"/>
        <v>0</v>
      </c>
      <c r="K228" s="67">
        <f>IFERROR(SUMIF(#REF!,B228,#REF!)*((#REF!-#REF!)/#REF!),0)</f>
        <v>0</v>
      </c>
      <c r="L228" s="68">
        <f t="shared" si="61"/>
        <v>0</v>
      </c>
      <c r="M228" s="67">
        <f>IFERROR(SUMIF(体外式膜型人工肺!$C$30:$C$74,B228,体外式膜型人工肺!$N$30:$N$74)*((体外式膜型人工肺!$H$3-体外式膜型人工肺!$I$3)/体外式膜型人工肺!$H$3),0)</f>
        <v>0</v>
      </c>
      <c r="N228" s="68">
        <f t="shared" si="62"/>
        <v>0</v>
      </c>
      <c r="O228" s="68">
        <f t="shared" si="63"/>
        <v>0</v>
      </c>
      <c r="P228" s="68">
        <f t="shared" si="64"/>
        <v>0</v>
      </c>
      <c r="Q228" s="67">
        <f>IFERROR(SUMIF(紫外線照射装置!$C$30:$C$74,B228,紫外線照射装置!$N$30:$N$74)*((紫外線照射装置!$H$3-紫外線照射装置!$I$3)/紫外線照射装置!$H$3),0)</f>
        <v>0</v>
      </c>
      <c r="R228" s="68">
        <f t="shared" si="65"/>
        <v>0</v>
      </c>
      <c r="S228" s="101">
        <f t="shared" si="66"/>
        <v>0</v>
      </c>
      <c r="T228" s="67">
        <f>IFERROR(SUMIF(超音波画像診断装置!$C$30:$C$74,B228,超音波画像診断装置!$K$30:$K$74)*((超音波画像診断装置!$H$3-超音波画像診断装置!$I$3)/超音波画像診断装置!$H$3),0)</f>
        <v>0</v>
      </c>
      <c r="U228" s="68">
        <f t="shared" si="67"/>
        <v>0</v>
      </c>
      <c r="V228" s="67">
        <f>IFERROR(SUMIF(血液浄化装置!$C$30:$C$74,B228,血液浄化装置!$K$30:$K$74)*((血液浄化装置!$H$3-血液浄化装置!$I$3)/血液浄化装置!$H$3),0)</f>
        <v>0</v>
      </c>
      <c r="W228" s="68">
        <f t="shared" si="68"/>
        <v>0</v>
      </c>
      <c r="X228" s="67">
        <f>IFERROR(SUMIF(気管支鏡!$C$30:$C$74,B228,気管支鏡!$K$30:$K$74)*((気管支鏡!$H$3-気管支鏡!$I$3)/気管支鏡!$H$3),0)</f>
        <v>0</v>
      </c>
      <c r="Y228" s="68">
        <f t="shared" si="54"/>
        <v>0</v>
      </c>
      <c r="Z228" s="67">
        <f>IFERROR(SUMIF(CT撮影装置!$C$30:$C$74,B228,CT撮影装置!$K$30:$K$74)*((CT撮影装置!$H$3-CT撮影装置!$I$3)/CT撮影装置!$H$3),0)</f>
        <v>0</v>
      </c>
      <c r="AA228" s="68">
        <f t="shared" si="69"/>
        <v>0</v>
      </c>
      <c r="AB228" s="67">
        <f>IFERROR(SUMIF(生体情報モニタ!$C$30:$C$74,B228,生体情報モニタ!$K$30:$K$74)*((生体情報モニタ!$H$3-生体情報モニタ!$I$3)/生体情報モニタ!$H$3),0)</f>
        <v>0</v>
      </c>
      <c r="AC228" s="68">
        <f t="shared" si="55"/>
        <v>0</v>
      </c>
      <c r="AD228" s="67">
        <f>IFERROR(SUMIF(分娩監視装置!$C$30:$C$74,B228,分娩監視装置!$K$30:$K$74)*((分娩監視装置!$H$3-分娩監視装置!$I$3)/分娩監視装置!$H$3),0)</f>
        <v>0</v>
      </c>
      <c r="AE228" s="68">
        <f t="shared" si="70"/>
        <v>0</v>
      </c>
      <c r="AF228" s="67">
        <f>IFERROR(SUMIF(新生児モニタ!$C$30:$C$74,B228,新生児モニタ!$K$30:$K$74)*((新生児モニタ!$H$3-新生児モニタ!$I$3)/新生児モニタ!$H$3),0)</f>
        <v>0</v>
      </c>
      <c r="AG228" s="68">
        <f t="shared" si="71"/>
        <v>0</v>
      </c>
    </row>
    <row r="229" spans="2:33">
      <c r="B229" s="64" t="s">
        <v>876</v>
      </c>
      <c r="C229" s="67">
        <f>IFERROR(SUMIF(初度設備!$C$30:$C$74,B229,初度設備!$N$30:$N$74)*((初度設備!$H$3-初度設備!$I$3)/初度設備!$H$3),0)</f>
        <v>0</v>
      </c>
      <c r="D229" s="68">
        <f t="shared" si="56"/>
        <v>0</v>
      </c>
      <c r="E229" s="67">
        <f>IFERROR(SUMIF(人工呼吸器!$C$30:$C$74,B229,人工呼吸器!$N$30:$N$74)*((人工呼吸器!$H$3-人工呼吸器!$I$3)/人工呼吸器!$H$3),0)</f>
        <v>0</v>
      </c>
      <c r="F229" s="68">
        <f t="shared" si="57"/>
        <v>0</v>
      </c>
      <c r="G229" s="68">
        <f t="shared" si="58"/>
        <v>0</v>
      </c>
      <c r="H229" s="68">
        <f t="shared" si="59"/>
        <v>0</v>
      </c>
      <c r="I229" s="67">
        <f>IFERROR(SUMIF(簡易陰圧装置!$C$30:$C$74,B229,簡易陰圧装置!$N$30:$N$74)*((簡易陰圧装置!$H$3-簡易陰圧装置!$I$3)/簡易陰圧装置!$H$3),0)</f>
        <v>0</v>
      </c>
      <c r="J229" s="68">
        <f t="shared" si="60"/>
        <v>0</v>
      </c>
      <c r="K229" s="67">
        <f>IFERROR(SUMIF(#REF!,B229,#REF!)*((#REF!-#REF!)/#REF!),0)</f>
        <v>0</v>
      </c>
      <c r="L229" s="68">
        <f t="shared" si="61"/>
        <v>0</v>
      </c>
      <c r="M229" s="67">
        <f>IFERROR(SUMIF(体外式膜型人工肺!$C$30:$C$74,B229,体外式膜型人工肺!$N$30:$N$74)*((体外式膜型人工肺!$H$3-体外式膜型人工肺!$I$3)/体外式膜型人工肺!$H$3),0)</f>
        <v>0</v>
      </c>
      <c r="N229" s="68">
        <f t="shared" si="62"/>
        <v>0</v>
      </c>
      <c r="O229" s="68">
        <f t="shared" si="63"/>
        <v>0</v>
      </c>
      <c r="P229" s="68">
        <f t="shared" si="64"/>
        <v>0</v>
      </c>
      <c r="Q229" s="67">
        <f>IFERROR(SUMIF(紫外線照射装置!$C$30:$C$74,B229,紫外線照射装置!$N$30:$N$74)*((紫外線照射装置!$H$3-紫外線照射装置!$I$3)/紫外線照射装置!$H$3),0)</f>
        <v>0</v>
      </c>
      <c r="R229" s="68">
        <f t="shared" si="65"/>
        <v>0</v>
      </c>
      <c r="S229" s="101">
        <f t="shared" si="66"/>
        <v>0</v>
      </c>
      <c r="T229" s="67">
        <f>IFERROR(SUMIF(超音波画像診断装置!$C$30:$C$74,B229,超音波画像診断装置!$K$30:$K$74)*((超音波画像診断装置!$H$3-超音波画像診断装置!$I$3)/超音波画像診断装置!$H$3),0)</f>
        <v>0</v>
      </c>
      <c r="U229" s="68">
        <f t="shared" si="67"/>
        <v>0</v>
      </c>
      <c r="V229" s="67">
        <f>IFERROR(SUMIF(血液浄化装置!$C$30:$C$74,B229,血液浄化装置!$K$30:$K$74)*((血液浄化装置!$H$3-血液浄化装置!$I$3)/血液浄化装置!$H$3),0)</f>
        <v>0</v>
      </c>
      <c r="W229" s="68">
        <f t="shared" si="68"/>
        <v>0</v>
      </c>
      <c r="X229" s="67">
        <f>IFERROR(SUMIF(気管支鏡!$C$30:$C$74,B229,気管支鏡!$K$30:$K$74)*((気管支鏡!$H$3-気管支鏡!$I$3)/気管支鏡!$H$3),0)</f>
        <v>0</v>
      </c>
      <c r="Y229" s="68">
        <f t="shared" si="54"/>
        <v>0</v>
      </c>
      <c r="Z229" s="67">
        <f>IFERROR(SUMIF(CT撮影装置!$C$30:$C$74,B229,CT撮影装置!$K$30:$K$74)*((CT撮影装置!$H$3-CT撮影装置!$I$3)/CT撮影装置!$H$3),0)</f>
        <v>0</v>
      </c>
      <c r="AA229" s="68">
        <f t="shared" si="69"/>
        <v>0</v>
      </c>
      <c r="AB229" s="67">
        <f>IFERROR(SUMIF(生体情報モニタ!$C$30:$C$74,B229,生体情報モニタ!$K$30:$K$74)*((生体情報モニタ!$H$3-生体情報モニタ!$I$3)/生体情報モニタ!$H$3),0)</f>
        <v>0</v>
      </c>
      <c r="AC229" s="68">
        <f t="shared" si="55"/>
        <v>0</v>
      </c>
      <c r="AD229" s="67">
        <f>IFERROR(SUMIF(分娩監視装置!$C$30:$C$74,B229,分娩監視装置!$K$30:$K$74)*((分娩監視装置!$H$3-分娩監視装置!$I$3)/分娩監視装置!$H$3),0)</f>
        <v>0</v>
      </c>
      <c r="AE229" s="68">
        <f t="shared" si="70"/>
        <v>0</v>
      </c>
      <c r="AF229" s="67">
        <f>IFERROR(SUMIF(新生児モニタ!$C$30:$C$74,B229,新生児モニタ!$K$30:$K$74)*((新生児モニタ!$H$3-新生児モニタ!$I$3)/新生児モニタ!$H$3),0)</f>
        <v>0</v>
      </c>
      <c r="AG229" s="68">
        <f t="shared" si="71"/>
        <v>0</v>
      </c>
    </row>
    <row r="230" spans="2:33">
      <c r="B230" s="64" t="s">
        <v>877</v>
      </c>
      <c r="C230" s="67">
        <f>IFERROR(SUMIF(初度設備!$C$30:$C$74,B230,初度設備!$N$30:$N$74)*((初度設備!$H$3-初度設備!$I$3)/初度設備!$H$3),0)</f>
        <v>0</v>
      </c>
      <c r="D230" s="68">
        <f t="shared" si="56"/>
        <v>0</v>
      </c>
      <c r="E230" s="67">
        <f>IFERROR(SUMIF(人工呼吸器!$C$30:$C$74,B230,人工呼吸器!$N$30:$N$74)*((人工呼吸器!$H$3-人工呼吸器!$I$3)/人工呼吸器!$H$3),0)</f>
        <v>0</v>
      </c>
      <c r="F230" s="68">
        <f t="shared" si="57"/>
        <v>0</v>
      </c>
      <c r="G230" s="68">
        <f t="shared" si="58"/>
        <v>0</v>
      </c>
      <c r="H230" s="68">
        <f t="shared" si="59"/>
        <v>0</v>
      </c>
      <c r="I230" s="67">
        <f>IFERROR(SUMIF(簡易陰圧装置!$C$30:$C$74,B230,簡易陰圧装置!$N$30:$N$74)*((簡易陰圧装置!$H$3-簡易陰圧装置!$I$3)/簡易陰圧装置!$H$3),0)</f>
        <v>0</v>
      </c>
      <c r="J230" s="68">
        <f t="shared" si="60"/>
        <v>0</v>
      </c>
      <c r="K230" s="67">
        <f>IFERROR(SUMIF(#REF!,B230,#REF!)*((#REF!-#REF!)/#REF!),0)</f>
        <v>0</v>
      </c>
      <c r="L230" s="68">
        <f t="shared" si="61"/>
        <v>0</v>
      </c>
      <c r="M230" s="67">
        <f>IFERROR(SUMIF(体外式膜型人工肺!$C$30:$C$74,B230,体外式膜型人工肺!$N$30:$N$74)*((体外式膜型人工肺!$H$3-体外式膜型人工肺!$I$3)/体外式膜型人工肺!$H$3),0)</f>
        <v>0</v>
      </c>
      <c r="N230" s="68">
        <f t="shared" si="62"/>
        <v>0</v>
      </c>
      <c r="O230" s="68">
        <f t="shared" si="63"/>
        <v>0</v>
      </c>
      <c r="P230" s="68">
        <f t="shared" si="64"/>
        <v>0</v>
      </c>
      <c r="Q230" s="67">
        <f>IFERROR(SUMIF(紫外線照射装置!$C$30:$C$74,B230,紫外線照射装置!$N$30:$N$74)*((紫外線照射装置!$H$3-紫外線照射装置!$I$3)/紫外線照射装置!$H$3),0)</f>
        <v>0</v>
      </c>
      <c r="R230" s="68">
        <f t="shared" si="65"/>
        <v>0</v>
      </c>
      <c r="S230" s="101">
        <f t="shared" si="66"/>
        <v>0</v>
      </c>
      <c r="T230" s="67">
        <f>IFERROR(SUMIF(超音波画像診断装置!$C$30:$C$74,B230,超音波画像診断装置!$K$30:$K$74)*((超音波画像診断装置!$H$3-超音波画像診断装置!$I$3)/超音波画像診断装置!$H$3),0)</f>
        <v>0</v>
      </c>
      <c r="U230" s="68">
        <f t="shared" si="67"/>
        <v>0</v>
      </c>
      <c r="V230" s="67">
        <f>IFERROR(SUMIF(血液浄化装置!$C$30:$C$74,B230,血液浄化装置!$K$30:$K$74)*((血液浄化装置!$H$3-血液浄化装置!$I$3)/血液浄化装置!$H$3),0)</f>
        <v>0</v>
      </c>
      <c r="W230" s="68">
        <f t="shared" si="68"/>
        <v>0</v>
      </c>
      <c r="X230" s="67">
        <f>IFERROR(SUMIF(気管支鏡!$C$30:$C$74,B230,気管支鏡!$K$30:$K$74)*((気管支鏡!$H$3-気管支鏡!$I$3)/気管支鏡!$H$3),0)</f>
        <v>0</v>
      </c>
      <c r="Y230" s="68">
        <f t="shared" si="54"/>
        <v>0</v>
      </c>
      <c r="Z230" s="67">
        <f>IFERROR(SUMIF(CT撮影装置!$C$30:$C$74,B230,CT撮影装置!$K$30:$K$74)*((CT撮影装置!$H$3-CT撮影装置!$I$3)/CT撮影装置!$H$3),0)</f>
        <v>0</v>
      </c>
      <c r="AA230" s="68">
        <f t="shared" si="69"/>
        <v>0</v>
      </c>
      <c r="AB230" s="67">
        <f>IFERROR(SUMIF(生体情報モニタ!$C$30:$C$74,B230,生体情報モニタ!$K$30:$K$74)*((生体情報モニタ!$H$3-生体情報モニタ!$I$3)/生体情報モニタ!$H$3),0)</f>
        <v>0</v>
      </c>
      <c r="AC230" s="68">
        <f t="shared" si="55"/>
        <v>0</v>
      </c>
      <c r="AD230" s="67">
        <f>IFERROR(SUMIF(分娩監視装置!$C$30:$C$74,B230,分娩監視装置!$K$30:$K$74)*((分娩監視装置!$H$3-分娩監視装置!$I$3)/分娩監視装置!$H$3),0)</f>
        <v>0</v>
      </c>
      <c r="AE230" s="68">
        <f t="shared" si="70"/>
        <v>0</v>
      </c>
      <c r="AF230" s="67">
        <f>IFERROR(SUMIF(新生児モニタ!$C$30:$C$74,B230,新生児モニタ!$K$30:$K$74)*((新生児モニタ!$H$3-新生児モニタ!$I$3)/新生児モニタ!$H$3),0)</f>
        <v>0</v>
      </c>
      <c r="AG230" s="68">
        <f t="shared" si="71"/>
        <v>0</v>
      </c>
    </row>
    <row r="231" spans="2:33">
      <c r="B231" s="64" t="s">
        <v>878</v>
      </c>
      <c r="C231" s="67">
        <f>IFERROR(SUMIF(初度設備!$C$30:$C$74,B231,初度設備!$N$30:$N$74)*((初度設備!$H$3-初度設備!$I$3)/初度設備!$H$3),0)</f>
        <v>0</v>
      </c>
      <c r="D231" s="68">
        <f t="shared" si="56"/>
        <v>0</v>
      </c>
      <c r="E231" s="67">
        <f>IFERROR(SUMIF(人工呼吸器!$C$30:$C$74,B231,人工呼吸器!$N$30:$N$74)*((人工呼吸器!$H$3-人工呼吸器!$I$3)/人工呼吸器!$H$3),0)</f>
        <v>0</v>
      </c>
      <c r="F231" s="68">
        <f t="shared" si="57"/>
        <v>0</v>
      </c>
      <c r="G231" s="68">
        <f t="shared" si="58"/>
        <v>0</v>
      </c>
      <c r="H231" s="68">
        <f t="shared" si="59"/>
        <v>0</v>
      </c>
      <c r="I231" s="67">
        <f>IFERROR(SUMIF(簡易陰圧装置!$C$30:$C$74,B231,簡易陰圧装置!$N$30:$N$74)*((簡易陰圧装置!$H$3-簡易陰圧装置!$I$3)/簡易陰圧装置!$H$3),0)</f>
        <v>0</v>
      </c>
      <c r="J231" s="68">
        <f t="shared" si="60"/>
        <v>0</v>
      </c>
      <c r="K231" s="67">
        <f>IFERROR(SUMIF(#REF!,B231,#REF!)*((#REF!-#REF!)/#REF!),0)</f>
        <v>0</v>
      </c>
      <c r="L231" s="68">
        <f t="shared" si="61"/>
        <v>0</v>
      </c>
      <c r="M231" s="67">
        <f>IFERROR(SUMIF(体外式膜型人工肺!$C$30:$C$74,B231,体外式膜型人工肺!$N$30:$N$74)*((体外式膜型人工肺!$H$3-体外式膜型人工肺!$I$3)/体外式膜型人工肺!$H$3),0)</f>
        <v>0</v>
      </c>
      <c r="N231" s="68">
        <f t="shared" si="62"/>
        <v>0</v>
      </c>
      <c r="O231" s="68">
        <f t="shared" si="63"/>
        <v>0</v>
      </c>
      <c r="P231" s="68">
        <f t="shared" si="64"/>
        <v>0</v>
      </c>
      <c r="Q231" s="67">
        <f>IFERROR(SUMIF(紫外線照射装置!$C$30:$C$74,B231,紫外線照射装置!$N$30:$N$74)*((紫外線照射装置!$H$3-紫外線照射装置!$I$3)/紫外線照射装置!$H$3),0)</f>
        <v>0</v>
      </c>
      <c r="R231" s="68">
        <f t="shared" si="65"/>
        <v>0</v>
      </c>
      <c r="S231" s="101">
        <f t="shared" si="66"/>
        <v>0</v>
      </c>
      <c r="T231" s="67">
        <f>IFERROR(SUMIF(超音波画像診断装置!$C$30:$C$74,B231,超音波画像診断装置!$K$30:$K$74)*((超音波画像診断装置!$H$3-超音波画像診断装置!$I$3)/超音波画像診断装置!$H$3),0)</f>
        <v>0</v>
      </c>
      <c r="U231" s="68">
        <f t="shared" si="67"/>
        <v>0</v>
      </c>
      <c r="V231" s="67">
        <f>IFERROR(SUMIF(血液浄化装置!$C$30:$C$74,B231,血液浄化装置!$K$30:$K$74)*((血液浄化装置!$H$3-血液浄化装置!$I$3)/血液浄化装置!$H$3),0)</f>
        <v>0</v>
      </c>
      <c r="W231" s="68">
        <f t="shared" si="68"/>
        <v>0</v>
      </c>
      <c r="X231" s="67">
        <f>IFERROR(SUMIF(気管支鏡!$C$30:$C$74,B231,気管支鏡!$K$30:$K$74)*((気管支鏡!$H$3-気管支鏡!$I$3)/気管支鏡!$H$3),0)</f>
        <v>0</v>
      </c>
      <c r="Y231" s="68">
        <f t="shared" si="54"/>
        <v>0</v>
      </c>
      <c r="Z231" s="67">
        <f>IFERROR(SUMIF(CT撮影装置!$C$30:$C$74,B231,CT撮影装置!$K$30:$K$74)*((CT撮影装置!$H$3-CT撮影装置!$I$3)/CT撮影装置!$H$3),0)</f>
        <v>0</v>
      </c>
      <c r="AA231" s="68">
        <f t="shared" si="69"/>
        <v>0</v>
      </c>
      <c r="AB231" s="67">
        <f>IFERROR(SUMIF(生体情報モニタ!$C$30:$C$74,B231,生体情報モニタ!$K$30:$K$74)*((生体情報モニタ!$H$3-生体情報モニタ!$I$3)/生体情報モニタ!$H$3),0)</f>
        <v>0</v>
      </c>
      <c r="AC231" s="68">
        <f t="shared" si="55"/>
        <v>0</v>
      </c>
      <c r="AD231" s="67">
        <f>IFERROR(SUMIF(分娩監視装置!$C$30:$C$74,B231,分娩監視装置!$K$30:$K$74)*((分娩監視装置!$H$3-分娩監視装置!$I$3)/分娩監視装置!$H$3),0)</f>
        <v>0</v>
      </c>
      <c r="AE231" s="68">
        <f t="shared" si="70"/>
        <v>0</v>
      </c>
      <c r="AF231" s="67">
        <f>IFERROR(SUMIF(新生児モニタ!$C$30:$C$74,B231,新生児モニタ!$K$30:$K$74)*((新生児モニタ!$H$3-新生児モニタ!$I$3)/新生児モニタ!$H$3),0)</f>
        <v>0</v>
      </c>
      <c r="AG231" s="68">
        <f t="shared" si="71"/>
        <v>0</v>
      </c>
    </row>
    <row r="232" spans="2:33">
      <c r="B232" s="64" t="s">
        <v>879</v>
      </c>
      <c r="C232" s="67">
        <f>IFERROR(SUMIF(初度設備!$C$30:$C$74,B232,初度設備!$N$30:$N$74)*((初度設備!$H$3-初度設備!$I$3)/初度設備!$H$3),0)</f>
        <v>0</v>
      </c>
      <c r="D232" s="68">
        <f t="shared" si="56"/>
        <v>0</v>
      </c>
      <c r="E232" s="67">
        <f>IFERROR(SUMIF(人工呼吸器!$C$30:$C$74,B232,人工呼吸器!$N$30:$N$74)*((人工呼吸器!$H$3-人工呼吸器!$I$3)/人工呼吸器!$H$3),0)</f>
        <v>0</v>
      </c>
      <c r="F232" s="68">
        <f t="shared" si="57"/>
        <v>0</v>
      </c>
      <c r="G232" s="68">
        <f t="shared" si="58"/>
        <v>0</v>
      </c>
      <c r="H232" s="68">
        <f t="shared" si="59"/>
        <v>0</v>
      </c>
      <c r="I232" s="67">
        <f>IFERROR(SUMIF(簡易陰圧装置!$C$30:$C$74,B232,簡易陰圧装置!$N$30:$N$74)*((簡易陰圧装置!$H$3-簡易陰圧装置!$I$3)/簡易陰圧装置!$H$3),0)</f>
        <v>0</v>
      </c>
      <c r="J232" s="68">
        <f t="shared" si="60"/>
        <v>0</v>
      </c>
      <c r="K232" s="67">
        <f>IFERROR(SUMIF(#REF!,B232,#REF!)*((#REF!-#REF!)/#REF!),0)</f>
        <v>0</v>
      </c>
      <c r="L232" s="68">
        <f t="shared" si="61"/>
        <v>0</v>
      </c>
      <c r="M232" s="67">
        <f>IFERROR(SUMIF(体外式膜型人工肺!$C$30:$C$74,B232,体外式膜型人工肺!$N$30:$N$74)*((体外式膜型人工肺!$H$3-体外式膜型人工肺!$I$3)/体外式膜型人工肺!$H$3),0)</f>
        <v>0</v>
      </c>
      <c r="N232" s="68">
        <f t="shared" si="62"/>
        <v>0</v>
      </c>
      <c r="O232" s="68">
        <f t="shared" si="63"/>
        <v>0</v>
      </c>
      <c r="P232" s="68">
        <f t="shared" si="64"/>
        <v>0</v>
      </c>
      <c r="Q232" s="67">
        <f>IFERROR(SUMIF(紫外線照射装置!$C$30:$C$74,B232,紫外線照射装置!$N$30:$N$74)*((紫外線照射装置!$H$3-紫外線照射装置!$I$3)/紫外線照射装置!$H$3),0)</f>
        <v>0</v>
      </c>
      <c r="R232" s="68">
        <f t="shared" si="65"/>
        <v>0</v>
      </c>
      <c r="S232" s="101">
        <f t="shared" si="66"/>
        <v>0</v>
      </c>
      <c r="T232" s="67">
        <f>IFERROR(SUMIF(超音波画像診断装置!$C$30:$C$74,B232,超音波画像診断装置!$K$30:$K$74)*((超音波画像診断装置!$H$3-超音波画像診断装置!$I$3)/超音波画像診断装置!$H$3),0)</f>
        <v>0</v>
      </c>
      <c r="U232" s="68">
        <f t="shared" si="67"/>
        <v>0</v>
      </c>
      <c r="V232" s="67">
        <f>IFERROR(SUMIF(血液浄化装置!$C$30:$C$74,B232,血液浄化装置!$K$30:$K$74)*((血液浄化装置!$H$3-血液浄化装置!$I$3)/血液浄化装置!$H$3),0)</f>
        <v>0</v>
      </c>
      <c r="W232" s="68">
        <f t="shared" si="68"/>
        <v>0</v>
      </c>
      <c r="X232" s="67">
        <f>IFERROR(SUMIF(気管支鏡!$C$30:$C$74,B232,気管支鏡!$K$30:$K$74)*((気管支鏡!$H$3-気管支鏡!$I$3)/気管支鏡!$H$3),0)</f>
        <v>0</v>
      </c>
      <c r="Y232" s="68">
        <f t="shared" si="54"/>
        <v>0</v>
      </c>
      <c r="Z232" s="67">
        <f>IFERROR(SUMIF(CT撮影装置!$C$30:$C$74,B232,CT撮影装置!$K$30:$K$74)*((CT撮影装置!$H$3-CT撮影装置!$I$3)/CT撮影装置!$H$3),0)</f>
        <v>0</v>
      </c>
      <c r="AA232" s="68">
        <f t="shared" si="69"/>
        <v>0</v>
      </c>
      <c r="AB232" s="67">
        <f>IFERROR(SUMIF(生体情報モニタ!$C$30:$C$74,B232,生体情報モニタ!$K$30:$K$74)*((生体情報モニタ!$H$3-生体情報モニタ!$I$3)/生体情報モニタ!$H$3),0)</f>
        <v>0</v>
      </c>
      <c r="AC232" s="68">
        <f t="shared" si="55"/>
        <v>0</v>
      </c>
      <c r="AD232" s="67">
        <f>IFERROR(SUMIF(分娩監視装置!$C$30:$C$74,B232,分娩監視装置!$K$30:$K$74)*((分娩監視装置!$H$3-分娩監視装置!$I$3)/分娩監視装置!$H$3),0)</f>
        <v>0</v>
      </c>
      <c r="AE232" s="68">
        <f t="shared" si="70"/>
        <v>0</v>
      </c>
      <c r="AF232" s="67">
        <f>IFERROR(SUMIF(新生児モニタ!$C$30:$C$74,B232,新生児モニタ!$K$30:$K$74)*((新生児モニタ!$H$3-新生児モニタ!$I$3)/新生児モニタ!$H$3),0)</f>
        <v>0</v>
      </c>
      <c r="AG232" s="68">
        <f t="shared" si="71"/>
        <v>0</v>
      </c>
    </row>
    <row r="233" spans="2:33">
      <c r="B233" s="64" t="s">
        <v>880</v>
      </c>
      <c r="C233" s="67">
        <f>IFERROR(SUMIF(初度設備!$C$30:$C$74,B233,初度設備!$N$30:$N$74)*((初度設備!$H$3-初度設備!$I$3)/初度設備!$H$3),0)</f>
        <v>0</v>
      </c>
      <c r="D233" s="68">
        <f t="shared" si="56"/>
        <v>0</v>
      </c>
      <c r="E233" s="67">
        <f>IFERROR(SUMIF(人工呼吸器!$C$30:$C$74,B233,人工呼吸器!$N$30:$N$74)*((人工呼吸器!$H$3-人工呼吸器!$I$3)/人工呼吸器!$H$3),0)</f>
        <v>0</v>
      </c>
      <c r="F233" s="68">
        <f t="shared" si="57"/>
        <v>0</v>
      </c>
      <c r="G233" s="68">
        <f t="shared" si="58"/>
        <v>0</v>
      </c>
      <c r="H233" s="68">
        <f t="shared" si="59"/>
        <v>0</v>
      </c>
      <c r="I233" s="67">
        <f>IFERROR(SUMIF(簡易陰圧装置!$C$30:$C$74,B233,簡易陰圧装置!$N$30:$N$74)*((簡易陰圧装置!$H$3-簡易陰圧装置!$I$3)/簡易陰圧装置!$H$3),0)</f>
        <v>0</v>
      </c>
      <c r="J233" s="68">
        <f t="shared" si="60"/>
        <v>0</v>
      </c>
      <c r="K233" s="67">
        <f>IFERROR(SUMIF(#REF!,B233,#REF!)*((#REF!-#REF!)/#REF!),0)</f>
        <v>0</v>
      </c>
      <c r="L233" s="68">
        <f t="shared" si="61"/>
        <v>0</v>
      </c>
      <c r="M233" s="67">
        <f>IFERROR(SUMIF(体外式膜型人工肺!$C$30:$C$74,B233,体外式膜型人工肺!$N$30:$N$74)*((体外式膜型人工肺!$H$3-体外式膜型人工肺!$I$3)/体外式膜型人工肺!$H$3),0)</f>
        <v>0</v>
      </c>
      <c r="N233" s="68">
        <f t="shared" si="62"/>
        <v>0</v>
      </c>
      <c r="O233" s="68">
        <f t="shared" si="63"/>
        <v>0</v>
      </c>
      <c r="P233" s="68">
        <f t="shared" si="64"/>
        <v>0</v>
      </c>
      <c r="Q233" s="67">
        <f>IFERROR(SUMIF(紫外線照射装置!$C$30:$C$74,B233,紫外線照射装置!$N$30:$N$74)*((紫外線照射装置!$H$3-紫外線照射装置!$I$3)/紫外線照射装置!$H$3),0)</f>
        <v>0</v>
      </c>
      <c r="R233" s="68">
        <f t="shared" si="65"/>
        <v>0</v>
      </c>
      <c r="S233" s="101">
        <f t="shared" si="66"/>
        <v>0</v>
      </c>
      <c r="T233" s="67">
        <f>IFERROR(SUMIF(超音波画像診断装置!$C$30:$C$74,B233,超音波画像診断装置!$K$30:$K$74)*((超音波画像診断装置!$H$3-超音波画像診断装置!$I$3)/超音波画像診断装置!$H$3),0)</f>
        <v>0</v>
      </c>
      <c r="U233" s="68">
        <f t="shared" si="67"/>
        <v>0</v>
      </c>
      <c r="V233" s="67">
        <f>IFERROR(SUMIF(血液浄化装置!$C$30:$C$74,B233,血液浄化装置!$K$30:$K$74)*((血液浄化装置!$H$3-血液浄化装置!$I$3)/血液浄化装置!$H$3),0)</f>
        <v>0</v>
      </c>
      <c r="W233" s="68">
        <f t="shared" si="68"/>
        <v>0</v>
      </c>
      <c r="X233" s="67">
        <f>IFERROR(SUMIF(気管支鏡!$C$30:$C$74,B233,気管支鏡!$K$30:$K$74)*((気管支鏡!$H$3-気管支鏡!$I$3)/気管支鏡!$H$3),0)</f>
        <v>0</v>
      </c>
      <c r="Y233" s="68">
        <f t="shared" si="54"/>
        <v>0</v>
      </c>
      <c r="Z233" s="67">
        <f>IFERROR(SUMIF(CT撮影装置!$C$30:$C$74,B233,CT撮影装置!$K$30:$K$74)*((CT撮影装置!$H$3-CT撮影装置!$I$3)/CT撮影装置!$H$3),0)</f>
        <v>0</v>
      </c>
      <c r="AA233" s="68">
        <f t="shared" si="69"/>
        <v>0</v>
      </c>
      <c r="AB233" s="67">
        <f>IFERROR(SUMIF(生体情報モニタ!$C$30:$C$74,B233,生体情報モニタ!$K$30:$K$74)*((生体情報モニタ!$H$3-生体情報モニタ!$I$3)/生体情報モニタ!$H$3),0)</f>
        <v>0</v>
      </c>
      <c r="AC233" s="68">
        <f t="shared" si="55"/>
        <v>0</v>
      </c>
      <c r="AD233" s="67">
        <f>IFERROR(SUMIF(分娩監視装置!$C$30:$C$74,B233,分娩監視装置!$K$30:$K$74)*((分娩監視装置!$H$3-分娩監視装置!$I$3)/分娩監視装置!$H$3),0)</f>
        <v>0</v>
      </c>
      <c r="AE233" s="68">
        <f t="shared" si="70"/>
        <v>0</v>
      </c>
      <c r="AF233" s="67">
        <f>IFERROR(SUMIF(新生児モニタ!$C$30:$C$74,B233,新生児モニタ!$K$30:$K$74)*((新生児モニタ!$H$3-新生児モニタ!$I$3)/新生児モニタ!$H$3),0)</f>
        <v>0</v>
      </c>
      <c r="AG233" s="68">
        <f t="shared" si="71"/>
        <v>0</v>
      </c>
    </row>
    <row r="234" spans="2:33">
      <c r="B234" s="64" t="s">
        <v>881</v>
      </c>
      <c r="C234" s="67">
        <f>IFERROR(SUMIF(初度設備!$C$30:$C$74,B234,初度設備!$N$30:$N$74)*((初度設備!$H$3-初度設備!$I$3)/初度設備!$H$3),0)</f>
        <v>0</v>
      </c>
      <c r="D234" s="68">
        <f t="shared" si="56"/>
        <v>0</v>
      </c>
      <c r="E234" s="67">
        <f>IFERROR(SUMIF(人工呼吸器!$C$30:$C$74,B234,人工呼吸器!$N$30:$N$74)*((人工呼吸器!$H$3-人工呼吸器!$I$3)/人工呼吸器!$H$3),0)</f>
        <v>0</v>
      </c>
      <c r="F234" s="68">
        <f t="shared" si="57"/>
        <v>0</v>
      </c>
      <c r="G234" s="68">
        <f t="shared" si="58"/>
        <v>0</v>
      </c>
      <c r="H234" s="68">
        <f t="shared" si="59"/>
        <v>0</v>
      </c>
      <c r="I234" s="67">
        <f>IFERROR(SUMIF(簡易陰圧装置!$C$30:$C$74,B234,簡易陰圧装置!$N$30:$N$74)*((簡易陰圧装置!$H$3-簡易陰圧装置!$I$3)/簡易陰圧装置!$H$3),0)</f>
        <v>0</v>
      </c>
      <c r="J234" s="68">
        <f t="shared" si="60"/>
        <v>0</v>
      </c>
      <c r="K234" s="67">
        <f>IFERROR(SUMIF(#REF!,B234,#REF!)*((#REF!-#REF!)/#REF!),0)</f>
        <v>0</v>
      </c>
      <c r="L234" s="68">
        <f t="shared" si="61"/>
        <v>0</v>
      </c>
      <c r="M234" s="67">
        <f>IFERROR(SUMIF(体外式膜型人工肺!$C$30:$C$74,B234,体外式膜型人工肺!$N$30:$N$74)*((体外式膜型人工肺!$H$3-体外式膜型人工肺!$I$3)/体外式膜型人工肺!$H$3),0)</f>
        <v>0</v>
      </c>
      <c r="N234" s="68">
        <f t="shared" si="62"/>
        <v>0</v>
      </c>
      <c r="O234" s="68">
        <f t="shared" si="63"/>
        <v>0</v>
      </c>
      <c r="P234" s="68">
        <f t="shared" si="64"/>
        <v>0</v>
      </c>
      <c r="Q234" s="67">
        <f>IFERROR(SUMIF(紫外線照射装置!$C$30:$C$74,B234,紫外線照射装置!$N$30:$N$74)*((紫外線照射装置!$H$3-紫外線照射装置!$I$3)/紫外線照射装置!$H$3),0)</f>
        <v>0</v>
      </c>
      <c r="R234" s="68">
        <f t="shared" si="65"/>
        <v>0</v>
      </c>
      <c r="S234" s="101">
        <f t="shared" si="66"/>
        <v>0</v>
      </c>
      <c r="T234" s="67">
        <f>IFERROR(SUMIF(超音波画像診断装置!$C$30:$C$74,B234,超音波画像診断装置!$K$30:$K$74)*((超音波画像診断装置!$H$3-超音波画像診断装置!$I$3)/超音波画像診断装置!$H$3),0)</f>
        <v>0</v>
      </c>
      <c r="U234" s="68">
        <f t="shared" si="67"/>
        <v>0</v>
      </c>
      <c r="V234" s="67">
        <f>IFERROR(SUMIF(血液浄化装置!$C$30:$C$74,B234,血液浄化装置!$K$30:$K$74)*((血液浄化装置!$H$3-血液浄化装置!$I$3)/血液浄化装置!$H$3),0)</f>
        <v>0</v>
      </c>
      <c r="W234" s="68">
        <f t="shared" si="68"/>
        <v>0</v>
      </c>
      <c r="X234" s="67">
        <f>IFERROR(SUMIF(気管支鏡!$C$30:$C$74,B234,気管支鏡!$K$30:$K$74)*((気管支鏡!$H$3-気管支鏡!$I$3)/気管支鏡!$H$3),0)</f>
        <v>0</v>
      </c>
      <c r="Y234" s="68">
        <f t="shared" si="54"/>
        <v>0</v>
      </c>
      <c r="Z234" s="67">
        <f>IFERROR(SUMIF(CT撮影装置!$C$30:$C$74,B234,CT撮影装置!$K$30:$K$74)*((CT撮影装置!$H$3-CT撮影装置!$I$3)/CT撮影装置!$H$3),0)</f>
        <v>0</v>
      </c>
      <c r="AA234" s="68">
        <f t="shared" si="69"/>
        <v>0</v>
      </c>
      <c r="AB234" s="67">
        <f>IFERROR(SUMIF(生体情報モニタ!$C$30:$C$74,B234,生体情報モニタ!$K$30:$K$74)*((生体情報モニタ!$H$3-生体情報モニタ!$I$3)/生体情報モニタ!$H$3),0)</f>
        <v>0</v>
      </c>
      <c r="AC234" s="68">
        <f t="shared" si="55"/>
        <v>0</v>
      </c>
      <c r="AD234" s="67">
        <f>IFERROR(SUMIF(分娩監視装置!$C$30:$C$74,B234,分娩監視装置!$K$30:$K$74)*((分娩監視装置!$H$3-分娩監視装置!$I$3)/分娩監視装置!$H$3),0)</f>
        <v>0</v>
      </c>
      <c r="AE234" s="68">
        <f t="shared" si="70"/>
        <v>0</v>
      </c>
      <c r="AF234" s="67">
        <f>IFERROR(SUMIF(新生児モニタ!$C$30:$C$74,B234,新生児モニタ!$K$30:$K$74)*((新生児モニタ!$H$3-新生児モニタ!$I$3)/新生児モニタ!$H$3),0)</f>
        <v>0</v>
      </c>
      <c r="AG234" s="68">
        <f t="shared" si="71"/>
        <v>0</v>
      </c>
    </row>
    <row r="235" spans="2:33">
      <c r="B235" s="64" t="s">
        <v>882</v>
      </c>
      <c r="C235" s="67">
        <f>IFERROR(SUMIF(初度設備!$C$30:$C$74,B235,初度設備!$N$30:$N$74)*((初度設備!$H$3-初度設備!$I$3)/初度設備!$H$3),0)</f>
        <v>0</v>
      </c>
      <c r="D235" s="68">
        <f t="shared" si="56"/>
        <v>0</v>
      </c>
      <c r="E235" s="67">
        <f>IFERROR(SUMIF(人工呼吸器!$C$30:$C$74,B235,人工呼吸器!$N$30:$N$74)*((人工呼吸器!$H$3-人工呼吸器!$I$3)/人工呼吸器!$H$3),0)</f>
        <v>0</v>
      </c>
      <c r="F235" s="68">
        <f t="shared" si="57"/>
        <v>0</v>
      </c>
      <c r="G235" s="68">
        <f t="shared" si="58"/>
        <v>0</v>
      </c>
      <c r="H235" s="68">
        <f t="shared" si="59"/>
        <v>0</v>
      </c>
      <c r="I235" s="67">
        <f>IFERROR(SUMIF(簡易陰圧装置!$C$30:$C$74,B235,簡易陰圧装置!$N$30:$N$74)*((簡易陰圧装置!$H$3-簡易陰圧装置!$I$3)/簡易陰圧装置!$H$3),0)</f>
        <v>0</v>
      </c>
      <c r="J235" s="68">
        <f t="shared" si="60"/>
        <v>0</v>
      </c>
      <c r="K235" s="67">
        <f>IFERROR(SUMIF(#REF!,B235,#REF!)*((#REF!-#REF!)/#REF!),0)</f>
        <v>0</v>
      </c>
      <c r="L235" s="68">
        <f t="shared" si="61"/>
        <v>0</v>
      </c>
      <c r="M235" s="67">
        <f>IFERROR(SUMIF(体外式膜型人工肺!$C$30:$C$74,B235,体外式膜型人工肺!$N$30:$N$74)*((体外式膜型人工肺!$H$3-体外式膜型人工肺!$I$3)/体外式膜型人工肺!$H$3),0)</f>
        <v>0</v>
      </c>
      <c r="N235" s="68">
        <f t="shared" si="62"/>
        <v>0</v>
      </c>
      <c r="O235" s="68">
        <f t="shared" si="63"/>
        <v>0</v>
      </c>
      <c r="P235" s="68">
        <f t="shared" si="64"/>
        <v>0</v>
      </c>
      <c r="Q235" s="67">
        <f>IFERROR(SUMIF(紫外線照射装置!$C$30:$C$74,B235,紫外線照射装置!$N$30:$N$74)*((紫外線照射装置!$H$3-紫外線照射装置!$I$3)/紫外線照射装置!$H$3),0)</f>
        <v>0</v>
      </c>
      <c r="R235" s="68">
        <f t="shared" si="65"/>
        <v>0</v>
      </c>
      <c r="S235" s="101">
        <f t="shared" si="66"/>
        <v>0</v>
      </c>
      <c r="T235" s="67">
        <f>IFERROR(SUMIF(超音波画像診断装置!$C$30:$C$74,B235,超音波画像診断装置!$K$30:$K$74)*((超音波画像診断装置!$H$3-超音波画像診断装置!$I$3)/超音波画像診断装置!$H$3),0)</f>
        <v>0</v>
      </c>
      <c r="U235" s="68">
        <f t="shared" si="67"/>
        <v>0</v>
      </c>
      <c r="V235" s="67">
        <f>IFERROR(SUMIF(血液浄化装置!$C$30:$C$74,B235,血液浄化装置!$K$30:$K$74)*((血液浄化装置!$H$3-血液浄化装置!$I$3)/血液浄化装置!$H$3),0)</f>
        <v>0</v>
      </c>
      <c r="W235" s="68">
        <f t="shared" si="68"/>
        <v>0</v>
      </c>
      <c r="X235" s="67">
        <f>IFERROR(SUMIF(気管支鏡!$C$30:$C$74,B235,気管支鏡!$K$30:$K$74)*((気管支鏡!$H$3-気管支鏡!$I$3)/気管支鏡!$H$3),0)</f>
        <v>0</v>
      </c>
      <c r="Y235" s="68">
        <f t="shared" si="54"/>
        <v>0</v>
      </c>
      <c r="Z235" s="67">
        <f>IFERROR(SUMIF(CT撮影装置!$C$30:$C$74,B235,CT撮影装置!$K$30:$K$74)*((CT撮影装置!$H$3-CT撮影装置!$I$3)/CT撮影装置!$H$3),0)</f>
        <v>0</v>
      </c>
      <c r="AA235" s="68">
        <f t="shared" si="69"/>
        <v>0</v>
      </c>
      <c r="AB235" s="67">
        <f>IFERROR(SUMIF(生体情報モニタ!$C$30:$C$74,B235,生体情報モニタ!$K$30:$K$74)*((生体情報モニタ!$H$3-生体情報モニタ!$I$3)/生体情報モニタ!$H$3),0)</f>
        <v>0</v>
      </c>
      <c r="AC235" s="68">
        <f t="shared" si="55"/>
        <v>0</v>
      </c>
      <c r="AD235" s="67">
        <f>IFERROR(SUMIF(分娩監視装置!$C$30:$C$74,B235,分娩監視装置!$K$30:$K$74)*((分娩監視装置!$H$3-分娩監視装置!$I$3)/分娩監視装置!$H$3),0)</f>
        <v>0</v>
      </c>
      <c r="AE235" s="68">
        <f t="shared" si="70"/>
        <v>0</v>
      </c>
      <c r="AF235" s="67">
        <f>IFERROR(SUMIF(新生児モニタ!$C$30:$C$74,B235,新生児モニタ!$K$30:$K$74)*((新生児モニタ!$H$3-新生児モニタ!$I$3)/新生児モニタ!$H$3),0)</f>
        <v>0</v>
      </c>
      <c r="AG235" s="68">
        <f t="shared" si="71"/>
        <v>0</v>
      </c>
    </row>
    <row r="236" spans="2:33">
      <c r="B236" s="64" t="s">
        <v>883</v>
      </c>
      <c r="C236" s="67">
        <f>IFERROR(SUMIF(初度設備!$C$30:$C$74,B236,初度設備!$N$30:$N$74)*((初度設備!$H$3-初度設備!$I$3)/初度設備!$H$3),0)</f>
        <v>0</v>
      </c>
      <c r="D236" s="68">
        <f t="shared" si="56"/>
        <v>0</v>
      </c>
      <c r="E236" s="67">
        <f>IFERROR(SUMIF(人工呼吸器!$C$30:$C$74,B236,人工呼吸器!$N$30:$N$74)*((人工呼吸器!$H$3-人工呼吸器!$I$3)/人工呼吸器!$H$3),0)</f>
        <v>0</v>
      </c>
      <c r="F236" s="68">
        <f t="shared" si="57"/>
        <v>0</v>
      </c>
      <c r="G236" s="68">
        <f t="shared" si="58"/>
        <v>0</v>
      </c>
      <c r="H236" s="68">
        <f t="shared" si="59"/>
        <v>0</v>
      </c>
      <c r="I236" s="67">
        <f>IFERROR(SUMIF(簡易陰圧装置!$C$30:$C$74,B236,簡易陰圧装置!$N$30:$N$74)*((簡易陰圧装置!$H$3-簡易陰圧装置!$I$3)/簡易陰圧装置!$H$3),0)</f>
        <v>0</v>
      </c>
      <c r="J236" s="68">
        <f t="shared" si="60"/>
        <v>0</v>
      </c>
      <c r="K236" s="67">
        <f>IFERROR(SUMIF(#REF!,B236,#REF!)*((#REF!-#REF!)/#REF!),0)</f>
        <v>0</v>
      </c>
      <c r="L236" s="68">
        <f t="shared" si="61"/>
        <v>0</v>
      </c>
      <c r="M236" s="67">
        <f>IFERROR(SUMIF(体外式膜型人工肺!$C$30:$C$74,B236,体外式膜型人工肺!$N$30:$N$74)*((体外式膜型人工肺!$H$3-体外式膜型人工肺!$I$3)/体外式膜型人工肺!$H$3),0)</f>
        <v>0</v>
      </c>
      <c r="N236" s="68">
        <f t="shared" si="62"/>
        <v>0</v>
      </c>
      <c r="O236" s="68">
        <f t="shared" si="63"/>
        <v>0</v>
      </c>
      <c r="P236" s="68">
        <f t="shared" si="64"/>
        <v>0</v>
      </c>
      <c r="Q236" s="67">
        <f>IFERROR(SUMIF(紫外線照射装置!$C$30:$C$74,B236,紫外線照射装置!$N$30:$N$74)*((紫外線照射装置!$H$3-紫外線照射装置!$I$3)/紫外線照射装置!$H$3),0)</f>
        <v>0</v>
      </c>
      <c r="R236" s="68">
        <f t="shared" si="65"/>
        <v>0</v>
      </c>
      <c r="S236" s="101">
        <f t="shared" si="66"/>
        <v>0</v>
      </c>
      <c r="T236" s="67">
        <f>IFERROR(SUMIF(超音波画像診断装置!$C$30:$C$74,B236,超音波画像診断装置!$K$30:$K$74)*((超音波画像診断装置!$H$3-超音波画像診断装置!$I$3)/超音波画像診断装置!$H$3),0)</f>
        <v>0</v>
      </c>
      <c r="U236" s="68">
        <f t="shared" si="67"/>
        <v>0</v>
      </c>
      <c r="V236" s="67">
        <f>IFERROR(SUMIF(血液浄化装置!$C$30:$C$74,B236,血液浄化装置!$K$30:$K$74)*((血液浄化装置!$H$3-血液浄化装置!$I$3)/血液浄化装置!$H$3),0)</f>
        <v>0</v>
      </c>
      <c r="W236" s="68">
        <f t="shared" si="68"/>
        <v>0</v>
      </c>
      <c r="X236" s="67">
        <f>IFERROR(SUMIF(気管支鏡!$C$30:$C$74,B236,気管支鏡!$K$30:$K$74)*((気管支鏡!$H$3-気管支鏡!$I$3)/気管支鏡!$H$3),0)</f>
        <v>0</v>
      </c>
      <c r="Y236" s="68">
        <f t="shared" si="54"/>
        <v>0</v>
      </c>
      <c r="Z236" s="67">
        <f>IFERROR(SUMIF(CT撮影装置!$C$30:$C$74,B236,CT撮影装置!$K$30:$K$74)*((CT撮影装置!$H$3-CT撮影装置!$I$3)/CT撮影装置!$H$3),0)</f>
        <v>0</v>
      </c>
      <c r="AA236" s="68">
        <f t="shared" si="69"/>
        <v>0</v>
      </c>
      <c r="AB236" s="67">
        <f>IFERROR(SUMIF(生体情報モニタ!$C$30:$C$74,B236,生体情報モニタ!$K$30:$K$74)*((生体情報モニタ!$H$3-生体情報モニタ!$I$3)/生体情報モニタ!$H$3),0)</f>
        <v>0</v>
      </c>
      <c r="AC236" s="68">
        <f t="shared" si="55"/>
        <v>0</v>
      </c>
      <c r="AD236" s="67">
        <f>IFERROR(SUMIF(分娩監視装置!$C$30:$C$74,B236,分娩監視装置!$K$30:$K$74)*((分娩監視装置!$H$3-分娩監視装置!$I$3)/分娩監視装置!$H$3),0)</f>
        <v>0</v>
      </c>
      <c r="AE236" s="68">
        <f t="shared" si="70"/>
        <v>0</v>
      </c>
      <c r="AF236" s="67">
        <f>IFERROR(SUMIF(新生児モニタ!$C$30:$C$74,B236,新生児モニタ!$K$30:$K$74)*((新生児モニタ!$H$3-新生児モニタ!$I$3)/新生児モニタ!$H$3),0)</f>
        <v>0</v>
      </c>
      <c r="AG236" s="68">
        <f t="shared" si="71"/>
        <v>0</v>
      </c>
    </row>
    <row r="237" spans="2:33">
      <c r="B237" s="64" t="s">
        <v>884</v>
      </c>
      <c r="C237" s="67">
        <f>IFERROR(SUMIF(初度設備!$C$30:$C$74,B237,初度設備!$N$30:$N$74)*((初度設備!$H$3-初度設備!$I$3)/初度設備!$H$3),0)</f>
        <v>0</v>
      </c>
      <c r="D237" s="68">
        <f t="shared" si="56"/>
        <v>0</v>
      </c>
      <c r="E237" s="67">
        <f>IFERROR(SUMIF(人工呼吸器!$C$30:$C$74,B237,人工呼吸器!$N$30:$N$74)*((人工呼吸器!$H$3-人工呼吸器!$I$3)/人工呼吸器!$H$3),0)</f>
        <v>0</v>
      </c>
      <c r="F237" s="68">
        <f t="shared" si="57"/>
        <v>0</v>
      </c>
      <c r="G237" s="68">
        <f t="shared" si="58"/>
        <v>0</v>
      </c>
      <c r="H237" s="68">
        <f t="shared" si="59"/>
        <v>0</v>
      </c>
      <c r="I237" s="67">
        <f>IFERROR(SUMIF(簡易陰圧装置!$C$30:$C$74,B237,簡易陰圧装置!$N$30:$N$74)*((簡易陰圧装置!$H$3-簡易陰圧装置!$I$3)/簡易陰圧装置!$H$3),0)</f>
        <v>0</v>
      </c>
      <c r="J237" s="68">
        <f t="shared" si="60"/>
        <v>0</v>
      </c>
      <c r="K237" s="67">
        <f>IFERROR(SUMIF(#REF!,B237,#REF!)*((#REF!-#REF!)/#REF!),0)</f>
        <v>0</v>
      </c>
      <c r="L237" s="68">
        <f t="shared" si="61"/>
        <v>0</v>
      </c>
      <c r="M237" s="67">
        <f>IFERROR(SUMIF(体外式膜型人工肺!$C$30:$C$74,B237,体外式膜型人工肺!$N$30:$N$74)*((体外式膜型人工肺!$H$3-体外式膜型人工肺!$I$3)/体外式膜型人工肺!$H$3),0)</f>
        <v>0</v>
      </c>
      <c r="N237" s="68">
        <f t="shared" si="62"/>
        <v>0</v>
      </c>
      <c r="O237" s="68">
        <f t="shared" si="63"/>
        <v>0</v>
      </c>
      <c r="P237" s="68">
        <f t="shared" si="64"/>
        <v>0</v>
      </c>
      <c r="Q237" s="67">
        <f>IFERROR(SUMIF(紫外線照射装置!$C$30:$C$74,B237,紫外線照射装置!$N$30:$N$74)*((紫外線照射装置!$H$3-紫外線照射装置!$I$3)/紫外線照射装置!$H$3),0)</f>
        <v>0</v>
      </c>
      <c r="R237" s="68">
        <f t="shared" si="65"/>
        <v>0</v>
      </c>
      <c r="S237" s="101">
        <f t="shared" si="66"/>
        <v>0</v>
      </c>
      <c r="T237" s="67">
        <f>IFERROR(SUMIF(超音波画像診断装置!$C$30:$C$74,B237,超音波画像診断装置!$K$30:$K$74)*((超音波画像診断装置!$H$3-超音波画像診断装置!$I$3)/超音波画像診断装置!$H$3),0)</f>
        <v>0</v>
      </c>
      <c r="U237" s="68">
        <f t="shared" si="67"/>
        <v>0</v>
      </c>
      <c r="V237" s="67">
        <f>IFERROR(SUMIF(血液浄化装置!$C$30:$C$74,B237,血液浄化装置!$K$30:$K$74)*((血液浄化装置!$H$3-血液浄化装置!$I$3)/血液浄化装置!$H$3),0)</f>
        <v>0</v>
      </c>
      <c r="W237" s="68">
        <f t="shared" si="68"/>
        <v>0</v>
      </c>
      <c r="X237" s="67">
        <f>IFERROR(SUMIF(気管支鏡!$C$30:$C$74,B237,気管支鏡!$K$30:$K$74)*((気管支鏡!$H$3-気管支鏡!$I$3)/気管支鏡!$H$3),0)</f>
        <v>0</v>
      </c>
      <c r="Y237" s="68">
        <f t="shared" si="54"/>
        <v>0</v>
      </c>
      <c r="Z237" s="67">
        <f>IFERROR(SUMIF(CT撮影装置!$C$30:$C$74,B237,CT撮影装置!$K$30:$K$74)*((CT撮影装置!$H$3-CT撮影装置!$I$3)/CT撮影装置!$H$3),0)</f>
        <v>0</v>
      </c>
      <c r="AA237" s="68">
        <f t="shared" si="69"/>
        <v>0</v>
      </c>
      <c r="AB237" s="67">
        <f>IFERROR(SUMIF(生体情報モニタ!$C$30:$C$74,B237,生体情報モニタ!$K$30:$K$74)*((生体情報モニタ!$H$3-生体情報モニタ!$I$3)/生体情報モニタ!$H$3),0)</f>
        <v>0</v>
      </c>
      <c r="AC237" s="68">
        <f t="shared" si="55"/>
        <v>0</v>
      </c>
      <c r="AD237" s="67">
        <f>IFERROR(SUMIF(分娩監視装置!$C$30:$C$74,B237,分娩監視装置!$K$30:$K$74)*((分娩監視装置!$H$3-分娩監視装置!$I$3)/分娩監視装置!$H$3),0)</f>
        <v>0</v>
      </c>
      <c r="AE237" s="68">
        <f t="shared" si="70"/>
        <v>0</v>
      </c>
      <c r="AF237" s="67">
        <f>IFERROR(SUMIF(新生児モニタ!$C$30:$C$74,B237,新生児モニタ!$K$30:$K$74)*((新生児モニタ!$H$3-新生児モニタ!$I$3)/新生児モニタ!$H$3),0)</f>
        <v>0</v>
      </c>
      <c r="AG237" s="68">
        <f t="shared" si="71"/>
        <v>0</v>
      </c>
    </row>
    <row r="238" spans="2:33">
      <c r="B238" s="64" t="s">
        <v>885</v>
      </c>
      <c r="C238" s="67">
        <f>IFERROR(SUMIF(初度設備!$C$30:$C$74,B238,初度設備!$N$30:$N$74)*((初度設備!$H$3-初度設備!$I$3)/初度設備!$H$3),0)</f>
        <v>0</v>
      </c>
      <c r="D238" s="68">
        <f t="shared" si="56"/>
        <v>0</v>
      </c>
      <c r="E238" s="67">
        <f>IFERROR(SUMIF(人工呼吸器!$C$30:$C$74,B238,人工呼吸器!$N$30:$N$74)*((人工呼吸器!$H$3-人工呼吸器!$I$3)/人工呼吸器!$H$3),0)</f>
        <v>0</v>
      </c>
      <c r="F238" s="68">
        <f t="shared" si="57"/>
        <v>0</v>
      </c>
      <c r="G238" s="68">
        <f t="shared" si="58"/>
        <v>0</v>
      </c>
      <c r="H238" s="68">
        <f t="shared" si="59"/>
        <v>0</v>
      </c>
      <c r="I238" s="67">
        <f>IFERROR(SUMIF(簡易陰圧装置!$C$30:$C$74,B238,簡易陰圧装置!$N$30:$N$74)*((簡易陰圧装置!$H$3-簡易陰圧装置!$I$3)/簡易陰圧装置!$H$3),0)</f>
        <v>0</v>
      </c>
      <c r="J238" s="68">
        <f t="shared" si="60"/>
        <v>0</v>
      </c>
      <c r="K238" s="67">
        <f>IFERROR(SUMIF(#REF!,B238,#REF!)*((#REF!-#REF!)/#REF!),0)</f>
        <v>0</v>
      </c>
      <c r="L238" s="68">
        <f t="shared" si="61"/>
        <v>0</v>
      </c>
      <c r="M238" s="67">
        <f>IFERROR(SUMIF(体外式膜型人工肺!$C$30:$C$74,B238,体外式膜型人工肺!$N$30:$N$74)*((体外式膜型人工肺!$H$3-体外式膜型人工肺!$I$3)/体外式膜型人工肺!$H$3),0)</f>
        <v>0</v>
      </c>
      <c r="N238" s="68">
        <f t="shared" si="62"/>
        <v>0</v>
      </c>
      <c r="O238" s="68">
        <f t="shared" si="63"/>
        <v>0</v>
      </c>
      <c r="P238" s="68">
        <f t="shared" si="64"/>
        <v>0</v>
      </c>
      <c r="Q238" s="67">
        <f>IFERROR(SUMIF(紫外線照射装置!$C$30:$C$74,B238,紫外線照射装置!$N$30:$N$74)*((紫外線照射装置!$H$3-紫外線照射装置!$I$3)/紫外線照射装置!$H$3),0)</f>
        <v>0</v>
      </c>
      <c r="R238" s="68">
        <f t="shared" si="65"/>
        <v>0</v>
      </c>
      <c r="S238" s="101">
        <f t="shared" si="66"/>
        <v>0</v>
      </c>
      <c r="T238" s="67">
        <f>IFERROR(SUMIF(超音波画像診断装置!$C$30:$C$74,B238,超音波画像診断装置!$K$30:$K$74)*((超音波画像診断装置!$H$3-超音波画像診断装置!$I$3)/超音波画像診断装置!$H$3),0)</f>
        <v>0</v>
      </c>
      <c r="U238" s="68">
        <f t="shared" si="67"/>
        <v>0</v>
      </c>
      <c r="V238" s="67">
        <f>IFERROR(SUMIF(血液浄化装置!$C$30:$C$74,B238,血液浄化装置!$K$30:$K$74)*((血液浄化装置!$H$3-血液浄化装置!$I$3)/血液浄化装置!$H$3),0)</f>
        <v>0</v>
      </c>
      <c r="W238" s="68">
        <f t="shared" si="68"/>
        <v>0</v>
      </c>
      <c r="X238" s="67">
        <f>IFERROR(SUMIF(気管支鏡!$C$30:$C$74,B238,気管支鏡!$K$30:$K$74)*((気管支鏡!$H$3-気管支鏡!$I$3)/気管支鏡!$H$3),0)</f>
        <v>0</v>
      </c>
      <c r="Y238" s="68">
        <f t="shared" si="54"/>
        <v>0</v>
      </c>
      <c r="Z238" s="67">
        <f>IFERROR(SUMIF(CT撮影装置!$C$30:$C$74,B238,CT撮影装置!$K$30:$K$74)*((CT撮影装置!$H$3-CT撮影装置!$I$3)/CT撮影装置!$H$3),0)</f>
        <v>0</v>
      </c>
      <c r="AA238" s="68">
        <f t="shared" si="69"/>
        <v>0</v>
      </c>
      <c r="AB238" s="67">
        <f>IFERROR(SUMIF(生体情報モニタ!$C$30:$C$74,B238,生体情報モニタ!$K$30:$K$74)*((生体情報モニタ!$H$3-生体情報モニタ!$I$3)/生体情報モニタ!$H$3),0)</f>
        <v>0</v>
      </c>
      <c r="AC238" s="68">
        <f t="shared" si="55"/>
        <v>0</v>
      </c>
      <c r="AD238" s="67">
        <f>IFERROR(SUMIF(分娩監視装置!$C$30:$C$74,B238,分娩監視装置!$K$30:$K$74)*((分娩監視装置!$H$3-分娩監視装置!$I$3)/分娩監視装置!$H$3),0)</f>
        <v>0</v>
      </c>
      <c r="AE238" s="68">
        <f t="shared" si="70"/>
        <v>0</v>
      </c>
      <c r="AF238" s="67">
        <f>IFERROR(SUMIF(新生児モニタ!$C$30:$C$74,B238,新生児モニタ!$K$30:$K$74)*((新生児モニタ!$H$3-新生児モニタ!$I$3)/新生児モニタ!$H$3),0)</f>
        <v>0</v>
      </c>
      <c r="AG238" s="68">
        <f t="shared" si="71"/>
        <v>0</v>
      </c>
    </row>
    <row r="239" spans="2:33">
      <c r="B239" s="64" t="s">
        <v>886</v>
      </c>
      <c r="C239" s="67">
        <f>IFERROR(SUMIF(初度設備!$C$30:$C$74,B239,初度設備!$N$30:$N$74)*((初度設備!$H$3-初度設備!$I$3)/初度設備!$H$3),0)</f>
        <v>0</v>
      </c>
      <c r="D239" s="68">
        <f t="shared" si="56"/>
        <v>0</v>
      </c>
      <c r="E239" s="67">
        <f>IFERROR(SUMIF(人工呼吸器!$C$30:$C$74,B239,人工呼吸器!$N$30:$N$74)*((人工呼吸器!$H$3-人工呼吸器!$I$3)/人工呼吸器!$H$3),0)</f>
        <v>0</v>
      </c>
      <c r="F239" s="68">
        <f t="shared" si="57"/>
        <v>0</v>
      </c>
      <c r="G239" s="68">
        <f t="shared" si="58"/>
        <v>0</v>
      </c>
      <c r="H239" s="68">
        <f t="shared" si="59"/>
        <v>0</v>
      </c>
      <c r="I239" s="67">
        <f>IFERROR(SUMIF(簡易陰圧装置!$C$30:$C$74,B239,簡易陰圧装置!$N$30:$N$74)*((簡易陰圧装置!$H$3-簡易陰圧装置!$I$3)/簡易陰圧装置!$H$3),0)</f>
        <v>0</v>
      </c>
      <c r="J239" s="68">
        <f t="shared" si="60"/>
        <v>0</v>
      </c>
      <c r="K239" s="67">
        <f>IFERROR(SUMIF(#REF!,B239,#REF!)*((#REF!-#REF!)/#REF!),0)</f>
        <v>0</v>
      </c>
      <c r="L239" s="68">
        <f t="shared" si="61"/>
        <v>0</v>
      </c>
      <c r="M239" s="67">
        <f>IFERROR(SUMIF(体外式膜型人工肺!$C$30:$C$74,B239,体外式膜型人工肺!$N$30:$N$74)*((体外式膜型人工肺!$H$3-体外式膜型人工肺!$I$3)/体外式膜型人工肺!$H$3),0)</f>
        <v>0</v>
      </c>
      <c r="N239" s="68">
        <f t="shared" si="62"/>
        <v>0</v>
      </c>
      <c r="O239" s="68">
        <f t="shared" si="63"/>
        <v>0</v>
      </c>
      <c r="P239" s="68">
        <f t="shared" si="64"/>
        <v>0</v>
      </c>
      <c r="Q239" s="67">
        <f>IFERROR(SUMIF(紫外線照射装置!$C$30:$C$74,B239,紫外線照射装置!$N$30:$N$74)*((紫外線照射装置!$H$3-紫外線照射装置!$I$3)/紫外線照射装置!$H$3),0)</f>
        <v>0</v>
      </c>
      <c r="R239" s="68">
        <f t="shared" si="65"/>
        <v>0</v>
      </c>
      <c r="S239" s="101">
        <f t="shared" si="66"/>
        <v>0</v>
      </c>
      <c r="T239" s="67">
        <f>IFERROR(SUMIF(超音波画像診断装置!$C$30:$C$74,B239,超音波画像診断装置!$K$30:$K$74)*((超音波画像診断装置!$H$3-超音波画像診断装置!$I$3)/超音波画像診断装置!$H$3),0)</f>
        <v>0</v>
      </c>
      <c r="U239" s="68">
        <f t="shared" si="67"/>
        <v>0</v>
      </c>
      <c r="V239" s="67">
        <f>IFERROR(SUMIF(血液浄化装置!$C$30:$C$74,B239,血液浄化装置!$K$30:$K$74)*((血液浄化装置!$H$3-血液浄化装置!$I$3)/血液浄化装置!$H$3),0)</f>
        <v>0</v>
      </c>
      <c r="W239" s="68">
        <f t="shared" si="68"/>
        <v>0</v>
      </c>
      <c r="X239" s="67">
        <f>IFERROR(SUMIF(気管支鏡!$C$30:$C$74,B239,気管支鏡!$K$30:$K$74)*((気管支鏡!$H$3-気管支鏡!$I$3)/気管支鏡!$H$3),0)</f>
        <v>0</v>
      </c>
      <c r="Y239" s="68">
        <f t="shared" si="54"/>
        <v>0</v>
      </c>
      <c r="Z239" s="67">
        <f>IFERROR(SUMIF(CT撮影装置!$C$30:$C$74,B239,CT撮影装置!$K$30:$K$74)*((CT撮影装置!$H$3-CT撮影装置!$I$3)/CT撮影装置!$H$3),0)</f>
        <v>0</v>
      </c>
      <c r="AA239" s="68">
        <f t="shared" si="69"/>
        <v>0</v>
      </c>
      <c r="AB239" s="67">
        <f>IFERROR(SUMIF(生体情報モニタ!$C$30:$C$74,B239,生体情報モニタ!$K$30:$K$74)*((生体情報モニタ!$H$3-生体情報モニタ!$I$3)/生体情報モニタ!$H$3),0)</f>
        <v>0</v>
      </c>
      <c r="AC239" s="68">
        <f t="shared" si="55"/>
        <v>0</v>
      </c>
      <c r="AD239" s="67">
        <f>IFERROR(SUMIF(分娩監視装置!$C$30:$C$74,B239,分娩監視装置!$K$30:$K$74)*((分娩監視装置!$H$3-分娩監視装置!$I$3)/分娩監視装置!$H$3),0)</f>
        <v>0</v>
      </c>
      <c r="AE239" s="68">
        <f t="shared" si="70"/>
        <v>0</v>
      </c>
      <c r="AF239" s="67">
        <f>IFERROR(SUMIF(新生児モニタ!$C$30:$C$74,B239,新生児モニタ!$K$30:$K$74)*((新生児モニタ!$H$3-新生児モニタ!$I$3)/新生児モニタ!$H$3),0)</f>
        <v>0</v>
      </c>
      <c r="AG239" s="68">
        <f t="shared" si="71"/>
        <v>0</v>
      </c>
    </row>
    <row r="240" spans="2:33">
      <c r="B240" s="64" t="s">
        <v>887</v>
      </c>
      <c r="C240" s="67">
        <f>IFERROR(SUMIF(初度設備!$C$30:$C$74,B240,初度設備!$N$30:$N$74)*((初度設備!$H$3-初度設備!$I$3)/初度設備!$H$3),0)</f>
        <v>0</v>
      </c>
      <c r="D240" s="68">
        <f t="shared" si="56"/>
        <v>0</v>
      </c>
      <c r="E240" s="67">
        <f>IFERROR(SUMIF(人工呼吸器!$C$30:$C$74,B240,人工呼吸器!$N$30:$N$74)*((人工呼吸器!$H$3-人工呼吸器!$I$3)/人工呼吸器!$H$3),0)</f>
        <v>0</v>
      </c>
      <c r="F240" s="68">
        <f t="shared" si="57"/>
        <v>0</v>
      </c>
      <c r="G240" s="68">
        <f t="shared" si="58"/>
        <v>0</v>
      </c>
      <c r="H240" s="68">
        <f t="shared" si="59"/>
        <v>0</v>
      </c>
      <c r="I240" s="67">
        <f>IFERROR(SUMIF(簡易陰圧装置!$C$30:$C$74,B240,簡易陰圧装置!$N$30:$N$74)*((簡易陰圧装置!$H$3-簡易陰圧装置!$I$3)/簡易陰圧装置!$H$3),0)</f>
        <v>0</v>
      </c>
      <c r="J240" s="68">
        <f t="shared" si="60"/>
        <v>0</v>
      </c>
      <c r="K240" s="67">
        <f>IFERROR(SUMIF(#REF!,B240,#REF!)*((#REF!-#REF!)/#REF!),0)</f>
        <v>0</v>
      </c>
      <c r="L240" s="68">
        <f t="shared" si="61"/>
        <v>0</v>
      </c>
      <c r="M240" s="67">
        <f>IFERROR(SUMIF(体外式膜型人工肺!$C$30:$C$74,B240,体外式膜型人工肺!$N$30:$N$74)*((体外式膜型人工肺!$H$3-体外式膜型人工肺!$I$3)/体外式膜型人工肺!$H$3),0)</f>
        <v>0</v>
      </c>
      <c r="N240" s="68">
        <f t="shared" si="62"/>
        <v>0</v>
      </c>
      <c r="O240" s="68">
        <f t="shared" si="63"/>
        <v>0</v>
      </c>
      <c r="P240" s="68">
        <f t="shared" si="64"/>
        <v>0</v>
      </c>
      <c r="Q240" s="67">
        <f>IFERROR(SUMIF(紫外線照射装置!$C$30:$C$74,B240,紫外線照射装置!$N$30:$N$74)*((紫外線照射装置!$H$3-紫外線照射装置!$I$3)/紫外線照射装置!$H$3),0)</f>
        <v>0</v>
      </c>
      <c r="R240" s="68">
        <f t="shared" si="65"/>
        <v>0</v>
      </c>
      <c r="S240" s="101">
        <f t="shared" si="66"/>
        <v>0</v>
      </c>
      <c r="T240" s="67">
        <f>IFERROR(SUMIF(超音波画像診断装置!$C$30:$C$74,B240,超音波画像診断装置!$K$30:$K$74)*((超音波画像診断装置!$H$3-超音波画像診断装置!$I$3)/超音波画像診断装置!$H$3),0)</f>
        <v>0</v>
      </c>
      <c r="U240" s="68">
        <f t="shared" si="67"/>
        <v>0</v>
      </c>
      <c r="V240" s="67">
        <f>IFERROR(SUMIF(血液浄化装置!$C$30:$C$74,B240,血液浄化装置!$K$30:$K$74)*((血液浄化装置!$H$3-血液浄化装置!$I$3)/血液浄化装置!$H$3),0)</f>
        <v>0</v>
      </c>
      <c r="W240" s="68">
        <f t="shared" si="68"/>
        <v>0</v>
      </c>
      <c r="X240" s="67">
        <f>IFERROR(SUMIF(気管支鏡!$C$30:$C$74,B240,気管支鏡!$K$30:$K$74)*((気管支鏡!$H$3-気管支鏡!$I$3)/気管支鏡!$H$3),0)</f>
        <v>0</v>
      </c>
      <c r="Y240" s="68">
        <f t="shared" si="54"/>
        <v>0</v>
      </c>
      <c r="Z240" s="67">
        <f>IFERROR(SUMIF(CT撮影装置!$C$30:$C$74,B240,CT撮影装置!$K$30:$K$74)*((CT撮影装置!$H$3-CT撮影装置!$I$3)/CT撮影装置!$H$3),0)</f>
        <v>0</v>
      </c>
      <c r="AA240" s="68">
        <f t="shared" si="69"/>
        <v>0</v>
      </c>
      <c r="AB240" s="67">
        <f>IFERROR(SUMIF(生体情報モニタ!$C$30:$C$74,B240,生体情報モニタ!$K$30:$K$74)*((生体情報モニタ!$H$3-生体情報モニタ!$I$3)/生体情報モニタ!$H$3),0)</f>
        <v>0</v>
      </c>
      <c r="AC240" s="68">
        <f t="shared" si="55"/>
        <v>0</v>
      </c>
      <c r="AD240" s="67">
        <f>IFERROR(SUMIF(分娩監視装置!$C$30:$C$74,B240,分娩監視装置!$K$30:$K$74)*((分娩監視装置!$H$3-分娩監視装置!$I$3)/分娩監視装置!$H$3),0)</f>
        <v>0</v>
      </c>
      <c r="AE240" s="68">
        <f t="shared" si="70"/>
        <v>0</v>
      </c>
      <c r="AF240" s="67">
        <f>IFERROR(SUMIF(新生児モニタ!$C$30:$C$74,B240,新生児モニタ!$K$30:$K$74)*((新生児モニタ!$H$3-新生児モニタ!$I$3)/新生児モニタ!$H$3),0)</f>
        <v>0</v>
      </c>
      <c r="AG240" s="68">
        <f t="shared" si="71"/>
        <v>0</v>
      </c>
    </row>
    <row r="241" spans="2:33">
      <c r="B241" s="64" t="s">
        <v>888</v>
      </c>
      <c r="C241" s="67">
        <f>IFERROR(SUMIF(初度設備!$C$30:$C$74,B241,初度設備!$N$30:$N$74)*((初度設備!$H$3-初度設備!$I$3)/初度設備!$H$3),0)</f>
        <v>0</v>
      </c>
      <c r="D241" s="68">
        <f t="shared" si="56"/>
        <v>0</v>
      </c>
      <c r="E241" s="67">
        <f>IFERROR(SUMIF(人工呼吸器!$C$30:$C$74,B241,人工呼吸器!$N$30:$N$74)*((人工呼吸器!$H$3-人工呼吸器!$I$3)/人工呼吸器!$H$3),0)</f>
        <v>0</v>
      </c>
      <c r="F241" s="68">
        <f t="shared" si="57"/>
        <v>0</v>
      </c>
      <c r="G241" s="68">
        <f t="shared" si="58"/>
        <v>0</v>
      </c>
      <c r="H241" s="68">
        <f t="shared" si="59"/>
        <v>0</v>
      </c>
      <c r="I241" s="67">
        <f>IFERROR(SUMIF(簡易陰圧装置!$C$30:$C$74,B241,簡易陰圧装置!$N$30:$N$74)*((簡易陰圧装置!$H$3-簡易陰圧装置!$I$3)/簡易陰圧装置!$H$3),0)</f>
        <v>0</v>
      </c>
      <c r="J241" s="68">
        <f t="shared" si="60"/>
        <v>0</v>
      </c>
      <c r="K241" s="67">
        <f>IFERROR(SUMIF(#REF!,B241,#REF!)*((#REF!-#REF!)/#REF!),0)</f>
        <v>0</v>
      </c>
      <c r="L241" s="68">
        <f t="shared" si="61"/>
        <v>0</v>
      </c>
      <c r="M241" s="67">
        <f>IFERROR(SUMIF(体外式膜型人工肺!$C$30:$C$74,B241,体外式膜型人工肺!$N$30:$N$74)*((体外式膜型人工肺!$H$3-体外式膜型人工肺!$I$3)/体外式膜型人工肺!$H$3),0)</f>
        <v>0</v>
      </c>
      <c r="N241" s="68">
        <f t="shared" si="62"/>
        <v>0</v>
      </c>
      <c r="O241" s="68">
        <f t="shared" si="63"/>
        <v>0</v>
      </c>
      <c r="P241" s="68">
        <f t="shared" si="64"/>
        <v>0</v>
      </c>
      <c r="Q241" s="67">
        <f>IFERROR(SUMIF(紫外線照射装置!$C$30:$C$74,B241,紫外線照射装置!$N$30:$N$74)*((紫外線照射装置!$H$3-紫外線照射装置!$I$3)/紫外線照射装置!$H$3),0)</f>
        <v>0</v>
      </c>
      <c r="R241" s="68">
        <f t="shared" si="65"/>
        <v>0</v>
      </c>
      <c r="S241" s="101">
        <f t="shared" si="66"/>
        <v>0</v>
      </c>
      <c r="T241" s="67">
        <f>IFERROR(SUMIF(超音波画像診断装置!$C$30:$C$74,B241,超音波画像診断装置!$K$30:$K$74)*((超音波画像診断装置!$H$3-超音波画像診断装置!$I$3)/超音波画像診断装置!$H$3),0)</f>
        <v>0</v>
      </c>
      <c r="U241" s="68">
        <f t="shared" si="67"/>
        <v>0</v>
      </c>
      <c r="V241" s="67">
        <f>IFERROR(SUMIF(血液浄化装置!$C$30:$C$74,B241,血液浄化装置!$K$30:$K$74)*((血液浄化装置!$H$3-血液浄化装置!$I$3)/血液浄化装置!$H$3),0)</f>
        <v>0</v>
      </c>
      <c r="W241" s="68">
        <f t="shared" si="68"/>
        <v>0</v>
      </c>
      <c r="X241" s="67">
        <f>IFERROR(SUMIF(気管支鏡!$C$30:$C$74,B241,気管支鏡!$K$30:$K$74)*((気管支鏡!$H$3-気管支鏡!$I$3)/気管支鏡!$H$3),0)</f>
        <v>0</v>
      </c>
      <c r="Y241" s="68">
        <f t="shared" si="54"/>
        <v>0</v>
      </c>
      <c r="Z241" s="67">
        <f>IFERROR(SUMIF(CT撮影装置!$C$30:$C$74,B241,CT撮影装置!$K$30:$K$74)*((CT撮影装置!$H$3-CT撮影装置!$I$3)/CT撮影装置!$H$3),0)</f>
        <v>0</v>
      </c>
      <c r="AA241" s="68">
        <f t="shared" si="69"/>
        <v>0</v>
      </c>
      <c r="AB241" s="67">
        <f>IFERROR(SUMIF(生体情報モニタ!$C$30:$C$74,B241,生体情報モニタ!$K$30:$K$74)*((生体情報モニタ!$H$3-生体情報モニタ!$I$3)/生体情報モニタ!$H$3),0)</f>
        <v>0</v>
      </c>
      <c r="AC241" s="68">
        <f t="shared" si="55"/>
        <v>0</v>
      </c>
      <c r="AD241" s="67">
        <f>IFERROR(SUMIF(分娩監視装置!$C$30:$C$74,B241,分娩監視装置!$K$30:$K$74)*((分娩監視装置!$H$3-分娩監視装置!$I$3)/分娩監視装置!$H$3),0)</f>
        <v>0</v>
      </c>
      <c r="AE241" s="68">
        <f t="shared" si="70"/>
        <v>0</v>
      </c>
      <c r="AF241" s="67">
        <f>IFERROR(SUMIF(新生児モニタ!$C$30:$C$74,B241,新生児モニタ!$K$30:$K$74)*((新生児モニタ!$H$3-新生児モニタ!$I$3)/新生児モニタ!$H$3),0)</f>
        <v>0</v>
      </c>
      <c r="AG241" s="68">
        <f t="shared" si="71"/>
        <v>0</v>
      </c>
    </row>
    <row r="242" spans="2:33">
      <c r="B242" s="64" t="s">
        <v>889</v>
      </c>
      <c r="C242" s="67">
        <f>IFERROR(SUMIF(初度設備!$C$30:$C$74,B242,初度設備!$N$30:$N$74)*((初度設備!$H$3-初度設備!$I$3)/初度設備!$H$3),0)</f>
        <v>0</v>
      </c>
      <c r="D242" s="68">
        <f t="shared" si="56"/>
        <v>0</v>
      </c>
      <c r="E242" s="67">
        <f>IFERROR(SUMIF(人工呼吸器!$C$30:$C$74,B242,人工呼吸器!$N$30:$N$74)*((人工呼吸器!$H$3-人工呼吸器!$I$3)/人工呼吸器!$H$3),0)</f>
        <v>0</v>
      </c>
      <c r="F242" s="68">
        <f t="shared" si="57"/>
        <v>0</v>
      </c>
      <c r="G242" s="68">
        <f t="shared" si="58"/>
        <v>0</v>
      </c>
      <c r="H242" s="68">
        <f t="shared" si="59"/>
        <v>0</v>
      </c>
      <c r="I242" s="67">
        <f>IFERROR(SUMIF(簡易陰圧装置!$C$30:$C$74,B242,簡易陰圧装置!$N$30:$N$74)*((簡易陰圧装置!$H$3-簡易陰圧装置!$I$3)/簡易陰圧装置!$H$3),0)</f>
        <v>0</v>
      </c>
      <c r="J242" s="68">
        <f t="shared" si="60"/>
        <v>0</v>
      </c>
      <c r="K242" s="67">
        <f>IFERROR(SUMIF(#REF!,B242,#REF!)*((#REF!-#REF!)/#REF!),0)</f>
        <v>0</v>
      </c>
      <c r="L242" s="68">
        <f t="shared" si="61"/>
        <v>0</v>
      </c>
      <c r="M242" s="67">
        <f>IFERROR(SUMIF(体外式膜型人工肺!$C$30:$C$74,B242,体外式膜型人工肺!$N$30:$N$74)*((体外式膜型人工肺!$H$3-体外式膜型人工肺!$I$3)/体外式膜型人工肺!$H$3),0)</f>
        <v>0</v>
      </c>
      <c r="N242" s="68">
        <f t="shared" si="62"/>
        <v>0</v>
      </c>
      <c r="O242" s="68">
        <f t="shared" si="63"/>
        <v>0</v>
      </c>
      <c r="P242" s="68">
        <f t="shared" si="64"/>
        <v>0</v>
      </c>
      <c r="Q242" s="67">
        <f>IFERROR(SUMIF(紫外線照射装置!$C$30:$C$74,B242,紫外線照射装置!$N$30:$N$74)*((紫外線照射装置!$H$3-紫外線照射装置!$I$3)/紫外線照射装置!$H$3),0)</f>
        <v>0</v>
      </c>
      <c r="R242" s="68">
        <f t="shared" si="65"/>
        <v>0</v>
      </c>
      <c r="S242" s="101">
        <f t="shared" si="66"/>
        <v>0</v>
      </c>
      <c r="T242" s="67">
        <f>IFERROR(SUMIF(超音波画像診断装置!$C$30:$C$74,B242,超音波画像診断装置!$K$30:$K$74)*((超音波画像診断装置!$H$3-超音波画像診断装置!$I$3)/超音波画像診断装置!$H$3),0)</f>
        <v>0</v>
      </c>
      <c r="U242" s="68">
        <f t="shared" si="67"/>
        <v>0</v>
      </c>
      <c r="V242" s="67">
        <f>IFERROR(SUMIF(血液浄化装置!$C$30:$C$74,B242,血液浄化装置!$K$30:$K$74)*((血液浄化装置!$H$3-血液浄化装置!$I$3)/血液浄化装置!$H$3),0)</f>
        <v>0</v>
      </c>
      <c r="W242" s="68">
        <f t="shared" si="68"/>
        <v>0</v>
      </c>
      <c r="X242" s="67">
        <f>IFERROR(SUMIF(気管支鏡!$C$30:$C$74,B242,気管支鏡!$K$30:$K$74)*((気管支鏡!$H$3-気管支鏡!$I$3)/気管支鏡!$H$3),0)</f>
        <v>0</v>
      </c>
      <c r="Y242" s="68">
        <f t="shared" si="54"/>
        <v>0</v>
      </c>
      <c r="Z242" s="67">
        <f>IFERROR(SUMIF(CT撮影装置!$C$30:$C$74,B242,CT撮影装置!$K$30:$K$74)*((CT撮影装置!$H$3-CT撮影装置!$I$3)/CT撮影装置!$H$3),0)</f>
        <v>0</v>
      </c>
      <c r="AA242" s="68">
        <f t="shared" si="69"/>
        <v>0</v>
      </c>
      <c r="AB242" s="67">
        <f>IFERROR(SUMIF(生体情報モニタ!$C$30:$C$74,B242,生体情報モニタ!$K$30:$K$74)*((生体情報モニタ!$H$3-生体情報モニタ!$I$3)/生体情報モニタ!$H$3),0)</f>
        <v>0</v>
      </c>
      <c r="AC242" s="68">
        <f t="shared" si="55"/>
        <v>0</v>
      </c>
      <c r="AD242" s="67">
        <f>IFERROR(SUMIF(分娩監視装置!$C$30:$C$74,B242,分娩監視装置!$K$30:$K$74)*((分娩監視装置!$H$3-分娩監視装置!$I$3)/分娩監視装置!$H$3),0)</f>
        <v>0</v>
      </c>
      <c r="AE242" s="68">
        <f t="shared" si="70"/>
        <v>0</v>
      </c>
      <c r="AF242" s="67">
        <f>IFERROR(SUMIF(新生児モニタ!$C$30:$C$74,B242,新生児モニタ!$K$30:$K$74)*((新生児モニタ!$H$3-新生児モニタ!$I$3)/新生児モニタ!$H$3),0)</f>
        <v>0</v>
      </c>
      <c r="AG242" s="68">
        <f t="shared" si="71"/>
        <v>0</v>
      </c>
    </row>
    <row r="243" spans="2:33">
      <c r="B243" s="64" t="s">
        <v>890</v>
      </c>
      <c r="C243" s="67">
        <f>IFERROR(SUMIF(初度設備!$C$30:$C$74,B243,初度設備!$N$30:$N$74)*((初度設備!$H$3-初度設備!$I$3)/初度設備!$H$3),0)</f>
        <v>0</v>
      </c>
      <c r="D243" s="68">
        <f t="shared" si="56"/>
        <v>0</v>
      </c>
      <c r="E243" s="67">
        <f>IFERROR(SUMIF(人工呼吸器!$C$30:$C$74,B243,人工呼吸器!$N$30:$N$74)*((人工呼吸器!$H$3-人工呼吸器!$I$3)/人工呼吸器!$H$3),0)</f>
        <v>0</v>
      </c>
      <c r="F243" s="68">
        <f t="shared" si="57"/>
        <v>0</v>
      </c>
      <c r="G243" s="68">
        <f t="shared" si="58"/>
        <v>0</v>
      </c>
      <c r="H243" s="68">
        <f t="shared" si="59"/>
        <v>0</v>
      </c>
      <c r="I243" s="67">
        <f>IFERROR(SUMIF(簡易陰圧装置!$C$30:$C$74,B243,簡易陰圧装置!$N$30:$N$74)*((簡易陰圧装置!$H$3-簡易陰圧装置!$I$3)/簡易陰圧装置!$H$3),0)</f>
        <v>0</v>
      </c>
      <c r="J243" s="68">
        <f t="shared" si="60"/>
        <v>0</v>
      </c>
      <c r="K243" s="67">
        <f>IFERROR(SUMIF(#REF!,B243,#REF!)*((#REF!-#REF!)/#REF!),0)</f>
        <v>0</v>
      </c>
      <c r="L243" s="68">
        <f t="shared" si="61"/>
        <v>0</v>
      </c>
      <c r="M243" s="67">
        <f>IFERROR(SUMIF(体外式膜型人工肺!$C$30:$C$74,B243,体外式膜型人工肺!$N$30:$N$74)*((体外式膜型人工肺!$H$3-体外式膜型人工肺!$I$3)/体外式膜型人工肺!$H$3),0)</f>
        <v>0</v>
      </c>
      <c r="N243" s="68">
        <f t="shared" si="62"/>
        <v>0</v>
      </c>
      <c r="O243" s="68">
        <f t="shared" si="63"/>
        <v>0</v>
      </c>
      <c r="P243" s="68">
        <f t="shared" si="64"/>
        <v>0</v>
      </c>
      <c r="Q243" s="67">
        <f>IFERROR(SUMIF(紫外線照射装置!$C$30:$C$74,B243,紫外線照射装置!$N$30:$N$74)*((紫外線照射装置!$H$3-紫外線照射装置!$I$3)/紫外線照射装置!$H$3),0)</f>
        <v>0</v>
      </c>
      <c r="R243" s="68">
        <f t="shared" si="65"/>
        <v>0</v>
      </c>
      <c r="S243" s="101">
        <f t="shared" si="66"/>
        <v>0</v>
      </c>
      <c r="T243" s="67">
        <f>IFERROR(SUMIF(超音波画像診断装置!$C$30:$C$74,B243,超音波画像診断装置!$K$30:$K$74)*((超音波画像診断装置!$H$3-超音波画像診断装置!$I$3)/超音波画像診断装置!$H$3),0)</f>
        <v>0</v>
      </c>
      <c r="U243" s="68">
        <f t="shared" si="67"/>
        <v>0</v>
      </c>
      <c r="V243" s="67">
        <f>IFERROR(SUMIF(血液浄化装置!$C$30:$C$74,B243,血液浄化装置!$K$30:$K$74)*((血液浄化装置!$H$3-血液浄化装置!$I$3)/血液浄化装置!$H$3),0)</f>
        <v>0</v>
      </c>
      <c r="W243" s="68">
        <f t="shared" si="68"/>
        <v>0</v>
      </c>
      <c r="X243" s="67">
        <f>IFERROR(SUMIF(気管支鏡!$C$30:$C$74,B243,気管支鏡!$K$30:$K$74)*((気管支鏡!$H$3-気管支鏡!$I$3)/気管支鏡!$H$3),0)</f>
        <v>0</v>
      </c>
      <c r="Y243" s="68">
        <f t="shared" si="54"/>
        <v>0</v>
      </c>
      <c r="Z243" s="67">
        <f>IFERROR(SUMIF(CT撮影装置!$C$30:$C$74,B243,CT撮影装置!$K$30:$K$74)*((CT撮影装置!$H$3-CT撮影装置!$I$3)/CT撮影装置!$H$3),0)</f>
        <v>0</v>
      </c>
      <c r="AA243" s="68">
        <f t="shared" si="69"/>
        <v>0</v>
      </c>
      <c r="AB243" s="67">
        <f>IFERROR(SUMIF(生体情報モニタ!$C$30:$C$74,B243,生体情報モニタ!$K$30:$K$74)*((生体情報モニタ!$H$3-生体情報モニタ!$I$3)/生体情報モニタ!$H$3),0)</f>
        <v>0</v>
      </c>
      <c r="AC243" s="68">
        <f t="shared" si="55"/>
        <v>0</v>
      </c>
      <c r="AD243" s="67">
        <f>IFERROR(SUMIF(分娩監視装置!$C$30:$C$74,B243,分娩監視装置!$K$30:$K$74)*((分娩監視装置!$H$3-分娩監視装置!$I$3)/分娩監視装置!$H$3),0)</f>
        <v>0</v>
      </c>
      <c r="AE243" s="68">
        <f t="shared" si="70"/>
        <v>0</v>
      </c>
      <c r="AF243" s="67">
        <f>IFERROR(SUMIF(新生児モニタ!$C$30:$C$74,B243,新生児モニタ!$K$30:$K$74)*((新生児モニタ!$H$3-新生児モニタ!$I$3)/新生児モニタ!$H$3),0)</f>
        <v>0</v>
      </c>
      <c r="AG243" s="68">
        <f t="shared" si="71"/>
        <v>0</v>
      </c>
    </row>
    <row r="244" spans="2:33">
      <c r="B244" s="64" t="s">
        <v>891</v>
      </c>
      <c r="C244" s="67">
        <f>IFERROR(SUMIF(初度設備!$C$30:$C$74,B244,初度設備!$N$30:$N$74)*((初度設備!$H$3-初度設備!$I$3)/初度設備!$H$3),0)</f>
        <v>0</v>
      </c>
      <c r="D244" s="68">
        <f t="shared" si="56"/>
        <v>0</v>
      </c>
      <c r="E244" s="67">
        <f>IFERROR(SUMIF(人工呼吸器!$C$30:$C$74,B244,人工呼吸器!$N$30:$N$74)*((人工呼吸器!$H$3-人工呼吸器!$I$3)/人工呼吸器!$H$3),0)</f>
        <v>0</v>
      </c>
      <c r="F244" s="68">
        <f t="shared" si="57"/>
        <v>0</v>
      </c>
      <c r="G244" s="68">
        <f t="shared" si="58"/>
        <v>0</v>
      </c>
      <c r="H244" s="68">
        <f t="shared" si="59"/>
        <v>0</v>
      </c>
      <c r="I244" s="67">
        <f>IFERROR(SUMIF(簡易陰圧装置!$C$30:$C$74,B244,簡易陰圧装置!$N$30:$N$74)*((簡易陰圧装置!$H$3-簡易陰圧装置!$I$3)/簡易陰圧装置!$H$3),0)</f>
        <v>0</v>
      </c>
      <c r="J244" s="68">
        <f t="shared" si="60"/>
        <v>0</v>
      </c>
      <c r="K244" s="67">
        <f>IFERROR(SUMIF(#REF!,B244,#REF!)*((#REF!-#REF!)/#REF!),0)</f>
        <v>0</v>
      </c>
      <c r="L244" s="68">
        <f t="shared" si="61"/>
        <v>0</v>
      </c>
      <c r="M244" s="67">
        <f>IFERROR(SUMIF(体外式膜型人工肺!$C$30:$C$74,B244,体外式膜型人工肺!$N$30:$N$74)*((体外式膜型人工肺!$H$3-体外式膜型人工肺!$I$3)/体外式膜型人工肺!$H$3),0)</f>
        <v>0</v>
      </c>
      <c r="N244" s="68">
        <f t="shared" si="62"/>
        <v>0</v>
      </c>
      <c r="O244" s="68">
        <f t="shared" si="63"/>
        <v>0</v>
      </c>
      <c r="P244" s="68">
        <f t="shared" si="64"/>
        <v>0</v>
      </c>
      <c r="Q244" s="67">
        <f>IFERROR(SUMIF(紫外線照射装置!$C$30:$C$74,B244,紫外線照射装置!$N$30:$N$74)*((紫外線照射装置!$H$3-紫外線照射装置!$I$3)/紫外線照射装置!$H$3),0)</f>
        <v>0</v>
      </c>
      <c r="R244" s="68">
        <f t="shared" si="65"/>
        <v>0</v>
      </c>
      <c r="S244" s="101">
        <f t="shared" si="66"/>
        <v>0</v>
      </c>
      <c r="T244" s="67">
        <f>IFERROR(SUMIF(超音波画像診断装置!$C$30:$C$74,B244,超音波画像診断装置!$K$30:$K$74)*((超音波画像診断装置!$H$3-超音波画像診断装置!$I$3)/超音波画像診断装置!$H$3),0)</f>
        <v>0</v>
      </c>
      <c r="U244" s="68">
        <f t="shared" si="67"/>
        <v>0</v>
      </c>
      <c r="V244" s="67">
        <f>IFERROR(SUMIF(血液浄化装置!$C$30:$C$74,B244,血液浄化装置!$K$30:$K$74)*((血液浄化装置!$H$3-血液浄化装置!$I$3)/血液浄化装置!$H$3),0)</f>
        <v>0</v>
      </c>
      <c r="W244" s="68">
        <f t="shared" si="68"/>
        <v>0</v>
      </c>
      <c r="X244" s="67">
        <f>IFERROR(SUMIF(気管支鏡!$C$30:$C$74,B244,気管支鏡!$K$30:$K$74)*((気管支鏡!$H$3-気管支鏡!$I$3)/気管支鏡!$H$3),0)</f>
        <v>0</v>
      </c>
      <c r="Y244" s="68">
        <f t="shared" si="54"/>
        <v>0</v>
      </c>
      <c r="Z244" s="67">
        <f>IFERROR(SUMIF(CT撮影装置!$C$30:$C$74,B244,CT撮影装置!$K$30:$K$74)*((CT撮影装置!$H$3-CT撮影装置!$I$3)/CT撮影装置!$H$3),0)</f>
        <v>0</v>
      </c>
      <c r="AA244" s="68">
        <f t="shared" si="69"/>
        <v>0</v>
      </c>
      <c r="AB244" s="67">
        <f>IFERROR(SUMIF(生体情報モニタ!$C$30:$C$74,B244,生体情報モニタ!$K$30:$K$74)*((生体情報モニタ!$H$3-生体情報モニタ!$I$3)/生体情報モニタ!$H$3),0)</f>
        <v>0</v>
      </c>
      <c r="AC244" s="68">
        <f t="shared" si="55"/>
        <v>0</v>
      </c>
      <c r="AD244" s="67">
        <f>IFERROR(SUMIF(分娩監視装置!$C$30:$C$74,B244,分娩監視装置!$K$30:$K$74)*((分娩監視装置!$H$3-分娩監視装置!$I$3)/分娩監視装置!$H$3),0)</f>
        <v>0</v>
      </c>
      <c r="AE244" s="68">
        <f t="shared" si="70"/>
        <v>0</v>
      </c>
      <c r="AF244" s="67">
        <f>IFERROR(SUMIF(新生児モニタ!$C$30:$C$74,B244,新生児モニタ!$K$30:$K$74)*((新生児モニタ!$H$3-新生児モニタ!$I$3)/新生児モニタ!$H$3),0)</f>
        <v>0</v>
      </c>
      <c r="AG244" s="68">
        <f t="shared" si="71"/>
        <v>0</v>
      </c>
    </row>
    <row r="245" spans="2:33">
      <c r="B245" s="64" t="s">
        <v>892</v>
      </c>
      <c r="C245" s="67">
        <f>IFERROR(SUMIF(初度設備!$C$30:$C$74,B245,初度設備!$N$30:$N$74)*((初度設備!$H$3-初度設備!$I$3)/初度設備!$H$3),0)</f>
        <v>0</v>
      </c>
      <c r="D245" s="68">
        <f t="shared" si="56"/>
        <v>0</v>
      </c>
      <c r="E245" s="67">
        <f>IFERROR(SUMIF(人工呼吸器!$C$30:$C$74,B245,人工呼吸器!$N$30:$N$74)*((人工呼吸器!$H$3-人工呼吸器!$I$3)/人工呼吸器!$H$3),0)</f>
        <v>0</v>
      </c>
      <c r="F245" s="68">
        <f t="shared" si="57"/>
        <v>0</v>
      </c>
      <c r="G245" s="68">
        <f t="shared" si="58"/>
        <v>0</v>
      </c>
      <c r="H245" s="68">
        <f t="shared" si="59"/>
        <v>0</v>
      </c>
      <c r="I245" s="67">
        <f>IFERROR(SUMIF(簡易陰圧装置!$C$30:$C$74,B245,簡易陰圧装置!$N$30:$N$74)*((簡易陰圧装置!$H$3-簡易陰圧装置!$I$3)/簡易陰圧装置!$H$3),0)</f>
        <v>0</v>
      </c>
      <c r="J245" s="68">
        <f t="shared" si="60"/>
        <v>0</v>
      </c>
      <c r="K245" s="67">
        <f>IFERROR(SUMIF(#REF!,B245,#REF!)*((#REF!-#REF!)/#REF!),0)</f>
        <v>0</v>
      </c>
      <c r="L245" s="68">
        <f t="shared" si="61"/>
        <v>0</v>
      </c>
      <c r="M245" s="67">
        <f>IFERROR(SUMIF(体外式膜型人工肺!$C$30:$C$74,B245,体外式膜型人工肺!$N$30:$N$74)*((体外式膜型人工肺!$H$3-体外式膜型人工肺!$I$3)/体外式膜型人工肺!$H$3),0)</f>
        <v>0</v>
      </c>
      <c r="N245" s="68">
        <f t="shared" si="62"/>
        <v>0</v>
      </c>
      <c r="O245" s="68">
        <f t="shared" si="63"/>
        <v>0</v>
      </c>
      <c r="P245" s="68">
        <f t="shared" si="64"/>
        <v>0</v>
      </c>
      <c r="Q245" s="67">
        <f>IFERROR(SUMIF(紫外線照射装置!$C$30:$C$74,B245,紫外線照射装置!$N$30:$N$74)*((紫外線照射装置!$H$3-紫外線照射装置!$I$3)/紫外線照射装置!$H$3),0)</f>
        <v>0</v>
      </c>
      <c r="R245" s="68">
        <f t="shared" si="65"/>
        <v>0</v>
      </c>
      <c r="S245" s="101">
        <f t="shared" si="66"/>
        <v>0</v>
      </c>
      <c r="T245" s="67">
        <f>IFERROR(SUMIF(超音波画像診断装置!$C$30:$C$74,B245,超音波画像診断装置!$K$30:$K$74)*((超音波画像診断装置!$H$3-超音波画像診断装置!$I$3)/超音波画像診断装置!$H$3),0)</f>
        <v>0</v>
      </c>
      <c r="U245" s="68">
        <f t="shared" si="67"/>
        <v>0</v>
      </c>
      <c r="V245" s="67">
        <f>IFERROR(SUMIF(血液浄化装置!$C$30:$C$74,B245,血液浄化装置!$K$30:$K$74)*((血液浄化装置!$H$3-血液浄化装置!$I$3)/血液浄化装置!$H$3),0)</f>
        <v>0</v>
      </c>
      <c r="W245" s="68">
        <f t="shared" si="68"/>
        <v>0</v>
      </c>
      <c r="X245" s="67">
        <f>IFERROR(SUMIF(気管支鏡!$C$30:$C$74,B245,気管支鏡!$K$30:$K$74)*((気管支鏡!$H$3-気管支鏡!$I$3)/気管支鏡!$H$3),0)</f>
        <v>0</v>
      </c>
      <c r="Y245" s="68">
        <f t="shared" si="54"/>
        <v>0</v>
      </c>
      <c r="Z245" s="67">
        <f>IFERROR(SUMIF(CT撮影装置!$C$30:$C$74,B245,CT撮影装置!$K$30:$K$74)*((CT撮影装置!$H$3-CT撮影装置!$I$3)/CT撮影装置!$H$3),0)</f>
        <v>0</v>
      </c>
      <c r="AA245" s="68">
        <f t="shared" si="69"/>
        <v>0</v>
      </c>
      <c r="AB245" s="67">
        <f>IFERROR(SUMIF(生体情報モニタ!$C$30:$C$74,B245,生体情報モニタ!$K$30:$K$74)*((生体情報モニタ!$H$3-生体情報モニタ!$I$3)/生体情報モニタ!$H$3),0)</f>
        <v>0</v>
      </c>
      <c r="AC245" s="68">
        <f t="shared" si="55"/>
        <v>0</v>
      </c>
      <c r="AD245" s="67">
        <f>IFERROR(SUMIF(分娩監視装置!$C$30:$C$74,B245,分娩監視装置!$K$30:$K$74)*((分娩監視装置!$H$3-分娩監視装置!$I$3)/分娩監視装置!$H$3),0)</f>
        <v>0</v>
      </c>
      <c r="AE245" s="68">
        <f t="shared" si="70"/>
        <v>0</v>
      </c>
      <c r="AF245" s="67">
        <f>IFERROR(SUMIF(新生児モニタ!$C$30:$C$74,B245,新生児モニタ!$K$30:$K$74)*((新生児モニタ!$H$3-新生児モニタ!$I$3)/新生児モニタ!$H$3),0)</f>
        <v>0</v>
      </c>
      <c r="AG245" s="68">
        <f t="shared" si="71"/>
        <v>0</v>
      </c>
    </row>
    <row r="246" spans="2:33">
      <c r="B246" s="64" t="s">
        <v>893</v>
      </c>
      <c r="C246" s="67">
        <f>IFERROR(SUMIF(初度設備!$C$30:$C$74,B246,初度設備!$N$30:$N$74)*((初度設備!$H$3-初度設備!$I$3)/初度設備!$H$3),0)</f>
        <v>0</v>
      </c>
      <c r="D246" s="68">
        <f t="shared" si="56"/>
        <v>0</v>
      </c>
      <c r="E246" s="67">
        <f>IFERROR(SUMIF(人工呼吸器!$C$30:$C$74,B246,人工呼吸器!$N$30:$N$74)*((人工呼吸器!$H$3-人工呼吸器!$I$3)/人工呼吸器!$H$3),0)</f>
        <v>0</v>
      </c>
      <c r="F246" s="68">
        <f t="shared" si="57"/>
        <v>0</v>
      </c>
      <c r="G246" s="68">
        <f t="shared" si="58"/>
        <v>0</v>
      </c>
      <c r="H246" s="68">
        <f t="shared" si="59"/>
        <v>0</v>
      </c>
      <c r="I246" s="67">
        <f>IFERROR(SUMIF(簡易陰圧装置!$C$30:$C$74,B246,簡易陰圧装置!$N$30:$N$74)*((簡易陰圧装置!$H$3-簡易陰圧装置!$I$3)/簡易陰圧装置!$H$3),0)</f>
        <v>0</v>
      </c>
      <c r="J246" s="68">
        <f t="shared" si="60"/>
        <v>0</v>
      </c>
      <c r="K246" s="67">
        <f>IFERROR(SUMIF(#REF!,B246,#REF!)*((#REF!-#REF!)/#REF!),0)</f>
        <v>0</v>
      </c>
      <c r="L246" s="68">
        <f t="shared" si="61"/>
        <v>0</v>
      </c>
      <c r="M246" s="67">
        <f>IFERROR(SUMIF(体外式膜型人工肺!$C$30:$C$74,B246,体外式膜型人工肺!$N$30:$N$74)*((体外式膜型人工肺!$H$3-体外式膜型人工肺!$I$3)/体外式膜型人工肺!$H$3),0)</f>
        <v>0</v>
      </c>
      <c r="N246" s="68">
        <f t="shared" si="62"/>
        <v>0</v>
      </c>
      <c r="O246" s="68">
        <f t="shared" si="63"/>
        <v>0</v>
      </c>
      <c r="P246" s="68">
        <f t="shared" si="64"/>
        <v>0</v>
      </c>
      <c r="Q246" s="67">
        <f>IFERROR(SUMIF(紫外線照射装置!$C$30:$C$74,B246,紫外線照射装置!$N$30:$N$74)*((紫外線照射装置!$H$3-紫外線照射装置!$I$3)/紫外線照射装置!$H$3),0)</f>
        <v>0</v>
      </c>
      <c r="R246" s="68">
        <f t="shared" si="65"/>
        <v>0</v>
      </c>
      <c r="S246" s="101">
        <f t="shared" si="66"/>
        <v>0</v>
      </c>
      <c r="T246" s="67">
        <f>IFERROR(SUMIF(超音波画像診断装置!$C$30:$C$74,B246,超音波画像診断装置!$K$30:$K$74)*((超音波画像診断装置!$H$3-超音波画像診断装置!$I$3)/超音波画像診断装置!$H$3),0)</f>
        <v>0</v>
      </c>
      <c r="U246" s="68">
        <f t="shared" si="67"/>
        <v>0</v>
      </c>
      <c r="V246" s="67">
        <f>IFERROR(SUMIF(血液浄化装置!$C$30:$C$74,B246,血液浄化装置!$K$30:$K$74)*((血液浄化装置!$H$3-血液浄化装置!$I$3)/血液浄化装置!$H$3),0)</f>
        <v>0</v>
      </c>
      <c r="W246" s="68">
        <f t="shared" si="68"/>
        <v>0</v>
      </c>
      <c r="X246" s="67">
        <f>IFERROR(SUMIF(気管支鏡!$C$30:$C$74,B246,気管支鏡!$K$30:$K$74)*((気管支鏡!$H$3-気管支鏡!$I$3)/気管支鏡!$H$3),0)</f>
        <v>0</v>
      </c>
      <c r="Y246" s="68">
        <f t="shared" si="54"/>
        <v>0</v>
      </c>
      <c r="Z246" s="67">
        <f>IFERROR(SUMIF(CT撮影装置!$C$30:$C$74,B246,CT撮影装置!$K$30:$K$74)*((CT撮影装置!$H$3-CT撮影装置!$I$3)/CT撮影装置!$H$3),0)</f>
        <v>0</v>
      </c>
      <c r="AA246" s="68">
        <f t="shared" si="69"/>
        <v>0</v>
      </c>
      <c r="AB246" s="67">
        <f>IFERROR(SUMIF(生体情報モニタ!$C$30:$C$74,B246,生体情報モニタ!$K$30:$K$74)*((生体情報モニタ!$H$3-生体情報モニタ!$I$3)/生体情報モニタ!$H$3),0)</f>
        <v>0</v>
      </c>
      <c r="AC246" s="68">
        <f t="shared" si="55"/>
        <v>0</v>
      </c>
      <c r="AD246" s="67">
        <f>IFERROR(SUMIF(分娩監視装置!$C$30:$C$74,B246,分娩監視装置!$K$30:$K$74)*((分娩監視装置!$H$3-分娩監視装置!$I$3)/分娩監視装置!$H$3),0)</f>
        <v>0</v>
      </c>
      <c r="AE246" s="68">
        <f t="shared" si="70"/>
        <v>0</v>
      </c>
      <c r="AF246" s="67">
        <f>IFERROR(SUMIF(新生児モニタ!$C$30:$C$74,B246,新生児モニタ!$K$30:$K$74)*((新生児モニタ!$H$3-新生児モニタ!$I$3)/新生児モニタ!$H$3),0)</f>
        <v>0</v>
      </c>
      <c r="AG246" s="68">
        <f t="shared" si="71"/>
        <v>0</v>
      </c>
    </row>
    <row r="247" spans="2:33">
      <c r="B247" s="64" t="s">
        <v>894</v>
      </c>
      <c r="C247" s="67">
        <f>IFERROR(SUMIF(初度設備!$C$30:$C$74,B247,初度設備!$N$30:$N$74)*((初度設備!$H$3-初度設備!$I$3)/初度設備!$H$3),0)</f>
        <v>0</v>
      </c>
      <c r="D247" s="68">
        <f t="shared" si="56"/>
        <v>0</v>
      </c>
      <c r="E247" s="67">
        <f>IFERROR(SUMIF(人工呼吸器!$C$30:$C$74,B247,人工呼吸器!$N$30:$N$74)*((人工呼吸器!$H$3-人工呼吸器!$I$3)/人工呼吸器!$H$3),0)</f>
        <v>0</v>
      </c>
      <c r="F247" s="68">
        <f t="shared" si="57"/>
        <v>0</v>
      </c>
      <c r="G247" s="68">
        <f t="shared" si="58"/>
        <v>0</v>
      </c>
      <c r="H247" s="68">
        <f t="shared" si="59"/>
        <v>0</v>
      </c>
      <c r="I247" s="67">
        <f>IFERROR(SUMIF(簡易陰圧装置!$C$30:$C$74,B247,簡易陰圧装置!$N$30:$N$74)*((簡易陰圧装置!$H$3-簡易陰圧装置!$I$3)/簡易陰圧装置!$H$3),0)</f>
        <v>0</v>
      </c>
      <c r="J247" s="68">
        <f t="shared" si="60"/>
        <v>0</v>
      </c>
      <c r="K247" s="67">
        <f>IFERROR(SUMIF(#REF!,B247,#REF!)*((#REF!-#REF!)/#REF!),0)</f>
        <v>0</v>
      </c>
      <c r="L247" s="68">
        <f t="shared" si="61"/>
        <v>0</v>
      </c>
      <c r="M247" s="67">
        <f>IFERROR(SUMIF(体外式膜型人工肺!$C$30:$C$74,B247,体外式膜型人工肺!$N$30:$N$74)*((体外式膜型人工肺!$H$3-体外式膜型人工肺!$I$3)/体外式膜型人工肺!$H$3),0)</f>
        <v>0</v>
      </c>
      <c r="N247" s="68">
        <f t="shared" si="62"/>
        <v>0</v>
      </c>
      <c r="O247" s="68">
        <f t="shared" si="63"/>
        <v>0</v>
      </c>
      <c r="P247" s="68">
        <f t="shared" si="64"/>
        <v>0</v>
      </c>
      <c r="Q247" s="67">
        <f>IFERROR(SUMIF(紫外線照射装置!$C$30:$C$74,B247,紫外線照射装置!$N$30:$N$74)*((紫外線照射装置!$H$3-紫外線照射装置!$I$3)/紫外線照射装置!$H$3),0)</f>
        <v>0</v>
      </c>
      <c r="R247" s="68">
        <f t="shared" si="65"/>
        <v>0</v>
      </c>
      <c r="S247" s="101">
        <f t="shared" si="66"/>
        <v>0</v>
      </c>
      <c r="T247" s="67">
        <f>IFERROR(SUMIF(超音波画像診断装置!$C$30:$C$74,B247,超音波画像診断装置!$K$30:$K$74)*((超音波画像診断装置!$H$3-超音波画像診断装置!$I$3)/超音波画像診断装置!$H$3),0)</f>
        <v>0</v>
      </c>
      <c r="U247" s="68">
        <f t="shared" si="67"/>
        <v>0</v>
      </c>
      <c r="V247" s="67">
        <f>IFERROR(SUMIF(血液浄化装置!$C$30:$C$74,B247,血液浄化装置!$K$30:$K$74)*((血液浄化装置!$H$3-血液浄化装置!$I$3)/血液浄化装置!$H$3),0)</f>
        <v>0</v>
      </c>
      <c r="W247" s="68">
        <f t="shared" si="68"/>
        <v>0</v>
      </c>
      <c r="X247" s="67">
        <f>IFERROR(SUMIF(気管支鏡!$C$30:$C$74,B247,気管支鏡!$K$30:$K$74)*((気管支鏡!$H$3-気管支鏡!$I$3)/気管支鏡!$H$3),0)</f>
        <v>0</v>
      </c>
      <c r="Y247" s="68">
        <f t="shared" si="54"/>
        <v>0</v>
      </c>
      <c r="Z247" s="67">
        <f>IFERROR(SUMIF(CT撮影装置!$C$30:$C$74,B247,CT撮影装置!$K$30:$K$74)*((CT撮影装置!$H$3-CT撮影装置!$I$3)/CT撮影装置!$H$3),0)</f>
        <v>0</v>
      </c>
      <c r="AA247" s="68">
        <f t="shared" si="69"/>
        <v>0</v>
      </c>
      <c r="AB247" s="67">
        <f>IFERROR(SUMIF(生体情報モニタ!$C$30:$C$74,B247,生体情報モニタ!$K$30:$K$74)*((生体情報モニタ!$H$3-生体情報モニタ!$I$3)/生体情報モニタ!$H$3),0)</f>
        <v>0</v>
      </c>
      <c r="AC247" s="68">
        <f t="shared" si="55"/>
        <v>0</v>
      </c>
      <c r="AD247" s="67">
        <f>IFERROR(SUMIF(分娩監視装置!$C$30:$C$74,B247,分娩監視装置!$K$30:$K$74)*((分娩監視装置!$H$3-分娩監視装置!$I$3)/分娩監視装置!$H$3),0)</f>
        <v>0</v>
      </c>
      <c r="AE247" s="68">
        <f t="shared" si="70"/>
        <v>0</v>
      </c>
      <c r="AF247" s="67">
        <f>IFERROR(SUMIF(新生児モニタ!$C$30:$C$74,B247,新生児モニタ!$K$30:$K$74)*((新生児モニタ!$H$3-新生児モニタ!$I$3)/新生児モニタ!$H$3),0)</f>
        <v>0</v>
      </c>
      <c r="AG247" s="68">
        <f t="shared" si="71"/>
        <v>0</v>
      </c>
    </row>
    <row r="248" spans="2:33">
      <c r="B248" s="64" t="s">
        <v>895</v>
      </c>
      <c r="C248" s="67">
        <f>IFERROR(SUMIF(初度設備!$C$30:$C$74,B248,初度設備!$N$30:$N$74)*((初度設備!$H$3-初度設備!$I$3)/初度設備!$H$3),0)</f>
        <v>0</v>
      </c>
      <c r="D248" s="68">
        <f t="shared" si="56"/>
        <v>0</v>
      </c>
      <c r="E248" s="67">
        <f>IFERROR(SUMIF(人工呼吸器!$C$30:$C$74,B248,人工呼吸器!$N$30:$N$74)*((人工呼吸器!$H$3-人工呼吸器!$I$3)/人工呼吸器!$H$3),0)</f>
        <v>0</v>
      </c>
      <c r="F248" s="68">
        <f t="shared" si="57"/>
        <v>0</v>
      </c>
      <c r="G248" s="68">
        <f t="shared" si="58"/>
        <v>0</v>
      </c>
      <c r="H248" s="68">
        <f t="shared" si="59"/>
        <v>0</v>
      </c>
      <c r="I248" s="67">
        <f>IFERROR(SUMIF(簡易陰圧装置!$C$30:$C$74,B248,簡易陰圧装置!$N$30:$N$74)*((簡易陰圧装置!$H$3-簡易陰圧装置!$I$3)/簡易陰圧装置!$H$3),0)</f>
        <v>0</v>
      </c>
      <c r="J248" s="68">
        <f t="shared" si="60"/>
        <v>0</v>
      </c>
      <c r="K248" s="67">
        <f>IFERROR(SUMIF(#REF!,B248,#REF!)*((#REF!-#REF!)/#REF!),0)</f>
        <v>0</v>
      </c>
      <c r="L248" s="68">
        <f t="shared" si="61"/>
        <v>0</v>
      </c>
      <c r="M248" s="67">
        <f>IFERROR(SUMIF(体外式膜型人工肺!$C$30:$C$74,B248,体外式膜型人工肺!$N$30:$N$74)*((体外式膜型人工肺!$H$3-体外式膜型人工肺!$I$3)/体外式膜型人工肺!$H$3),0)</f>
        <v>0</v>
      </c>
      <c r="N248" s="68">
        <f t="shared" si="62"/>
        <v>0</v>
      </c>
      <c r="O248" s="68">
        <f t="shared" si="63"/>
        <v>0</v>
      </c>
      <c r="P248" s="68">
        <f t="shared" si="64"/>
        <v>0</v>
      </c>
      <c r="Q248" s="67">
        <f>IFERROR(SUMIF(紫外線照射装置!$C$30:$C$74,B248,紫外線照射装置!$N$30:$N$74)*((紫外線照射装置!$H$3-紫外線照射装置!$I$3)/紫外線照射装置!$H$3),0)</f>
        <v>0</v>
      </c>
      <c r="R248" s="68">
        <f t="shared" si="65"/>
        <v>0</v>
      </c>
      <c r="S248" s="101">
        <f t="shared" si="66"/>
        <v>0</v>
      </c>
      <c r="T248" s="67">
        <f>IFERROR(SUMIF(超音波画像診断装置!$C$30:$C$74,B248,超音波画像診断装置!$K$30:$K$74)*((超音波画像診断装置!$H$3-超音波画像診断装置!$I$3)/超音波画像診断装置!$H$3),0)</f>
        <v>0</v>
      </c>
      <c r="U248" s="68">
        <f t="shared" si="67"/>
        <v>0</v>
      </c>
      <c r="V248" s="67">
        <f>IFERROR(SUMIF(血液浄化装置!$C$30:$C$74,B248,血液浄化装置!$K$30:$K$74)*((血液浄化装置!$H$3-血液浄化装置!$I$3)/血液浄化装置!$H$3),0)</f>
        <v>0</v>
      </c>
      <c r="W248" s="68">
        <f t="shared" si="68"/>
        <v>0</v>
      </c>
      <c r="X248" s="67">
        <f>IFERROR(SUMIF(気管支鏡!$C$30:$C$74,B248,気管支鏡!$K$30:$K$74)*((気管支鏡!$H$3-気管支鏡!$I$3)/気管支鏡!$H$3),0)</f>
        <v>0</v>
      </c>
      <c r="Y248" s="68">
        <f t="shared" si="54"/>
        <v>0</v>
      </c>
      <c r="Z248" s="67">
        <f>IFERROR(SUMIF(CT撮影装置!$C$30:$C$74,B248,CT撮影装置!$K$30:$K$74)*((CT撮影装置!$H$3-CT撮影装置!$I$3)/CT撮影装置!$H$3),0)</f>
        <v>0</v>
      </c>
      <c r="AA248" s="68">
        <f t="shared" si="69"/>
        <v>0</v>
      </c>
      <c r="AB248" s="67">
        <f>IFERROR(SUMIF(生体情報モニタ!$C$30:$C$74,B248,生体情報モニタ!$K$30:$K$74)*((生体情報モニタ!$H$3-生体情報モニタ!$I$3)/生体情報モニタ!$H$3),0)</f>
        <v>0</v>
      </c>
      <c r="AC248" s="68">
        <f t="shared" si="55"/>
        <v>0</v>
      </c>
      <c r="AD248" s="67">
        <f>IFERROR(SUMIF(分娩監視装置!$C$30:$C$74,B248,分娩監視装置!$K$30:$K$74)*((分娩監視装置!$H$3-分娩監視装置!$I$3)/分娩監視装置!$H$3),0)</f>
        <v>0</v>
      </c>
      <c r="AE248" s="68">
        <f t="shared" si="70"/>
        <v>0</v>
      </c>
      <c r="AF248" s="67">
        <f>IFERROR(SUMIF(新生児モニタ!$C$30:$C$74,B248,新生児モニタ!$K$30:$K$74)*((新生児モニタ!$H$3-新生児モニタ!$I$3)/新生児モニタ!$H$3),0)</f>
        <v>0</v>
      </c>
      <c r="AG248" s="68">
        <f t="shared" si="71"/>
        <v>0</v>
      </c>
    </row>
    <row r="249" spans="2:33">
      <c r="B249" s="64" t="s">
        <v>896</v>
      </c>
      <c r="C249" s="67">
        <f>IFERROR(SUMIF(初度設備!$C$30:$C$74,B249,初度設備!$N$30:$N$74)*((初度設備!$H$3-初度設備!$I$3)/初度設備!$H$3),0)</f>
        <v>0</v>
      </c>
      <c r="D249" s="68">
        <f t="shared" si="56"/>
        <v>0</v>
      </c>
      <c r="E249" s="67">
        <f>IFERROR(SUMIF(人工呼吸器!$C$30:$C$74,B249,人工呼吸器!$N$30:$N$74)*((人工呼吸器!$H$3-人工呼吸器!$I$3)/人工呼吸器!$H$3),0)</f>
        <v>0</v>
      </c>
      <c r="F249" s="68">
        <f t="shared" si="57"/>
        <v>0</v>
      </c>
      <c r="G249" s="68">
        <f t="shared" si="58"/>
        <v>0</v>
      </c>
      <c r="H249" s="68">
        <f t="shared" si="59"/>
        <v>0</v>
      </c>
      <c r="I249" s="67">
        <f>IFERROR(SUMIF(簡易陰圧装置!$C$30:$C$74,B249,簡易陰圧装置!$N$30:$N$74)*((簡易陰圧装置!$H$3-簡易陰圧装置!$I$3)/簡易陰圧装置!$H$3),0)</f>
        <v>0</v>
      </c>
      <c r="J249" s="68">
        <f t="shared" si="60"/>
        <v>0</v>
      </c>
      <c r="K249" s="67">
        <f>IFERROR(SUMIF(#REF!,B249,#REF!)*((#REF!-#REF!)/#REF!),0)</f>
        <v>0</v>
      </c>
      <c r="L249" s="68">
        <f t="shared" si="61"/>
        <v>0</v>
      </c>
      <c r="M249" s="67">
        <f>IFERROR(SUMIF(体外式膜型人工肺!$C$30:$C$74,B249,体外式膜型人工肺!$N$30:$N$74)*((体外式膜型人工肺!$H$3-体外式膜型人工肺!$I$3)/体外式膜型人工肺!$H$3),0)</f>
        <v>0</v>
      </c>
      <c r="N249" s="68">
        <f t="shared" si="62"/>
        <v>0</v>
      </c>
      <c r="O249" s="68">
        <f t="shared" si="63"/>
        <v>0</v>
      </c>
      <c r="P249" s="68">
        <f t="shared" si="64"/>
        <v>0</v>
      </c>
      <c r="Q249" s="67">
        <f>IFERROR(SUMIF(紫外線照射装置!$C$30:$C$74,B249,紫外線照射装置!$N$30:$N$74)*((紫外線照射装置!$H$3-紫外線照射装置!$I$3)/紫外線照射装置!$H$3),0)</f>
        <v>0</v>
      </c>
      <c r="R249" s="68">
        <f t="shared" si="65"/>
        <v>0</v>
      </c>
      <c r="S249" s="101">
        <f t="shared" si="66"/>
        <v>0</v>
      </c>
      <c r="T249" s="67">
        <f>IFERROR(SUMIF(超音波画像診断装置!$C$30:$C$74,B249,超音波画像診断装置!$K$30:$K$74)*((超音波画像診断装置!$H$3-超音波画像診断装置!$I$3)/超音波画像診断装置!$H$3),0)</f>
        <v>0</v>
      </c>
      <c r="U249" s="68">
        <f t="shared" si="67"/>
        <v>0</v>
      </c>
      <c r="V249" s="67">
        <f>IFERROR(SUMIF(血液浄化装置!$C$30:$C$74,B249,血液浄化装置!$K$30:$K$74)*((血液浄化装置!$H$3-血液浄化装置!$I$3)/血液浄化装置!$H$3),0)</f>
        <v>0</v>
      </c>
      <c r="W249" s="68">
        <f t="shared" si="68"/>
        <v>0</v>
      </c>
      <c r="X249" s="67">
        <f>IFERROR(SUMIF(気管支鏡!$C$30:$C$74,B249,気管支鏡!$K$30:$K$74)*((気管支鏡!$H$3-気管支鏡!$I$3)/気管支鏡!$H$3),0)</f>
        <v>0</v>
      </c>
      <c r="Y249" s="68">
        <f t="shared" si="54"/>
        <v>0</v>
      </c>
      <c r="Z249" s="67">
        <f>IFERROR(SUMIF(CT撮影装置!$C$30:$C$74,B249,CT撮影装置!$K$30:$K$74)*((CT撮影装置!$H$3-CT撮影装置!$I$3)/CT撮影装置!$H$3),0)</f>
        <v>0</v>
      </c>
      <c r="AA249" s="68">
        <f t="shared" si="69"/>
        <v>0</v>
      </c>
      <c r="AB249" s="67">
        <f>IFERROR(SUMIF(生体情報モニタ!$C$30:$C$74,B249,生体情報モニタ!$K$30:$K$74)*((生体情報モニタ!$H$3-生体情報モニタ!$I$3)/生体情報モニタ!$H$3),0)</f>
        <v>0</v>
      </c>
      <c r="AC249" s="68">
        <f t="shared" si="55"/>
        <v>0</v>
      </c>
      <c r="AD249" s="67">
        <f>IFERROR(SUMIF(分娩監視装置!$C$30:$C$74,B249,分娩監視装置!$K$30:$K$74)*((分娩監視装置!$H$3-分娩監視装置!$I$3)/分娩監視装置!$H$3),0)</f>
        <v>0</v>
      </c>
      <c r="AE249" s="68">
        <f t="shared" si="70"/>
        <v>0</v>
      </c>
      <c r="AF249" s="67">
        <f>IFERROR(SUMIF(新生児モニタ!$C$30:$C$74,B249,新生児モニタ!$K$30:$K$74)*((新生児モニタ!$H$3-新生児モニタ!$I$3)/新生児モニタ!$H$3),0)</f>
        <v>0</v>
      </c>
      <c r="AG249" s="68">
        <f t="shared" si="71"/>
        <v>0</v>
      </c>
    </row>
    <row r="250" spans="2:33">
      <c r="B250" s="64" t="s">
        <v>897</v>
      </c>
      <c r="C250" s="67">
        <f>IFERROR(SUMIF(初度設備!$C$30:$C$74,B250,初度設備!$N$30:$N$74)*((初度設備!$H$3-初度設備!$I$3)/初度設備!$H$3),0)</f>
        <v>0</v>
      </c>
      <c r="D250" s="68">
        <f t="shared" si="56"/>
        <v>0</v>
      </c>
      <c r="E250" s="67">
        <f>IFERROR(SUMIF(人工呼吸器!$C$30:$C$74,B250,人工呼吸器!$N$30:$N$74)*((人工呼吸器!$H$3-人工呼吸器!$I$3)/人工呼吸器!$H$3),0)</f>
        <v>0</v>
      </c>
      <c r="F250" s="68">
        <f t="shared" si="57"/>
        <v>0</v>
      </c>
      <c r="G250" s="68">
        <f t="shared" si="58"/>
        <v>0</v>
      </c>
      <c r="H250" s="68">
        <f t="shared" si="59"/>
        <v>0</v>
      </c>
      <c r="I250" s="67">
        <f>IFERROR(SUMIF(簡易陰圧装置!$C$30:$C$74,B250,簡易陰圧装置!$N$30:$N$74)*((簡易陰圧装置!$H$3-簡易陰圧装置!$I$3)/簡易陰圧装置!$H$3),0)</f>
        <v>0</v>
      </c>
      <c r="J250" s="68">
        <f t="shared" si="60"/>
        <v>0</v>
      </c>
      <c r="K250" s="67">
        <f>IFERROR(SUMIF(#REF!,B250,#REF!)*((#REF!-#REF!)/#REF!),0)</f>
        <v>0</v>
      </c>
      <c r="L250" s="68">
        <f t="shared" si="61"/>
        <v>0</v>
      </c>
      <c r="M250" s="67">
        <f>IFERROR(SUMIF(体外式膜型人工肺!$C$30:$C$74,B250,体外式膜型人工肺!$N$30:$N$74)*((体外式膜型人工肺!$H$3-体外式膜型人工肺!$I$3)/体外式膜型人工肺!$H$3),0)</f>
        <v>0</v>
      </c>
      <c r="N250" s="68">
        <f t="shared" si="62"/>
        <v>0</v>
      </c>
      <c r="O250" s="68">
        <f t="shared" si="63"/>
        <v>0</v>
      </c>
      <c r="P250" s="68">
        <f t="shared" si="64"/>
        <v>0</v>
      </c>
      <c r="Q250" s="67">
        <f>IFERROR(SUMIF(紫外線照射装置!$C$30:$C$74,B250,紫外線照射装置!$N$30:$N$74)*((紫外線照射装置!$H$3-紫外線照射装置!$I$3)/紫外線照射装置!$H$3),0)</f>
        <v>0</v>
      </c>
      <c r="R250" s="68">
        <f t="shared" si="65"/>
        <v>0</v>
      </c>
      <c r="S250" s="101">
        <f t="shared" si="66"/>
        <v>0</v>
      </c>
      <c r="T250" s="67">
        <f>IFERROR(SUMIF(超音波画像診断装置!$C$30:$C$74,B250,超音波画像診断装置!$K$30:$K$74)*((超音波画像診断装置!$H$3-超音波画像診断装置!$I$3)/超音波画像診断装置!$H$3),0)</f>
        <v>0</v>
      </c>
      <c r="U250" s="68">
        <f t="shared" si="67"/>
        <v>0</v>
      </c>
      <c r="V250" s="67">
        <f>IFERROR(SUMIF(血液浄化装置!$C$30:$C$74,B250,血液浄化装置!$K$30:$K$74)*((血液浄化装置!$H$3-血液浄化装置!$I$3)/血液浄化装置!$H$3),0)</f>
        <v>0</v>
      </c>
      <c r="W250" s="68">
        <f t="shared" si="68"/>
        <v>0</v>
      </c>
      <c r="X250" s="67">
        <f>IFERROR(SUMIF(気管支鏡!$C$30:$C$74,B250,気管支鏡!$K$30:$K$74)*((気管支鏡!$H$3-気管支鏡!$I$3)/気管支鏡!$H$3),0)</f>
        <v>0</v>
      </c>
      <c r="Y250" s="68">
        <f t="shared" si="54"/>
        <v>0</v>
      </c>
      <c r="Z250" s="67">
        <f>IFERROR(SUMIF(CT撮影装置!$C$30:$C$74,B250,CT撮影装置!$K$30:$K$74)*((CT撮影装置!$H$3-CT撮影装置!$I$3)/CT撮影装置!$H$3),0)</f>
        <v>0</v>
      </c>
      <c r="AA250" s="68">
        <f t="shared" si="69"/>
        <v>0</v>
      </c>
      <c r="AB250" s="67">
        <f>IFERROR(SUMIF(生体情報モニタ!$C$30:$C$74,B250,生体情報モニタ!$K$30:$K$74)*((生体情報モニタ!$H$3-生体情報モニタ!$I$3)/生体情報モニタ!$H$3),0)</f>
        <v>0</v>
      </c>
      <c r="AC250" s="68">
        <f t="shared" si="55"/>
        <v>0</v>
      </c>
      <c r="AD250" s="67">
        <f>IFERROR(SUMIF(分娩監視装置!$C$30:$C$74,B250,分娩監視装置!$K$30:$K$74)*((分娩監視装置!$H$3-分娩監視装置!$I$3)/分娩監視装置!$H$3),0)</f>
        <v>0</v>
      </c>
      <c r="AE250" s="68">
        <f t="shared" si="70"/>
        <v>0</v>
      </c>
      <c r="AF250" s="67">
        <f>IFERROR(SUMIF(新生児モニタ!$C$30:$C$74,B250,新生児モニタ!$K$30:$K$74)*((新生児モニタ!$H$3-新生児モニタ!$I$3)/新生児モニタ!$H$3),0)</f>
        <v>0</v>
      </c>
      <c r="AG250" s="68">
        <f t="shared" si="71"/>
        <v>0</v>
      </c>
    </row>
    <row r="251" spans="2:33">
      <c r="B251" s="64" t="s">
        <v>898</v>
      </c>
      <c r="C251" s="67">
        <f>IFERROR(SUMIF(初度設備!$C$30:$C$74,B251,初度設備!$N$30:$N$74)*((初度設備!$H$3-初度設備!$I$3)/初度設備!$H$3),0)</f>
        <v>0</v>
      </c>
      <c r="D251" s="68">
        <f t="shared" si="56"/>
        <v>0</v>
      </c>
      <c r="E251" s="67">
        <f>IFERROR(SUMIF(人工呼吸器!$C$30:$C$74,B251,人工呼吸器!$N$30:$N$74)*((人工呼吸器!$H$3-人工呼吸器!$I$3)/人工呼吸器!$H$3),0)</f>
        <v>0</v>
      </c>
      <c r="F251" s="68">
        <f t="shared" si="57"/>
        <v>0</v>
      </c>
      <c r="G251" s="68">
        <f t="shared" si="58"/>
        <v>0</v>
      </c>
      <c r="H251" s="68">
        <f t="shared" si="59"/>
        <v>0</v>
      </c>
      <c r="I251" s="67">
        <f>IFERROR(SUMIF(簡易陰圧装置!$C$30:$C$74,B251,簡易陰圧装置!$N$30:$N$74)*((簡易陰圧装置!$H$3-簡易陰圧装置!$I$3)/簡易陰圧装置!$H$3),0)</f>
        <v>0</v>
      </c>
      <c r="J251" s="68">
        <f t="shared" si="60"/>
        <v>0</v>
      </c>
      <c r="K251" s="67">
        <f>IFERROR(SUMIF(#REF!,B251,#REF!)*((#REF!-#REF!)/#REF!),0)</f>
        <v>0</v>
      </c>
      <c r="L251" s="68">
        <f t="shared" si="61"/>
        <v>0</v>
      </c>
      <c r="M251" s="67">
        <f>IFERROR(SUMIF(体外式膜型人工肺!$C$30:$C$74,B251,体外式膜型人工肺!$N$30:$N$74)*((体外式膜型人工肺!$H$3-体外式膜型人工肺!$I$3)/体外式膜型人工肺!$H$3),0)</f>
        <v>0</v>
      </c>
      <c r="N251" s="68">
        <f t="shared" si="62"/>
        <v>0</v>
      </c>
      <c r="O251" s="68">
        <f t="shared" si="63"/>
        <v>0</v>
      </c>
      <c r="P251" s="68">
        <f t="shared" si="64"/>
        <v>0</v>
      </c>
      <c r="Q251" s="67">
        <f>IFERROR(SUMIF(紫外線照射装置!$C$30:$C$74,B251,紫外線照射装置!$N$30:$N$74)*((紫外線照射装置!$H$3-紫外線照射装置!$I$3)/紫外線照射装置!$H$3),0)</f>
        <v>0</v>
      </c>
      <c r="R251" s="68">
        <f t="shared" si="65"/>
        <v>0</v>
      </c>
      <c r="S251" s="101">
        <f t="shared" si="66"/>
        <v>0</v>
      </c>
      <c r="T251" s="67">
        <f>IFERROR(SUMIF(超音波画像診断装置!$C$30:$C$74,B251,超音波画像診断装置!$K$30:$K$74)*((超音波画像診断装置!$H$3-超音波画像診断装置!$I$3)/超音波画像診断装置!$H$3),0)</f>
        <v>0</v>
      </c>
      <c r="U251" s="68">
        <f t="shared" si="67"/>
        <v>0</v>
      </c>
      <c r="V251" s="67">
        <f>IFERROR(SUMIF(血液浄化装置!$C$30:$C$74,B251,血液浄化装置!$K$30:$K$74)*((血液浄化装置!$H$3-血液浄化装置!$I$3)/血液浄化装置!$H$3),0)</f>
        <v>0</v>
      </c>
      <c r="W251" s="68">
        <f t="shared" si="68"/>
        <v>0</v>
      </c>
      <c r="X251" s="67">
        <f>IFERROR(SUMIF(気管支鏡!$C$30:$C$74,B251,気管支鏡!$K$30:$K$74)*((気管支鏡!$H$3-気管支鏡!$I$3)/気管支鏡!$H$3),0)</f>
        <v>0</v>
      </c>
      <c r="Y251" s="68">
        <f t="shared" si="54"/>
        <v>0</v>
      </c>
      <c r="Z251" s="67">
        <f>IFERROR(SUMIF(CT撮影装置!$C$30:$C$74,B251,CT撮影装置!$K$30:$K$74)*((CT撮影装置!$H$3-CT撮影装置!$I$3)/CT撮影装置!$H$3),0)</f>
        <v>0</v>
      </c>
      <c r="AA251" s="68">
        <f t="shared" si="69"/>
        <v>0</v>
      </c>
      <c r="AB251" s="67">
        <f>IFERROR(SUMIF(生体情報モニタ!$C$30:$C$74,B251,生体情報モニタ!$K$30:$K$74)*((生体情報モニタ!$H$3-生体情報モニタ!$I$3)/生体情報モニタ!$H$3),0)</f>
        <v>0</v>
      </c>
      <c r="AC251" s="68">
        <f t="shared" si="55"/>
        <v>0</v>
      </c>
      <c r="AD251" s="67">
        <f>IFERROR(SUMIF(分娩監視装置!$C$30:$C$74,B251,分娩監視装置!$K$30:$K$74)*((分娩監視装置!$H$3-分娩監視装置!$I$3)/分娩監視装置!$H$3),0)</f>
        <v>0</v>
      </c>
      <c r="AE251" s="68">
        <f t="shared" si="70"/>
        <v>0</v>
      </c>
      <c r="AF251" s="67">
        <f>IFERROR(SUMIF(新生児モニタ!$C$30:$C$74,B251,新生児モニタ!$K$30:$K$74)*((新生児モニタ!$H$3-新生児モニタ!$I$3)/新生児モニタ!$H$3),0)</f>
        <v>0</v>
      </c>
      <c r="AG251" s="68">
        <f t="shared" si="71"/>
        <v>0</v>
      </c>
    </row>
    <row r="252" spans="2:33">
      <c r="B252" s="64" t="s">
        <v>899</v>
      </c>
      <c r="C252" s="67">
        <f>IFERROR(SUMIF(初度設備!$C$30:$C$74,B252,初度設備!$N$30:$N$74)*((初度設備!$H$3-初度設備!$I$3)/初度設備!$H$3),0)</f>
        <v>0</v>
      </c>
      <c r="D252" s="68">
        <f t="shared" si="56"/>
        <v>0</v>
      </c>
      <c r="E252" s="67">
        <f>IFERROR(SUMIF(人工呼吸器!$C$30:$C$74,B252,人工呼吸器!$N$30:$N$74)*((人工呼吸器!$H$3-人工呼吸器!$I$3)/人工呼吸器!$H$3),0)</f>
        <v>0</v>
      </c>
      <c r="F252" s="68">
        <f t="shared" si="57"/>
        <v>0</v>
      </c>
      <c r="G252" s="68">
        <f t="shared" si="58"/>
        <v>0</v>
      </c>
      <c r="H252" s="68">
        <f t="shared" si="59"/>
        <v>0</v>
      </c>
      <c r="I252" s="67">
        <f>IFERROR(SUMIF(簡易陰圧装置!$C$30:$C$74,B252,簡易陰圧装置!$N$30:$N$74)*((簡易陰圧装置!$H$3-簡易陰圧装置!$I$3)/簡易陰圧装置!$H$3),0)</f>
        <v>0</v>
      </c>
      <c r="J252" s="68">
        <f t="shared" si="60"/>
        <v>0</v>
      </c>
      <c r="K252" s="67">
        <f>IFERROR(SUMIF(#REF!,B252,#REF!)*((#REF!-#REF!)/#REF!),0)</f>
        <v>0</v>
      </c>
      <c r="L252" s="68">
        <f t="shared" si="61"/>
        <v>0</v>
      </c>
      <c r="M252" s="67">
        <f>IFERROR(SUMIF(体外式膜型人工肺!$C$30:$C$74,B252,体外式膜型人工肺!$N$30:$N$74)*((体外式膜型人工肺!$H$3-体外式膜型人工肺!$I$3)/体外式膜型人工肺!$H$3),0)</f>
        <v>0</v>
      </c>
      <c r="N252" s="68">
        <f t="shared" si="62"/>
        <v>0</v>
      </c>
      <c r="O252" s="68">
        <f t="shared" si="63"/>
        <v>0</v>
      </c>
      <c r="P252" s="68">
        <f t="shared" si="64"/>
        <v>0</v>
      </c>
      <c r="Q252" s="67">
        <f>IFERROR(SUMIF(紫外線照射装置!$C$30:$C$74,B252,紫外線照射装置!$N$30:$N$74)*((紫外線照射装置!$H$3-紫外線照射装置!$I$3)/紫外線照射装置!$H$3),0)</f>
        <v>0</v>
      </c>
      <c r="R252" s="68">
        <f t="shared" si="65"/>
        <v>0</v>
      </c>
      <c r="S252" s="101">
        <f t="shared" si="66"/>
        <v>0</v>
      </c>
      <c r="T252" s="67">
        <f>IFERROR(SUMIF(超音波画像診断装置!$C$30:$C$74,B252,超音波画像診断装置!$K$30:$K$74)*((超音波画像診断装置!$H$3-超音波画像診断装置!$I$3)/超音波画像診断装置!$H$3),0)</f>
        <v>0</v>
      </c>
      <c r="U252" s="68">
        <f t="shared" si="67"/>
        <v>0</v>
      </c>
      <c r="V252" s="67">
        <f>IFERROR(SUMIF(血液浄化装置!$C$30:$C$74,B252,血液浄化装置!$K$30:$K$74)*((血液浄化装置!$H$3-血液浄化装置!$I$3)/血液浄化装置!$H$3),0)</f>
        <v>0</v>
      </c>
      <c r="W252" s="68">
        <f t="shared" si="68"/>
        <v>0</v>
      </c>
      <c r="X252" s="67">
        <f>IFERROR(SUMIF(気管支鏡!$C$30:$C$74,B252,気管支鏡!$K$30:$K$74)*((気管支鏡!$H$3-気管支鏡!$I$3)/気管支鏡!$H$3),0)</f>
        <v>0</v>
      </c>
      <c r="Y252" s="68">
        <f t="shared" si="54"/>
        <v>0</v>
      </c>
      <c r="Z252" s="67">
        <f>IFERROR(SUMIF(CT撮影装置!$C$30:$C$74,B252,CT撮影装置!$K$30:$K$74)*((CT撮影装置!$H$3-CT撮影装置!$I$3)/CT撮影装置!$H$3),0)</f>
        <v>0</v>
      </c>
      <c r="AA252" s="68">
        <f t="shared" si="69"/>
        <v>0</v>
      </c>
      <c r="AB252" s="67">
        <f>IFERROR(SUMIF(生体情報モニタ!$C$30:$C$74,B252,生体情報モニタ!$K$30:$K$74)*((生体情報モニタ!$H$3-生体情報モニタ!$I$3)/生体情報モニタ!$H$3),0)</f>
        <v>0</v>
      </c>
      <c r="AC252" s="68">
        <f t="shared" si="55"/>
        <v>0</v>
      </c>
      <c r="AD252" s="67">
        <f>IFERROR(SUMIF(分娩監視装置!$C$30:$C$74,B252,分娩監視装置!$K$30:$K$74)*((分娩監視装置!$H$3-分娩監視装置!$I$3)/分娩監視装置!$H$3),0)</f>
        <v>0</v>
      </c>
      <c r="AE252" s="68">
        <f t="shared" si="70"/>
        <v>0</v>
      </c>
      <c r="AF252" s="67">
        <f>IFERROR(SUMIF(新生児モニタ!$C$30:$C$74,B252,新生児モニタ!$K$30:$K$74)*((新生児モニタ!$H$3-新生児モニタ!$I$3)/新生児モニタ!$H$3),0)</f>
        <v>0</v>
      </c>
      <c r="AG252" s="68">
        <f t="shared" si="71"/>
        <v>0</v>
      </c>
    </row>
    <row r="253" spans="2:33">
      <c r="B253" s="64" t="s">
        <v>900</v>
      </c>
      <c r="C253" s="67">
        <f>IFERROR(SUMIF(初度設備!$C$30:$C$74,B253,初度設備!$N$30:$N$74)*((初度設備!$H$3-初度設備!$I$3)/初度設備!$H$3),0)</f>
        <v>0</v>
      </c>
      <c r="D253" s="68">
        <f t="shared" si="56"/>
        <v>0</v>
      </c>
      <c r="E253" s="67">
        <f>IFERROR(SUMIF(人工呼吸器!$C$30:$C$74,B253,人工呼吸器!$N$30:$N$74)*((人工呼吸器!$H$3-人工呼吸器!$I$3)/人工呼吸器!$H$3),0)</f>
        <v>0</v>
      </c>
      <c r="F253" s="68">
        <f t="shared" si="57"/>
        <v>0</v>
      </c>
      <c r="G253" s="68">
        <f t="shared" si="58"/>
        <v>0</v>
      </c>
      <c r="H253" s="68">
        <f t="shared" si="59"/>
        <v>0</v>
      </c>
      <c r="I253" s="67">
        <f>IFERROR(SUMIF(簡易陰圧装置!$C$30:$C$74,B253,簡易陰圧装置!$N$30:$N$74)*((簡易陰圧装置!$H$3-簡易陰圧装置!$I$3)/簡易陰圧装置!$H$3),0)</f>
        <v>0</v>
      </c>
      <c r="J253" s="68">
        <f t="shared" si="60"/>
        <v>0</v>
      </c>
      <c r="K253" s="67">
        <f>IFERROR(SUMIF(#REF!,B253,#REF!)*((#REF!-#REF!)/#REF!),0)</f>
        <v>0</v>
      </c>
      <c r="L253" s="68">
        <f t="shared" si="61"/>
        <v>0</v>
      </c>
      <c r="M253" s="67">
        <f>IFERROR(SUMIF(体外式膜型人工肺!$C$30:$C$74,B253,体外式膜型人工肺!$N$30:$N$74)*((体外式膜型人工肺!$H$3-体外式膜型人工肺!$I$3)/体外式膜型人工肺!$H$3),0)</f>
        <v>0</v>
      </c>
      <c r="N253" s="68">
        <f t="shared" si="62"/>
        <v>0</v>
      </c>
      <c r="O253" s="68">
        <f t="shared" si="63"/>
        <v>0</v>
      </c>
      <c r="P253" s="68">
        <f t="shared" si="64"/>
        <v>0</v>
      </c>
      <c r="Q253" s="67">
        <f>IFERROR(SUMIF(紫外線照射装置!$C$30:$C$74,B253,紫外線照射装置!$N$30:$N$74)*((紫外線照射装置!$H$3-紫外線照射装置!$I$3)/紫外線照射装置!$H$3),0)</f>
        <v>0</v>
      </c>
      <c r="R253" s="68">
        <f t="shared" si="65"/>
        <v>0</v>
      </c>
      <c r="S253" s="101">
        <f t="shared" si="66"/>
        <v>0</v>
      </c>
      <c r="T253" s="67">
        <f>IFERROR(SUMIF(超音波画像診断装置!$C$30:$C$74,B253,超音波画像診断装置!$K$30:$K$74)*((超音波画像診断装置!$H$3-超音波画像診断装置!$I$3)/超音波画像診断装置!$H$3),0)</f>
        <v>0</v>
      </c>
      <c r="U253" s="68">
        <f t="shared" si="67"/>
        <v>0</v>
      </c>
      <c r="V253" s="67">
        <f>IFERROR(SUMIF(血液浄化装置!$C$30:$C$74,B253,血液浄化装置!$K$30:$K$74)*((血液浄化装置!$H$3-血液浄化装置!$I$3)/血液浄化装置!$H$3),0)</f>
        <v>0</v>
      </c>
      <c r="W253" s="68">
        <f t="shared" si="68"/>
        <v>0</v>
      </c>
      <c r="X253" s="67">
        <f>IFERROR(SUMIF(気管支鏡!$C$30:$C$74,B253,気管支鏡!$K$30:$K$74)*((気管支鏡!$H$3-気管支鏡!$I$3)/気管支鏡!$H$3),0)</f>
        <v>0</v>
      </c>
      <c r="Y253" s="68">
        <f t="shared" si="54"/>
        <v>0</v>
      </c>
      <c r="Z253" s="67">
        <f>IFERROR(SUMIF(CT撮影装置!$C$30:$C$74,B253,CT撮影装置!$K$30:$K$74)*((CT撮影装置!$H$3-CT撮影装置!$I$3)/CT撮影装置!$H$3),0)</f>
        <v>0</v>
      </c>
      <c r="AA253" s="68">
        <f t="shared" si="69"/>
        <v>0</v>
      </c>
      <c r="AB253" s="67">
        <f>IFERROR(SUMIF(生体情報モニタ!$C$30:$C$74,B253,生体情報モニタ!$K$30:$K$74)*((生体情報モニタ!$H$3-生体情報モニタ!$I$3)/生体情報モニタ!$H$3),0)</f>
        <v>0</v>
      </c>
      <c r="AC253" s="68">
        <f t="shared" si="55"/>
        <v>0</v>
      </c>
      <c r="AD253" s="67">
        <f>IFERROR(SUMIF(分娩監視装置!$C$30:$C$74,B253,分娩監視装置!$K$30:$K$74)*((分娩監視装置!$H$3-分娩監視装置!$I$3)/分娩監視装置!$H$3),0)</f>
        <v>0</v>
      </c>
      <c r="AE253" s="68">
        <f t="shared" si="70"/>
        <v>0</v>
      </c>
      <c r="AF253" s="67">
        <f>IFERROR(SUMIF(新生児モニタ!$C$30:$C$74,B253,新生児モニタ!$K$30:$K$74)*((新生児モニタ!$H$3-新生児モニタ!$I$3)/新生児モニタ!$H$3),0)</f>
        <v>0</v>
      </c>
      <c r="AG253" s="68">
        <f t="shared" si="71"/>
        <v>0</v>
      </c>
    </row>
    <row r="254" spans="2:33">
      <c r="B254" s="64" t="s">
        <v>901</v>
      </c>
      <c r="C254" s="67">
        <f>IFERROR(SUMIF(初度設備!$C$30:$C$74,B254,初度設備!$N$30:$N$74)*((初度設備!$H$3-初度設備!$I$3)/初度設備!$H$3),0)</f>
        <v>0</v>
      </c>
      <c r="D254" s="68">
        <f t="shared" si="56"/>
        <v>0</v>
      </c>
      <c r="E254" s="67">
        <f>IFERROR(SUMIF(人工呼吸器!$C$30:$C$74,B254,人工呼吸器!$N$30:$N$74)*((人工呼吸器!$H$3-人工呼吸器!$I$3)/人工呼吸器!$H$3),0)</f>
        <v>0</v>
      </c>
      <c r="F254" s="68">
        <f t="shared" si="57"/>
        <v>0</v>
      </c>
      <c r="G254" s="68">
        <f t="shared" si="58"/>
        <v>0</v>
      </c>
      <c r="H254" s="68">
        <f t="shared" si="59"/>
        <v>0</v>
      </c>
      <c r="I254" s="67">
        <f>IFERROR(SUMIF(簡易陰圧装置!$C$30:$C$74,B254,簡易陰圧装置!$N$30:$N$74)*((簡易陰圧装置!$H$3-簡易陰圧装置!$I$3)/簡易陰圧装置!$H$3),0)</f>
        <v>0</v>
      </c>
      <c r="J254" s="68">
        <f t="shared" si="60"/>
        <v>0</v>
      </c>
      <c r="K254" s="67">
        <f>IFERROR(SUMIF(#REF!,B254,#REF!)*((#REF!-#REF!)/#REF!),0)</f>
        <v>0</v>
      </c>
      <c r="L254" s="68">
        <f t="shared" si="61"/>
        <v>0</v>
      </c>
      <c r="M254" s="67">
        <f>IFERROR(SUMIF(体外式膜型人工肺!$C$30:$C$74,B254,体外式膜型人工肺!$N$30:$N$74)*((体外式膜型人工肺!$H$3-体外式膜型人工肺!$I$3)/体外式膜型人工肺!$H$3),0)</f>
        <v>0</v>
      </c>
      <c r="N254" s="68">
        <f t="shared" si="62"/>
        <v>0</v>
      </c>
      <c r="O254" s="68">
        <f t="shared" si="63"/>
        <v>0</v>
      </c>
      <c r="P254" s="68">
        <f t="shared" si="64"/>
        <v>0</v>
      </c>
      <c r="Q254" s="67">
        <f>IFERROR(SUMIF(紫外線照射装置!$C$30:$C$74,B254,紫外線照射装置!$N$30:$N$74)*((紫外線照射装置!$H$3-紫外線照射装置!$I$3)/紫外線照射装置!$H$3),0)</f>
        <v>0</v>
      </c>
      <c r="R254" s="68">
        <f t="shared" si="65"/>
        <v>0</v>
      </c>
      <c r="S254" s="101">
        <f t="shared" si="66"/>
        <v>0</v>
      </c>
      <c r="T254" s="67">
        <f>IFERROR(SUMIF(超音波画像診断装置!$C$30:$C$74,B254,超音波画像診断装置!$K$30:$K$74)*((超音波画像診断装置!$H$3-超音波画像診断装置!$I$3)/超音波画像診断装置!$H$3),0)</f>
        <v>0</v>
      </c>
      <c r="U254" s="68">
        <f t="shared" si="67"/>
        <v>0</v>
      </c>
      <c r="V254" s="67">
        <f>IFERROR(SUMIF(血液浄化装置!$C$30:$C$74,B254,血液浄化装置!$K$30:$K$74)*((血液浄化装置!$H$3-血液浄化装置!$I$3)/血液浄化装置!$H$3),0)</f>
        <v>0</v>
      </c>
      <c r="W254" s="68">
        <f t="shared" si="68"/>
        <v>0</v>
      </c>
      <c r="X254" s="67">
        <f>IFERROR(SUMIF(気管支鏡!$C$30:$C$74,B254,気管支鏡!$K$30:$K$74)*((気管支鏡!$H$3-気管支鏡!$I$3)/気管支鏡!$H$3),0)</f>
        <v>0</v>
      </c>
      <c r="Y254" s="68">
        <f t="shared" si="54"/>
        <v>0</v>
      </c>
      <c r="Z254" s="67">
        <f>IFERROR(SUMIF(CT撮影装置!$C$30:$C$74,B254,CT撮影装置!$K$30:$K$74)*((CT撮影装置!$H$3-CT撮影装置!$I$3)/CT撮影装置!$H$3),0)</f>
        <v>0</v>
      </c>
      <c r="AA254" s="68">
        <f t="shared" si="69"/>
        <v>0</v>
      </c>
      <c r="AB254" s="67">
        <f>IFERROR(SUMIF(生体情報モニタ!$C$30:$C$74,B254,生体情報モニタ!$K$30:$K$74)*((生体情報モニタ!$H$3-生体情報モニタ!$I$3)/生体情報モニタ!$H$3),0)</f>
        <v>0</v>
      </c>
      <c r="AC254" s="68">
        <f t="shared" si="55"/>
        <v>0</v>
      </c>
      <c r="AD254" s="67">
        <f>IFERROR(SUMIF(分娩監視装置!$C$30:$C$74,B254,分娩監視装置!$K$30:$K$74)*((分娩監視装置!$H$3-分娩監視装置!$I$3)/分娩監視装置!$H$3),0)</f>
        <v>0</v>
      </c>
      <c r="AE254" s="68">
        <f t="shared" si="70"/>
        <v>0</v>
      </c>
      <c r="AF254" s="67">
        <f>IFERROR(SUMIF(新生児モニタ!$C$30:$C$74,B254,新生児モニタ!$K$30:$K$74)*((新生児モニタ!$H$3-新生児モニタ!$I$3)/新生児モニタ!$H$3),0)</f>
        <v>0</v>
      </c>
      <c r="AG254" s="68">
        <f t="shared" si="71"/>
        <v>0</v>
      </c>
    </row>
    <row r="255" spans="2:33">
      <c r="B255" s="64" t="s">
        <v>902</v>
      </c>
      <c r="C255" s="67">
        <f>IFERROR(SUMIF(初度設備!$C$30:$C$74,B255,初度設備!$N$30:$N$74)*((初度設備!$H$3-初度設備!$I$3)/初度設備!$H$3),0)</f>
        <v>0</v>
      </c>
      <c r="D255" s="68">
        <f t="shared" si="56"/>
        <v>0</v>
      </c>
      <c r="E255" s="67">
        <f>IFERROR(SUMIF(人工呼吸器!$C$30:$C$74,B255,人工呼吸器!$N$30:$N$74)*((人工呼吸器!$H$3-人工呼吸器!$I$3)/人工呼吸器!$H$3),0)</f>
        <v>0</v>
      </c>
      <c r="F255" s="68">
        <f t="shared" si="57"/>
        <v>0</v>
      </c>
      <c r="G255" s="68">
        <f t="shared" si="58"/>
        <v>0</v>
      </c>
      <c r="H255" s="68">
        <f t="shared" si="59"/>
        <v>0</v>
      </c>
      <c r="I255" s="67">
        <f>IFERROR(SUMIF(簡易陰圧装置!$C$30:$C$74,B255,簡易陰圧装置!$N$30:$N$74)*((簡易陰圧装置!$H$3-簡易陰圧装置!$I$3)/簡易陰圧装置!$H$3),0)</f>
        <v>0</v>
      </c>
      <c r="J255" s="68">
        <f t="shared" si="60"/>
        <v>0</v>
      </c>
      <c r="K255" s="67">
        <f>IFERROR(SUMIF(#REF!,B255,#REF!)*((#REF!-#REF!)/#REF!),0)</f>
        <v>0</v>
      </c>
      <c r="L255" s="68">
        <f t="shared" si="61"/>
        <v>0</v>
      </c>
      <c r="M255" s="67">
        <f>IFERROR(SUMIF(体外式膜型人工肺!$C$30:$C$74,B255,体外式膜型人工肺!$N$30:$N$74)*((体外式膜型人工肺!$H$3-体外式膜型人工肺!$I$3)/体外式膜型人工肺!$H$3),0)</f>
        <v>0</v>
      </c>
      <c r="N255" s="68">
        <f t="shared" si="62"/>
        <v>0</v>
      </c>
      <c r="O255" s="68">
        <f t="shared" si="63"/>
        <v>0</v>
      </c>
      <c r="P255" s="68">
        <f t="shared" si="64"/>
        <v>0</v>
      </c>
      <c r="Q255" s="67">
        <f>IFERROR(SUMIF(紫外線照射装置!$C$30:$C$74,B255,紫外線照射装置!$N$30:$N$74)*((紫外線照射装置!$H$3-紫外線照射装置!$I$3)/紫外線照射装置!$H$3),0)</f>
        <v>0</v>
      </c>
      <c r="R255" s="68">
        <f t="shared" si="65"/>
        <v>0</v>
      </c>
      <c r="S255" s="101">
        <f t="shared" si="66"/>
        <v>0</v>
      </c>
      <c r="T255" s="67">
        <f>IFERROR(SUMIF(超音波画像診断装置!$C$30:$C$74,B255,超音波画像診断装置!$K$30:$K$74)*((超音波画像診断装置!$H$3-超音波画像診断装置!$I$3)/超音波画像診断装置!$H$3),0)</f>
        <v>0</v>
      </c>
      <c r="U255" s="68">
        <f t="shared" si="67"/>
        <v>0</v>
      </c>
      <c r="V255" s="67">
        <f>IFERROR(SUMIF(血液浄化装置!$C$30:$C$74,B255,血液浄化装置!$K$30:$K$74)*((血液浄化装置!$H$3-血液浄化装置!$I$3)/血液浄化装置!$H$3),0)</f>
        <v>0</v>
      </c>
      <c r="W255" s="68">
        <f t="shared" si="68"/>
        <v>0</v>
      </c>
      <c r="X255" s="67">
        <f>IFERROR(SUMIF(気管支鏡!$C$30:$C$74,B255,気管支鏡!$K$30:$K$74)*((気管支鏡!$H$3-気管支鏡!$I$3)/気管支鏡!$H$3),0)</f>
        <v>0</v>
      </c>
      <c r="Y255" s="68">
        <f t="shared" si="54"/>
        <v>0</v>
      </c>
      <c r="Z255" s="67">
        <f>IFERROR(SUMIF(CT撮影装置!$C$30:$C$74,B255,CT撮影装置!$K$30:$K$74)*((CT撮影装置!$H$3-CT撮影装置!$I$3)/CT撮影装置!$H$3),0)</f>
        <v>0</v>
      </c>
      <c r="AA255" s="68">
        <f t="shared" si="69"/>
        <v>0</v>
      </c>
      <c r="AB255" s="67">
        <f>IFERROR(SUMIF(生体情報モニタ!$C$30:$C$74,B255,生体情報モニタ!$K$30:$K$74)*((生体情報モニタ!$H$3-生体情報モニタ!$I$3)/生体情報モニタ!$H$3),0)</f>
        <v>0</v>
      </c>
      <c r="AC255" s="68">
        <f t="shared" si="55"/>
        <v>0</v>
      </c>
      <c r="AD255" s="67">
        <f>IFERROR(SUMIF(分娩監視装置!$C$30:$C$74,B255,分娩監視装置!$K$30:$K$74)*((分娩監視装置!$H$3-分娩監視装置!$I$3)/分娩監視装置!$H$3),0)</f>
        <v>0</v>
      </c>
      <c r="AE255" s="68">
        <f t="shared" si="70"/>
        <v>0</v>
      </c>
      <c r="AF255" s="67">
        <f>IFERROR(SUMIF(新生児モニタ!$C$30:$C$74,B255,新生児モニタ!$K$30:$K$74)*((新生児モニタ!$H$3-新生児モニタ!$I$3)/新生児モニタ!$H$3),0)</f>
        <v>0</v>
      </c>
      <c r="AG255" s="68">
        <f t="shared" si="71"/>
        <v>0</v>
      </c>
    </row>
    <row r="256" spans="2:33">
      <c r="B256" s="64" t="s">
        <v>903</v>
      </c>
      <c r="C256" s="67">
        <f>IFERROR(SUMIF(初度設備!$C$30:$C$74,B256,初度設備!$N$30:$N$74)*((初度設備!$H$3-初度設備!$I$3)/初度設備!$H$3),0)</f>
        <v>0</v>
      </c>
      <c r="D256" s="68">
        <f t="shared" si="56"/>
        <v>0</v>
      </c>
      <c r="E256" s="67">
        <f>IFERROR(SUMIF(人工呼吸器!$C$30:$C$74,B256,人工呼吸器!$N$30:$N$74)*((人工呼吸器!$H$3-人工呼吸器!$I$3)/人工呼吸器!$H$3),0)</f>
        <v>0</v>
      </c>
      <c r="F256" s="68">
        <f t="shared" si="57"/>
        <v>0</v>
      </c>
      <c r="G256" s="68">
        <f t="shared" si="58"/>
        <v>0</v>
      </c>
      <c r="H256" s="68">
        <f t="shared" si="59"/>
        <v>0</v>
      </c>
      <c r="I256" s="67">
        <f>IFERROR(SUMIF(簡易陰圧装置!$C$30:$C$74,B256,簡易陰圧装置!$N$30:$N$74)*((簡易陰圧装置!$H$3-簡易陰圧装置!$I$3)/簡易陰圧装置!$H$3),0)</f>
        <v>0</v>
      </c>
      <c r="J256" s="68">
        <f t="shared" si="60"/>
        <v>0</v>
      </c>
      <c r="K256" s="67">
        <f>IFERROR(SUMIF(#REF!,B256,#REF!)*((#REF!-#REF!)/#REF!),0)</f>
        <v>0</v>
      </c>
      <c r="L256" s="68">
        <f t="shared" si="61"/>
        <v>0</v>
      </c>
      <c r="M256" s="67">
        <f>IFERROR(SUMIF(体外式膜型人工肺!$C$30:$C$74,B256,体外式膜型人工肺!$N$30:$N$74)*((体外式膜型人工肺!$H$3-体外式膜型人工肺!$I$3)/体外式膜型人工肺!$H$3),0)</f>
        <v>0</v>
      </c>
      <c r="N256" s="68">
        <f t="shared" si="62"/>
        <v>0</v>
      </c>
      <c r="O256" s="68">
        <f t="shared" si="63"/>
        <v>0</v>
      </c>
      <c r="P256" s="68">
        <f t="shared" si="64"/>
        <v>0</v>
      </c>
      <c r="Q256" s="67">
        <f>IFERROR(SUMIF(紫外線照射装置!$C$30:$C$74,B256,紫外線照射装置!$N$30:$N$74)*((紫外線照射装置!$H$3-紫外線照射装置!$I$3)/紫外線照射装置!$H$3),0)</f>
        <v>0</v>
      </c>
      <c r="R256" s="68">
        <f t="shared" si="65"/>
        <v>0</v>
      </c>
      <c r="S256" s="101">
        <f t="shared" si="66"/>
        <v>0</v>
      </c>
      <c r="T256" s="67">
        <f>IFERROR(SUMIF(超音波画像診断装置!$C$30:$C$74,B256,超音波画像診断装置!$K$30:$K$74)*((超音波画像診断装置!$H$3-超音波画像診断装置!$I$3)/超音波画像診断装置!$H$3),0)</f>
        <v>0</v>
      </c>
      <c r="U256" s="68">
        <f t="shared" si="67"/>
        <v>0</v>
      </c>
      <c r="V256" s="67">
        <f>IFERROR(SUMIF(血液浄化装置!$C$30:$C$74,B256,血液浄化装置!$K$30:$K$74)*((血液浄化装置!$H$3-血液浄化装置!$I$3)/血液浄化装置!$H$3),0)</f>
        <v>0</v>
      </c>
      <c r="W256" s="68">
        <f t="shared" si="68"/>
        <v>0</v>
      </c>
      <c r="X256" s="67">
        <f>IFERROR(SUMIF(気管支鏡!$C$30:$C$74,B256,気管支鏡!$K$30:$K$74)*((気管支鏡!$H$3-気管支鏡!$I$3)/気管支鏡!$H$3),0)</f>
        <v>0</v>
      </c>
      <c r="Y256" s="68">
        <f t="shared" si="54"/>
        <v>0</v>
      </c>
      <c r="Z256" s="67">
        <f>IFERROR(SUMIF(CT撮影装置!$C$30:$C$74,B256,CT撮影装置!$K$30:$K$74)*((CT撮影装置!$H$3-CT撮影装置!$I$3)/CT撮影装置!$H$3),0)</f>
        <v>0</v>
      </c>
      <c r="AA256" s="68">
        <f t="shared" si="69"/>
        <v>0</v>
      </c>
      <c r="AB256" s="67">
        <f>IFERROR(SUMIF(生体情報モニタ!$C$30:$C$74,B256,生体情報モニタ!$K$30:$K$74)*((生体情報モニタ!$H$3-生体情報モニタ!$I$3)/生体情報モニタ!$H$3),0)</f>
        <v>0</v>
      </c>
      <c r="AC256" s="68">
        <f t="shared" si="55"/>
        <v>0</v>
      </c>
      <c r="AD256" s="67">
        <f>IFERROR(SUMIF(分娩監視装置!$C$30:$C$74,B256,分娩監視装置!$K$30:$K$74)*((分娩監視装置!$H$3-分娩監視装置!$I$3)/分娩監視装置!$H$3),0)</f>
        <v>0</v>
      </c>
      <c r="AE256" s="68">
        <f t="shared" si="70"/>
        <v>0</v>
      </c>
      <c r="AF256" s="67">
        <f>IFERROR(SUMIF(新生児モニタ!$C$30:$C$74,B256,新生児モニタ!$K$30:$K$74)*((新生児モニタ!$H$3-新生児モニタ!$I$3)/新生児モニタ!$H$3),0)</f>
        <v>0</v>
      </c>
      <c r="AG256" s="68">
        <f t="shared" si="71"/>
        <v>0</v>
      </c>
    </row>
    <row r="257" spans="2:33">
      <c r="B257" s="64" t="s">
        <v>904</v>
      </c>
      <c r="C257" s="67">
        <f>IFERROR(SUMIF(初度設備!$C$30:$C$74,B257,初度設備!$N$30:$N$74)*((初度設備!$H$3-初度設備!$I$3)/初度設備!$H$3),0)</f>
        <v>0</v>
      </c>
      <c r="D257" s="68">
        <f t="shared" si="56"/>
        <v>0</v>
      </c>
      <c r="E257" s="67">
        <f>IFERROR(SUMIF(人工呼吸器!$C$30:$C$74,B257,人工呼吸器!$N$30:$N$74)*((人工呼吸器!$H$3-人工呼吸器!$I$3)/人工呼吸器!$H$3),0)</f>
        <v>0</v>
      </c>
      <c r="F257" s="68">
        <f t="shared" si="57"/>
        <v>0</v>
      </c>
      <c r="G257" s="68">
        <f t="shared" si="58"/>
        <v>0</v>
      </c>
      <c r="H257" s="68">
        <f t="shared" si="59"/>
        <v>0</v>
      </c>
      <c r="I257" s="67">
        <f>IFERROR(SUMIF(簡易陰圧装置!$C$30:$C$74,B257,簡易陰圧装置!$N$30:$N$74)*((簡易陰圧装置!$H$3-簡易陰圧装置!$I$3)/簡易陰圧装置!$H$3),0)</f>
        <v>0</v>
      </c>
      <c r="J257" s="68">
        <f t="shared" si="60"/>
        <v>0</v>
      </c>
      <c r="K257" s="67">
        <f>IFERROR(SUMIF(#REF!,B257,#REF!)*((#REF!-#REF!)/#REF!),0)</f>
        <v>0</v>
      </c>
      <c r="L257" s="68">
        <f t="shared" si="61"/>
        <v>0</v>
      </c>
      <c r="M257" s="67">
        <f>IFERROR(SUMIF(体外式膜型人工肺!$C$30:$C$74,B257,体外式膜型人工肺!$N$30:$N$74)*((体外式膜型人工肺!$H$3-体外式膜型人工肺!$I$3)/体外式膜型人工肺!$H$3),0)</f>
        <v>0</v>
      </c>
      <c r="N257" s="68">
        <f t="shared" si="62"/>
        <v>0</v>
      </c>
      <c r="O257" s="68">
        <f t="shared" si="63"/>
        <v>0</v>
      </c>
      <c r="P257" s="68">
        <f t="shared" si="64"/>
        <v>0</v>
      </c>
      <c r="Q257" s="67">
        <f>IFERROR(SUMIF(紫外線照射装置!$C$30:$C$74,B257,紫外線照射装置!$N$30:$N$74)*((紫外線照射装置!$H$3-紫外線照射装置!$I$3)/紫外線照射装置!$H$3),0)</f>
        <v>0</v>
      </c>
      <c r="R257" s="68">
        <f t="shared" si="65"/>
        <v>0</v>
      </c>
      <c r="S257" s="101">
        <f t="shared" si="66"/>
        <v>0</v>
      </c>
      <c r="T257" s="67">
        <f>IFERROR(SUMIF(超音波画像診断装置!$C$30:$C$74,B257,超音波画像診断装置!$K$30:$K$74)*((超音波画像診断装置!$H$3-超音波画像診断装置!$I$3)/超音波画像診断装置!$H$3),0)</f>
        <v>0</v>
      </c>
      <c r="U257" s="68">
        <f t="shared" si="67"/>
        <v>0</v>
      </c>
      <c r="V257" s="67">
        <f>IFERROR(SUMIF(血液浄化装置!$C$30:$C$74,B257,血液浄化装置!$K$30:$K$74)*((血液浄化装置!$H$3-血液浄化装置!$I$3)/血液浄化装置!$H$3),0)</f>
        <v>0</v>
      </c>
      <c r="W257" s="68">
        <f t="shared" si="68"/>
        <v>0</v>
      </c>
      <c r="X257" s="67">
        <f>IFERROR(SUMIF(気管支鏡!$C$30:$C$74,B257,気管支鏡!$K$30:$K$74)*((気管支鏡!$H$3-気管支鏡!$I$3)/気管支鏡!$H$3),0)</f>
        <v>0</v>
      </c>
      <c r="Y257" s="68">
        <f t="shared" si="54"/>
        <v>0</v>
      </c>
      <c r="Z257" s="67">
        <f>IFERROR(SUMIF(CT撮影装置!$C$30:$C$74,B257,CT撮影装置!$K$30:$K$74)*((CT撮影装置!$H$3-CT撮影装置!$I$3)/CT撮影装置!$H$3),0)</f>
        <v>0</v>
      </c>
      <c r="AA257" s="68">
        <f t="shared" si="69"/>
        <v>0</v>
      </c>
      <c r="AB257" s="67">
        <f>IFERROR(SUMIF(生体情報モニタ!$C$30:$C$74,B257,生体情報モニタ!$K$30:$K$74)*((生体情報モニタ!$H$3-生体情報モニタ!$I$3)/生体情報モニタ!$H$3),0)</f>
        <v>0</v>
      </c>
      <c r="AC257" s="68">
        <f t="shared" si="55"/>
        <v>0</v>
      </c>
      <c r="AD257" s="67">
        <f>IFERROR(SUMIF(分娩監視装置!$C$30:$C$74,B257,分娩監視装置!$K$30:$K$74)*((分娩監視装置!$H$3-分娩監視装置!$I$3)/分娩監視装置!$H$3),0)</f>
        <v>0</v>
      </c>
      <c r="AE257" s="68">
        <f t="shared" si="70"/>
        <v>0</v>
      </c>
      <c r="AF257" s="67">
        <f>IFERROR(SUMIF(新生児モニタ!$C$30:$C$74,B257,新生児モニタ!$K$30:$K$74)*((新生児モニタ!$H$3-新生児モニタ!$I$3)/新生児モニタ!$H$3),0)</f>
        <v>0</v>
      </c>
      <c r="AG257" s="68">
        <f t="shared" si="71"/>
        <v>0</v>
      </c>
    </row>
    <row r="258" spans="2:33">
      <c r="B258" s="64" t="s">
        <v>905</v>
      </c>
      <c r="C258" s="67">
        <f>IFERROR(SUMIF(初度設備!$C$30:$C$74,B258,初度設備!$N$30:$N$74)*((初度設備!$H$3-初度設備!$I$3)/初度設備!$H$3),0)</f>
        <v>0</v>
      </c>
      <c r="D258" s="68">
        <f t="shared" si="56"/>
        <v>0</v>
      </c>
      <c r="E258" s="67">
        <f>IFERROR(SUMIF(人工呼吸器!$C$30:$C$74,B258,人工呼吸器!$N$30:$N$74)*((人工呼吸器!$H$3-人工呼吸器!$I$3)/人工呼吸器!$H$3),0)</f>
        <v>0</v>
      </c>
      <c r="F258" s="68">
        <f t="shared" si="57"/>
        <v>0</v>
      </c>
      <c r="G258" s="68">
        <f t="shared" si="58"/>
        <v>0</v>
      </c>
      <c r="H258" s="68">
        <f t="shared" si="59"/>
        <v>0</v>
      </c>
      <c r="I258" s="67">
        <f>IFERROR(SUMIF(簡易陰圧装置!$C$30:$C$74,B258,簡易陰圧装置!$N$30:$N$74)*((簡易陰圧装置!$H$3-簡易陰圧装置!$I$3)/簡易陰圧装置!$H$3),0)</f>
        <v>0</v>
      </c>
      <c r="J258" s="68">
        <f t="shared" si="60"/>
        <v>0</v>
      </c>
      <c r="K258" s="67">
        <f>IFERROR(SUMIF(#REF!,B258,#REF!)*((#REF!-#REF!)/#REF!),0)</f>
        <v>0</v>
      </c>
      <c r="L258" s="68">
        <f t="shared" si="61"/>
        <v>0</v>
      </c>
      <c r="M258" s="67">
        <f>IFERROR(SUMIF(体外式膜型人工肺!$C$30:$C$74,B258,体外式膜型人工肺!$N$30:$N$74)*((体外式膜型人工肺!$H$3-体外式膜型人工肺!$I$3)/体外式膜型人工肺!$H$3),0)</f>
        <v>0</v>
      </c>
      <c r="N258" s="68">
        <f t="shared" si="62"/>
        <v>0</v>
      </c>
      <c r="O258" s="68">
        <f t="shared" si="63"/>
        <v>0</v>
      </c>
      <c r="P258" s="68">
        <f t="shared" si="64"/>
        <v>0</v>
      </c>
      <c r="Q258" s="67">
        <f>IFERROR(SUMIF(紫外線照射装置!$C$30:$C$74,B258,紫外線照射装置!$N$30:$N$74)*((紫外線照射装置!$H$3-紫外線照射装置!$I$3)/紫外線照射装置!$H$3),0)</f>
        <v>0</v>
      </c>
      <c r="R258" s="68">
        <f t="shared" si="65"/>
        <v>0</v>
      </c>
      <c r="S258" s="101">
        <f t="shared" si="66"/>
        <v>0</v>
      </c>
      <c r="T258" s="67">
        <f>IFERROR(SUMIF(超音波画像診断装置!$C$30:$C$74,B258,超音波画像診断装置!$K$30:$K$74)*((超音波画像診断装置!$H$3-超音波画像診断装置!$I$3)/超音波画像診断装置!$H$3),0)</f>
        <v>0</v>
      </c>
      <c r="U258" s="68">
        <f t="shared" si="67"/>
        <v>0</v>
      </c>
      <c r="V258" s="67">
        <f>IFERROR(SUMIF(血液浄化装置!$C$30:$C$74,B258,血液浄化装置!$K$30:$K$74)*((血液浄化装置!$H$3-血液浄化装置!$I$3)/血液浄化装置!$H$3),0)</f>
        <v>0</v>
      </c>
      <c r="W258" s="68">
        <f t="shared" si="68"/>
        <v>0</v>
      </c>
      <c r="X258" s="67">
        <f>IFERROR(SUMIF(気管支鏡!$C$30:$C$74,B258,気管支鏡!$K$30:$K$74)*((気管支鏡!$H$3-気管支鏡!$I$3)/気管支鏡!$H$3),0)</f>
        <v>0</v>
      </c>
      <c r="Y258" s="68">
        <f t="shared" si="54"/>
        <v>0</v>
      </c>
      <c r="Z258" s="67">
        <f>IFERROR(SUMIF(CT撮影装置!$C$30:$C$74,B258,CT撮影装置!$K$30:$K$74)*((CT撮影装置!$H$3-CT撮影装置!$I$3)/CT撮影装置!$H$3),0)</f>
        <v>0</v>
      </c>
      <c r="AA258" s="68">
        <f t="shared" si="69"/>
        <v>0</v>
      </c>
      <c r="AB258" s="67">
        <f>IFERROR(SUMIF(生体情報モニタ!$C$30:$C$74,B258,生体情報モニタ!$K$30:$K$74)*((生体情報モニタ!$H$3-生体情報モニタ!$I$3)/生体情報モニタ!$H$3),0)</f>
        <v>0</v>
      </c>
      <c r="AC258" s="68">
        <f t="shared" si="55"/>
        <v>0</v>
      </c>
      <c r="AD258" s="67">
        <f>IFERROR(SUMIF(分娩監視装置!$C$30:$C$74,B258,分娩監視装置!$K$30:$K$74)*((分娩監視装置!$H$3-分娩監視装置!$I$3)/分娩監視装置!$H$3),0)</f>
        <v>0</v>
      </c>
      <c r="AE258" s="68">
        <f t="shared" si="70"/>
        <v>0</v>
      </c>
      <c r="AF258" s="67">
        <f>IFERROR(SUMIF(新生児モニタ!$C$30:$C$74,B258,新生児モニタ!$K$30:$K$74)*((新生児モニタ!$H$3-新生児モニタ!$I$3)/新生児モニタ!$H$3),0)</f>
        <v>0</v>
      </c>
      <c r="AG258" s="68">
        <f t="shared" si="71"/>
        <v>0</v>
      </c>
    </row>
    <row r="259" spans="2:33">
      <c r="B259" s="64" t="s">
        <v>906</v>
      </c>
      <c r="C259" s="67">
        <f>IFERROR(SUMIF(初度設備!$C$30:$C$74,B259,初度設備!$N$30:$N$74)*((初度設備!$H$3-初度設備!$I$3)/初度設備!$H$3),0)</f>
        <v>0</v>
      </c>
      <c r="D259" s="68">
        <f t="shared" si="56"/>
        <v>0</v>
      </c>
      <c r="E259" s="67">
        <f>IFERROR(SUMIF(人工呼吸器!$C$30:$C$74,B259,人工呼吸器!$N$30:$N$74)*((人工呼吸器!$H$3-人工呼吸器!$I$3)/人工呼吸器!$H$3),0)</f>
        <v>0</v>
      </c>
      <c r="F259" s="68">
        <f t="shared" si="57"/>
        <v>0</v>
      </c>
      <c r="G259" s="68">
        <f t="shared" si="58"/>
        <v>0</v>
      </c>
      <c r="H259" s="68">
        <f t="shared" si="59"/>
        <v>0</v>
      </c>
      <c r="I259" s="67">
        <f>IFERROR(SUMIF(簡易陰圧装置!$C$30:$C$74,B259,簡易陰圧装置!$N$30:$N$74)*((簡易陰圧装置!$H$3-簡易陰圧装置!$I$3)/簡易陰圧装置!$H$3),0)</f>
        <v>0</v>
      </c>
      <c r="J259" s="68">
        <f t="shared" si="60"/>
        <v>0</v>
      </c>
      <c r="K259" s="67">
        <f>IFERROR(SUMIF(#REF!,B259,#REF!)*((#REF!-#REF!)/#REF!),0)</f>
        <v>0</v>
      </c>
      <c r="L259" s="68">
        <f t="shared" si="61"/>
        <v>0</v>
      </c>
      <c r="M259" s="67">
        <f>IFERROR(SUMIF(体外式膜型人工肺!$C$30:$C$74,B259,体外式膜型人工肺!$N$30:$N$74)*((体外式膜型人工肺!$H$3-体外式膜型人工肺!$I$3)/体外式膜型人工肺!$H$3),0)</f>
        <v>0</v>
      </c>
      <c r="N259" s="68">
        <f t="shared" si="62"/>
        <v>0</v>
      </c>
      <c r="O259" s="68">
        <f t="shared" si="63"/>
        <v>0</v>
      </c>
      <c r="P259" s="68">
        <f t="shared" si="64"/>
        <v>0</v>
      </c>
      <c r="Q259" s="67">
        <f>IFERROR(SUMIF(紫外線照射装置!$C$30:$C$74,B259,紫外線照射装置!$N$30:$N$74)*((紫外線照射装置!$H$3-紫外線照射装置!$I$3)/紫外線照射装置!$H$3),0)</f>
        <v>0</v>
      </c>
      <c r="R259" s="68">
        <f t="shared" si="65"/>
        <v>0</v>
      </c>
      <c r="S259" s="101">
        <f t="shared" si="66"/>
        <v>0</v>
      </c>
      <c r="T259" s="67">
        <f>IFERROR(SUMIF(超音波画像診断装置!$C$30:$C$74,B259,超音波画像診断装置!$K$30:$K$74)*((超音波画像診断装置!$H$3-超音波画像診断装置!$I$3)/超音波画像診断装置!$H$3),0)</f>
        <v>0</v>
      </c>
      <c r="U259" s="68">
        <f t="shared" si="67"/>
        <v>0</v>
      </c>
      <c r="V259" s="67">
        <f>IFERROR(SUMIF(血液浄化装置!$C$30:$C$74,B259,血液浄化装置!$K$30:$K$74)*((血液浄化装置!$H$3-血液浄化装置!$I$3)/血液浄化装置!$H$3),0)</f>
        <v>0</v>
      </c>
      <c r="W259" s="68">
        <f t="shared" si="68"/>
        <v>0</v>
      </c>
      <c r="X259" s="67">
        <f>IFERROR(SUMIF(気管支鏡!$C$30:$C$74,B259,気管支鏡!$K$30:$K$74)*((気管支鏡!$H$3-気管支鏡!$I$3)/気管支鏡!$H$3),0)</f>
        <v>0</v>
      </c>
      <c r="Y259" s="68">
        <f t="shared" si="54"/>
        <v>0</v>
      </c>
      <c r="Z259" s="67">
        <f>IFERROR(SUMIF(CT撮影装置!$C$30:$C$74,B259,CT撮影装置!$K$30:$K$74)*((CT撮影装置!$H$3-CT撮影装置!$I$3)/CT撮影装置!$H$3),0)</f>
        <v>0</v>
      </c>
      <c r="AA259" s="68">
        <f t="shared" si="69"/>
        <v>0</v>
      </c>
      <c r="AB259" s="67">
        <f>IFERROR(SUMIF(生体情報モニタ!$C$30:$C$74,B259,生体情報モニタ!$K$30:$K$74)*((生体情報モニタ!$H$3-生体情報モニタ!$I$3)/生体情報モニタ!$H$3),0)</f>
        <v>0</v>
      </c>
      <c r="AC259" s="68">
        <f t="shared" si="55"/>
        <v>0</v>
      </c>
      <c r="AD259" s="67">
        <f>IFERROR(SUMIF(分娩監視装置!$C$30:$C$74,B259,分娩監視装置!$K$30:$K$74)*((分娩監視装置!$H$3-分娩監視装置!$I$3)/分娩監視装置!$H$3),0)</f>
        <v>0</v>
      </c>
      <c r="AE259" s="68">
        <f t="shared" si="70"/>
        <v>0</v>
      </c>
      <c r="AF259" s="67">
        <f>IFERROR(SUMIF(新生児モニタ!$C$30:$C$74,B259,新生児モニタ!$K$30:$K$74)*((新生児モニタ!$H$3-新生児モニタ!$I$3)/新生児モニタ!$H$3),0)</f>
        <v>0</v>
      </c>
      <c r="AG259" s="68">
        <f t="shared" si="71"/>
        <v>0</v>
      </c>
    </row>
    <row r="260" spans="2:33">
      <c r="B260" s="64" t="s">
        <v>907</v>
      </c>
      <c r="C260" s="67">
        <f>IFERROR(SUMIF(初度設備!$C$30:$C$74,B260,初度設備!$N$30:$N$74)*((初度設備!$H$3-初度設備!$I$3)/初度設備!$H$3),0)</f>
        <v>0</v>
      </c>
      <c r="D260" s="68">
        <f t="shared" si="56"/>
        <v>0</v>
      </c>
      <c r="E260" s="67">
        <f>IFERROR(SUMIF(人工呼吸器!$C$30:$C$74,B260,人工呼吸器!$N$30:$N$74)*((人工呼吸器!$H$3-人工呼吸器!$I$3)/人工呼吸器!$H$3),0)</f>
        <v>0</v>
      </c>
      <c r="F260" s="68">
        <f t="shared" si="57"/>
        <v>0</v>
      </c>
      <c r="G260" s="68">
        <f t="shared" si="58"/>
        <v>0</v>
      </c>
      <c r="H260" s="68">
        <f t="shared" si="59"/>
        <v>0</v>
      </c>
      <c r="I260" s="67">
        <f>IFERROR(SUMIF(簡易陰圧装置!$C$30:$C$74,B260,簡易陰圧装置!$N$30:$N$74)*((簡易陰圧装置!$H$3-簡易陰圧装置!$I$3)/簡易陰圧装置!$H$3),0)</f>
        <v>0</v>
      </c>
      <c r="J260" s="68">
        <f t="shared" si="60"/>
        <v>0</v>
      </c>
      <c r="K260" s="67">
        <f>IFERROR(SUMIF(#REF!,B260,#REF!)*((#REF!-#REF!)/#REF!),0)</f>
        <v>0</v>
      </c>
      <c r="L260" s="68">
        <f t="shared" si="61"/>
        <v>0</v>
      </c>
      <c r="M260" s="67">
        <f>IFERROR(SUMIF(体外式膜型人工肺!$C$30:$C$74,B260,体外式膜型人工肺!$N$30:$N$74)*((体外式膜型人工肺!$H$3-体外式膜型人工肺!$I$3)/体外式膜型人工肺!$H$3),0)</f>
        <v>0</v>
      </c>
      <c r="N260" s="68">
        <f t="shared" si="62"/>
        <v>0</v>
      </c>
      <c r="O260" s="68">
        <f t="shared" si="63"/>
        <v>0</v>
      </c>
      <c r="P260" s="68">
        <f t="shared" si="64"/>
        <v>0</v>
      </c>
      <c r="Q260" s="67">
        <f>IFERROR(SUMIF(紫外線照射装置!$C$30:$C$74,B260,紫外線照射装置!$N$30:$N$74)*((紫外線照射装置!$H$3-紫外線照射装置!$I$3)/紫外線照射装置!$H$3),0)</f>
        <v>0</v>
      </c>
      <c r="R260" s="68">
        <f t="shared" si="65"/>
        <v>0</v>
      </c>
      <c r="S260" s="101">
        <f t="shared" si="66"/>
        <v>0</v>
      </c>
      <c r="T260" s="67">
        <f>IFERROR(SUMIF(超音波画像診断装置!$C$30:$C$74,B260,超音波画像診断装置!$K$30:$K$74)*((超音波画像診断装置!$H$3-超音波画像診断装置!$I$3)/超音波画像診断装置!$H$3),0)</f>
        <v>0</v>
      </c>
      <c r="U260" s="68">
        <f t="shared" si="67"/>
        <v>0</v>
      </c>
      <c r="V260" s="67">
        <f>IFERROR(SUMIF(血液浄化装置!$C$30:$C$74,B260,血液浄化装置!$K$30:$K$74)*((血液浄化装置!$H$3-血液浄化装置!$I$3)/血液浄化装置!$H$3),0)</f>
        <v>0</v>
      </c>
      <c r="W260" s="68">
        <f t="shared" si="68"/>
        <v>0</v>
      </c>
      <c r="X260" s="67">
        <f>IFERROR(SUMIF(気管支鏡!$C$30:$C$74,B260,気管支鏡!$K$30:$K$74)*((気管支鏡!$H$3-気管支鏡!$I$3)/気管支鏡!$H$3),0)</f>
        <v>0</v>
      </c>
      <c r="Y260" s="68">
        <f t="shared" si="54"/>
        <v>0</v>
      </c>
      <c r="Z260" s="67">
        <f>IFERROR(SUMIF(CT撮影装置!$C$30:$C$74,B260,CT撮影装置!$K$30:$K$74)*((CT撮影装置!$H$3-CT撮影装置!$I$3)/CT撮影装置!$H$3),0)</f>
        <v>0</v>
      </c>
      <c r="AA260" s="68">
        <f t="shared" si="69"/>
        <v>0</v>
      </c>
      <c r="AB260" s="67">
        <f>IFERROR(SUMIF(生体情報モニタ!$C$30:$C$74,B260,生体情報モニタ!$K$30:$K$74)*((生体情報モニタ!$H$3-生体情報モニタ!$I$3)/生体情報モニタ!$H$3),0)</f>
        <v>0</v>
      </c>
      <c r="AC260" s="68">
        <f t="shared" si="55"/>
        <v>0</v>
      </c>
      <c r="AD260" s="67">
        <f>IFERROR(SUMIF(分娩監視装置!$C$30:$C$74,B260,分娩監視装置!$K$30:$K$74)*((分娩監視装置!$H$3-分娩監視装置!$I$3)/分娩監視装置!$H$3),0)</f>
        <v>0</v>
      </c>
      <c r="AE260" s="68">
        <f t="shared" si="70"/>
        <v>0</v>
      </c>
      <c r="AF260" s="67">
        <f>IFERROR(SUMIF(新生児モニタ!$C$30:$C$74,B260,新生児モニタ!$K$30:$K$74)*((新生児モニタ!$H$3-新生児モニタ!$I$3)/新生児モニタ!$H$3),0)</f>
        <v>0</v>
      </c>
      <c r="AG260" s="68">
        <f t="shared" si="71"/>
        <v>0</v>
      </c>
    </row>
    <row r="261" spans="2:33">
      <c r="B261" s="64" t="s">
        <v>908</v>
      </c>
      <c r="C261" s="67">
        <f>IFERROR(SUMIF(初度設備!$C$30:$C$74,B261,初度設備!$N$30:$N$74)*((初度設備!$H$3-初度設備!$I$3)/初度設備!$H$3),0)</f>
        <v>0</v>
      </c>
      <c r="D261" s="68">
        <f t="shared" si="56"/>
        <v>0</v>
      </c>
      <c r="E261" s="67">
        <f>IFERROR(SUMIF(人工呼吸器!$C$30:$C$74,B261,人工呼吸器!$N$30:$N$74)*((人工呼吸器!$H$3-人工呼吸器!$I$3)/人工呼吸器!$H$3),0)</f>
        <v>0</v>
      </c>
      <c r="F261" s="68">
        <f t="shared" si="57"/>
        <v>0</v>
      </c>
      <c r="G261" s="68">
        <f t="shared" si="58"/>
        <v>0</v>
      </c>
      <c r="H261" s="68">
        <f t="shared" si="59"/>
        <v>0</v>
      </c>
      <c r="I261" s="67">
        <f>IFERROR(SUMIF(簡易陰圧装置!$C$30:$C$74,B261,簡易陰圧装置!$N$30:$N$74)*((簡易陰圧装置!$H$3-簡易陰圧装置!$I$3)/簡易陰圧装置!$H$3),0)</f>
        <v>0</v>
      </c>
      <c r="J261" s="68">
        <f t="shared" si="60"/>
        <v>0</v>
      </c>
      <c r="K261" s="67">
        <f>IFERROR(SUMIF(#REF!,B261,#REF!)*((#REF!-#REF!)/#REF!),0)</f>
        <v>0</v>
      </c>
      <c r="L261" s="68">
        <f t="shared" si="61"/>
        <v>0</v>
      </c>
      <c r="M261" s="67">
        <f>IFERROR(SUMIF(体外式膜型人工肺!$C$30:$C$74,B261,体外式膜型人工肺!$N$30:$N$74)*((体外式膜型人工肺!$H$3-体外式膜型人工肺!$I$3)/体外式膜型人工肺!$H$3),0)</f>
        <v>0</v>
      </c>
      <c r="N261" s="68">
        <f t="shared" si="62"/>
        <v>0</v>
      </c>
      <c r="O261" s="68">
        <f t="shared" si="63"/>
        <v>0</v>
      </c>
      <c r="P261" s="68">
        <f t="shared" si="64"/>
        <v>0</v>
      </c>
      <c r="Q261" s="67">
        <f>IFERROR(SUMIF(紫外線照射装置!$C$30:$C$74,B261,紫外線照射装置!$N$30:$N$74)*((紫外線照射装置!$H$3-紫外線照射装置!$I$3)/紫外線照射装置!$H$3),0)</f>
        <v>0</v>
      </c>
      <c r="R261" s="68">
        <f t="shared" si="65"/>
        <v>0</v>
      </c>
      <c r="S261" s="101">
        <f t="shared" si="66"/>
        <v>0</v>
      </c>
      <c r="T261" s="67">
        <f>IFERROR(SUMIF(超音波画像診断装置!$C$30:$C$74,B261,超音波画像診断装置!$K$30:$K$74)*((超音波画像診断装置!$H$3-超音波画像診断装置!$I$3)/超音波画像診断装置!$H$3),0)</f>
        <v>0</v>
      </c>
      <c r="U261" s="68">
        <f t="shared" si="67"/>
        <v>0</v>
      </c>
      <c r="V261" s="67">
        <f>IFERROR(SUMIF(血液浄化装置!$C$30:$C$74,B261,血液浄化装置!$K$30:$K$74)*((血液浄化装置!$H$3-血液浄化装置!$I$3)/血液浄化装置!$H$3),0)</f>
        <v>0</v>
      </c>
      <c r="W261" s="68">
        <f t="shared" si="68"/>
        <v>0</v>
      </c>
      <c r="X261" s="67">
        <f>IFERROR(SUMIF(気管支鏡!$C$30:$C$74,B261,気管支鏡!$K$30:$K$74)*((気管支鏡!$H$3-気管支鏡!$I$3)/気管支鏡!$H$3),0)</f>
        <v>0</v>
      </c>
      <c r="Y261" s="68">
        <f t="shared" si="54"/>
        <v>0</v>
      </c>
      <c r="Z261" s="67">
        <f>IFERROR(SUMIF(CT撮影装置!$C$30:$C$74,B261,CT撮影装置!$K$30:$K$74)*((CT撮影装置!$H$3-CT撮影装置!$I$3)/CT撮影装置!$H$3),0)</f>
        <v>0</v>
      </c>
      <c r="AA261" s="68">
        <f t="shared" si="69"/>
        <v>0</v>
      </c>
      <c r="AB261" s="67">
        <f>IFERROR(SUMIF(生体情報モニタ!$C$30:$C$74,B261,生体情報モニタ!$K$30:$K$74)*((生体情報モニタ!$H$3-生体情報モニタ!$I$3)/生体情報モニタ!$H$3),0)</f>
        <v>0</v>
      </c>
      <c r="AC261" s="68">
        <f t="shared" si="55"/>
        <v>0</v>
      </c>
      <c r="AD261" s="67">
        <f>IFERROR(SUMIF(分娩監視装置!$C$30:$C$74,B261,分娩監視装置!$K$30:$K$74)*((分娩監視装置!$H$3-分娩監視装置!$I$3)/分娩監視装置!$H$3),0)</f>
        <v>0</v>
      </c>
      <c r="AE261" s="68">
        <f t="shared" si="70"/>
        <v>0</v>
      </c>
      <c r="AF261" s="67">
        <f>IFERROR(SUMIF(新生児モニタ!$C$30:$C$74,B261,新生児モニタ!$K$30:$K$74)*((新生児モニタ!$H$3-新生児モニタ!$I$3)/新生児モニタ!$H$3),0)</f>
        <v>0</v>
      </c>
      <c r="AG261" s="68">
        <f t="shared" si="71"/>
        <v>0</v>
      </c>
    </row>
    <row r="262" spans="2:33">
      <c r="B262" s="64" t="s">
        <v>909</v>
      </c>
      <c r="C262" s="67">
        <f>IFERROR(SUMIF(初度設備!$C$30:$C$74,B262,初度設備!$N$30:$N$74)*((初度設備!$H$3-初度設備!$I$3)/初度設備!$H$3),0)</f>
        <v>0</v>
      </c>
      <c r="D262" s="68">
        <f t="shared" si="56"/>
        <v>0</v>
      </c>
      <c r="E262" s="67">
        <f>IFERROR(SUMIF(人工呼吸器!$C$30:$C$74,B262,人工呼吸器!$N$30:$N$74)*((人工呼吸器!$H$3-人工呼吸器!$I$3)/人工呼吸器!$H$3),0)</f>
        <v>0</v>
      </c>
      <c r="F262" s="68">
        <f t="shared" si="57"/>
        <v>0</v>
      </c>
      <c r="G262" s="68">
        <f t="shared" si="58"/>
        <v>0</v>
      </c>
      <c r="H262" s="68">
        <f t="shared" si="59"/>
        <v>0</v>
      </c>
      <c r="I262" s="67">
        <f>IFERROR(SUMIF(簡易陰圧装置!$C$30:$C$74,B262,簡易陰圧装置!$N$30:$N$74)*((簡易陰圧装置!$H$3-簡易陰圧装置!$I$3)/簡易陰圧装置!$H$3),0)</f>
        <v>0</v>
      </c>
      <c r="J262" s="68">
        <f t="shared" si="60"/>
        <v>0</v>
      </c>
      <c r="K262" s="67">
        <f>IFERROR(SUMIF(#REF!,B262,#REF!)*((#REF!-#REF!)/#REF!),0)</f>
        <v>0</v>
      </c>
      <c r="L262" s="68">
        <f t="shared" si="61"/>
        <v>0</v>
      </c>
      <c r="M262" s="67">
        <f>IFERROR(SUMIF(体外式膜型人工肺!$C$30:$C$74,B262,体外式膜型人工肺!$N$30:$N$74)*((体外式膜型人工肺!$H$3-体外式膜型人工肺!$I$3)/体外式膜型人工肺!$H$3),0)</f>
        <v>0</v>
      </c>
      <c r="N262" s="68">
        <f t="shared" si="62"/>
        <v>0</v>
      </c>
      <c r="O262" s="68">
        <f t="shared" si="63"/>
        <v>0</v>
      </c>
      <c r="P262" s="68">
        <f t="shared" si="64"/>
        <v>0</v>
      </c>
      <c r="Q262" s="67">
        <f>IFERROR(SUMIF(紫外線照射装置!$C$30:$C$74,B262,紫外線照射装置!$N$30:$N$74)*((紫外線照射装置!$H$3-紫外線照射装置!$I$3)/紫外線照射装置!$H$3),0)</f>
        <v>0</v>
      </c>
      <c r="R262" s="68">
        <f t="shared" si="65"/>
        <v>0</v>
      </c>
      <c r="S262" s="101">
        <f t="shared" si="66"/>
        <v>0</v>
      </c>
      <c r="T262" s="67">
        <f>IFERROR(SUMIF(超音波画像診断装置!$C$30:$C$74,B262,超音波画像診断装置!$K$30:$K$74)*((超音波画像診断装置!$H$3-超音波画像診断装置!$I$3)/超音波画像診断装置!$H$3),0)</f>
        <v>0</v>
      </c>
      <c r="U262" s="68">
        <f t="shared" si="67"/>
        <v>0</v>
      </c>
      <c r="V262" s="67">
        <f>IFERROR(SUMIF(血液浄化装置!$C$30:$C$74,B262,血液浄化装置!$K$30:$K$74)*((血液浄化装置!$H$3-血液浄化装置!$I$3)/血液浄化装置!$H$3),0)</f>
        <v>0</v>
      </c>
      <c r="W262" s="68">
        <f t="shared" si="68"/>
        <v>0</v>
      </c>
      <c r="X262" s="67">
        <f>IFERROR(SUMIF(気管支鏡!$C$30:$C$74,B262,気管支鏡!$K$30:$K$74)*((気管支鏡!$H$3-気管支鏡!$I$3)/気管支鏡!$H$3),0)</f>
        <v>0</v>
      </c>
      <c r="Y262" s="68">
        <f t="shared" si="54"/>
        <v>0</v>
      </c>
      <c r="Z262" s="67">
        <f>IFERROR(SUMIF(CT撮影装置!$C$30:$C$74,B262,CT撮影装置!$K$30:$K$74)*((CT撮影装置!$H$3-CT撮影装置!$I$3)/CT撮影装置!$H$3),0)</f>
        <v>0</v>
      </c>
      <c r="AA262" s="68">
        <f t="shared" si="69"/>
        <v>0</v>
      </c>
      <c r="AB262" s="67">
        <f>IFERROR(SUMIF(生体情報モニタ!$C$30:$C$74,B262,生体情報モニタ!$K$30:$K$74)*((生体情報モニタ!$H$3-生体情報モニタ!$I$3)/生体情報モニタ!$H$3),0)</f>
        <v>0</v>
      </c>
      <c r="AC262" s="68">
        <f t="shared" si="55"/>
        <v>0</v>
      </c>
      <c r="AD262" s="67">
        <f>IFERROR(SUMIF(分娩監視装置!$C$30:$C$74,B262,分娩監視装置!$K$30:$K$74)*((分娩監視装置!$H$3-分娩監視装置!$I$3)/分娩監視装置!$H$3),0)</f>
        <v>0</v>
      </c>
      <c r="AE262" s="68">
        <f t="shared" si="70"/>
        <v>0</v>
      </c>
      <c r="AF262" s="67">
        <f>IFERROR(SUMIF(新生児モニタ!$C$30:$C$74,B262,新生児モニタ!$K$30:$K$74)*((新生児モニタ!$H$3-新生児モニタ!$I$3)/新生児モニタ!$H$3),0)</f>
        <v>0</v>
      </c>
      <c r="AG262" s="68">
        <f t="shared" si="71"/>
        <v>0</v>
      </c>
    </row>
    <row r="263" spans="2:33">
      <c r="B263" s="64" t="s">
        <v>910</v>
      </c>
      <c r="C263" s="67">
        <f>IFERROR(SUMIF(初度設備!$C$30:$C$74,B263,初度設備!$N$30:$N$74)*((初度設備!$H$3-初度設備!$I$3)/初度設備!$H$3),0)</f>
        <v>0</v>
      </c>
      <c r="D263" s="68">
        <f t="shared" si="56"/>
        <v>0</v>
      </c>
      <c r="E263" s="67">
        <f>IFERROR(SUMIF(人工呼吸器!$C$30:$C$74,B263,人工呼吸器!$N$30:$N$74)*((人工呼吸器!$H$3-人工呼吸器!$I$3)/人工呼吸器!$H$3),0)</f>
        <v>0</v>
      </c>
      <c r="F263" s="68">
        <f t="shared" si="57"/>
        <v>0</v>
      </c>
      <c r="G263" s="68">
        <f t="shared" si="58"/>
        <v>0</v>
      </c>
      <c r="H263" s="68">
        <f t="shared" si="59"/>
        <v>0</v>
      </c>
      <c r="I263" s="67">
        <f>IFERROR(SUMIF(簡易陰圧装置!$C$30:$C$74,B263,簡易陰圧装置!$N$30:$N$74)*((簡易陰圧装置!$H$3-簡易陰圧装置!$I$3)/簡易陰圧装置!$H$3),0)</f>
        <v>0</v>
      </c>
      <c r="J263" s="68">
        <f t="shared" si="60"/>
        <v>0</v>
      </c>
      <c r="K263" s="67">
        <f>IFERROR(SUMIF(#REF!,B263,#REF!)*((#REF!-#REF!)/#REF!),0)</f>
        <v>0</v>
      </c>
      <c r="L263" s="68">
        <f t="shared" si="61"/>
        <v>0</v>
      </c>
      <c r="M263" s="67">
        <f>IFERROR(SUMIF(体外式膜型人工肺!$C$30:$C$74,B263,体外式膜型人工肺!$N$30:$N$74)*((体外式膜型人工肺!$H$3-体外式膜型人工肺!$I$3)/体外式膜型人工肺!$H$3),0)</f>
        <v>0</v>
      </c>
      <c r="N263" s="68">
        <f t="shared" si="62"/>
        <v>0</v>
      </c>
      <c r="O263" s="68">
        <f t="shared" si="63"/>
        <v>0</v>
      </c>
      <c r="P263" s="68">
        <f t="shared" si="64"/>
        <v>0</v>
      </c>
      <c r="Q263" s="67">
        <f>IFERROR(SUMIF(紫外線照射装置!$C$30:$C$74,B263,紫外線照射装置!$N$30:$N$74)*((紫外線照射装置!$H$3-紫外線照射装置!$I$3)/紫外線照射装置!$H$3),0)</f>
        <v>0</v>
      </c>
      <c r="R263" s="68">
        <f t="shared" si="65"/>
        <v>0</v>
      </c>
      <c r="S263" s="101">
        <f t="shared" si="66"/>
        <v>0</v>
      </c>
      <c r="T263" s="67">
        <f>IFERROR(SUMIF(超音波画像診断装置!$C$30:$C$74,B263,超音波画像診断装置!$K$30:$K$74)*((超音波画像診断装置!$H$3-超音波画像診断装置!$I$3)/超音波画像診断装置!$H$3),0)</f>
        <v>0</v>
      </c>
      <c r="U263" s="68">
        <f t="shared" si="67"/>
        <v>0</v>
      </c>
      <c r="V263" s="67">
        <f>IFERROR(SUMIF(血液浄化装置!$C$30:$C$74,B263,血液浄化装置!$K$30:$K$74)*((血液浄化装置!$H$3-血液浄化装置!$I$3)/血液浄化装置!$H$3),0)</f>
        <v>0</v>
      </c>
      <c r="W263" s="68">
        <f t="shared" si="68"/>
        <v>0</v>
      </c>
      <c r="X263" s="67">
        <f>IFERROR(SUMIF(気管支鏡!$C$30:$C$74,B263,気管支鏡!$K$30:$K$74)*((気管支鏡!$H$3-気管支鏡!$I$3)/気管支鏡!$H$3),0)</f>
        <v>0</v>
      </c>
      <c r="Y263" s="68">
        <f t="shared" si="54"/>
        <v>0</v>
      </c>
      <c r="Z263" s="67">
        <f>IFERROR(SUMIF(CT撮影装置!$C$30:$C$74,B263,CT撮影装置!$K$30:$K$74)*((CT撮影装置!$H$3-CT撮影装置!$I$3)/CT撮影装置!$H$3),0)</f>
        <v>0</v>
      </c>
      <c r="AA263" s="68">
        <f t="shared" si="69"/>
        <v>0</v>
      </c>
      <c r="AB263" s="67">
        <f>IFERROR(SUMIF(生体情報モニタ!$C$30:$C$74,B263,生体情報モニタ!$K$30:$K$74)*((生体情報モニタ!$H$3-生体情報モニタ!$I$3)/生体情報モニタ!$H$3),0)</f>
        <v>0</v>
      </c>
      <c r="AC263" s="68">
        <f t="shared" si="55"/>
        <v>0</v>
      </c>
      <c r="AD263" s="67">
        <f>IFERROR(SUMIF(分娩監視装置!$C$30:$C$74,B263,分娩監視装置!$K$30:$K$74)*((分娩監視装置!$H$3-分娩監視装置!$I$3)/分娩監視装置!$H$3),0)</f>
        <v>0</v>
      </c>
      <c r="AE263" s="68">
        <f t="shared" si="70"/>
        <v>0</v>
      </c>
      <c r="AF263" s="67">
        <f>IFERROR(SUMIF(新生児モニタ!$C$30:$C$74,B263,新生児モニタ!$K$30:$K$74)*((新生児モニタ!$H$3-新生児モニタ!$I$3)/新生児モニタ!$H$3),0)</f>
        <v>0</v>
      </c>
      <c r="AG263" s="68">
        <f t="shared" si="71"/>
        <v>0</v>
      </c>
    </row>
    <row r="264" spans="2:33">
      <c r="B264" s="64" t="s">
        <v>911</v>
      </c>
      <c r="C264" s="67">
        <f>IFERROR(SUMIF(初度設備!$C$30:$C$74,B264,初度設備!$N$30:$N$74)*((初度設備!$H$3-初度設備!$I$3)/初度設備!$H$3),0)</f>
        <v>0</v>
      </c>
      <c r="D264" s="68">
        <f t="shared" si="56"/>
        <v>0</v>
      </c>
      <c r="E264" s="67">
        <f>IFERROR(SUMIF(人工呼吸器!$C$30:$C$74,B264,人工呼吸器!$N$30:$N$74)*((人工呼吸器!$H$3-人工呼吸器!$I$3)/人工呼吸器!$H$3),0)</f>
        <v>0</v>
      </c>
      <c r="F264" s="68">
        <f t="shared" si="57"/>
        <v>0</v>
      </c>
      <c r="G264" s="68">
        <f t="shared" si="58"/>
        <v>0</v>
      </c>
      <c r="H264" s="68">
        <f t="shared" si="59"/>
        <v>0</v>
      </c>
      <c r="I264" s="67">
        <f>IFERROR(SUMIF(簡易陰圧装置!$C$30:$C$74,B264,簡易陰圧装置!$N$30:$N$74)*((簡易陰圧装置!$H$3-簡易陰圧装置!$I$3)/簡易陰圧装置!$H$3),0)</f>
        <v>0</v>
      </c>
      <c r="J264" s="68">
        <f t="shared" si="60"/>
        <v>0</v>
      </c>
      <c r="K264" s="67">
        <f>IFERROR(SUMIF(#REF!,B264,#REF!)*((#REF!-#REF!)/#REF!),0)</f>
        <v>0</v>
      </c>
      <c r="L264" s="68">
        <f t="shared" si="61"/>
        <v>0</v>
      </c>
      <c r="M264" s="67">
        <f>IFERROR(SUMIF(体外式膜型人工肺!$C$30:$C$74,B264,体外式膜型人工肺!$N$30:$N$74)*((体外式膜型人工肺!$H$3-体外式膜型人工肺!$I$3)/体外式膜型人工肺!$H$3),0)</f>
        <v>0</v>
      </c>
      <c r="N264" s="68">
        <f t="shared" si="62"/>
        <v>0</v>
      </c>
      <c r="O264" s="68">
        <f t="shared" si="63"/>
        <v>0</v>
      </c>
      <c r="P264" s="68">
        <f t="shared" si="64"/>
        <v>0</v>
      </c>
      <c r="Q264" s="67">
        <f>IFERROR(SUMIF(紫外線照射装置!$C$30:$C$74,B264,紫外線照射装置!$N$30:$N$74)*((紫外線照射装置!$H$3-紫外線照射装置!$I$3)/紫外線照射装置!$H$3),0)</f>
        <v>0</v>
      </c>
      <c r="R264" s="68">
        <f t="shared" si="65"/>
        <v>0</v>
      </c>
      <c r="S264" s="101">
        <f t="shared" si="66"/>
        <v>0</v>
      </c>
      <c r="T264" s="67">
        <f>IFERROR(SUMIF(超音波画像診断装置!$C$30:$C$74,B264,超音波画像診断装置!$K$30:$K$74)*((超音波画像診断装置!$H$3-超音波画像診断装置!$I$3)/超音波画像診断装置!$H$3),0)</f>
        <v>0</v>
      </c>
      <c r="U264" s="68">
        <f t="shared" si="67"/>
        <v>0</v>
      </c>
      <c r="V264" s="67">
        <f>IFERROR(SUMIF(血液浄化装置!$C$30:$C$74,B264,血液浄化装置!$K$30:$K$74)*((血液浄化装置!$H$3-血液浄化装置!$I$3)/血液浄化装置!$H$3),0)</f>
        <v>0</v>
      </c>
      <c r="W264" s="68">
        <f t="shared" si="68"/>
        <v>0</v>
      </c>
      <c r="X264" s="67">
        <f>IFERROR(SUMIF(気管支鏡!$C$30:$C$74,B264,気管支鏡!$K$30:$K$74)*((気管支鏡!$H$3-気管支鏡!$I$3)/気管支鏡!$H$3),0)</f>
        <v>0</v>
      </c>
      <c r="Y264" s="68">
        <f t="shared" si="54"/>
        <v>0</v>
      </c>
      <c r="Z264" s="67">
        <f>IFERROR(SUMIF(CT撮影装置!$C$30:$C$74,B264,CT撮影装置!$K$30:$K$74)*((CT撮影装置!$H$3-CT撮影装置!$I$3)/CT撮影装置!$H$3),0)</f>
        <v>0</v>
      </c>
      <c r="AA264" s="68">
        <f t="shared" si="69"/>
        <v>0</v>
      </c>
      <c r="AB264" s="67">
        <f>IFERROR(SUMIF(生体情報モニタ!$C$30:$C$74,B264,生体情報モニタ!$K$30:$K$74)*((生体情報モニタ!$H$3-生体情報モニタ!$I$3)/生体情報モニタ!$H$3),0)</f>
        <v>0</v>
      </c>
      <c r="AC264" s="68">
        <f t="shared" si="55"/>
        <v>0</v>
      </c>
      <c r="AD264" s="67">
        <f>IFERROR(SUMIF(分娩監視装置!$C$30:$C$74,B264,分娩監視装置!$K$30:$K$74)*((分娩監視装置!$H$3-分娩監視装置!$I$3)/分娩監視装置!$H$3),0)</f>
        <v>0</v>
      </c>
      <c r="AE264" s="68">
        <f t="shared" si="70"/>
        <v>0</v>
      </c>
      <c r="AF264" s="67">
        <f>IFERROR(SUMIF(新生児モニタ!$C$30:$C$74,B264,新生児モニタ!$K$30:$K$74)*((新生児モニタ!$H$3-新生児モニタ!$I$3)/新生児モニタ!$H$3),0)</f>
        <v>0</v>
      </c>
      <c r="AG264" s="68">
        <f t="shared" si="71"/>
        <v>0</v>
      </c>
    </row>
    <row r="265" spans="2:33">
      <c r="B265" s="64" t="s">
        <v>912</v>
      </c>
      <c r="C265" s="67">
        <f>IFERROR(SUMIF(初度設備!$C$30:$C$74,B265,初度設備!$N$30:$N$74)*((初度設備!$H$3-初度設備!$I$3)/初度設備!$H$3),0)</f>
        <v>0</v>
      </c>
      <c r="D265" s="68">
        <f t="shared" si="56"/>
        <v>0</v>
      </c>
      <c r="E265" s="67">
        <f>IFERROR(SUMIF(人工呼吸器!$C$30:$C$74,B265,人工呼吸器!$N$30:$N$74)*((人工呼吸器!$H$3-人工呼吸器!$I$3)/人工呼吸器!$H$3),0)</f>
        <v>0</v>
      </c>
      <c r="F265" s="68">
        <f t="shared" si="57"/>
        <v>0</v>
      </c>
      <c r="G265" s="68">
        <f t="shared" si="58"/>
        <v>0</v>
      </c>
      <c r="H265" s="68">
        <f t="shared" si="59"/>
        <v>0</v>
      </c>
      <c r="I265" s="67">
        <f>IFERROR(SUMIF(簡易陰圧装置!$C$30:$C$74,B265,簡易陰圧装置!$N$30:$N$74)*((簡易陰圧装置!$H$3-簡易陰圧装置!$I$3)/簡易陰圧装置!$H$3),0)</f>
        <v>0</v>
      </c>
      <c r="J265" s="68">
        <f t="shared" si="60"/>
        <v>0</v>
      </c>
      <c r="K265" s="67">
        <f>IFERROR(SUMIF(#REF!,B265,#REF!)*((#REF!-#REF!)/#REF!),0)</f>
        <v>0</v>
      </c>
      <c r="L265" s="68">
        <f t="shared" si="61"/>
        <v>0</v>
      </c>
      <c r="M265" s="67">
        <f>IFERROR(SUMIF(体外式膜型人工肺!$C$30:$C$74,B265,体外式膜型人工肺!$N$30:$N$74)*((体外式膜型人工肺!$H$3-体外式膜型人工肺!$I$3)/体外式膜型人工肺!$H$3),0)</f>
        <v>0</v>
      </c>
      <c r="N265" s="68">
        <f t="shared" si="62"/>
        <v>0</v>
      </c>
      <c r="O265" s="68">
        <f t="shared" si="63"/>
        <v>0</v>
      </c>
      <c r="P265" s="68">
        <f t="shared" si="64"/>
        <v>0</v>
      </c>
      <c r="Q265" s="67">
        <f>IFERROR(SUMIF(紫外線照射装置!$C$30:$C$74,B265,紫外線照射装置!$N$30:$N$74)*((紫外線照射装置!$H$3-紫外線照射装置!$I$3)/紫外線照射装置!$H$3),0)</f>
        <v>0</v>
      </c>
      <c r="R265" s="68">
        <f t="shared" si="65"/>
        <v>0</v>
      </c>
      <c r="S265" s="101">
        <f t="shared" si="66"/>
        <v>0</v>
      </c>
      <c r="T265" s="67">
        <f>IFERROR(SUMIF(超音波画像診断装置!$C$30:$C$74,B265,超音波画像診断装置!$K$30:$K$74)*((超音波画像診断装置!$H$3-超音波画像診断装置!$I$3)/超音波画像診断装置!$H$3),0)</f>
        <v>0</v>
      </c>
      <c r="U265" s="68">
        <f t="shared" si="67"/>
        <v>0</v>
      </c>
      <c r="V265" s="67">
        <f>IFERROR(SUMIF(血液浄化装置!$C$30:$C$74,B265,血液浄化装置!$K$30:$K$74)*((血液浄化装置!$H$3-血液浄化装置!$I$3)/血液浄化装置!$H$3),0)</f>
        <v>0</v>
      </c>
      <c r="W265" s="68">
        <f t="shared" si="68"/>
        <v>0</v>
      </c>
      <c r="X265" s="67">
        <f>IFERROR(SUMIF(気管支鏡!$C$30:$C$74,B265,気管支鏡!$K$30:$K$74)*((気管支鏡!$H$3-気管支鏡!$I$3)/気管支鏡!$H$3),0)</f>
        <v>0</v>
      </c>
      <c r="Y265" s="68">
        <f t="shared" si="54"/>
        <v>0</v>
      </c>
      <c r="Z265" s="67">
        <f>IFERROR(SUMIF(CT撮影装置!$C$30:$C$74,B265,CT撮影装置!$K$30:$K$74)*((CT撮影装置!$H$3-CT撮影装置!$I$3)/CT撮影装置!$H$3),0)</f>
        <v>0</v>
      </c>
      <c r="AA265" s="68">
        <f t="shared" si="69"/>
        <v>0</v>
      </c>
      <c r="AB265" s="67">
        <f>IFERROR(SUMIF(生体情報モニタ!$C$30:$C$74,B265,生体情報モニタ!$K$30:$K$74)*((生体情報モニタ!$H$3-生体情報モニタ!$I$3)/生体情報モニタ!$H$3),0)</f>
        <v>0</v>
      </c>
      <c r="AC265" s="68">
        <f t="shared" si="55"/>
        <v>0</v>
      </c>
      <c r="AD265" s="67">
        <f>IFERROR(SUMIF(分娩監視装置!$C$30:$C$74,B265,分娩監視装置!$K$30:$K$74)*((分娩監視装置!$H$3-分娩監視装置!$I$3)/分娩監視装置!$H$3),0)</f>
        <v>0</v>
      </c>
      <c r="AE265" s="68">
        <f t="shared" si="70"/>
        <v>0</v>
      </c>
      <c r="AF265" s="67">
        <f>IFERROR(SUMIF(新生児モニタ!$C$30:$C$74,B265,新生児モニタ!$K$30:$K$74)*((新生児モニタ!$H$3-新生児モニタ!$I$3)/新生児モニタ!$H$3),0)</f>
        <v>0</v>
      </c>
      <c r="AG265" s="68">
        <f t="shared" si="71"/>
        <v>0</v>
      </c>
    </row>
    <row r="266" spans="2:33">
      <c r="B266" s="64" t="s">
        <v>913</v>
      </c>
      <c r="C266" s="67">
        <f>IFERROR(SUMIF(初度設備!$C$30:$C$74,B266,初度設備!$N$30:$N$74)*((初度設備!$H$3-初度設備!$I$3)/初度設備!$H$3),0)</f>
        <v>0</v>
      </c>
      <c r="D266" s="68">
        <f t="shared" si="56"/>
        <v>0</v>
      </c>
      <c r="E266" s="67">
        <f>IFERROR(SUMIF(人工呼吸器!$C$30:$C$74,B266,人工呼吸器!$N$30:$N$74)*((人工呼吸器!$H$3-人工呼吸器!$I$3)/人工呼吸器!$H$3),0)</f>
        <v>0</v>
      </c>
      <c r="F266" s="68">
        <f t="shared" si="57"/>
        <v>0</v>
      </c>
      <c r="G266" s="68">
        <f t="shared" si="58"/>
        <v>0</v>
      </c>
      <c r="H266" s="68">
        <f t="shared" si="59"/>
        <v>0</v>
      </c>
      <c r="I266" s="67">
        <f>IFERROR(SUMIF(簡易陰圧装置!$C$30:$C$74,B266,簡易陰圧装置!$N$30:$N$74)*((簡易陰圧装置!$H$3-簡易陰圧装置!$I$3)/簡易陰圧装置!$H$3),0)</f>
        <v>0</v>
      </c>
      <c r="J266" s="68">
        <f t="shared" si="60"/>
        <v>0</v>
      </c>
      <c r="K266" s="67">
        <f>IFERROR(SUMIF(#REF!,B266,#REF!)*((#REF!-#REF!)/#REF!),0)</f>
        <v>0</v>
      </c>
      <c r="L266" s="68">
        <f t="shared" si="61"/>
        <v>0</v>
      </c>
      <c r="M266" s="67">
        <f>IFERROR(SUMIF(体外式膜型人工肺!$C$30:$C$74,B266,体外式膜型人工肺!$N$30:$N$74)*((体外式膜型人工肺!$H$3-体外式膜型人工肺!$I$3)/体外式膜型人工肺!$H$3),0)</f>
        <v>0</v>
      </c>
      <c r="N266" s="68">
        <f t="shared" si="62"/>
        <v>0</v>
      </c>
      <c r="O266" s="68">
        <f t="shared" si="63"/>
        <v>0</v>
      </c>
      <c r="P266" s="68">
        <f t="shared" si="64"/>
        <v>0</v>
      </c>
      <c r="Q266" s="67">
        <f>IFERROR(SUMIF(紫外線照射装置!$C$30:$C$74,B266,紫外線照射装置!$N$30:$N$74)*((紫外線照射装置!$H$3-紫外線照射装置!$I$3)/紫外線照射装置!$H$3),0)</f>
        <v>0</v>
      </c>
      <c r="R266" s="68">
        <f t="shared" si="65"/>
        <v>0</v>
      </c>
      <c r="S266" s="101">
        <f t="shared" si="66"/>
        <v>0</v>
      </c>
      <c r="T266" s="67">
        <f>IFERROR(SUMIF(超音波画像診断装置!$C$30:$C$74,B266,超音波画像診断装置!$K$30:$K$74)*((超音波画像診断装置!$H$3-超音波画像診断装置!$I$3)/超音波画像診断装置!$H$3),0)</f>
        <v>0</v>
      </c>
      <c r="U266" s="68">
        <f t="shared" si="67"/>
        <v>0</v>
      </c>
      <c r="V266" s="67">
        <f>IFERROR(SUMIF(血液浄化装置!$C$30:$C$74,B266,血液浄化装置!$K$30:$K$74)*((血液浄化装置!$H$3-血液浄化装置!$I$3)/血液浄化装置!$H$3),0)</f>
        <v>0</v>
      </c>
      <c r="W266" s="68">
        <f t="shared" si="68"/>
        <v>0</v>
      </c>
      <c r="X266" s="67">
        <f>IFERROR(SUMIF(気管支鏡!$C$30:$C$74,B266,気管支鏡!$K$30:$K$74)*((気管支鏡!$H$3-気管支鏡!$I$3)/気管支鏡!$H$3),0)</f>
        <v>0</v>
      </c>
      <c r="Y266" s="68">
        <f t="shared" si="54"/>
        <v>0</v>
      </c>
      <c r="Z266" s="67">
        <f>IFERROR(SUMIF(CT撮影装置!$C$30:$C$74,B266,CT撮影装置!$K$30:$K$74)*((CT撮影装置!$H$3-CT撮影装置!$I$3)/CT撮影装置!$H$3),0)</f>
        <v>0</v>
      </c>
      <c r="AA266" s="68">
        <f t="shared" si="69"/>
        <v>0</v>
      </c>
      <c r="AB266" s="67">
        <f>IFERROR(SUMIF(生体情報モニタ!$C$30:$C$74,B266,生体情報モニタ!$K$30:$K$74)*((生体情報モニタ!$H$3-生体情報モニタ!$I$3)/生体情報モニタ!$H$3),0)</f>
        <v>0</v>
      </c>
      <c r="AC266" s="68">
        <f t="shared" si="55"/>
        <v>0</v>
      </c>
      <c r="AD266" s="67">
        <f>IFERROR(SUMIF(分娩監視装置!$C$30:$C$74,B266,分娩監視装置!$K$30:$K$74)*((分娩監視装置!$H$3-分娩監視装置!$I$3)/分娩監視装置!$H$3),0)</f>
        <v>0</v>
      </c>
      <c r="AE266" s="68">
        <f t="shared" si="70"/>
        <v>0</v>
      </c>
      <c r="AF266" s="67">
        <f>IFERROR(SUMIF(新生児モニタ!$C$30:$C$74,B266,新生児モニタ!$K$30:$K$74)*((新生児モニタ!$H$3-新生児モニタ!$I$3)/新生児モニタ!$H$3),0)</f>
        <v>0</v>
      </c>
      <c r="AG266" s="68">
        <f t="shared" si="71"/>
        <v>0</v>
      </c>
    </row>
    <row r="267" spans="2:33">
      <c r="B267" s="64" t="s">
        <v>914</v>
      </c>
      <c r="C267" s="67">
        <f>IFERROR(SUMIF(初度設備!$C$30:$C$74,B267,初度設備!$N$30:$N$74)*((初度設備!$H$3-初度設備!$I$3)/初度設備!$H$3),0)</f>
        <v>0</v>
      </c>
      <c r="D267" s="68">
        <f t="shared" si="56"/>
        <v>0</v>
      </c>
      <c r="E267" s="67">
        <f>IFERROR(SUMIF(人工呼吸器!$C$30:$C$74,B267,人工呼吸器!$N$30:$N$74)*((人工呼吸器!$H$3-人工呼吸器!$I$3)/人工呼吸器!$H$3),0)</f>
        <v>0</v>
      </c>
      <c r="F267" s="68">
        <f t="shared" si="57"/>
        <v>0</v>
      </c>
      <c r="G267" s="68">
        <f t="shared" si="58"/>
        <v>0</v>
      </c>
      <c r="H267" s="68">
        <f t="shared" si="59"/>
        <v>0</v>
      </c>
      <c r="I267" s="67">
        <f>IFERROR(SUMIF(簡易陰圧装置!$C$30:$C$74,B267,簡易陰圧装置!$N$30:$N$74)*((簡易陰圧装置!$H$3-簡易陰圧装置!$I$3)/簡易陰圧装置!$H$3),0)</f>
        <v>0</v>
      </c>
      <c r="J267" s="68">
        <f t="shared" si="60"/>
        <v>0</v>
      </c>
      <c r="K267" s="67">
        <f>IFERROR(SUMIF(#REF!,B267,#REF!)*((#REF!-#REF!)/#REF!),0)</f>
        <v>0</v>
      </c>
      <c r="L267" s="68">
        <f t="shared" si="61"/>
        <v>0</v>
      </c>
      <c r="M267" s="67">
        <f>IFERROR(SUMIF(体外式膜型人工肺!$C$30:$C$74,B267,体外式膜型人工肺!$N$30:$N$74)*((体外式膜型人工肺!$H$3-体外式膜型人工肺!$I$3)/体外式膜型人工肺!$H$3),0)</f>
        <v>0</v>
      </c>
      <c r="N267" s="68">
        <f t="shared" si="62"/>
        <v>0</v>
      </c>
      <c r="O267" s="68">
        <f t="shared" si="63"/>
        <v>0</v>
      </c>
      <c r="P267" s="68">
        <f t="shared" si="64"/>
        <v>0</v>
      </c>
      <c r="Q267" s="67">
        <f>IFERROR(SUMIF(紫外線照射装置!$C$30:$C$74,B267,紫外線照射装置!$N$30:$N$74)*((紫外線照射装置!$H$3-紫外線照射装置!$I$3)/紫外線照射装置!$H$3),0)</f>
        <v>0</v>
      </c>
      <c r="R267" s="68">
        <f t="shared" si="65"/>
        <v>0</v>
      </c>
      <c r="S267" s="101">
        <f t="shared" si="66"/>
        <v>0</v>
      </c>
      <c r="T267" s="67">
        <f>IFERROR(SUMIF(超音波画像診断装置!$C$30:$C$74,B267,超音波画像診断装置!$K$30:$K$74)*((超音波画像診断装置!$H$3-超音波画像診断装置!$I$3)/超音波画像診断装置!$H$3),0)</f>
        <v>0</v>
      </c>
      <c r="U267" s="68">
        <f t="shared" si="67"/>
        <v>0</v>
      </c>
      <c r="V267" s="67">
        <f>IFERROR(SUMIF(血液浄化装置!$C$30:$C$74,B267,血液浄化装置!$K$30:$K$74)*((血液浄化装置!$H$3-血液浄化装置!$I$3)/血液浄化装置!$H$3),0)</f>
        <v>0</v>
      </c>
      <c r="W267" s="68">
        <f t="shared" si="68"/>
        <v>0</v>
      </c>
      <c r="X267" s="67">
        <f>IFERROR(SUMIF(気管支鏡!$C$30:$C$74,B267,気管支鏡!$K$30:$K$74)*((気管支鏡!$H$3-気管支鏡!$I$3)/気管支鏡!$H$3),0)</f>
        <v>0</v>
      </c>
      <c r="Y267" s="68">
        <f t="shared" si="54"/>
        <v>0</v>
      </c>
      <c r="Z267" s="67">
        <f>IFERROR(SUMIF(CT撮影装置!$C$30:$C$74,B267,CT撮影装置!$K$30:$K$74)*((CT撮影装置!$H$3-CT撮影装置!$I$3)/CT撮影装置!$H$3),0)</f>
        <v>0</v>
      </c>
      <c r="AA267" s="68">
        <f t="shared" si="69"/>
        <v>0</v>
      </c>
      <c r="AB267" s="67">
        <f>IFERROR(SUMIF(生体情報モニタ!$C$30:$C$74,B267,生体情報モニタ!$K$30:$K$74)*((生体情報モニタ!$H$3-生体情報モニタ!$I$3)/生体情報モニタ!$H$3),0)</f>
        <v>0</v>
      </c>
      <c r="AC267" s="68">
        <f t="shared" si="55"/>
        <v>0</v>
      </c>
      <c r="AD267" s="67">
        <f>IFERROR(SUMIF(分娩監視装置!$C$30:$C$74,B267,分娩監視装置!$K$30:$K$74)*((分娩監視装置!$H$3-分娩監視装置!$I$3)/分娩監視装置!$H$3),0)</f>
        <v>0</v>
      </c>
      <c r="AE267" s="68">
        <f t="shared" si="70"/>
        <v>0</v>
      </c>
      <c r="AF267" s="67">
        <f>IFERROR(SUMIF(新生児モニタ!$C$30:$C$74,B267,新生児モニタ!$K$30:$K$74)*((新生児モニタ!$H$3-新生児モニタ!$I$3)/新生児モニタ!$H$3),0)</f>
        <v>0</v>
      </c>
      <c r="AG267" s="68">
        <f t="shared" si="71"/>
        <v>0</v>
      </c>
    </row>
    <row r="268" spans="2:33">
      <c r="B268" s="64" t="s">
        <v>915</v>
      </c>
      <c r="C268" s="67">
        <f>IFERROR(SUMIF(初度設備!$C$30:$C$74,B268,初度設備!$N$30:$N$74)*((初度設備!$H$3-初度設備!$I$3)/初度設備!$H$3),0)</f>
        <v>0</v>
      </c>
      <c r="D268" s="68">
        <f t="shared" si="56"/>
        <v>0</v>
      </c>
      <c r="E268" s="67">
        <f>IFERROR(SUMIF(人工呼吸器!$C$30:$C$74,B268,人工呼吸器!$N$30:$N$74)*((人工呼吸器!$H$3-人工呼吸器!$I$3)/人工呼吸器!$H$3),0)</f>
        <v>0</v>
      </c>
      <c r="F268" s="68">
        <f t="shared" si="57"/>
        <v>0</v>
      </c>
      <c r="G268" s="68">
        <f t="shared" si="58"/>
        <v>0</v>
      </c>
      <c r="H268" s="68">
        <f t="shared" si="59"/>
        <v>0</v>
      </c>
      <c r="I268" s="67">
        <f>IFERROR(SUMIF(簡易陰圧装置!$C$30:$C$74,B268,簡易陰圧装置!$N$30:$N$74)*((簡易陰圧装置!$H$3-簡易陰圧装置!$I$3)/簡易陰圧装置!$H$3),0)</f>
        <v>0</v>
      </c>
      <c r="J268" s="68">
        <f t="shared" si="60"/>
        <v>0</v>
      </c>
      <c r="K268" s="67">
        <f>IFERROR(SUMIF(#REF!,B268,#REF!)*((#REF!-#REF!)/#REF!),0)</f>
        <v>0</v>
      </c>
      <c r="L268" s="68">
        <f t="shared" si="61"/>
        <v>0</v>
      </c>
      <c r="M268" s="67">
        <f>IFERROR(SUMIF(体外式膜型人工肺!$C$30:$C$74,B268,体外式膜型人工肺!$N$30:$N$74)*((体外式膜型人工肺!$H$3-体外式膜型人工肺!$I$3)/体外式膜型人工肺!$H$3),0)</f>
        <v>0</v>
      </c>
      <c r="N268" s="68">
        <f t="shared" si="62"/>
        <v>0</v>
      </c>
      <c r="O268" s="68">
        <f t="shared" si="63"/>
        <v>0</v>
      </c>
      <c r="P268" s="68">
        <f t="shared" si="64"/>
        <v>0</v>
      </c>
      <c r="Q268" s="67">
        <f>IFERROR(SUMIF(紫外線照射装置!$C$30:$C$74,B268,紫外線照射装置!$N$30:$N$74)*((紫外線照射装置!$H$3-紫外線照射装置!$I$3)/紫外線照射装置!$H$3),0)</f>
        <v>0</v>
      </c>
      <c r="R268" s="68">
        <f t="shared" si="65"/>
        <v>0</v>
      </c>
      <c r="S268" s="101">
        <f t="shared" si="66"/>
        <v>0</v>
      </c>
      <c r="T268" s="67">
        <f>IFERROR(SUMIF(超音波画像診断装置!$C$30:$C$74,B268,超音波画像診断装置!$K$30:$K$74)*((超音波画像診断装置!$H$3-超音波画像診断装置!$I$3)/超音波画像診断装置!$H$3),0)</f>
        <v>0</v>
      </c>
      <c r="U268" s="68">
        <f t="shared" si="67"/>
        <v>0</v>
      </c>
      <c r="V268" s="67">
        <f>IFERROR(SUMIF(血液浄化装置!$C$30:$C$74,B268,血液浄化装置!$K$30:$K$74)*((血液浄化装置!$H$3-血液浄化装置!$I$3)/血液浄化装置!$H$3),0)</f>
        <v>0</v>
      </c>
      <c r="W268" s="68">
        <f t="shared" si="68"/>
        <v>0</v>
      </c>
      <c r="X268" s="67">
        <f>IFERROR(SUMIF(気管支鏡!$C$30:$C$74,B268,気管支鏡!$K$30:$K$74)*((気管支鏡!$H$3-気管支鏡!$I$3)/気管支鏡!$H$3),0)</f>
        <v>0</v>
      </c>
      <c r="Y268" s="68">
        <f t="shared" si="54"/>
        <v>0</v>
      </c>
      <c r="Z268" s="67">
        <f>IFERROR(SUMIF(CT撮影装置!$C$30:$C$74,B268,CT撮影装置!$K$30:$K$74)*((CT撮影装置!$H$3-CT撮影装置!$I$3)/CT撮影装置!$H$3),0)</f>
        <v>0</v>
      </c>
      <c r="AA268" s="68">
        <f t="shared" si="69"/>
        <v>0</v>
      </c>
      <c r="AB268" s="67">
        <f>IFERROR(SUMIF(生体情報モニタ!$C$30:$C$74,B268,生体情報モニタ!$K$30:$K$74)*((生体情報モニタ!$H$3-生体情報モニタ!$I$3)/生体情報モニタ!$H$3),0)</f>
        <v>0</v>
      </c>
      <c r="AC268" s="68">
        <f t="shared" si="55"/>
        <v>0</v>
      </c>
      <c r="AD268" s="67">
        <f>IFERROR(SUMIF(分娩監視装置!$C$30:$C$74,B268,分娩監視装置!$K$30:$K$74)*((分娩監視装置!$H$3-分娩監視装置!$I$3)/分娩監視装置!$H$3),0)</f>
        <v>0</v>
      </c>
      <c r="AE268" s="68">
        <f t="shared" si="70"/>
        <v>0</v>
      </c>
      <c r="AF268" s="67">
        <f>IFERROR(SUMIF(新生児モニタ!$C$30:$C$74,B268,新生児モニタ!$K$30:$K$74)*((新生児モニタ!$H$3-新生児モニタ!$I$3)/新生児モニタ!$H$3),0)</f>
        <v>0</v>
      </c>
      <c r="AG268" s="68">
        <f t="shared" si="71"/>
        <v>0</v>
      </c>
    </row>
    <row r="269" spans="2:33">
      <c r="B269" s="64" t="s">
        <v>916</v>
      </c>
      <c r="C269" s="67">
        <f>IFERROR(SUMIF(初度設備!$C$30:$C$74,B269,初度設備!$N$30:$N$74)*((初度設備!$H$3-初度設備!$I$3)/初度設備!$H$3),0)</f>
        <v>0</v>
      </c>
      <c r="D269" s="68">
        <f t="shared" si="56"/>
        <v>0</v>
      </c>
      <c r="E269" s="67">
        <f>IFERROR(SUMIF(人工呼吸器!$C$30:$C$74,B269,人工呼吸器!$N$30:$N$74)*((人工呼吸器!$H$3-人工呼吸器!$I$3)/人工呼吸器!$H$3),0)</f>
        <v>0</v>
      </c>
      <c r="F269" s="68">
        <f t="shared" si="57"/>
        <v>0</v>
      </c>
      <c r="G269" s="68">
        <f t="shared" si="58"/>
        <v>0</v>
      </c>
      <c r="H269" s="68">
        <f t="shared" si="59"/>
        <v>0</v>
      </c>
      <c r="I269" s="67">
        <f>IFERROR(SUMIF(簡易陰圧装置!$C$30:$C$74,B269,簡易陰圧装置!$N$30:$N$74)*((簡易陰圧装置!$H$3-簡易陰圧装置!$I$3)/簡易陰圧装置!$H$3),0)</f>
        <v>0</v>
      </c>
      <c r="J269" s="68">
        <f t="shared" si="60"/>
        <v>0</v>
      </c>
      <c r="K269" s="67">
        <f>IFERROR(SUMIF(#REF!,B269,#REF!)*((#REF!-#REF!)/#REF!),0)</f>
        <v>0</v>
      </c>
      <c r="L269" s="68">
        <f t="shared" si="61"/>
        <v>0</v>
      </c>
      <c r="M269" s="67">
        <f>IFERROR(SUMIF(体外式膜型人工肺!$C$30:$C$74,B269,体外式膜型人工肺!$N$30:$N$74)*((体外式膜型人工肺!$H$3-体外式膜型人工肺!$I$3)/体外式膜型人工肺!$H$3),0)</f>
        <v>0</v>
      </c>
      <c r="N269" s="68">
        <f t="shared" si="62"/>
        <v>0</v>
      </c>
      <c r="O269" s="68">
        <f t="shared" si="63"/>
        <v>0</v>
      </c>
      <c r="P269" s="68">
        <f t="shared" si="64"/>
        <v>0</v>
      </c>
      <c r="Q269" s="67">
        <f>IFERROR(SUMIF(紫外線照射装置!$C$30:$C$74,B269,紫外線照射装置!$N$30:$N$74)*((紫外線照射装置!$H$3-紫外線照射装置!$I$3)/紫外線照射装置!$H$3),0)</f>
        <v>0</v>
      </c>
      <c r="R269" s="68">
        <f t="shared" si="65"/>
        <v>0</v>
      </c>
      <c r="S269" s="101">
        <f t="shared" si="66"/>
        <v>0</v>
      </c>
      <c r="T269" s="67">
        <f>IFERROR(SUMIF(超音波画像診断装置!$C$30:$C$74,B269,超音波画像診断装置!$K$30:$K$74)*((超音波画像診断装置!$H$3-超音波画像診断装置!$I$3)/超音波画像診断装置!$H$3),0)</f>
        <v>0</v>
      </c>
      <c r="U269" s="68">
        <f t="shared" si="67"/>
        <v>0</v>
      </c>
      <c r="V269" s="67">
        <f>IFERROR(SUMIF(血液浄化装置!$C$30:$C$74,B269,血液浄化装置!$K$30:$K$74)*((血液浄化装置!$H$3-血液浄化装置!$I$3)/血液浄化装置!$H$3),0)</f>
        <v>0</v>
      </c>
      <c r="W269" s="68">
        <f t="shared" si="68"/>
        <v>0</v>
      </c>
      <c r="X269" s="67">
        <f>IFERROR(SUMIF(気管支鏡!$C$30:$C$74,B269,気管支鏡!$K$30:$K$74)*((気管支鏡!$H$3-気管支鏡!$I$3)/気管支鏡!$H$3),0)</f>
        <v>0</v>
      </c>
      <c r="Y269" s="68">
        <f t="shared" si="54"/>
        <v>0</v>
      </c>
      <c r="Z269" s="67">
        <f>IFERROR(SUMIF(CT撮影装置!$C$30:$C$74,B269,CT撮影装置!$K$30:$K$74)*((CT撮影装置!$H$3-CT撮影装置!$I$3)/CT撮影装置!$H$3),0)</f>
        <v>0</v>
      </c>
      <c r="AA269" s="68">
        <f t="shared" si="69"/>
        <v>0</v>
      </c>
      <c r="AB269" s="67">
        <f>IFERROR(SUMIF(生体情報モニタ!$C$30:$C$74,B269,生体情報モニタ!$K$30:$K$74)*((生体情報モニタ!$H$3-生体情報モニタ!$I$3)/生体情報モニタ!$H$3),0)</f>
        <v>0</v>
      </c>
      <c r="AC269" s="68">
        <f t="shared" si="55"/>
        <v>0</v>
      </c>
      <c r="AD269" s="67">
        <f>IFERROR(SUMIF(分娩監視装置!$C$30:$C$74,B269,分娩監視装置!$K$30:$K$74)*((分娩監視装置!$H$3-分娩監視装置!$I$3)/分娩監視装置!$H$3),0)</f>
        <v>0</v>
      </c>
      <c r="AE269" s="68">
        <f t="shared" si="70"/>
        <v>0</v>
      </c>
      <c r="AF269" s="67">
        <f>IFERROR(SUMIF(新生児モニタ!$C$30:$C$74,B269,新生児モニタ!$K$30:$K$74)*((新生児モニタ!$H$3-新生児モニタ!$I$3)/新生児モニタ!$H$3),0)</f>
        <v>0</v>
      </c>
      <c r="AG269" s="68">
        <f t="shared" si="71"/>
        <v>0</v>
      </c>
    </row>
    <row r="270" spans="2:33">
      <c r="B270" s="64" t="s">
        <v>917</v>
      </c>
      <c r="C270" s="67">
        <f>IFERROR(SUMIF(初度設備!$C$30:$C$74,B270,初度設備!$N$30:$N$74)*((初度設備!$H$3-初度設備!$I$3)/初度設備!$H$3),0)</f>
        <v>0</v>
      </c>
      <c r="D270" s="68">
        <f t="shared" si="56"/>
        <v>0</v>
      </c>
      <c r="E270" s="67">
        <f>IFERROR(SUMIF(人工呼吸器!$C$30:$C$74,B270,人工呼吸器!$N$30:$N$74)*((人工呼吸器!$H$3-人工呼吸器!$I$3)/人工呼吸器!$H$3),0)</f>
        <v>0</v>
      </c>
      <c r="F270" s="68">
        <f t="shared" si="57"/>
        <v>0</v>
      </c>
      <c r="G270" s="68">
        <f t="shared" si="58"/>
        <v>0</v>
      </c>
      <c r="H270" s="68">
        <f t="shared" si="59"/>
        <v>0</v>
      </c>
      <c r="I270" s="67">
        <f>IFERROR(SUMIF(簡易陰圧装置!$C$30:$C$74,B270,簡易陰圧装置!$N$30:$N$74)*((簡易陰圧装置!$H$3-簡易陰圧装置!$I$3)/簡易陰圧装置!$H$3),0)</f>
        <v>0</v>
      </c>
      <c r="J270" s="68">
        <f t="shared" si="60"/>
        <v>0</v>
      </c>
      <c r="K270" s="67">
        <f>IFERROR(SUMIF(#REF!,B270,#REF!)*((#REF!-#REF!)/#REF!),0)</f>
        <v>0</v>
      </c>
      <c r="L270" s="68">
        <f t="shared" si="61"/>
        <v>0</v>
      </c>
      <c r="M270" s="67">
        <f>IFERROR(SUMIF(体外式膜型人工肺!$C$30:$C$74,B270,体外式膜型人工肺!$N$30:$N$74)*((体外式膜型人工肺!$H$3-体外式膜型人工肺!$I$3)/体外式膜型人工肺!$H$3),0)</f>
        <v>0</v>
      </c>
      <c r="N270" s="68">
        <f t="shared" si="62"/>
        <v>0</v>
      </c>
      <c r="O270" s="68">
        <f t="shared" si="63"/>
        <v>0</v>
      </c>
      <c r="P270" s="68">
        <f t="shared" si="64"/>
        <v>0</v>
      </c>
      <c r="Q270" s="67">
        <f>IFERROR(SUMIF(紫外線照射装置!$C$30:$C$74,B270,紫外線照射装置!$N$30:$N$74)*((紫外線照射装置!$H$3-紫外線照射装置!$I$3)/紫外線照射装置!$H$3),0)</f>
        <v>0</v>
      </c>
      <c r="R270" s="68">
        <f t="shared" si="65"/>
        <v>0</v>
      </c>
      <c r="S270" s="101">
        <f t="shared" si="66"/>
        <v>0</v>
      </c>
      <c r="T270" s="67">
        <f>IFERROR(SUMIF(超音波画像診断装置!$C$30:$C$74,B270,超音波画像診断装置!$K$30:$K$74)*((超音波画像診断装置!$H$3-超音波画像診断装置!$I$3)/超音波画像診断装置!$H$3),0)</f>
        <v>0</v>
      </c>
      <c r="U270" s="68">
        <f t="shared" si="67"/>
        <v>0</v>
      </c>
      <c r="V270" s="67">
        <f>IFERROR(SUMIF(血液浄化装置!$C$30:$C$74,B270,血液浄化装置!$K$30:$K$74)*((血液浄化装置!$H$3-血液浄化装置!$I$3)/血液浄化装置!$H$3),0)</f>
        <v>0</v>
      </c>
      <c r="W270" s="68">
        <f t="shared" si="68"/>
        <v>0</v>
      </c>
      <c r="X270" s="67">
        <f>IFERROR(SUMIF(気管支鏡!$C$30:$C$74,B270,気管支鏡!$K$30:$K$74)*((気管支鏡!$H$3-気管支鏡!$I$3)/気管支鏡!$H$3),0)</f>
        <v>0</v>
      </c>
      <c r="Y270" s="68">
        <f t="shared" si="54"/>
        <v>0</v>
      </c>
      <c r="Z270" s="67">
        <f>IFERROR(SUMIF(CT撮影装置!$C$30:$C$74,B270,CT撮影装置!$K$30:$K$74)*((CT撮影装置!$H$3-CT撮影装置!$I$3)/CT撮影装置!$H$3),0)</f>
        <v>0</v>
      </c>
      <c r="AA270" s="68">
        <f t="shared" si="69"/>
        <v>0</v>
      </c>
      <c r="AB270" s="67">
        <f>IFERROR(SUMIF(生体情報モニタ!$C$30:$C$74,B270,生体情報モニタ!$K$30:$K$74)*((生体情報モニタ!$H$3-生体情報モニタ!$I$3)/生体情報モニタ!$H$3),0)</f>
        <v>0</v>
      </c>
      <c r="AC270" s="68">
        <f t="shared" si="55"/>
        <v>0</v>
      </c>
      <c r="AD270" s="67">
        <f>IFERROR(SUMIF(分娩監視装置!$C$30:$C$74,B270,分娩監視装置!$K$30:$K$74)*((分娩監視装置!$H$3-分娩監視装置!$I$3)/分娩監視装置!$H$3),0)</f>
        <v>0</v>
      </c>
      <c r="AE270" s="68">
        <f t="shared" si="70"/>
        <v>0</v>
      </c>
      <c r="AF270" s="67">
        <f>IFERROR(SUMIF(新生児モニタ!$C$30:$C$74,B270,新生児モニタ!$K$30:$K$74)*((新生児モニタ!$H$3-新生児モニタ!$I$3)/新生児モニタ!$H$3),0)</f>
        <v>0</v>
      </c>
      <c r="AG270" s="68">
        <f t="shared" si="71"/>
        <v>0</v>
      </c>
    </row>
    <row r="271" spans="2:33">
      <c r="B271" s="64" t="s">
        <v>918</v>
      </c>
      <c r="C271" s="67">
        <f>IFERROR(SUMIF(初度設備!$C$30:$C$74,B271,初度設備!$N$30:$N$74)*((初度設備!$H$3-初度設備!$I$3)/初度設備!$H$3),0)</f>
        <v>0</v>
      </c>
      <c r="D271" s="68">
        <f t="shared" si="56"/>
        <v>0</v>
      </c>
      <c r="E271" s="67">
        <f>IFERROR(SUMIF(人工呼吸器!$C$30:$C$74,B271,人工呼吸器!$N$30:$N$74)*((人工呼吸器!$H$3-人工呼吸器!$I$3)/人工呼吸器!$H$3),0)</f>
        <v>0</v>
      </c>
      <c r="F271" s="68">
        <f t="shared" si="57"/>
        <v>0</v>
      </c>
      <c r="G271" s="68">
        <f t="shared" si="58"/>
        <v>0</v>
      </c>
      <c r="H271" s="68">
        <f t="shared" si="59"/>
        <v>0</v>
      </c>
      <c r="I271" s="67">
        <f>IFERROR(SUMIF(簡易陰圧装置!$C$30:$C$74,B271,簡易陰圧装置!$N$30:$N$74)*((簡易陰圧装置!$H$3-簡易陰圧装置!$I$3)/簡易陰圧装置!$H$3),0)</f>
        <v>0</v>
      </c>
      <c r="J271" s="68">
        <f t="shared" si="60"/>
        <v>0</v>
      </c>
      <c r="K271" s="67">
        <f>IFERROR(SUMIF(#REF!,B271,#REF!)*((#REF!-#REF!)/#REF!),0)</f>
        <v>0</v>
      </c>
      <c r="L271" s="68">
        <f t="shared" si="61"/>
        <v>0</v>
      </c>
      <c r="M271" s="67">
        <f>IFERROR(SUMIF(体外式膜型人工肺!$C$30:$C$74,B271,体外式膜型人工肺!$N$30:$N$74)*((体外式膜型人工肺!$H$3-体外式膜型人工肺!$I$3)/体外式膜型人工肺!$H$3),0)</f>
        <v>0</v>
      </c>
      <c r="N271" s="68">
        <f t="shared" si="62"/>
        <v>0</v>
      </c>
      <c r="O271" s="68">
        <f t="shared" si="63"/>
        <v>0</v>
      </c>
      <c r="P271" s="68">
        <f t="shared" si="64"/>
        <v>0</v>
      </c>
      <c r="Q271" s="67">
        <f>IFERROR(SUMIF(紫外線照射装置!$C$30:$C$74,B271,紫外線照射装置!$N$30:$N$74)*((紫外線照射装置!$H$3-紫外線照射装置!$I$3)/紫外線照射装置!$H$3),0)</f>
        <v>0</v>
      </c>
      <c r="R271" s="68">
        <f t="shared" si="65"/>
        <v>0</v>
      </c>
      <c r="S271" s="101">
        <f t="shared" si="66"/>
        <v>0</v>
      </c>
      <c r="T271" s="67">
        <f>IFERROR(SUMIF(超音波画像診断装置!$C$30:$C$74,B271,超音波画像診断装置!$K$30:$K$74)*((超音波画像診断装置!$H$3-超音波画像診断装置!$I$3)/超音波画像診断装置!$H$3),0)</f>
        <v>0</v>
      </c>
      <c r="U271" s="68">
        <f t="shared" si="67"/>
        <v>0</v>
      </c>
      <c r="V271" s="67">
        <f>IFERROR(SUMIF(血液浄化装置!$C$30:$C$74,B271,血液浄化装置!$K$30:$K$74)*((血液浄化装置!$H$3-血液浄化装置!$I$3)/血液浄化装置!$H$3),0)</f>
        <v>0</v>
      </c>
      <c r="W271" s="68">
        <f t="shared" si="68"/>
        <v>0</v>
      </c>
      <c r="X271" s="67">
        <f>IFERROR(SUMIF(気管支鏡!$C$30:$C$74,B271,気管支鏡!$K$30:$K$74)*((気管支鏡!$H$3-気管支鏡!$I$3)/気管支鏡!$H$3),0)</f>
        <v>0</v>
      </c>
      <c r="Y271" s="68">
        <f t="shared" si="54"/>
        <v>0</v>
      </c>
      <c r="Z271" s="67">
        <f>IFERROR(SUMIF(CT撮影装置!$C$30:$C$74,B271,CT撮影装置!$K$30:$K$74)*((CT撮影装置!$H$3-CT撮影装置!$I$3)/CT撮影装置!$H$3),0)</f>
        <v>0</v>
      </c>
      <c r="AA271" s="68">
        <f t="shared" si="69"/>
        <v>0</v>
      </c>
      <c r="AB271" s="67">
        <f>IFERROR(SUMIF(生体情報モニタ!$C$30:$C$74,B271,生体情報モニタ!$K$30:$K$74)*((生体情報モニタ!$H$3-生体情報モニタ!$I$3)/生体情報モニタ!$H$3),0)</f>
        <v>0</v>
      </c>
      <c r="AC271" s="68">
        <f t="shared" si="55"/>
        <v>0</v>
      </c>
      <c r="AD271" s="67">
        <f>IFERROR(SUMIF(分娩監視装置!$C$30:$C$74,B271,分娩監視装置!$K$30:$K$74)*((分娩監視装置!$H$3-分娩監視装置!$I$3)/分娩監視装置!$H$3),0)</f>
        <v>0</v>
      </c>
      <c r="AE271" s="68">
        <f t="shared" si="70"/>
        <v>0</v>
      </c>
      <c r="AF271" s="67">
        <f>IFERROR(SUMIF(新生児モニタ!$C$30:$C$74,B271,新生児モニタ!$K$30:$K$74)*((新生児モニタ!$H$3-新生児モニタ!$I$3)/新生児モニタ!$H$3),0)</f>
        <v>0</v>
      </c>
      <c r="AG271" s="68">
        <f t="shared" si="71"/>
        <v>0</v>
      </c>
    </row>
    <row r="272" spans="2:33">
      <c r="B272" s="64" t="s">
        <v>919</v>
      </c>
      <c r="C272" s="67">
        <f>IFERROR(SUMIF(初度設備!$C$30:$C$74,B272,初度設備!$N$30:$N$74)*((初度設備!$H$3-初度設備!$I$3)/初度設備!$H$3),0)</f>
        <v>0</v>
      </c>
      <c r="D272" s="68">
        <f t="shared" si="56"/>
        <v>0</v>
      </c>
      <c r="E272" s="67">
        <f>IFERROR(SUMIF(人工呼吸器!$C$30:$C$74,B272,人工呼吸器!$N$30:$N$74)*((人工呼吸器!$H$3-人工呼吸器!$I$3)/人工呼吸器!$H$3),0)</f>
        <v>0</v>
      </c>
      <c r="F272" s="68">
        <f t="shared" si="57"/>
        <v>0</v>
      </c>
      <c r="G272" s="68">
        <f t="shared" si="58"/>
        <v>0</v>
      </c>
      <c r="H272" s="68">
        <f t="shared" si="59"/>
        <v>0</v>
      </c>
      <c r="I272" s="67">
        <f>IFERROR(SUMIF(簡易陰圧装置!$C$30:$C$74,B272,簡易陰圧装置!$N$30:$N$74)*((簡易陰圧装置!$H$3-簡易陰圧装置!$I$3)/簡易陰圧装置!$H$3),0)</f>
        <v>0</v>
      </c>
      <c r="J272" s="68">
        <f t="shared" si="60"/>
        <v>0</v>
      </c>
      <c r="K272" s="67">
        <f>IFERROR(SUMIF(#REF!,B272,#REF!)*((#REF!-#REF!)/#REF!),0)</f>
        <v>0</v>
      </c>
      <c r="L272" s="68">
        <f t="shared" si="61"/>
        <v>0</v>
      </c>
      <c r="M272" s="67">
        <f>IFERROR(SUMIF(体外式膜型人工肺!$C$30:$C$74,B272,体外式膜型人工肺!$N$30:$N$74)*((体外式膜型人工肺!$H$3-体外式膜型人工肺!$I$3)/体外式膜型人工肺!$H$3),0)</f>
        <v>0</v>
      </c>
      <c r="N272" s="68">
        <f t="shared" si="62"/>
        <v>0</v>
      </c>
      <c r="O272" s="68">
        <f t="shared" si="63"/>
        <v>0</v>
      </c>
      <c r="P272" s="68">
        <f t="shared" si="64"/>
        <v>0</v>
      </c>
      <c r="Q272" s="67">
        <f>IFERROR(SUMIF(紫外線照射装置!$C$30:$C$74,B272,紫外線照射装置!$N$30:$N$74)*((紫外線照射装置!$H$3-紫外線照射装置!$I$3)/紫外線照射装置!$H$3),0)</f>
        <v>0</v>
      </c>
      <c r="R272" s="68">
        <f t="shared" si="65"/>
        <v>0</v>
      </c>
      <c r="S272" s="101">
        <f t="shared" si="66"/>
        <v>0</v>
      </c>
      <c r="T272" s="67">
        <f>IFERROR(SUMIF(超音波画像診断装置!$C$30:$C$74,B272,超音波画像診断装置!$K$30:$K$74)*((超音波画像診断装置!$H$3-超音波画像診断装置!$I$3)/超音波画像診断装置!$H$3),0)</f>
        <v>0</v>
      </c>
      <c r="U272" s="68">
        <f t="shared" si="67"/>
        <v>0</v>
      </c>
      <c r="V272" s="67">
        <f>IFERROR(SUMIF(血液浄化装置!$C$30:$C$74,B272,血液浄化装置!$K$30:$K$74)*((血液浄化装置!$H$3-血液浄化装置!$I$3)/血液浄化装置!$H$3),0)</f>
        <v>0</v>
      </c>
      <c r="W272" s="68">
        <f t="shared" si="68"/>
        <v>0</v>
      </c>
      <c r="X272" s="67">
        <f>IFERROR(SUMIF(気管支鏡!$C$30:$C$74,B272,気管支鏡!$K$30:$K$74)*((気管支鏡!$H$3-気管支鏡!$I$3)/気管支鏡!$H$3),0)</f>
        <v>0</v>
      </c>
      <c r="Y272" s="68">
        <f t="shared" si="54"/>
        <v>0</v>
      </c>
      <c r="Z272" s="67">
        <f>IFERROR(SUMIF(CT撮影装置!$C$30:$C$74,B272,CT撮影装置!$K$30:$K$74)*((CT撮影装置!$H$3-CT撮影装置!$I$3)/CT撮影装置!$H$3),0)</f>
        <v>0</v>
      </c>
      <c r="AA272" s="68">
        <f t="shared" si="69"/>
        <v>0</v>
      </c>
      <c r="AB272" s="67">
        <f>IFERROR(SUMIF(生体情報モニタ!$C$30:$C$74,B272,生体情報モニタ!$K$30:$K$74)*((生体情報モニタ!$H$3-生体情報モニタ!$I$3)/生体情報モニタ!$H$3),0)</f>
        <v>0</v>
      </c>
      <c r="AC272" s="68">
        <f t="shared" si="55"/>
        <v>0</v>
      </c>
      <c r="AD272" s="67">
        <f>IFERROR(SUMIF(分娩監視装置!$C$30:$C$74,B272,分娩監視装置!$K$30:$K$74)*((分娩監視装置!$H$3-分娩監視装置!$I$3)/分娩監視装置!$H$3),0)</f>
        <v>0</v>
      </c>
      <c r="AE272" s="68">
        <f t="shared" si="70"/>
        <v>0</v>
      </c>
      <c r="AF272" s="67">
        <f>IFERROR(SUMIF(新生児モニタ!$C$30:$C$74,B272,新生児モニタ!$K$30:$K$74)*((新生児モニタ!$H$3-新生児モニタ!$I$3)/新生児モニタ!$H$3),0)</f>
        <v>0</v>
      </c>
      <c r="AG272" s="68">
        <f t="shared" si="71"/>
        <v>0</v>
      </c>
    </row>
    <row r="273" spans="2:33">
      <c r="B273" s="64" t="s">
        <v>920</v>
      </c>
      <c r="C273" s="67">
        <f>IFERROR(SUMIF(初度設備!$C$30:$C$74,B273,初度設備!$N$30:$N$74)*((初度設備!$H$3-初度設備!$I$3)/初度設備!$H$3),0)</f>
        <v>0</v>
      </c>
      <c r="D273" s="68">
        <f t="shared" si="56"/>
        <v>0</v>
      </c>
      <c r="E273" s="67">
        <f>IFERROR(SUMIF(人工呼吸器!$C$30:$C$74,B273,人工呼吸器!$N$30:$N$74)*((人工呼吸器!$H$3-人工呼吸器!$I$3)/人工呼吸器!$H$3),0)</f>
        <v>0</v>
      </c>
      <c r="F273" s="68">
        <f t="shared" si="57"/>
        <v>0</v>
      </c>
      <c r="G273" s="68">
        <f t="shared" si="58"/>
        <v>0</v>
      </c>
      <c r="H273" s="68">
        <f t="shared" si="59"/>
        <v>0</v>
      </c>
      <c r="I273" s="67">
        <f>IFERROR(SUMIF(簡易陰圧装置!$C$30:$C$74,B273,簡易陰圧装置!$N$30:$N$74)*((簡易陰圧装置!$H$3-簡易陰圧装置!$I$3)/簡易陰圧装置!$H$3),0)</f>
        <v>0</v>
      </c>
      <c r="J273" s="68">
        <f t="shared" si="60"/>
        <v>0</v>
      </c>
      <c r="K273" s="67">
        <f>IFERROR(SUMIF(#REF!,B273,#REF!)*((#REF!-#REF!)/#REF!),0)</f>
        <v>0</v>
      </c>
      <c r="L273" s="68">
        <f t="shared" si="61"/>
        <v>0</v>
      </c>
      <c r="M273" s="67">
        <f>IFERROR(SUMIF(体外式膜型人工肺!$C$30:$C$74,B273,体外式膜型人工肺!$N$30:$N$74)*((体外式膜型人工肺!$H$3-体外式膜型人工肺!$I$3)/体外式膜型人工肺!$H$3),0)</f>
        <v>0</v>
      </c>
      <c r="N273" s="68">
        <f t="shared" si="62"/>
        <v>0</v>
      </c>
      <c r="O273" s="68">
        <f t="shared" si="63"/>
        <v>0</v>
      </c>
      <c r="P273" s="68">
        <f t="shared" si="64"/>
        <v>0</v>
      </c>
      <c r="Q273" s="67">
        <f>IFERROR(SUMIF(紫外線照射装置!$C$30:$C$74,B273,紫外線照射装置!$N$30:$N$74)*((紫外線照射装置!$H$3-紫外線照射装置!$I$3)/紫外線照射装置!$H$3),0)</f>
        <v>0</v>
      </c>
      <c r="R273" s="68">
        <f t="shared" si="65"/>
        <v>0</v>
      </c>
      <c r="S273" s="101">
        <f t="shared" si="66"/>
        <v>0</v>
      </c>
      <c r="T273" s="67">
        <f>IFERROR(SUMIF(超音波画像診断装置!$C$30:$C$74,B273,超音波画像診断装置!$K$30:$K$74)*((超音波画像診断装置!$H$3-超音波画像診断装置!$I$3)/超音波画像診断装置!$H$3),0)</f>
        <v>0</v>
      </c>
      <c r="U273" s="68">
        <f t="shared" si="67"/>
        <v>0</v>
      </c>
      <c r="V273" s="67">
        <f>IFERROR(SUMIF(血液浄化装置!$C$30:$C$74,B273,血液浄化装置!$K$30:$K$74)*((血液浄化装置!$H$3-血液浄化装置!$I$3)/血液浄化装置!$H$3),0)</f>
        <v>0</v>
      </c>
      <c r="W273" s="68">
        <f t="shared" si="68"/>
        <v>0</v>
      </c>
      <c r="X273" s="67">
        <f>IFERROR(SUMIF(気管支鏡!$C$30:$C$74,B273,気管支鏡!$K$30:$K$74)*((気管支鏡!$H$3-気管支鏡!$I$3)/気管支鏡!$H$3),0)</f>
        <v>0</v>
      </c>
      <c r="Y273" s="68">
        <f t="shared" si="54"/>
        <v>0</v>
      </c>
      <c r="Z273" s="67">
        <f>IFERROR(SUMIF(CT撮影装置!$C$30:$C$74,B273,CT撮影装置!$K$30:$K$74)*((CT撮影装置!$H$3-CT撮影装置!$I$3)/CT撮影装置!$H$3),0)</f>
        <v>0</v>
      </c>
      <c r="AA273" s="68">
        <f t="shared" si="69"/>
        <v>0</v>
      </c>
      <c r="AB273" s="67">
        <f>IFERROR(SUMIF(生体情報モニタ!$C$30:$C$74,B273,生体情報モニタ!$K$30:$K$74)*((生体情報モニタ!$H$3-生体情報モニタ!$I$3)/生体情報モニタ!$H$3),0)</f>
        <v>0</v>
      </c>
      <c r="AC273" s="68">
        <f t="shared" si="55"/>
        <v>0</v>
      </c>
      <c r="AD273" s="67">
        <f>IFERROR(SUMIF(分娩監視装置!$C$30:$C$74,B273,分娩監視装置!$K$30:$K$74)*((分娩監視装置!$H$3-分娩監視装置!$I$3)/分娩監視装置!$H$3),0)</f>
        <v>0</v>
      </c>
      <c r="AE273" s="68">
        <f t="shared" si="70"/>
        <v>0</v>
      </c>
      <c r="AF273" s="67">
        <f>IFERROR(SUMIF(新生児モニタ!$C$30:$C$74,B273,新生児モニタ!$K$30:$K$74)*((新生児モニタ!$H$3-新生児モニタ!$I$3)/新生児モニタ!$H$3),0)</f>
        <v>0</v>
      </c>
      <c r="AG273" s="68">
        <f t="shared" si="71"/>
        <v>0</v>
      </c>
    </row>
    <row r="274" spans="2:33">
      <c r="B274" s="64" t="s">
        <v>921</v>
      </c>
      <c r="C274" s="67">
        <f>IFERROR(SUMIF(初度設備!$C$30:$C$74,B274,初度設備!$N$30:$N$74)*((初度設備!$H$3-初度設備!$I$3)/初度設備!$H$3),0)</f>
        <v>0</v>
      </c>
      <c r="D274" s="68">
        <f t="shared" si="56"/>
        <v>0</v>
      </c>
      <c r="E274" s="67">
        <f>IFERROR(SUMIF(人工呼吸器!$C$30:$C$74,B274,人工呼吸器!$N$30:$N$74)*((人工呼吸器!$H$3-人工呼吸器!$I$3)/人工呼吸器!$H$3),0)</f>
        <v>0</v>
      </c>
      <c r="F274" s="68">
        <f t="shared" si="57"/>
        <v>0</v>
      </c>
      <c r="G274" s="68">
        <f t="shared" si="58"/>
        <v>0</v>
      </c>
      <c r="H274" s="68">
        <f t="shared" si="59"/>
        <v>0</v>
      </c>
      <c r="I274" s="67">
        <f>IFERROR(SUMIF(簡易陰圧装置!$C$30:$C$74,B274,簡易陰圧装置!$N$30:$N$74)*((簡易陰圧装置!$H$3-簡易陰圧装置!$I$3)/簡易陰圧装置!$H$3),0)</f>
        <v>0</v>
      </c>
      <c r="J274" s="68">
        <f t="shared" si="60"/>
        <v>0</v>
      </c>
      <c r="K274" s="67">
        <f>IFERROR(SUMIF(#REF!,B274,#REF!)*((#REF!-#REF!)/#REF!),0)</f>
        <v>0</v>
      </c>
      <c r="L274" s="68">
        <f t="shared" si="61"/>
        <v>0</v>
      </c>
      <c r="M274" s="67">
        <f>IFERROR(SUMIF(体外式膜型人工肺!$C$30:$C$74,B274,体外式膜型人工肺!$N$30:$N$74)*((体外式膜型人工肺!$H$3-体外式膜型人工肺!$I$3)/体外式膜型人工肺!$H$3),0)</f>
        <v>0</v>
      </c>
      <c r="N274" s="68">
        <f t="shared" si="62"/>
        <v>0</v>
      </c>
      <c r="O274" s="68">
        <f t="shared" si="63"/>
        <v>0</v>
      </c>
      <c r="P274" s="68">
        <f t="shared" si="64"/>
        <v>0</v>
      </c>
      <c r="Q274" s="67">
        <f>IFERROR(SUMIF(紫外線照射装置!$C$30:$C$74,B274,紫外線照射装置!$N$30:$N$74)*((紫外線照射装置!$H$3-紫外線照射装置!$I$3)/紫外線照射装置!$H$3),0)</f>
        <v>0</v>
      </c>
      <c r="R274" s="68">
        <f t="shared" si="65"/>
        <v>0</v>
      </c>
      <c r="S274" s="101">
        <f t="shared" si="66"/>
        <v>0</v>
      </c>
      <c r="T274" s="67">
        <f>IFERROR(SUMIF(超音波画像診断装置!$C$30:$C$74,B274,超音波画像診断装置!$K$30:$K$74)*((超音波画像診断装置!$H$3-超音波画像診断装置!$I$3)/超音波画像診断装置!$H$3),0)</f>
        <v>0</v>
      </c>
      <c r="U274" s="68">
        <f t="shared" si="67"/>
        <v>0</v>
      </c>
      <c r="V274" s="67">
        <f>IFERROR(SUMIF(血液浄化装置!$C$30:$C$74,B274,血液浄化装置!$K$30:$K$74)*((血液浄化装置!$H$3-血液浄化装置!$I$3)/血液浄化装置!$H$3),0)</f>
        <v>0</v>
      </c>
      <c r="W274" s="68">
        <f t="shared" si="68"/>
        <v>0</v>
      </c>
      <c r="X274" s="67">
        <f>IFERROR(SUMIF(気管支鏡!$C$30:$C$74,B274,気管支鏡!$K$30:$K$74)*((気管支鏡!$H$3-気管支鏡!$I$3)/気管支鏡!$H$3),0)</f>
        <v>0</v>
      </c>
      <c r="Y274" s="68">
        <f t="shared" si="54"/>
        <v>0</v>
      </c>
      <c r="Z274" s="67">
        <f>IFERROR(SUMIF(CT撮影装置!$C$30:$C$74,B274,CT撮影装置!$K$30:$K$74)*((CT撮影装置!$H$3-CT撮影装置!$I$3)/CT撮影装置!$H$3),0)</f>
        <v>0</v>
      </c>
      <c r="AA274" s="68">
        <f t="shared" si="69"/>
        <v>0</v>
      </c>
      <c r="AB274" s="67">
        <f>IFERROR(SUMIF(生体情報モニタ!$C$30:$C$74,B274,生体情報モニタ!$K$30:$K$74)*((生体情報モニタ!$H$3-生体情報モニタ!$I$3)/生体情報モニタ!$H$3),0)</f>
        <v>0</v>
      </c>
      <c r="AC274" s="68">
        <f t="shared" si="55"/>
        <v>0</v>
      </c>
      <c r="AD274" s="67">
        <f>IFERROR(SUMIF(分娩監視装置!$C$30:$C$74,B274,分娩監視装置!$K$30:$K$74)*((分娩監視装置!$H$3-分娩監視装置!$I$3)/分娩監視装置!$H$3),0)</f>
        <v>0</v>
      </c>
      <c r="AE274" s="68">
        <f t="shared" si="70"/>
        <v>0</v>
      </c>
      <c r="AF274" s="67">
        <f>IFERROR(SUMIF(新生児モニタ!$C$30:$C$74,B274,新生児モニタ!$K$30:$K$74)*((新生児モニタ!$H$3-新生児モニタ!$I$3)/新生児モニタ!$H$3),0)</f>
        <v>0</v>
      </c>
      <c r="AG274" s="68">
        <f t="shared" si="71"/>
        <v>0</v>
      </c>
    </row>
    <row r="275" spans="2:33">
      <c r="B275" s="64" t="s">
        <v>922</v>
      </c>
      <c r="C275" s="67">
        <f>IFERROR(SUMIF(初度設備!$C$30:$C$74,B275,初度設備!$N$30:$N$74)*((初度設備!$H$3-初度設備!$I$3)/初度設備!$H$3),0)</f>
        <v>0</v>
      </c>
      <c r="D275" s="68">
        <f t="shared" si="56"/>
        <v>0</v>
      </c>
      <c r="E275" s="67">
        <f>IFERROR(SUMIF(人工呼吸器!$C$30:$C$74,B275,人工呼吸器!$N$30:$N$74)*((人工呼吸器!$H$3-人工呼吸器!$I$3)/人工呼吸器!$H$3),0)</f>
        <v>0</v>
      </c>
      <c r="F275" s="68">
        <f t="shared" si="57"/>
        <v>0</v>
      </c>
      <c r="G275" s="68">
        <f t="shared" si="58"/>
        <v>0</v>
      </c>
      <c r="H275" s="68">
        <f t="shared" si="59"/>
        <v>0</v>
      </c>
      <c r="I275" s="67">
        <f>IFERROR(SUMIF(簡易陰圧装置!$C$30:$C$74,B275,簡易陰圧装置!$N$30:$N$74)*((簡易陰圧装置!$H$3-簡易陰圧装置!$I$3)/簡易陰圧装置!$H$3),0)</f>
        <v>0</v>
      </c>
      <c r="J275" s="68">
        <f t="shared" si="60"/>
        <v>0</v>
      </c>
      <c r="K275" s="67">
        <f>IFERROR(SUMIF(#REF!,B275,#REF!)*((#REF!-#REF!)/#REF!),0)</f>
        <v>0</v>
      </c>
      <c r="L275" s="68">
        <f t="shared" si="61"/>
        <v>0</v>
      </c>
      <c r="M275" s="67">
        <f>IFERROR(SUMIF(体外式膜型人工肺!$C$30:$C$74,B275,体外式膜型人工肺!$N$30:$N$74)*((体外式膜型人工肺!$H$3-体外式膜型人工肺!$I$3)/体外式膜型人工肺!$H$3),0)</f>
        <v>0</v>
      </c>
      <c r="N275" s="68">
        <f t="shared" si="62"/>
        <v>0</v>
      </c>
      <c r="O275" s="68">
        <f t="shared" si="63"/>
        <v>0</v>
      </c>
      <c r="P275" s="68">
        <f t="shared" si="64"/>
        <v>0</v>
      </c>
      <c r="Q275" s="67">
        <f>IFERROR(SUMIF(紫外線照射装置!$C$30:$C$74,B275,紫外線照射装置!$N$30:$N$74)*((紫外線照射装置!$H$3-紫外線照射装置!$I$3)/紫外線照射装置!$H$3),0)</f>
        <v>0</v>
      </c>
      <c r="R275" s="68">
        <f t="shared" si="65"/>
        <v>0</v>
      </c>
      <c r="S275" s="101">
        <f t="shared" si="66"/>
        <v>0</v>
      </c>
      <c r="T275" s="67">
        <f>IFERROR(SUMIF(超音波画像診断装置!$C$30:$C$74,B275,超音波画像診断装置!$K$30:$K$74)*((超音波画像診断装置!$H$3-超音波画像診断装置!$I$3)/超音波画像診断装置!$H$3),0)</f>
        <v>0</v>
      </c>
      <c r="U275" s="68">
        <f t="shared" si="67"/>
        <v>0</v>
      </c>
      <c r="V275" s="67">
        <f>IFERROR(SUMIF(血液浄化装置!$C$30:$C$74,B275,血液浄化装置!$K$30:$K$74)*((血液浄化装置!$H$3-血液浄化装置!$I$3)/血液浄化装置!$H$3),0)</f>
        <v>0</v>
      </c>
      <c r="W275" s="68">
        <f t="shared" si="68"/>
        <v>0</v>
      </c>
      <c r="X275" s="67">
        <f>IFERROR(SUMIF(気管支鏡!$C$30:$C$74,B275,気管支鏡!$K$30:$K$74)*((気管支鏡!$H$3-気管支鏡!$I$3)/気管支鏡!$H$3),0)</f>
        <v>0</v>
      </c>
      <c r="Y275" s="68">
        <f t="shared" si="54"/>
        <v>0</v>
      </c>
      <c r="Z275" s="67">
        <f>IFERROR(SUMIF(CT撮影装置!$C$30:$C$74,B275,CT撮影装置!$K$30:$K$74)*((CT撮影装置!$H$3-CT撮影装置!$I$3)/CT撮影装置!$H$3),0)</f>
        <v>0</v>
      </c>
      <c r="AA275" s="68">
        <f t="shared" si="69"/>
        <v>0</v>
      </c>
      <c r="AB275" s="67">
        <f>IFERROR(SUMIF(生体情報モニタ!$C$30:$C$74,B275,生体情報モニタ!$K$30:$K$74)*((生体情報モニタ!$H$3-生体情報モニタ!$I$3)/生体情報モニタ!$H$3),0)</f>
        <v>0</v>
      </c>
      <c r="AC275" s="68">
        <f t="shared" si="55"/>
        <v>0</v>
      </c>
      <c r="AD275" s="67">
        <f>IFERROR(SUMIF(分娩監視装置!$C$30:$C$74,B275,分娩監視装置!$K$30:$K$74)*((分娩監視装置!$H$3-分娩監視装置!$I$3)/分娩監視装置!$H$3),0)</f>
        <v>0</v>
      </c>
      <c r="AE275" s="68">
        <f t="shared" si="70"/>
        <v>0</v>
      </c>
      <c r="AF275" s="67">
        <f>IFERROR(SUMIF(新生児モニタ!$C$30:$C$74,B275,新生児モニタ!$K$30:$K$74)*((新生児モニタ!$H$3-新生児モニタ!$I$3)/新生児モニタ!$H$3),0)</f>
        <v>0</v>
      </c>
      <c r="AG275" s="68">
        <f t="shared" si="71"/>
        <v>0</v>
      </c>
    </row>
    <row r="276" spans="2:33">
      <c r="B276" s="64" t="s">
        <v>923</v>
      </c>
      <c r="C276" s="67">
        <f>IFERROR(SUMIF(初度設備!$C$30:$C$74,B276,初度設備!$N$30:$N$74)*((初度設備!$H$3-初度設備!$I$3)/初度設備!$H$3),0)</f>
        <v>0</v>
      </c>
      <c r="D276" s="68">
        <f t="shared" si="56"/>
        <v>0</v>
      </c>
      <c r="E276" s="67">
        <f>IFERROR(SUMIF(人工呼吸器!$C$30:$C$74,B276,人工呼吸器!$N$30:$N$74)*((人工呼吸器!$H$3-人工呼吸器!$I$3)/人工呼吸器!$H$3),0)</f>
        <v>0</v>
      </c>
      <c r="F276" s="68">
        <f t="shared" si="57"/>
        <v>0</v>
      </c>
      <c r="G276" s="68">
        <f t="shared" si="58"/>
        <v>0</v>
      </c>
      <c r="H276" s="68">
        <f t="shared" si="59"/>
        <v>0</v>
      </c>
      <c r="I276" s="67">
        <f>IFERROR(SUMIF(簡易陰圧装置!$C$30:$C$74,B276,簡易陰圧装置!$N$30:$N$74)*((簡易陰圧装置!$H$3-簡易陰圧装置!$I$3)/簡易陰圧装置!$H$3),0)</f>
        <v>0</v>
      </c>
      <c r="J276" s="68">
        <f t="shared" si="60"/>
        <v>0</v>
      </c>
      <c r="K276" s="67">
        <f>IFERROR(SUMIF(#REF!,B276,#REF!)*((#REF!-#REF!)/#REF!),0)</f>
        <v>0</v>
      </c>
      <c r="L276" s="68">
        <f t="shared" si="61"/>
        <v>0</v>
      </c>
      <c r="M276" s="67">
        <f>IFERROR(SUMIF(体外式膜型人工肺!$C$30:$C$74,B276,体外式膜型人工肺!$N$30:$N$74)*((体外式膜型人工肺!$H$3-体外式膜型人工肺!$I$3)/体外式膜型人工肺!$H$3),0)</f>
        <v>0</v>
      </c>
      <c r="N276" s="68">
        <f t="shared" si="62"/>
        <v>0</v>
      </c>
      <c r="O276" s="68">
        <f t="shared" si="63"/>
        <v>0</v>
      </c>
      <c r="P276" s="68">
        <f t="shared" si="64"/>
        <v>0</v>
      </c>
      <c r="Q276" s="67">
        <f>IFERROR(SUMIF(紫外線照射装置!$C$30:$C$74,B276,紫外線照射装置!$N$30:$N$74)*((紫外線照射装置!$H$3-紫外線照射装置!$I$3)/紫外線照射装置!$H$3),0)</f>
        <v>0</v>
      </c>
      <c r="R276" s="68">
        <f t="shared" si="65"/>
        <v>0</v>
      </c>
      <c r="S276" s="101">
        <f t="shared" si="66"/>
        <v>0</v>
      </c>
      <c r="T276" s="67">
        <f>IFERROR(SUMIF(超音波画像診断装置!$C$30:$C$74,B276,超音波画像診断装置!$K$30:$K$74)*((超音波画像診断装置!$H$3-超音波画像診断装置!$I$3)/超音波画像診断装置!$H$3),0)</f>
        <v>0</v>
      </c>
      <c r="U276" s="68">
        <f t="shared" si="67"/>
        <v>0</v>
      </c>
      <c r="V276" s="67">
        <f>IFERROR(SUMIF(血液浄化装置!$C$30:$C$74,B276,血液浄化装置!$K$30:$K$74)*((血液浄化装置!$H$3-血液浄化装置!$I$3)/血液浄化装置!$H$3),0)</f>
        <v>0</v>
      </c>
      <c r="W276" s="68">
        <f t="shared" si="68"/>
        <v>0</v>
      </c>
      <c r="X276" s="67">
        <f>IFERROR(SUMIF(気管支鏡!$C$30:$C$74,B276,気管支鏡!$K$30:$K$74)*((気管支鏡!$H$3-気管支鏡!$I$3)/気管支鏡!$H$3),0)</f>
        <v>0</v>
      </c>
      <c r="Y276" s="68">
        <f t="shared" si="54"/>
        <v>0</v>
      </c>
      <c r="Z276" s="67">
        <f>IFERROR(SUMIF(CT撮影装置!$C$30:$C$74,B276,CT撮影装置!$K$30:$K$74)*((CT撮影装置!$H$3-CT撮影装置!$I$3)/CT撮影装置!$H$3),0)</f>
        <v>0</v>
      </c>
      <c r="AA276" s="68">
        <f t="shared" si="69"/>
        <v>0</v>
      </c>
      <c r="AB276" s="67">
        <f>IFERROR(SUMIF(生体情報モニタ!$C$30:$C$74,B276,生体情報モニタ!$K$30:$K$74)*((生体情報モニタ!$H$3-生体情報モニタ!$I$3)/生体情報モニタ!$H$3),0)</f>
        <v>0</v>
      </c>
      <c r="AC276" s="68">
        <f t="shared" si="55"/>
        <v>0</v>
      </c>
      <c r="AD276" s="67">
        <f>IFERROR(SUMIF(分娩監視装置!$C$30:$C$74,B276,分娩監視装置!$K$30:$K$74)*((分娩監視装置!$H$3-分娩監視装置!$I$3)/分娩監視装置!$H$3),0)</f>
        <v>0</v>
      </c>
      <c r="AE276" s="68">
        <f t="shared" si="70"/>
        <v>0</v>
      </c>
      <c r="AF276" s="67">
        <f>IFERROR(SUMIF(新生児モニタ!$C$30:$C$74,B276,新生児モニタ!$K$30:$K$74)*((新生児モニタ!$H$3-新生児モニタ!$I$3)/新生児モニタ!$H$3),0)</f>
        <v>0</v>
      </c>
      <c r="AG276" s="68">
        <f t="shared" si="71"/>
        <v>0</v>
      </c>
    </row>
    <row r="277" spans="2:33">
      <c r="B277" s="64" t="s">
        <v>924</v>
      </c>
      <c r="C277" s="67">
        <f>IFERROR(SUMIF(初度設備!$C$30:$C$74,B277,初度設備!$N$30:$N$74)*((初度設備!$H$3-初度設備!$I$3)/初度設備!$H$3),0)</f>
        <v>0</v>
      </c>
      <c r="D277" s="68">
        <f t="shared" si="56"/>
        <v>0</v>
      </c>
      <c r="E277" s="67">
        <f>IFERROR(SUMIF(人工呼吸器!$C$30:$C$74,B277,人工呼吸器!$N$30:$N$74)*((人工呼吸器!$H$3-人工呼吸器!$I$3)/人工呼吸器!$H$3),0)</f>
        <v>0</v>
      </c>
      <c r="F277" s="68">
        <f t="shared" si="57"/>
        <v>0</v>
      </c>
      <c r="G277" s="68">
        <f t="shared" si="58"/>
        <v>0</v>
      </c>
      <c r="H277" s="68">
        <f t="shared" si="59"/>
        <v>0</v>
      </c>
      <c r="I277" s="67">
        <f>IFERROR(SUMIF(簡易陰圧装置!$C$30:$C$74,B277,簡易陰圧装置!$N$30:$N$74)*((簡易陰圧装置!$H$3-簡易陰圧装置!$I$3)/簡易陰圧装置!$H$3),0)</f>
        <v>0</v>
      </c>
      <c r="J277" s="68">
        <f t="shared" si="60"/>
        <v>0</v>
      </c>
      <c r="K277" s="67">
        <f>IFERROR(SUMIF(#REF!,B277,#REF!)*((#REF!-#REF!)/#REF!),0)</f>
        <v>0</v>
      </c>
      <c r="L277" s="68">
        <f t="shared" si="61"/>
        <v>0</v>
      </c>
      <c r="M277" s="67">
        <f>IFERROR(SUMIF(体外式膜型人工肺!$C$30:$C$74,B277,体外式膜型人工肺!$N$30:$N$74)*((体外式膜型人工肺!$H$3-体外式膜型人工肺!$I$3)/体外式膜型人工肺!$H$3),0)</f>
        <v>0</v>
      </c>
      <c r="N277" s="68">
        <f t="shared" si="62"/>
        <v>0</v>
      </c>
      <c r="O277" s="68">
        <f t="shared" si="63"/>
        <v>0</v>
      </c>
      <c r="P277" s="68">
        <f t="shared" si="64"/>
        <v>0</v>
      </c>
      <c r="Q277" s="67">
        <f>IFERROR(SUMIF(紫外線照射装置!$C$30:$C$74,B277,紫外線照射装置!$N$30:$N$74)*((紫外線照射装置!$H$3-紫外線照射装置!$I$3)/紫外線照射装置!$H$3),0)</f>
        <v>0</v>
      </c>
      <c r="R277" s="68">
        <f t="shared" si="65"/>
        <v>0</v>
      </c>
      <c r="S277" s="101">
        <f t="shared" si="66"/>
        <v>0</v>
      </c>
      <c r="T277" s="67">
        <f>IFERROR(SUMIF(超音波画像診断装置!$C$30:$C$74,B277,超音波画像診断装置!$K$30:$K$74)*((超音波画像診断装置!$H$3-超音波画像診断装置!$I$3)/超音波画像診断装置!$H$3),0)</f>
        <v>0</v>
      </c>
      <c r="U277" s="68">
        <f t="shared" si="67"/>
        <v>0</v>
      </c>
      <c r="V277" s="67">
        <f>IFERROR(SUMIF(血液浄化装置!$C$30:$C$74,B277,血液浄化装置!$K$30:$K$74)*((血液浄化装置!$H$3-血液浄化装置!$I$3)/血液浄化装置!$H$3),0)</f>
        <v>0</v>
      </c>
      <c r="W277" s="68">
        <f t="shared" si="68"/>
        <v>0</v>
      </c>
      <c r="X277" s="67">
        <f>IFERROR(SUMIF(気管支鏡!$C$30:$C$74,B277,気管支鏡!$K$30:$K$74)*((気管支鏡!$H$3-気管支鏡!$I$3)/気管支鏡!$H$3),0)</f>
        <v>0</v>
      </c>
      <c r="Y277" s="68">
        <f t="shared" si="54"/>
        <v>0</v>
      </c>
      <c r="Z277" s="67">
        <f>IFERROR(SUMIF(CT撮影装置!$C$30:$C$74,B277,CT撮影装置!$K$30:$K$74)*((CT撮影装置!$H$3-CT撮影装置!$I$3)/CT撮影装置!$H$3),0)</f>
        <v>0</v>
      </c>
      <c r="AA277" s="68">
        <f t="shared" si="69"/>
        <v>0</v>
      </c>
      <c r="AB277" s="67">
        <f>IFERROR(SUMIF(生体情報モニタ!$C$30:$C$74,B277,生体情報モニタ!$K$30:$K$74)*((生体情報モニタ!$H$3-生体情報モニタ!$I$3)/生体情報モニタ!$H$3),0)</f>
        <v>0</v>
      </c>
      <c r="AC277" s="68">
        <f t="shared" si="55"/>
        <v>0</v>
      </c>
      <c r="AD277" s="67">
        <f>IFERROR(SUMIF(分娩監視装置!$C$30:$C$74,B277,分娩監視装置!$K$30:$K$74)*((分娩監視装置!$H$3-分娩監視装置!$I$3)/分娩監視装置!$H$3),0)</f>
        <v>0</v>
      </c>
      <c r="AE277" s="68">
        <f t="shared" si="70"/>
        <v>0</v>
      </c>
      <c r="AF277" s="67">
        <f>IFERROR(SUMIF(新生児モニタ!$C$30:$C$74,B277,新生児モニタ!$K$30:$K$74)*((新生児モニタ!$H$3-新生児モニタ!$I$3)/新生児モニタ!$H$3),0)</f>
        <v>0</v>
      </c>
      <c r="AG277" s="68">
        <f t="shared" si="71"/>
        <v>0</v>
      </c>
    </row>
    <row r="278" spans="2:33">
      <c r="B278" s="64" t="s">
        <v>925</v>
      </c>
      <c r="C278" s="67">
        <f>IFERROR(SUMIF(初度設備!$C$30:$C$74,B278,初度設備!$N$30:$N$74)*((初度設備!$H$3-初度設備!$I$3)/初度設備!$H$3),0)</f>
        <v>0</v>
      </c>
      <c r="D278" s="68">
        <f t="shared" si="56"/>
        <v>0</v>
      </c>
      <c r="E278" s="67">
        <f>IFERROR(SUMIF(人工呼吸器!$C$30:$C$74,B278,人工呼吸器!$N$30:$N$74)*((人工呼吸器!$H$3-人工呼吸器!$I$3)/人工呼吸器!$H$3),0)</f>
        <v>0</v>
      </c>
      <c r="F278" s="68">
        <f t="shared" si="57"/>
        <v>0</v>
      </c>
      <c r="G278" s="68">
        <f t="shared" si="58"/>
        <v>0</v>
      </c>
      <c r="H278" s="68">
        <f t="shared" si="59"/>
        <v>0</v>
      </c>
      <c r="I278" s="67">
        <f>IFERROR(SUMIF(簡易陰圧装置!$C$30:$C$74,B278,簡易陰圧装置!$N$30:$N$74)*((簡易陰圧装置!$H$3-簡易陰圧装置!$I$3)/簡易陰圧装置!$H$3),0)</f>
        <v>0</v>
      </c>
      <c r="J278" s="68">
        <f t="shared" si="60"/>
        <v>0</v>
      </c>
      <c r="K278" s="67">
        <f>IFERROR(SUMIF(#REF!,B278,#REF!)*((#REF!-#REF!)/#REF!),0)</f>
        <v>0</v>
      </c>
      <c r="L278" s="68">
        <f t="shared" si="61"/>
        <v>0</v>
      </c>
      <c r="M278" s="67">
        <f>IFERROR(SUMIF(体外式膜型人工肺!$C$30:$C$74,B278,体外式膜型人工肺!$N$30:$N$74)*((体外式膜型人工肺!$H$3-体外式膜型人工肺!$I$3)/体外式膜型人工肺!$H$3),0)</f>
        <v>0</v>
      </c>
      <c r="N278" s="68">
        <f t="shared" si="62"/>
        <v>0</v>
      </c>
      <c r="O278" s="68">
        <f t="shared" si="63"/>
        <v>0</v>
      </c>
      <c r="P278" s="68">
        <f t="shared" si="64"/>
        <v>0</v>
      </c>
      <c r="Q278" s="67">
        <f>IFERROR(SUMIF(紫外線照射装置!$C$30:$C$74,B278,紫外線照射装置!$N$30:$N$74)*((紫外線照射装置!$H$3-紫外線照射装置!$I$3)/紫外線照射装置!$H$3),0)</f>
        <v>0</v>
      </c>
      <c r="R278" s="68">
        <f t="shared" si="65"/>
        <v>0</v>
      </c>
      <c r="S278" s="101">
        <f t="shared" si="66"/>
        <v>0</v>
      </c>
      <c r="T278" s="67">
        <f>IFERROR(SUMIF(超音波画像診断装置!$C$30:$C$74,B278,超音波画像診断装置!$K$30:$K$74)*((超音波画像診断装置!$H$3-超音波画像診断装置!$I$3)/超音波画像診断装置!$H$3),0)</f>
        <v>0</v>
      </c>
      <c r="U278" s="68">
        <f t="shared" si="67"/>
        <v>0</v>
      </c>
      <c r="V278" s="67">
        <f>IFERROR(SUMIF(血液浄化装置!$C$30:$C$74,B278,血液浄化装置!$K$30:$K$74)*((血液浄化装置!$H$3-血液浄化装置!$I$3)/血液浄化装置!$H$3),0)</f>
        <v>0</v>
      </c>
      <c r="W278" s="68">
        <f t="shared" si="68"/>
        <v>0</v>
      </c>
      <c r="X278" s="67">
        <f>IFERROR(SUMIF(気管支鏡!$C$30:$C$74,B278,気管支鏡!$K$30:$K$74)*((気管支鏡!$H$3-気管支鏡!$I$3)/気管支鏡!$H$3),0)</f>
        <v>0</v>
      </c>
      <c r="Y278" s="68">
        <f t="shared" si="54"/>
        <v>0</v>
      </c>
      <c r="Z278" s="67">
        <f>IFERROR(SUMIF(CT撮影装置!$C$30:$C$74,B278,CT撮影装置!$K$30:$K$74)*((CT撮影装置!$H$3-CT撮影装置!$I$3)/CT撮影装置!$H$3),0)</f>
        <v>0</v>
      </c>
      <c r="AA278" s="68">
        <f t="shared" si="69"/>
        <v>0</v>
      </c>
      <c r="AB278" s="67">
        <f>IFERROR(SUMIF(生体情報モニタ!$C$30:$C$74,B278,生体情報モニタ!$K$30:$K$74)*((生体情報モニタ!$H$3-生体情報モニタ!$I$3)/生体情報モニタ!$H$3),0)</f>
        <v>0</v>
      </c>
      <c r="AC278" s="68">
        <f t="shared" si="55"/>
        <v>0</v>
      </c>
      <c r="AD278" s="67">
        <f>IFERROR(SUMIF(分娩監視装置!$C$30:$C$74,B278,分娩監視装置!$K$30:$K$74)*((分娩監視装置!$H$3-分娩監視装置!$I$3)/分娩監視装置!$H$3),0)</f>
        <v>0</v>
      </c>
      <c r="AE278" s="68">
        <f t="shared" si="70"/>
        <v>0</v>
      </c>
      <c r="AF278" s="67">
        <f>IFERROR(SUMIF(新生児モニタ!$C$30:$C$74,B278,新生児モニタ!$K$30:$K$74)*((新生児モニタ!$H$3-新生児モニタ!$I$3)/新生児モニタ!$H$3),0)</f>
        <v>0</v>
      </c>
      <c r="AG278" s="68">
        <f t="shared" si="71"/>
        <v>0</v>
      </c>
    </row>
    <row r="279" spans="2:33">
      <c r="B279" s="64" t="s">
        <v>926</v>
      </c>
      <c r="C279" s="67">
        <f>IFERROR(SUMIF(初度設備!$C$30:$C$74,B279,初度設備!$N$30:$N$74)*((初度設備!$H$3-初度設備!$I$3)/初度設備!$H$3),0)</f>
        <v>0</v>
      </c>
      <c r="D279" s="68">
        <f t="shared" si="56"/>
        <v>0</v>
      </c>
      <c r="E279" s="67">
        <f>IFERROR(SUMIF(人工呼吸器!$C$30:$C$74,B279,人工呼吸器!$N$30:$N$74)*((人工呼吸器!$H$3-人工呼吸器!$I$3)/人工呼吸器!$H$3),0)</f>
        <v>0</v>
      </c>
      <c r="F279" s="68">
        <f t="shared" si="57"/>
        <v>0</v>
      </c>
      <c r="G279" s="68">
        <f t="shared" si="58"/>
        <v>0</v>
      </c>
      <c r="H279" s="68">
        <f t="shared" si="59"/>
        <v>0</v>
      </c>
      <c r="I279" s="67">
        <f>IFERROR(SUMIF(簡易陰圧装置!$C$30:$C$74,B279,簡易陰圧装置!$N$30:$N$74)*((簡易陰圧装置!$H$3-簡易陰圧装置!$I$3)/簡易陰圧装置!$H$3),0)</f>
        <v>0</v>
      </c>
      <c r="J279" s="68">
        <f t="shared" si="60"/>
        <v>0</v>
      </c>
      <c r="K279" s="67">
        <f>IFERROR(SUMIF(#REF!,B279,#REF!)*((#REF!-#REF!)/#REF!),0)</f>
        <v>0</v>
      </c>
      <c r="L279" s="68">
        <f t="shared" si="61"/>
        <v>0</v>
      </c>
      <c r="M279" s="67">
        <f>IFERROR(SUMIF(体外式膜型人工肺!$C$30:$C$74,B279,体外式膜型人工肺!$N$30:$N$74)*((体外式膜型人工肺!$H$3-体外式膜型人工肺!$I$3)/体外式膜型人工肺!$H$3),0)</f>
        <v>0</v>
      </c>
      <c r="N279" s="68">
        <f t="shared" si="62"/>
        <v>0</v>
      </c>
      <c r="O279" s="68">
        <f t="shared" si="63"/>
        <v>0</v>
      </c>
      <c r="P279" s="68">
        <f t="shared" si="64"/>
        <v>0</v>
      </c>
      <c r="Q279" s="67">
        <f>IFERROR(SUMIF(紫外線照射装置!$C$30:$C$74,B279,紫外線照射装置!$N$30:$N$74)*((紫外線照射装置!$H$3-紫外線照射装置!$I$3)/紫外線照射装置!$H$3),0)</f>
        <v>0</v>
      </c>
      <c r="R279" s="68">
        <f t="shared" si="65"/>
        <v>0</v>
      </c>
      <c r="S279" s="101">
        <f t="shared" si="66"/>
        <v>0</v>
      </c>
      <c r="T279" s="67">
        <f>IFERROR(SUMIF(超音波画像診断装置!$C$30:$C$74,B279,超音波画像診断装置!$K$30:$K$74)*((超音波画像診断装置!$H$3-超音波画像診断装置!$I$3)/超音波画像診断装置!$H$3),0)</f>
        <v>0</v>
      </c>
      <c r="U279" s="68">
        <f t="shared" si="67"/>
        <v>0</v>
      </c>
      <c r="V279" s="67">
        <f>IFERROR(SUMIF(血液浄化装置!$C$30:$C$74,B279,血液浄化装置!$K$30:$K$74)*((血液浄化装置!$H$3-血液浄化装置!$I$3)/血液浄化装置!$H$3),0)</f>
        <v>0</v>
      </c>
      <c r="W279" s="68">
        <f t="shared" si="68"/>
        <v>0</v>
      </c>
      <c r="X279" s="67">
        <f>IFERROR(SUMIF(気管支鏡!$C$30:$C$74,B279,気管支鏡!$K$30:$K$74)*((気管支鏡!$H$3-気管支鏡!$I$3)/気管支鏡!$H$3),0)</f>
        <v>0</v>
      </c>
      <c r="Y279" s="68">
        <f t="shared" ref="Y279:Y322" si="72">ROUNDDOWN(MIN(X279,$Y$21),-3)</f>
        <v>0</v>
      </c>
      <c r="Z279" s="67">
        <f>IFERROR(SUMIF(CT撮影装置!$C$30:$C$74,B279,CT撮影装置!$K$30:$K$74)*((CT撮影装置!$H$3-CT撮影装置!$I$3)/CT撮影装置!$H$3),0)</f>
        <v>0</v>
      </c>
      <c r="AA279" s="68">
        <f t="shared" si="69"/>
        <v>0</v>
      </c>
      <c r="AB279" s="67">
        <f>IFERROR(SUMIF(生体情報モニタ!$C$30:$C$74,B279,生体情報モニタ!$K$30:$K$74)*((生体情報モニタ!$H$3-生体情報モニタ!$I$3)/生体情報モニタ!$H$3),0)</f>
        <v>0</v>
      </c>
      <c r="AC279" s="68">
        <f t="shared" ref="AC279:AC322" si="73">ROUNDDOWN(MIN(AB279,$AC$21),-3)</f>
        <v>0</v>
      </c>
      <c r="AD279" s="67">
        <f>IFERROR(SUMIF(分娩監視装置!$C$30:$C$74,B279,分娩監視装置!$K$30:$K$74)*((分娩監視装置!$H$3-分娩監視装置!$I$3)/分娩監視装置!$H$3),0)</f>
        <v>0</v>
      </c>
      <c r="AE279" s="68">
        <f t="shared" si="70"/>
        <v>0</v>
      </c>
      <c r="AF279" s="67">
        <f>IFERROR(SUMIF(新生児モニタ!$C$30:$C$74,B279,新生児モニタ!$K$30:$K$74)*((新生児モニタ!$H$3-新生児モニタ!$I$3)/新生児モニタ!$H$3),0)</f>
        <v>0</v>
      </c>
      <c r="AG279" s="68">
        <f t="shared" si="71"/>
        <v>0</v>
      </c>
    </row>
    <row r="280" spans="2:33">
      <c r="B280" s="64" t="s">
        <v>927</v>
      </c>
      <c r="C280" s="67">
        <f>IFERROR(SUMIF(初度設備!$C$30:$C$74,B280,初度設備!$N$30:$N$74)*((初度設備!$H$3-初度設備!$I$3)/初度設備!$H$3),0)</f>
        <v>0</v>
      </c>
      <c r="D280" s="68">
        <f t="shared" ref="D280:D322" si="74">ROUNDDOWN(MIN(C280,$D$21),-3)</f>
        <v>0</v>
      </c>
      <c r="E280" s="67">
        <f>IFERROR(SUMIF(人工呼吸器!$C$30:$C$74,B280,人工呼吸器!$N$30:$N$74)*((人工呼吸器!$H$3-人工呼吸器!$I$3)/人工呼吸器!$H$3),0)</f>
        <v>0</v>
      </c>
      <c r="F280" s="68">
        <f t="shared" ref="F280:F322" si="75">ROUNDDOWN(E280,-3)</f>
        <v>0</v>
      </c>
      <c r="G280" s="68">
        <f t="shared" ref="G280:G322" si="76">IF(F280&gt;=5000000,5000000,F280)</f>
        <v>0</v>
      </c>
      <c r="H280" s="68">
        <f t="shared" ref="H280:H322" si="77">IF(G280=5000000,F280-5000000,0)</f>
        <v>0</v>
      </c>
      <c r="I280" s="67">
        <f>IFERROR(SUMIF(簡易陰圧装置!$C$30:$C$74,B280,簡易陰圧装置!$N$30:$N$74)*((簡易陰圧装置!$H$3-簡易陰圧装置!$I$3)/簡易陰圧装置!$H$3),0)</f>
        <v>0</v>
      </c>
      <c r="J280" s="68">
        <f t="shared" ref="J280:J322" si="78">ROUNDDOWN(MIN(I280,$J$21),-3)</f>
        <v>0</v>
      </c>
      <c r="K280" s="67">
        <f>IFERROR(SUMIF(#REF!,B280,#REF!)*((#REF!-#REF!)/#REF!),0)</f>
        <v>0</v>
      </c>
      <c r="L280" s="68">
        <f t="shared" ref="L280:L322" si="79">ROUNDDOWN(MIN(K280,$L$21),-3)</f>
        <v>0</v>
      </c>
      <c r="M280" s="67">
        <f>IFERROR(SUMIF(体外式膜型人工肺!$C$30:$C$74,B280,体外式膜型人工肺!$N$30:$N$74)*((体外式膜型人工肺!$H$3-体外式膜型人工肺!$I$3)/体外式膜型人工肺!$H$3),0)</f>
        <v>0</v>
      </c>
      <c r="N280" s="68">
        <f t="shared" ref="N280:N322" si="80">ROUNDDOWN(M280,-3)</f>
        <v>0</v>
      </c>
      <c r="O280" s="68">
        <f t="shared" ref="O280:O322" si="81">IF(N280&gt;=21000000,21000000,N280)</f>
        <v>0</v>
      </c>
      <c r="P280" s="68">
        <f t="shared" ref="P280:P322" si="82">IF(O280=21000000,N280-21000000,0)</f>
        <v>0</v>
      </c>
      <c r="Q280" s="67">
        <f>IFERROR(SUMIF(紫外線照射装置!$C$30:$C$74,B280,紫外線照射装置!$N$30:$N$74)*((紫外線照射装置!$H$3-紫外線照射装置!$I$3)/紫外線照射装置!$H$3),0)</f>
        <v>0</v>
      </c>
      <c r="R280" s="68">
        <f t="shared" ref="R280:R322" si="83">IFERROR(ROUNDDOWN(MIN(Q280,$R$21)/2,-3),0)</f>
        <v>0</v>
      </c>
      <c r="S280" s="101">
        <f t="shared" ref="S280:S322" si="84">R280</f>
        <v>0</v>
      </c>
      <c r="T280" s="67">
        <f>IFERROR(SUMIF(超音波画像診断装置!$C$30:$C$74,B280,超音波画像診断装置!$K$30:$K$74)*((超音波画像診断装置!$H$3-超音波画像診断装置!$I$3)/超音波画像診断装置!$H$3),0)</f>
        <v>0</v>
      </c>
      <c r="U280" s="68">
        <f t="shared" ref="U280:U322" si="85">ROUNDDOWN(MIN(T280,$U$21),-3)</f>
        <v>0</v>
      </c>
      <c r="V280" s="67">
        <f>IFERROR(SUMIF(血液浄化装置!$C$30:$C$74,B280,血液浄化装置!$K$30:$K$74)*((血液浄化装置!$H$3-血液浄化装置!$I$3)/血液浄化装置!$H$3),0)</f>
        <v>0</v>
      </c>
      <c r="W280" s="68">
        <f t="shared" ref="W280:W322" si="86">ROUNDDOWN(MIN(V280,$W$21),-3)</f>
        <v>0</v>
      </c>
      <c r="X280" s="67">
        <f>IFERROR(SUMIF(気管支鏡!$C$30:$C$74,B280,気管支鏡!$K$30:$K$74)*((気管支鏡!$H$3-気管支鏡!$I$3)/気管支鏡!$H$3),0)</f>
        <v>0</v>
      </c>
      <c r="Y280" s="68">
        <f t="shared" si="72"/>
        <v>0</v>
      </c>
      <c r="Z280" s="67">
        <f>IFERROR(SUMIF(CT撮影装置!$C$30:$C$74,B280,CT撮影装置!$K$30:$K$74)*((CT撮影装置!$H$3-CT撮影装置!$I$3)/CT撮影装置!$H$3),0)</f>
        <v>0</v>
      </c>
      <c r="AA280" s="68">
        <f t="shared" ref="AA280:AA322" si="87">ROUNDDOWN(MIN(Z280,$AA$21),-3)</f>
        <v>0</v>
      </c>
      <c r="AB280" s="67">
        <f>IFERROR(SUMIF(生体情報モニタ!$C$30:$C$74,B280,生体情報モニタ!$K$30:$K$74)*((生体情報モニタ!$H$3-生体情報モニタ!$I$3)/生体情報モニタ!$H$3),0)</f>
        <v>0</v>
      </c>
      <c r="AC280" s="68">
        <f t="shared" si="73"/>
        <v>0</v>
      </c>
      <c r="AD280" s="67">
        <f>IFERROR(SUMIF(分娩監視装置!$C$30:$C$74,B280,分娩監視装置!$K$30:$K$74)*((分娩監視装置!$H$3-分娩監視装置!$I$3)/分娩監視装置!$H$3),0)</f>
        <v>0</v>
      </c>
      <c r="AE280" s="68">
        <f t="shared" ref="AE280:AE322" si="88">ROUNDDOWN(MIN(AD280,$AE$21),-3)</f>
        <v>0</v>
      </c>
      <c r="AF280" s="67">
        <f>IFERROR(SUMIF(新生児モニタ!$C$30:$C$74,B280,新生児モニタ!$K$30:$K$74)*((新生児モニタ!$H$3-新生児モニタ!$I$3)/新生児モニタ!$H$3),0)</f>
        <v>0</v>
      </c>
      <c r="AG280" s="68">
        <f t="shared" ref="AG280:AG322" si="89">ROUNDDOWN(MIN(AF280,$AG$21),-3)</f>
        <v>0</v>
      </c>
    </row>
    <row r="281" spans="2:33">
      <c r="B281" s="64" t="s">
        <v>928</v>
      </c>
      <c r="C281" s="67">
        <f>IFERROR(SUMIF(初度設備!$C$30:$C$74,B281,初度設備!$N$30:$N$74)*((初度設備!$H$3-初度設備!$I$3)/初度設備!$H$3),0)</f>
        <v>0</v>
      </c>
      <c r="D281" s="68">
        <f t="shared" si="74"/>
        <v>0</v>
      </c>
      <c r="E281" s="67">
        <f>IFERROR(SUMIF(人工呼吸器!$C$30:$C$74,B281,人工呼吸器!$N$30:$N$74)*((人工呼吸器!$H$3-人工呼吸器!$I$3)/人工呼吸器!$H$3),0)</f>
        <v>0</v>
      </c>
      <c r="F281" s="68">
        <f t="shared" si="75"/>
        <v>0</v>
      </c>
      <c r="G281" s="68">
        <f t="shared" si="76"/>
        <v>0</v>
      </c>
      <c r="H281" s="68">
        <f t="shared" si="77"/>
        <v>0</v>
      </c>
      <c r="I281" s="67">
        <f>IFERROR(SUMIF(簡易陰圧装置!$C$30:$C$74,B281,簡易陰圧装置!$N$30:$N$74)*((簡易陰圧装置!$H$3-簡易陰圧装置!$I$3)/簡易陰圧装置!$H$3),0)</f>
        <v>0</v>
      </c>
      <c r="J281" s="68">
        <f t="shared" si="78"/>
        <v>0</v>
      </c>
      <c r="K281" s="67">
        <f>IFERROR(SUMIF(#REF!,B281,#REF!)*((#REF!-#REF!)/#REF!),0)</f>
        <v>0</v>
      </c>
      <c r="L281" s="68">
        <f t="shared" si="79"/>
        <v>0</v>
      </c>
      <c r="M281" s="67">
        <f>IFERROR(SUMIF(体外式膜型人工肺!$C$30:$C$74,B281,体外式膜型人工肺!$N$30:$N$74)*((体外式膜型人工肺!$H$3-体外式膜型人工肺!$I$3)/体外式膜型人工肺!$H$3),0)</f>
        <v>0</v>
      </c>
      <c r="N281" s="68">
        <f t="shared" si="80"/>
        <v>0</v>
      </c>
      <c r="O281" s="68">
        <f t="shared" si="81"/>
        <v>0</v>
      </c>
      <c r="P281" s="68">
        <f t="shared" si="82"/>
        <v>0</v>
      </c>
      <c r="Q281" s="67">
        <f>IFERROR(SUMIF(紫外線照射装置!$C$30:$C$74,B281,紫外線照射装置!$N$30:$N$74)*((紫外線照射装置!$H$3-紫外線照射装置!$I$3)/紫外線照射装置!$H$3),0)</f>
        <v>0</v>
      </c>
      <c r="R281" s="68">
        <f t="shared" si="83"/>
        <v>0</v>
      </c>
      <c r="S281" s="101">
        <f t="shared" si="84"/>
        <v>0</v>
      </c>
      <c r="T281" s="67">
        <f>IFERROR(SUMIF(超音波画像診断装置!$C$30:$C$74,B281,超音波画像診断装置!$K$30:$K$74)*((超音波画像診断装置!$H$3-超音波画像診断装置!$I$3)/超音波画像診断装置!$H$3),0)</f>
        <v>0</v>
      </c>
      <c r="U281" s="68">
        <f t="shared" si="85"/>
        <v>0</v>
      </c>
      <c r="V281" s="67">
        <f>IFERROR(SUMIF(血液浄化装置!$C$30:$C$74,B281,血液浄化装置!$K$30:$K$74)*((血液浄化装置!$H$3-血液浄化装置!$I$3)/血液浄化装置!$H$3),0)</f>
        <v>0</v>
      </c>
      <c r="W281" s="68">
        <f t="shared" si="86"/>
        <v>0</v>
      </c>
      <c r="X281" s="67">
        <f>IFERROR(SUMIF(気管支鏡!$C$30:$C$74,B281,気管支鏡!$K$30:$K$74)*((気管支鏡!$H$3-気管支鏡!$I$3)/気管支鏡!$H$3),0)</f>
        <v>0</v>
      </c>
      <c r="Y281" s="68">
        <f t="shared" si="72"/>
        <v>0</v>
      </c>
      <c r="Z281" s="67">
        <f>IFERROR(SUMIF(CT撮影装置!$C$30:$C$74,B281,CT撮影装置!$K$30:$K$74)*((CT撮影装置!$H$3-CT撮影装置!$I$3)/CT撮影装置!$H$3),0)</f>
        <v>0</v>
      </c>
      <c r="AA281" s="68">
        <f t="shared" si="87"/>
        <v>0</v>
      </c>
      <c r="AB281" s="67">
        <f>IFERROR(SUMIF(生体情報モニタ!$C$30:$C$74,B281,生体情報モニタ!$K$30:$K$74)*((生体情報モニタ!$H$3-生体情報モニタ!$I$3)/生体情報モニタ!$H$3),0)</f>
        <v>0</v>
      </c>
      <c r="AC281" s="68">
        <f t="shared" si="73"/>
        <v>0</v>
      </c>
      <c r="AD281" s="67">
        <f>IFERROR(SUMIF(分娩監視装置!$C$30:$C$74,B281,分娩監視装置!$K$30:$K$74)*((分娩監視装置!$H$3-分娩監視装置!$I$3)/分娩監視装置!$H$3),0)</f>
        <v>0</v>
      </c>
      <c r="AE281" s="68">
        <f t="shared" si="88"/>
        <v>0</v>
      </c>
      <c r="AF281" s="67">
        <f>IFERROR(SUMIF(新生児モニタ!$C$30:$C$74,B281,新生児モニタ!$K$30:$K$74)*((新生児モニタ!$H$3-新生児モニタ!$I$3)/新生児モニタ!$H$3),0)</f>
        <v>0</v>
      </c>
      <c r="AG281" s="68">
        <f t="shared" si="89"/>
        <v>0</v>
      </c>
    </row>
    <row r="282" spans="2:33">
      <c r="B282" s="64" t="s">
        <v>929</v>
      </c>
      <c r="C282" s="67">
        <f>IFERROR(SUMIF(初度設備!$C$30:$C$74,B282,初度設備!$N$30:$N$74)*((初度設備!$H$3-初度設備!$I$3)/初度設備!$H$3),0)</f>
        <v>0</v>
      </c>
      <c r="D282" s="68">
        <f t="shared" si="74"/>
        <v>0</v>
      </c>
      <c r="E282" s="67">
        <f>IFERROR(SUMIF(人工呼吸器!$C$30:$C$74,B282,人工呼吸器!$N$30:$N$74)*((人工呼吸器!$H$3-人工呼吸器!$I$3)/人工呼吸器!$H$3),0)</f>
        <v>0</v>
      </c>
      <c r="F282" s="68">
        <f t="shared" si="75"/>
        <v>0</v>
      </c>
      <c r="G282" s="68">
        <f t="shared" si="76"/>
        <v>0</v>
      </c>
      <c r="H282" s="68">
        <f t="shared" si="77"/>
        <v>0</v>
      </c>
      <c r="I282" s="67">
        <f>IFERROR(SUMIF(簡易陰圧装置!$C$30:$C$74,B282,簡易陰圧装置!$N$30:$N$74)*((簡易陰圧装置!$H$3-簡易陰圧装置!$I$3)/簡易陰圧装置!$H$3),0)</f>
        <v>0</v>
      </c>
      <c r="J282" s="68">
        <f t="shared" si="78"/>
        <v>0</v>
      </c>
      <c r="K282" s="67">
        <f>IFERROR(SUMIF(#REF!,B282,#REF!)*((#REF!-#REF!)/#REF!),0)</f>
        <v>0</v>
      </c>
      <c r="L282" s="68">
        <f t="shared" si="79"/>
        <v>0</v>
      </c>
      <c r="M282" s="67">
        <f>IFERROR(SUMIF(体外式膜型人工肺!$C$30:$C$74,B282,体外式膜型人工肺!$N$30:$N$74)*((体外式膜型人工肺!$H$3-体外式膜型人工肺!$I$3)/体外式膜型人工肺!$H$3),0)</f>
        <v>0</v>
      </c>
      <c r="N282" s="68">
        <f t="shared" si="80"/>
        <v>0</v>
      </c>
      <c r="O282" s="68">
        <f t="shared" si="81"/>
        <v>0</v>
      </c>
      <c r="P282" s="68">
        <f t="shared" si="82"/>
        <v>0</v>
      </c>
      <c r="Q282" s="67">
        <f>IFERROR(SUMIF(紫外線照射装置!$C$30:$C$74,B282,紫外線照射装置!$N$30:$N$74)*((紫外線照射装置!$H$3-紫外線照射装置!$I$3)/紫外線照射装置!$H$3),0)</f>
        <v>0</v>
      </c>
      <c r="R282" s="68">
        <f t="shared" si="83"/>
        <v>0</v>
      </c>
      <c r="S282" s="101">
        <f t="shared" si="84"/>
        <v>0</v>
      </c>
      <c r="T282" s="67">
        <f>IFERROR(SUMIF(超音波画像診断装置!$C$30:$C$74,B282,超音波画像診断装置!$K$30:$K$74)*((超音波画像診断装置!$H$3-超音波画像診断装置!$I$3)/超音波画像診断装置!$H$3),0)</f>
        <v>0</v>
      </c>
      <c r="U282" s="68">
        <f t="shared" si="85"/>
        <v>0</v>
      </c>
      <c r="V282" s="67">
        <f>IFERROR(SUMIF(血液浄化装置!$C$30:$C$74,B282,血液浄化装置!$K$30:$K$74)*((血液浄化装置!$H$3-血液浄化装置!$I$3)/血液浄化装置!$H$3),0)</f>
        <v>0</v>
      </c>
      <c r="W282" s="68">
        <f t="shared" si="86"/>
        <v>0</v>
      </c>
      <c r="X282" s="67">
        <f>IFERROR(SUMIF(気管支鏡!$C$30:$C$74,B282,気管支鏡!$K$30:$K$74)*((気管支鏡!$H$3-気管支鏡!$I$3)/気管支鏡!$H$3),0)</f>
        <v>0</v>
      </c>
      <c r="Y282" s="68">
        <f t="shared" si="72"/>
        <v>0</v>
      </c>
      <c r="Z282" s="67">
        <f>IFERROR(SUMIF(CT撮影装置!$C$30:$C$74,B282,CT撮影装置!$K$30:$K$74)*((CT撮影装置!$H$3-CT撮影装置!$I$3)/CT撮影装置!$H$3),0)</f>
        <v>0</v>
      </c>
      <c r="AA282" s="68">
        <f t="shared" si="87"/>
        <v>0</v>
      </c>
      <c r="AB282" s="67">
        <f>IFERROR(SUMIF(生体情報モニタ!$C$30:$C$74,B282,生体情報モニタ!$K$30:$K$74)*((生体情報モニタ!$H$3-生体情報モニタ!$I$3)/生体情報モニタ!$H$3),0)</f>
        <v>0</v>
      </c>
      <c r="AC282" s="68">
        <f t="shared" si="73"/>
        <v>0</v>
      </c>
      <c r="AD282" s="67">
        <f>IFERROR(SUMIF(分娩監視装置!$C$30:$C$74,B282,分娩監視装置!$K$30:$K$74)*((分娩監視装置!$H$3-分娩監視装置!$I$3)/分娩監視装置!$H$3),0)</f>
        <v>0</v>
      </c>
      <c r="AE282" s="68">
        <f t="shared" si="88"/>
        <v>0</v>
      </c>
      <c r="AF282" s="67">
        <f>IFERROR(SUMIF(新生児モニタ!$C$30:$C$74,B282,新生児モニタ!$K$30:$K$74)*((新生児モニタ!$H$3-新生児モニタ!$I$3)/新生児モニタ!$H$3),0)</f>
        <v>0</v>
      </c>
      <c r="AG282" s="68">
        <f t="shared" si="89"/>
        <v>0</v>
      </c>
    </row>
    <row r="283" spans="2:33">
      <c r="B283" s="64" t="s">
        <v>930</v>
      </c>
      <c r="C283" s="67">
        <f>IFERROR(SUMIF(初度設備!$C$30:$C$74,B283,初度設備!$N$30:$N$74)*((初度設備!$H$3-初度設備!$I$3)/初度設備!$H$3),0)</f>
        <v>0</v>
      </c>
      <c r="D283" s="68">
        <f t="shared" si="74"/>
        <v>0</v>
      </c>
      <c r="E283" s="67">
        <f>IFERROR(SUMIF(人工呼吸器!$C$30:$C$74,B283,人工呼吸器!$N$30:$N$74)*((人工呼吸器!$H$3-人工呼吸器!$I$3)/人工呼吸器!$H$3),0)</f>
        <v>0</v>
      </c>
      <c r="F283" s="68">
        <f t="shared" si="75"/>
        <v>0</v>
      </c>
      <c r="G283" s="68">
        <f t="shared" si="76"/>
        <v>0</v>
      </c>
      <c r="H283" s="68">
        <f t="shared" si="77"/>
        <v>0</v>
      </c>
      <c r="I283" s="67">
        <f>IFERROR(SUMIF(簡易陰圧装置!$C$30:$C$74,B283,簡易陰圧装置!$N$30:$N$74)*((簡易陰圧装置!$H$3-簡易陰圧装置!$I$3)/簡易陰圧装置!$H$3),0)</f>
        <v>0</v>
      </c>
      <c r="J283" s="68">
        <f t="shared" si="78"/>
        <v>0</v>
      </c>
      <c r="K283" s="67">
        <f>IFERROR(SUMIF(#REF!,B283,#REF!)*((#REF!-#REF!)/#REF!),0)</f>
        <v>0</v>
      </c>
      <c r="L283" s="68">
        <f t="shared" si="79"/>
        <v>0</v>
      </c>
      <c r="M283" s="67">
        <f>IFERROR(SUMIF(体外式膜型人工肺!$C$30:$C$74,B283,体外式膜型人工肺!$N$30:$N$74)*((体外式膜型人工肺!$H$3-体外式膜型人工肺!$I$3)/体外式膜型人工肺!$H$3),0)</f>
        <v>0</v>
      </c>
      <c r="N283" s="68">
        <f t="shared" si="80"/>
        <v>0</v>
      </c>
      <c r="O283" s="68">
        <f t="shared" si="81"/>
        <v>0</v>
      </c>
      <c r="P283" s="68">
        <f t="shared" si="82"/>
        <v>0</v>
      </c>
      <c r="Q283" s="67">
        <f>IFERROR(SUMIF(紫外線照射装置!$C$30:$C$74,B283,紫外線照射装置!$N$30:$N$74)*((紫外線照射装置!$H$3-紫外線照射装置!$I$3)/紫外線照射装置!$H$3),0)</f>
        <v>0</v>
      </c>
      <c r="R283" s="68">
        <f t="shared" si="83"/>
        <v>0</v>
      </c>
      <c r="S283" s="101">
        <f t="shared" si="84"/>
        <v>0</v>
      </c>
      <c r="T283" s="67">
        <f>IFERROR(SUMIF(超音波画像診断装置!$C$30:$C$74,B283,超音波画像診断装置!$K$30:$K$74)*((超音波画像診断装置!$H$3-超音波画像診断装置!$I$3)/超音波画像診断装置!$H$3),0)</f>
        <v>0</v>
      </c>
      <c r="U283" s="68">
        <f t="shared" si="85"/>
        <v>0</v>
      </c>
      <c r="V283" s="67">
        <f>IFERROR(SUMIF(血液浄化装置!$C$30:$C$74,B283,血液浄化装置!$K$30:$K$74)*((血液浄化装置!$H$3-血液浄化装置!$I$3)/血液浄化装置!$H$3),0)</f>
        <v>0</v>
      </c>
      <c r="W283" s="68">
        <f t="shared" si="86"/>
        <v>0</v>
      </c>
      <c r="X283" s="67">
        <f>IFERROR(SUMIF(気管支鏡!$C$30:$C$74,B283,気管支鏡!$K$30:$K$74)*((気管支鏡!$H$3-気管支鏡!$I$3)/気管支鏡!$H$3),0)</f>
        <v>0</v>
      </c>
      <c r="Y283" s="68">
        <f t="shared" si="72"/>
        <v>0</v>
      </c>
      <c r="Z283" s="67">
        <f>IFERROR(SUMIF(CT撮影装置!$C$30:$C$74,B283,CT撮影装置!$K$30:$K$74)*((CT撮影装置!$H$3-CT撮影装置!$I$3)/CT撮影装置!$H$3),0)</f>
        <v>0</v>
      </c>
      <c r="AA283" s="68">
        <f t="shared" si="87"/>
        <v>0</v>
      </c>
      <c r="AB283" s="67">
        <f>IFERROR(SUMIF(生体情報モニタ!$C$30:$C$74,B283,生体情報モニタ!$K$30:$K$74)*((生体情報モニタ!$H$3-生体情報モニタ!$I$3)/生体情報モニタ!$H$3),0)</f>
        <v>0</v>
      </c>
      <c r="AC283" s="68">
        <f t="shared" si="73"/>
        <v>0</v>
      </c>
      <c r="AD283" s="67">
        <f>IFERROR(SUMIF(分娩監視装置!$C$30:$C$74,B283,分娩監視装置!$K$30:$K$74)*((分娩監視装置!$H$3-分娩監視装置!$I$3)/分娩監視装置!$H$3),0)</f>
        <v>0</v>
      </c>
      <c r="AE283" s="68">
        <f t="shared" si="88"/>
        <v>0</v>
      </c>
      <c r="AF283" s="67">
        <f>IFERROR(SUMIF(新生児モニタ!$C$30:$C$74,B283,新生児モニタ!$K$30:$K$74)*((新生児モニタ!$H$3-新生児モニタ!$I$3)/新生児モニタ!$H$3),0)</f>
        <v>0</v>
      </c>
      <c r="AG283" s="68">
        <f t="shared" si="89"/>
        <v>0</v>
      </c>
    </row>
    <row r="284" spans="2:33">
      <c r="B284" s="64" t="s">
        <v>931</v>
      </c>
      <c r="C284" s="67">
        <f>IFERROR(SUMIF(初度設備!$C$30:$C$74,B284,初度設備!$N$30:$N$74)*((初度設備!$H$3-初度設備!$I$3)/初度設備!$H$3),0)</f>
        <v>0</v>
      </c>
      <c r="D284" s="68">
        <f t="shared" si="74"/>
        <v>0</v>
      </c>
      <c r="E284" s="67">
        <f>IFERROR(SUMIF(人工呼吸器!$C$30:$C$74,B284,人工呼吸器!$N$30:$N$74)*((人工呼吸器!$H$3-人工呼吸器!$I$3)/人工呼吸器!$H$3),0)</f>
        <v>0</v>
      </c>
      <c r="F284" s="68">
        <f t="shared" si="75"/>
        <v>0</v>
      </c>
      <c r="G284" s="68">
        <f t="shared" si="76"/>
        <v>0</v>
      </c>
      <c r="H284" s="68">
        <f t="shared" si="77"/>
        <v>0</v>
      </c>
      <c r="I284" s="67">
        <f>IFERROR(SUMIF(簡易陰圧装置!$C$30:$C$74,B284,簡易陰圧装置!$N$30:$N$74)*((簡易陰圧装置!$H$3-簡易陰圧装置!$I$3)/簡易陰圧装置!$H$3),0)</f>
        <v>0</v>
      </c>
      <c r="J284" s="68">
        <f t="shared" si="78"/>
        <v>0</v>
      </c>
      <c r="K284" s="67">
        <f>IFERROR(SUMIF(#REF!,B284,#REF!)*((#REF!-#REF!)/#REF!),0)</f>
        <v>0</v>
      </c>
      <c r="L284" s="68">
        <f t="shared" si="79"/>
        <v>0</v>
      </c>
      <c r="M284" s="67">
        <f>IFERROR(SUMIF(体外式膜型人工肺!$C$30:$C$74,B284,体外式膜型人工肺!$N$30:$N$74)*((体外式膜型人工肺!$H$3-体外式膜型人工肺!$I$3)/体外式膜型人工肺!$H$3),0)</f>
        <v>0</v>
      </c>
      <c r="N284" s="68">
        <f t="shared" si="80"/>
        <v>0</v>
      </c>
      <c r="O284" s="68">
        <f t="shared" si="81"/>
        <v>0</v>
      </c>
      <c r="P284" s="68">
        <f t="shared" si="82"/>
        <v>0</v>
      </c>
      <c r="Q284" s="67">
        <f>IFERROR(SUMIF(紫外線照射装置!$C$30:$C$74,B284,紫外線照射装置!$N$30:$N$74)*((紫外線照射装置!$H$3-紫外線照射装置!$I$3)/紫外線照射装置!$H$3),0)</f>
        <v>0</v>
      </c>
      <c r="R284" s="68">
        <f t="shared" si="83"/>
        <v>0</v>
      </c>
      <c r="S284" s="101">
        <f t="shared" si="84"/>
        <v>0</v>
      </c>
      <c r="T284" s="67">
        <f>IFERROR(SUMIF(超音波画像診断装置!$C$30:$C$74,B284,超音波画像診断装置!$K$30:$K$74)*((超音波画像診断装置!$H$3-超音波画像診断装置!$I$3)/超音波画像診断装置!$H$3),0)</f>
        <v>0</v>
      </c>
      <c r="U284" s="68">
        <f t="shared" si="85"/>
        <v>0</v>
      </c>
      <c r="V284" s="67">
        <f>IFERROR(SUMIF(血液浄化装置!$C$30:$C$74,B284,血液浄化装置!$K$30:$K$74)*((血液浄化装置!$H$3-血液浄化装置!$I$3)/血液浄化装置!$H$3),0)</f>
        <v>0</v>
      </c>
      <c r="W284" s="68">
        <f t="shared" si="86"/>
        <v>0</v>
      </c>
      <c r="X284" s="67">
        <f>IFERROR(SUMIF(気管支鏡!$C$30:$C$74,B284,気管支鏡!$K$30:$K$74)*((気管支鏡!$H$3-気管支鏡!$I$3)/気管支鏡!$H$3),0)</f>
        <v>0</v>
      </c>
      <c r="Y284" s="68">
        <f t="shared" si="72"/>
        <v>0</v>
      </c>
      <c r="Z284" s="67">
        <f>IFERROR(SUMIF(CT撮影装置!$C$30:$C$74,B284,CT撮影装置!$K$30:$K$74)*((CT撮影装置!$H$3-CT撮影装置!$I$3)/CT撮影装置!$H$3),0)</f>
        <v>0</v>
      </c>
      <c r="AA284" s="68">
        <f t="shared" si="87"/>
        <v>0</v>
      </c>
      <c r="AB284" s="67">
        <f>IFERROR(SUMIF(生体情報モニタ!$C$30:$C$74,B284,生体情報モニタ!$K$30:$K$74)*((生体情報モニタ!$H$3-生体情報モニタ!$I$3)/生体情報モニタ!$H$3),0)</f>
        <v>0</v>
      </c>
      <c r="AC284" s="68">
        <f t="shared" si="73"/>
        <v>0</v>
      </c>
      <c r="AD284" s="67">
        <f>IFERROR(SUMIF(分娩監視装置!$C$30:$C$74,B284,分娩監視装置!$K$30:$K$74)*((分娩監視装置!$H$3-分娩監視装置!$I$3)/分娩監視装置!$H$3),0)</f>
        <v>0</v>
      </c>
      <c r="AE284" s="68">
        <f t="shared" si="88"/>
        <v>0</v>
      </c>
      <c r="AF284" s="67">
        <f>IFERROR(SUMIF(新生児モニタ!$C$30:$C$74,B284,新生児モニタ!$K$30:$K$74)*((新生児モニタ!$H$3-新生児モニタ!$I$3)/新生児モニタ!$H$3),0)</f>
        <v>0</v>
      </c>
      <c r="AG284" s="68">
        <f t="shared" si="89"/>
        <v>0</v>
      </c>
    </row>
    <row r="285" spans="2:33">
      <c r="B285" s="64" t="s">
        <v>932</v>
      </c>
      <c r="C285" s="67">
        <f>IFERROR(SUMIF(初度設備!$C$30:$C$74,B285,初度設備!$N$30:$N$74)*((初度設備!$H$3-初度設備!$I$3)/初度設備!$H$3),0)</f>
        <v>0</v>
      </c>
      <c r="D285" s="68">
        <f t="shared" si="74"/>
        <v>0</v>
      </c>
      <c r="E285" s="67">
        <f>IFERROR(SUMIF(人工呼吸器!$C$30:$C$74,B285,人工呼吸器!$N$30:$N$74)*((人工呼吸器!$H$3-人工呼吸器!$I$3)/人工呼吸器!$H$3),0)</f>
        <v>0</v>
      </c>
      <c r="F285" s="68">
        <f t="shared" si="75"/>
        <v>0</v>
      </c>
      <c r="G285" s="68">
        <f t="shared" si="76"/>
        <v>0</v>
      </c>
      <c r="H285" s="68">
        <f t="shared" si="77"/>
        <v>0</v>
      </c>
      <c r="I285" s="67">
        <f>IFERROR(SUMIF(簡易陰圧装置!$C$30:$C$74,B285,簡易陰圧装置!$N$30:$N$74)*((簡易陰圧装置!$H$3-簡易陰圧装置!$I$3)/簡易陰圧装置!$H$3),0)</f>
        <v>0</v>
      </c>
      <c r="J285" s="68">
        <f t="shared" si="78"/>
        <v>0</v>
      </c>
      <c r="K285" s="67">
        <f>IFERROR(SUMIF(#REF!,B285,#REF!)*((#REF!-#REF!)/#REF!),0)</f>
        <v>0</v>
      </c>
      <c r="L285" s="68">
        <f t="shared" si="79"/>
        <v>0</v>
      </c>
      <c r="M285" s="67">
        <f>IFERROR(SUMIF(体外式膜型人工肺!$C$30:$C$74,B285,体外式膜型人工肺!$N$30:$N$74)*((体外式膜型人工肺!$H$3-体外式膜型人工肺!$I$3)/体外式膜型人工肺!$H$3),0)</f>
        <v>0</v>
      </c>
      <c r="N285" s="68">
        <f t="shared" si="80"/>
        <v>0</v>
      </c>
      <c r="O285" s="68">
        <f t="shared" si="81"/>
        <v>0</v>
      </c>
      <c r="P285" s="68">
        <f t="shared" si="82"/>
        <v>0</v>
      </c>
      <c r="Q285" s="67">
        <f>IFERROR(SUMIF(紫外線照射装置!$C$30:$C$74,B285,紫外線照射装置!$N$30:$N$74)*((紫外線照射装置!$H$3-紫外線照射装置!$I$3)/紫外線照射装置!$H$3),0)</f>
        <v>0</v>
      </c>
      <c r="R285" s="68">
        <f t="shared" si="83"/>
        <v>0</v>
      </c>
      <c r="S285" s="101">
        <f t="shared" si="84"/>
        <v>0</v>
      </c>
      <c r="T285" s="67">
        <f>IFERROR(SUMIF(超音波画像診断装置!$C$30:$C$74,B285,超音波画像診断装置!$K$30:$K$74)*((超音波画像診断装置!$H$3-超音波画像診断装置!$I$3)/超音波画像診断装置!$H$3),0)</f>
        <v>0</v>
      </c>
      <c r="U285" s="68">
        <f t="shared" si="85"/>
        <v>0</v>
      </c>
      <c r="V285" s="67">
        <f>IFERROR(SUMIF(血液浄化装置!$C$30:$C$74,B285,血液浄化装置!$K$30:$K$74)*((血液浄化装置!$H$3-血液浄化装置!$I$3)/血液浄化装置!$H$3),0)</f>
        <v>0</v>
      </c>
      <c r="W285" s="68">
        <f t="shared" si="86"/>
        <v>0</v>
      </c>
      <c r="X285" s="67">
        <f>IFERROR(SUMIF(気管支鏡!$C$30:$C$74,B285,気管支鏡!$K$30:$K$74)*((気管支鏡!$H$3-気管支鏡!$I$3)/気管支鏡!$H$3),0)</f>
        <v>0</v>
      </c>
      <c r="Y285" s="68">
        <f t="shared" si="72"/>
        <v>0</v>
      </c>
      <c r="Z285" s="67">
        <f>IFERROR(SUMIF(CT撮影装置!$C$30:$C$74,B285,CT撮影装置!$K$30:$K$74)*((CT撮影装置!$H$3-CT撮影装置!$I$3)/CT撮影装置!$H$3),0)</f>
        <v>0</v>
      </c>
      <c r="AA285" s="68">
        <f t="shared" si="87"/>
        <v>0</v>
      </c>
      <c r="AB285" s="67">
        <f>IFERROR(SUMIF(生体情報モニタ!$C$30:$C$74,B285,生体情報モニタ!$K$30:$K$74)*((生体情報モニタ!$H$3-生体情報モニタ!$I$3)/生体情報モニタ!$H$3),0)</f>
        <v>0</v>
      </c>
      <c r="AC285" s="68">
        <f t="shared" si="73"/>
        <v>0</v>
      </c>
      <c r="AD285" s="67">
        <f>IFERROR(SUMIF(分娩監視装置!$C$30:$C$74,B285,分娩監視装置!$K$30:$K$74)*((分娩監視装置!$H$3-分娩監視装置!$I$3)/分娩監視装置!$H$3),0)</f>
        <v>0</v>
      </c>
      <c r="AE285" s="68">
        <f t="shared" si="88"/>
        <v>0</v>
      </c>
      <c r="AF285" s="67">
        <f>IFERROR(SUMIF(新生児モニタ!$C$30:$C$74,B285,新生児モニタ!$K$30:$K$74)*((新生児モニタ!$H$3-新生児モニタ!$I$3)/新生児モニタ!$H$3),0)</f>
        <v>0</v>
      </c>
      <c r="AG285" s="68">
        <f t="shared" si="89"/>
        <v>0</v>
      </c>
    </row>
    <row r="286" spans="2:33">
      <c r="B286" s="64" t="s">
        <v>933</v>
      </c>
      <c r="C286" s="67">
        <f>IFERROR(SUMIF(初度設備!$C$30:$C$74,B286,初度設備!$N$30:$N$74)*((初度設備!$H$3-初度設備!$I$3)/初度設備!$H$3),0)</f>
        <v>0</v>
      </c>
      <c r="D286" s="68">
        <f t="shared" si="74"/>
        <v>0</v>
      </c>
      <c r="E286" s="67">
        <f>IFERROR(SUMIF(人工呼吸器!$C$30:$C$74,B286,人工呼吸器!$N$30:$N$74)*((人工呼吸器!$H$3-人工呼吸器!$I$3)/人工呼吸器!$H$3),0)</f>
        <v>0</v>
      </c>
      <c r="F286" s="68">
        <f t="shared" si="75"/>
        <v>0</v>
      </c>
      <c r="G286" s="68">
        <f t="shared" si="76"/>
        <v>0</v>
      </c>
      <c r="H286" s="68">
        <f t="shared" si="77"/>
        <v>0</v>
      </c>
      <c r="I286" s="67">
        <f>IFERROR(SUMIF(簡易陰圧装置!$C$30:$C$74,B286,簡易陰圧装置!$N$30:$N$74)*((簡易陰圧装置!$H$3-簡易陰圧装置!$I$3)/簡易陰圧装置!$H$3),0)</f>
        <v>0</v>
      </c>
      <c r="J286" s="68">
        <f t="shared" si="78"/>
        <v>0</v>
      </c>
      <c r="K286" s="67">
        <f>IFERROR(SUMIF(#REF!,B286,#REF!)*((#REF!-#REF!)/#REF!),0)</f>
        <v>0</v>
      </c>
      <c r="L286" s="68">
        <f t="shared" si="79"/>
        <v>0</v>
      </c>
      <c r="M286" s="67">
        <f>IFERROR(SUMIF(体外式膜型人工肺!$C$30:$C$74,B286,体外式膜型人工肺!$N$30:$N$74)*((体外式膜型人工肺!$H$3-体外式膜型人工肺!$I$3)/体外式膜型人工肺!$H$3),0)</f>
        <v>0</v>
      </c>
      <c r="N286" s="68">
        <f t="shared" si="80"/>
        <v>0</v>
      </c>
      <c r="O286" s="68">
        <f t="shared" si="81"/>
        <v>0</v>
      </c>
      <c r="P286" s="68">
        <f t="shared" si="82"/>
        <v>0</v>
      </c>
      <c r="Q286" s="67">
        <f>IFERROR(SUMIF(紫外線照射装置!$C$30:$C$74,B286,紫外線照射装置!$N$30:$N$74)*((紫外線照射装置!$H$3-紫外線照射装置!$I$3)/紫外線照射装置!$H$3),0)</f>
        <v>0</v>
      </c>
      <c r="R286" s="68">
        <f t="shared" si="83"/>
        <v>0</v>
      </c>
      <c r="S286" s="101">
        <f t="shared" si="84"/>
        <v>0</v>
      </c>
      <c r="T286" s="67">
        <f>IFERROR(SUMIF(超音波画像診断装置!$C$30:$C$74,B286,超音波画像診断装置!$K$30:$K$74)*((超音波画像診断装置!$H$3-超音波画像診断装置!$I$3)/超音波画像診断装置!$H$3),0)</f>
        <v>0</v>
      </c>
      <c r="U286" s="68">
        <f t="shared" si="85"/>
        <v>0</v>
      </c>
      <c r="V286" s="67">
        <f>IFERROR(SUMIF(血液浄化装置!$C$30:$C$74,B286,血液浄化装置!$K$30:$K$74)*((血液浄化装置!$H$3-血液浄化装置!$I$3)/血液浄化装置!$H$3),0)</f>
        <v>0</v>
      </c>
      <c r="W286" s="68">
        <f t="shared" si="86"/>
        <v>0</v>
      </c>
      <c r="X286" s="67">
        <f>IFERROR(SUMIF(気管支鏡!$C$30:$C$74,B286,気管支鏡!$K$30:$K$74)*((気管支鏡!$H$3-気管支鏡!$I$3)/気管支鏡!$H$3),0)</f>
        <v>0</v>
      </c>
      <c r="Y286" s="68">
        <f t="shared" si="72"/>
        <v>0</v>
      </c>
      <c r="Z286" s="67">
        <f>IFERROR(SUMIF(CT撮影装置!$C$30:$C$74,B286,CT撮影装置!$K$30:$K$74)*((CT撮影装置!$H$3-CT撮影装置!$I$3)/CT撮影装置!$H$3),0)</f>
        <v>0</v>
      </c>
      <c r="AA286" s="68">
        <f t="shared" si="87"/>
        <v>0</v>
      </c>
      <c r="AB286" s="67">
        <f>IFERROR(SUMIF(生体情報モニタ!$C$30:$C$74,B286,生体情報モニタ!$K$30:$K$74)*((生体情報モニタ!$H$3-生体情報モニタ!$I$3)/生体情報モニタ!$H$3),0)</f>
        <v>0</v>
      </c>
      <c r="AC286" s="68">
        <f t="shared" si="73"/>
        <v>0</v>
      </c>
      <c r="AD286" s="67">
        <f>IFERROR(SUMIF(分娩監視装置!$C$30:$C$74,B286,分娩監視装置!$K$30:$K$74)*((分娩監視装置!$H$3-分娩監視装置!$I$3)/分娩監視装置!$H$3),0)</f>
        <v>0</v>
      </c>
      <c r="AE286" s="68">
        <f t="shared" si="88"/>
        <v>0</v>
      </c>
      <c r="AF286" s="67">
        <f>IFERROR(SUMIF(新生児モニタ!$C$30:$C$74,B286,新生児モニタ!$K$30:$K$74)*((新生児モニタ!$H$3-新生児モニタ!$I$3)/新生児モニタ!$H$3),0)</f>
        <v>0</v>
      </c>
      <c r="AG286" s="68">
        <f t="shared" si="89"/>
        <v>0</v>
      </c>
    </row>
    <row r="287" spans="2:33">
      <c r="B287" s="64" t="s">
        <v>934</v>
      </c>
      <c r="C287" s="67">
        <f>IFERROR(SUMIF(初度設備!$C$30:$C$74,B287,初度設備!$N$30:$N$74)*((初度設備!$H$3-初度設備!$I$3)/初度設備!$H$3),0)</f>
        <v>0</v>
      </c>
      <c r="D287" s="68">
        <f t="shared" si="74"/>
        <v>0</v>
      </c>
      <c r="E287" s="67">
        <f>IFERROR(SUMIF(人工呼吸器!$C$30:$C$74,B287,人工呼吸器!$N$30:$N$74)*((人工呼吸器!$H$3-人工呼吸器!$I$3)/人工呼吸器!$H$3),0)</f>
        <v>0</v>
      </c>
      <c r="F287" s="68">
        <f t="shared" si="75"/>
        <v>0</v>
      </c>
      <c r="G287" s="68">
        <f t="shared" si="76"/>
        <v>0</v>
      </c>
      <c r="H287" s="68">
        <f t="shared" si="77"/>
        <v>0</v>
      </c>
      <c r="I287" s="67">
        <f>IFERROR(SUMIF(簡易陰圧装置!$C$30:$C$74,B287,簡易陰圧装置!$N$30:$N$74)*((簡易陰圧装置!$H$3-簡易陰圧装置!$I$3)/簡易陰圧装置!$H$3),0)</f>
        <v>0</v>
      </c>
      <c r="J287" s="68">
        <f t="shared" si="78"/>
        <v>0</v>
      </c>
      <c r="K287" s="67">
        <f>IFERROR(SUMIF(#REF!,B287,#REF!)*((#REF!-#REF!)/#REF!),0)</f>
        <v>0</v>
      </c>
      <c r="L287" s="68">
        <f t="shared" si="79"/>
        <v>0</v>
      </c>
      <c r="M287" s="67">
        <f>IFERROR(SUMIF(体外式膜型人工肺!$C$30:$C$74,B287,体外式膜型人工肺!$N$30:$N$74)*((体外式膜型人工肺!$H$3-体外式膜型人工肺!$I$3)/体外式膜型人工肺!$H$3),0)</f>
        <v>0</v>
      </c>
      <c r="N287" s="68">
        <f t="shared" si="80"/>
        <v>0</v>
      </c>
      <c r="O287" s="68">
        <f t="shared" si="81"/>
        <v>0</v>
      </c>
      <c r="P287" s="68">
        <f t="shared" si="82"/>
        <v>0</v>
      </c>
      <c r="Q287" s="67">
        <f>IFERROR(SUMIF(紫外線照射装置!$C$30:$C$74,B287,紫外線照射装置!$N$30:$N$74)*((紫外線照射装置!$H$3-紫外線照射装置!$I$3)/紫外線照射装置!$H$3),0)</f>
        <v>0</v>
      </c>
      <c r="R287" s="68">
        <f t="shared" si="83"/>
        <v>0</v>
      </c>
      <c r="S287" s="101">
        <f t="shared" si="84"/>
        <v>0</v>
      </c>
      <c r="T287" s="67">
        <f>IFERROR(SUMIF(超音波画像診断装置!$C$30:$C$74,B287,超音波画像診断装置!$K$30:$K$74)*((超音波画像診断装置!$H$3-超音波画像診断装置!$I$3)/超音波画像診断装置!$H$3),0)</f>
        <v>0</v>
      </c>
      <c r="U287" s="68">
        <f t="shared" si="85"/>
        <v>0</v>
      </c>
      <c r="V287" s="67">
        <f>IFERROR(SUMIF(血液浄化装置!$C$30:$C$74,B287,血液浄化装置!$K$30:$K$74)*((血液浄化装置!$H$3-血液浄化装置!$I$3)/血液浄化装置!$H$3),0)</f>
        <v>0</v>
      </c>
      <c r="W287" s="68">
        <f t="shared" si="86"/>
        <v>0</v>
      </c>
      <c r="X287" s="67">
        <f>IFERROR(SUMIF(気管支鏡!$C$30:$C$74,B287,気管支鏡!$K$30:$K$74)*((気管支鏡!$H$3-気管支鏡!$I$3)/気管支鏡!$H$3),0)</f>
        <v>0</v>
      </c>
      <c r="Y287" s="68">
        <f t="shared" si="72"/>
        <v>0</v>
      </c>
      <c r="Z287" s="67">
        <f>IFERROR(SUMIF(CT撮影装置!$C$30:$C$74,B287,CT撮影装置!$K$30:$K$74)*((CT撮影装置!$H$3-CT撮影装置!$I$3)/CT撮影装置!$H$3),0)</f>
        <v>0</v>
      </c>
      <c r="AA287" s="68">
        <f t="shared" si="87"/>
        <v>0</v>
      </c>
      <c r="AB287" s="67">
        <f>IFERROR(SUMIF(生体情報モニタ!$C$30:$C$74,B287,生体情報モニタ!$K$30:$K$74)*((生体情報モニタ!$H$3-生体情報モニタ!$I$3)/生体情報モニタ!$H$3),0)</f>
        <v>0</v>
      </c>
      <c r="AC287" s="68">
        <f t="shared" si="73"/>
        <v>0</v>
      </c>
      <c r="AD287" s="67">
        <f>IFERROR(SUMIF(分娩監視装置!$C$30:$C$74,B287,分娩監視装置!$K$30:$K$74)*((分娩監視装置!$H$3-分娩監視装置!$I$3)/分娩監視装置!$H$3),0)</f>
        <v>0</v>
      </c>
      <c r="AE287" s="68">
        <f t="shared" si="88"/>
        <v>0</v>
      </c>
      <c r="AF287" s="67">
        <f>IFERROR(SUMIF(新生児モニタ!$C$30:$C$74,B287,新生児モニタ!$K$30:$K$74)*((新生児モニタ!$H$3-新生児モニタ!$I$3)/新生児モニタ!$H$3),0)</f>
        <v>0</v>
      </c>
      <c r="AG287" s="68">
        <f t="shared" si="89"/>
        <v>0</v>
      </c>
    </row>
    <row r="288" spans="2:33">
      <c r="B288" s="64" t="s">
        <v>935</v>
      </c>
      <c r="C288" s="67">
        <f>IFERROR(SUMIF(初度設備!$C$30:$C$74,B288,初度設備!$N$30:$N$74)*((初度設備!$H$3-初度設備!$I$3)/初度設備!$H$3),0)</f>
        <v>0</v>
      </c>
      <c r="D288" s="68">
        <f t="shared" si="74"/>
        <v>0</v>
      </c>
      <c r="E288" s="67">
        <f>IFERROR(SUMIF(人工呼吸器!$C$30:$C$74,B288,人工呼吸器!$N$30:$N$74)*((人工呼吸器!$H$3-人工呼吸器!$I$3)/人工呼吸器!$H$3),0)</f>
        <v>0</v>
      </c>
      <c r="F288" s="68">
        <f t="shared" si="75"/>
        <v>0</v>
      </c>
      <c r="G288" s="68">
        <f t="shared" si="76"/>
        <v>0</v>
      </c>
      <c r="H288" s="68">
        <f t="shared" si="77"/>
        <v>0</v>
      </c>
      <c r="I288" s="67">
        <f>IFERROR(SUMIF(簡易陰圧装置!$C$30:$C$74,B288,簡易陰圧装置!$N$30:$N$74)*((簡易陰圧装置!$H$3-簡易陰圧装置!$I$3)/簡易陰圧装置!$H$3),0)</f>
        <v>0</v>
      </c>
      <c r="J288" s="68">
        <f t="shared" si="78"/>
        <v>0</v>
      </c>
      <c r="K288" s="67">
        <f>IFERROR(SUMIF(#REF!,B288,#REF!)*((#REF!-#REF!)/#REF!),0)</f>
        <v>0</v>
      </c>
      <c r="L288" s="68">
        <f t="shared" si="79"/>
        <v>0</v>
      </c>
      <c r="M288" s="67">
        <f>IFERROR(SUMIF(体外式膜型人工肺!$C$30:$C$74,B288,体外式膜型人工肺!$N$30:$N$74)*((体外式膜型人工肺!$H$3-体外式膜型人工肺!$I$3)/体外式膜型人工肺!$H$3),0)</f>
        <v>0</v>
      </c>
      <c r="N288" s="68">
        <f t="shared" si="80"/>
        <v>0</v>
      </c>
      <c r="O288" s="68">
        <f t="shared" si="81"/>
        <v>0</v>
      </c>
      <c r="P288" s="68">
        <f t="shared" si="82"/>
        <v>0</v>
      </c>
      <c r="Q288" s="67">
        <f>IFERROR(SUMIF(紫外線照射装置!$C$30:$C$74,B288,紫外線照射装置!$N$30:$N$74)*((紫外線照射装置!$H$3-紫外線照射装置!$I$3)/紫外線照射装置!$H$3),0)</f>
        <v>0</v>
      </c>
      <c r="R288" s="68">
        <f t="shared" si="83"/>
        <v>0</v>
      </c>
      <c r="S288" s="101">
        <f t="shared" si="84"/>
        <v>0</v>
      </c>
      <c r="T288" s="67">
        <f>IFERROR(SUMIF(超音波画像診断装置!$C$30:$C$74,B288,超音波画像診断装置!$K$30:$K$74)*((超音波画像診断装置!$H$3-超音波画像診断装置!$I$3)/超音波画像診断装置!$H$3),0)</f>
        <v>0</v>
      </c>
      <c r="U288" s="68">
        <f t="shared" si="85"/>
        <v>0</v>
      </c>
      <c r="V288" s="67">
        <f>IFERROR(SUMIF(血液浄化装置!$C$30:$C$74,B288,血液浄化装置!$K$30:$K$74)*((血液浄化装置!$H$3-血液浄化装置!$I$3)/血液浄化装置!$H$3),0)</f>
        <v>0</v>
      </c>
      <c r="W288" s="68">
        <f t="shared" si="86"/>
        <v>0</v>
      </c>
      <c r="X288" s="67">
        <f>IFERROR(SUMIF(気管支鏡!$C$30:$C$74,B288,気管支鏡!$K$30:$K$74)*((気管支鏡!$H$3-気管支鏡!$I$3)/気管支鏡!$H$3),0)</f>
        <v>0</v>
      </c>
      <c r="Y288" s="68">
        <f t="shared" si="72"/>
        <v>0</v>
      </c>
      <c r="Z288" s="67">
        <f>IFERROR(SUMIF(CT撮影装置!$C$30:$C$74,B288,CT撮影装置!$K$30:$K$74)*((CT撮影装置!$H$3-CT撮影装置!$I$3)/CT撮影装置!$H$3),0)</f>
        <v>0</v>
      </c>
      <c r="AA288" s="68">
        <f t="shared" si="87"/>
        <v>0</v>
      </c>
      <c r="AB288" s="67">
        <f>IFERROR(SUMIF(生体情報モニタ!$C$30:$C$74,B288,生体情報モニタ!$K$30:$K$74)*((生体情報モニタ!$H$3-生体情報モニタ!$I$3)/生体情報モニタ!$H$3),0)</f>
        <v>0</v>
      </c>
      <c r="AC288" s="68">
        <f t="shared" si="73"/>
        <v>0</v>
      </c>
      <c r="AD288" s="67">
        <f>IFERROR(SUMIF(分娩監視装置!$C$30:$C$74,B288,分娩監視装置!$K$30:$K$74)*((分娩監視装置!$H$3-分娩監視装置!$I$3)/分娩監視装置!$H$3),0)</f>
        <v>0</v>
      </c>
      <c r="AE288" s="68">
        <f t="shared" si="88"/>
        <v>0</v>
      </c>
      <c r="AF288" s="67">
        <f>IFERROR(SUMIF(新生児モニタ!$C$30:$C$74,B288,新生児モニタ!$K$30:$K$74)*((新生児モニタ!$H$3-新生児モニタ!$I$3)/新生児モニタ!$H$3),0)</f>
        <v>0</v>
      </c>
      <c r="AG288" s="68">
        <f t="shared" si="89"/>
        <v>0</v>
      </c>
    </row>
    <row r="289" spans="2:33">
      <c r="B289" s="64" t="s">
        <v>936</v>
      </c>
      <c r="C289" s="67">
        <f>IFERROR(SUMIF(初度設備!$C$30:$C$74,B289,初度設備!$N$30:$N$74)*((初度設備!$H$3-初度設備!$I$3)/初度設備!$H$3),0)</f>
        <v>0</v>
      </c>
      <c r="D289" s="68">
        <f t="shared" si="74"/>
        <v>0</v>
      </c>
      <c r="E289" s="67">
        <f>IFERROR(SUMIF(人工呼吸器!$C$30:$C$74,B289,人工呼吸器!$N$30:$N$74)*((人工呼吸器!$H$3-人工呼吸器!$I$3)/人工呼吸器!$H$3),0)</f>
        <v>0</v>
      </c>
      <c r="F289" s="68">
        <f t="shared" si="75"/>
        <v>0</v>
      </c>
      <c r="G289" s="68">
        <f t="shared" si="76"/>
        <v>0</v>
      </c>
      <c r="H289" s="68">
        <f t="shared" si="77"/>
        <v>0</v>
      </c>
      <c r="I289" s="67">
        <f>IFERROR(SUMIF(簡易陰圧装置!$C$30:$C$74,B289,簡易陰圧装置!$N$30:$N$74)*((簡易陰圧装置!$H$3-簡易陰圧装置!$I$3)/簡易陰圧装置!$H$3),0)</f>
        <v>0</v>
      </c>
      <c r="J289" s="68">
        <f t="shared" si="78"/>
        <v>0</v>
      </c>
      <c r="K289" s="67">
        <f>IFERROR(SUMIF(#REF!,B289,#REF!)*((#REF!-#REF!)/#REF!),0)</f>
        <v>0</v>
      </c>
      <c r="L289" s="68">
        <f t="shared" si="79"/>
        <v>0</v>
      </c>
      <c r="M289" s="67">
        <f>IFERROR(SUMIF(体外式膜型人工肺!$C$30:$C$74,B289,体外式膜型人工肺!$N$30:$N$74)*((体外式膜型人工肺!$H$3-体外式膜型人工肺!$I$3)/体外式膜型人工肺!$H$3),0)</f>
        <v>0</v>
      </c>
      <c r="N289" s="68">
        <f t="shared" si="80"/>
        <v>0</v>
      </c>
      <c r="O289" s="68">
        <f t="shared" si="81"/>
        <v>0</v>
      </c>
      <c r="P289" s="68">
        <f t="shared" si="82"/>
        <v>0</v>
      </c>
      <c r="Q289" s="67">
        <f>IFERROR(SUMIF(紫外線照射装置!$C$30:$C$74,B289,紫外線照射装置!$N$30:$N$74)*((紫外線照射装置!$H$3-紫外線照射装置!$I$3)/紫外線照射装置!$H$3),0)</f>
        <v>0</v>
      </c>
      <c r="R289" s="68">
        <f t="shared" si="83"/>
        <v>0</v>
      </c>
      <c r="S289" s="101">
        <f t="shared" si="84"/>
        <v>0</v>
      </c>
      <c r="T289" s="67">
        <f>IFERROR(SUMIF(超音波画像診断装置!$C$30:$C$74,B289,超音波画像診断装置!$K$30:$K$74)*((超音波画像診断装置!$H$3-超音波画像診断装置!$I$3)/超音波画像診断装置!$H$3),0)</f>
        <v>0</v>
      </c>
      <c r="U289" s="68">
        <f t="shared" si="85"/>
        <v>0</v>
      </c>
      <c r="V289" s="67">
        <f>IFERROR(SUMIF(血液浄化装置!$C$30:$C$74,B289,血液浄化装置!$K$30:$K$74)*((血液浄化装置!$H$3-血液浄化装置!$I$3)/血液浄化装置!$H$3),0)</f>
        <v>0</v>
      </c>
      <c r="W289" s="68">
        <f t="shared" si="86"/>
        <v>0</v>
      </c>
      <c r="X289" s="67">
        <f>IFERROR(SUMIF(気管支鏡!$C$30:$C$74,B289,気管支鏡!$K$30:$K$74)*((気管支鏡!$H$3-気管支鏡!$I$3)/気管支鏡!$H$3),0)</f>
        <v>0</v>
      </c>
      <c r="Y289" s="68">
        <f t="shared" si="72"/>
        <v>0</v>
      </c>
      <c r="Z289" s="67">
        <f>IFERROR(SUMIF(CT撮影装置!$C$30:$C$74,B289,CT撮影装置!$K$30:$K$74)*((CT撮影装置!$H$3-CT撮影装置!$I$3)/CT撮影装置!$H$3),0)</f>
        <v>0</v>
      </c>
      <c r="AA289" s="68">
        <f t="shared" si="87"/>
        <v>0</v>
      </c>
      <c r="AB289" s="67">
        <f>IFERROR(SUMIF(生体情報モニタ!$C$30:$C$74,B289,生体情報モニタ!$K$30:$K$74)*((生体情報モニタ!$H$3-生体情報モニタ!$I$3)/生体情報モニタ!$H$3),0)</f>
        <v>0</v>
      </c>
      <c r="AC289" s="68">
        <f t="shared" si="73"/>
        <v>0</v>
      </c>
      <c r="AD289" s="67">
        <f>IFERROR(SUMIF(分娩監視装置!$C$30:$C$74,B289,分娩監視装置!$K$30:$K$74)*((分娩監視装置!$H$3-分娩監視装置!$I$3)/分娩監視装置!$H$3),0)</f>
        <v>0</v>
      </c>
      <c r="AE289" s="68">
        <f t="shared" si="88"/>
        <v>0</v>
      </c>
      <c r="AF289" s="67">
        <f>IFERROR(SUMIF(新生児モニタ!$C$30:$C$74,B289,新生児モニタ!$K$30:$K$74)*((新生児モニタ!$H$3-新生児モニタ!$I$3)/新生児モニタ!$H$3),0)</f>
        <v>0</v>
      </c>
      <c r="AG289" s="68">
        <f t="shared" si="89"/>
        <v>0</v>
      </c>
    </row>
    <row r="290" spans="2:33">
      <c r="B290" s="64" t="s">
        <v>937</v>
      </c>
      <c r="C290" s="67">
        <f>IFERROR(SUMIF(初度設備!$C$30:$C$74,B290,初度設備!$N$30:$N$74)*((初度設備!$H$3-初度設備!$I$3)/初度設備!$H$3),0)</f>
        <v>0</v>
      </c>
      <c r="D290" s="68">
        <f t="shared" si="74"/>
        <v>0</v>
      </c>
      <c r="E290" s="67">
        <f>IFERROR(SUMIF(人工呼吸器!$C$30:$C$74,B290,人工呼吸器!$N$30:$N$74)*((人工呼吸器!$H$3-人工呼吸器!$I$3)/人工呼吸器!$H$3),0)</f>
        <v>0</v>
      </c>
      <c r="F290" s="68">
        <f t="shared" si="75"/>
        <v>0</v>
      </c>
      <c r="G290" s="68">
        <f t="shared" si="76"/>
        <v>0</v>
      </c>
      <c r="H290" s="68">
        <f t="shared" si="77"/>
        <v>0</v>
      </c>
      <c r="I290" s="67">
        <f>IFERROR(SUMIF(簡易陰圧装置!$C$30:$C$74,B290,簡易陰圧装置!$N$30:$N$74)*((簡易陰圧装置!$H$3-簡易陰圧装置!$I$3)/簡易陰圧装置!$H$3),0)</f>
        <v>0</v>
      </c>
      <c r="J290" s="68">
        <f t="shared" si="78"/>
        <v>0</v>
      </c>
      <c r="K290" s="67">
        <f>IFERROR(SUMIF(#REF!,B290,#REF!)*((#REF!-#REF!)/#REF!),0)</f>
        <v>0</v>
      </c>
      <c r="L290" s="68">
        <f t="shared" si="79"/>
        <v>0</v>
      </c>
      <c r="M290" s="67">
        <f>IFERROR(SUMIF(体外式膜型人工肺!$C$30:$C$74,B290,体外式膜型人工肺!$N$30:$N$74)*((体外式膜型人工肺!$H$3-体外式膜型人工肺!$I$3)/体外式膜型人工肺!$H$3),0)</f>
        <v>0</v>
      </c>
      <c r="N290" s="68">
        <f t="shared" si="80"/>
        <v>0</v>
      </c>
      <c r="O290" s="68">
        <f t="shared" si="81"/>
        <v>0</v>
      </c>
      <c r="P290" s="68">
        <f t="shared" si="82"/>
        <v>0</v>
      </c>
      <c r="Q290" s="67">
        <f>IFERROR(SUMIF(紫外線照射装置!$C$30:$C$74,B290,紫外線照射装置!$N$30:$N$74)*((紫外線照射装置!$H$3-紫外線照射装置!$I$3)/紫外線照射装置!$H$3),0)</f>
        <v>0</v>
      </c>
      <c r="R290" s="68">
        <f t="shared" si="83"/>
        <v>0</v>
      </c>
      <c r="S290" s="101">
        <f t="shared" si="84"/>
        <v>0</v>
      </c>
      <c r="T290" s="67">
        <f>IFERROR(SUMIF(超音波画像診断装置!$C$30:$C$74,B290,超音波画像診断装置!$K$30:$K$74)*((超音波画像診断装置!$H$3-超音波画像診断装置!$I$3)/超音波画像診断装置!$H$3),0)</f>
        <v>0</v>
      </c>
      <c r="U290" s="68">
        <f t="shared" si="85"/>
        <v>0</v>
      </c>
      <c r="V290" s="67">
        <f>IFERROR(SUMIF(血液浄化装置!$C$30:$C$74,B290,血液浄化装置!$K$30:$K$74)*((血液浄化装置!$H$3-血液浄化装置!$I$3)/血液浄化装置!$H$3),0)</f>
        <v>0</v>
      </c>
      <c r="W290" s="68">
        <f t="shared" si="86"/>
        <v>0</v>
      </c>
      <c r="X290" s="67">
        <f>IFERROR(SUMIF(気管支鏡!$C$30:$C$74,B290,気管支鏡!$K$30:$K$74)*((気管支鏡!$H$3-気管支鏡!$I$3)/気管支鏡!$H$3),0)</f>
        <v>0</v>
      </c>
      <c r="Y290" s="68">
        <f t="shared" si="72"/>
        <v>0</v>
      </c>
      <c r="Z290" s="67">
        <f>IFERROR(SUMIF(CT撮影装置!$C$30:$C$74,B290,CT撮影装置!$K$30:$K$74)*((CT撮影装置!$H$3-CT撮影装置!$I$3)/CT撮影装置!$H$3),0)</f>
        <v>0</v>
      </c>
      <c r="AA290" s="68">
        <f t="shared" si="87"/>
        <v>0</v>
      </c>
      <c r="AB290" s="67">
        <f>IFERROR(SUMIF(生体情報モニタ!$C$30:$C$74,B290,生体情報モニタ!$K$30:$K$74)*((生体情報モニタ!$H$3-生体情報モニタ!$I$3)/生体情報モニタ!$H$3),0)</f>
        <v>0</v>
      </c>
      <c r="AC290" s="68">
        <f t="shared" si="73"/>
        <v>0</v>
      </c>
      <c r="AD290" s="67">
        <f>IFERROR(SUMIF(分娩監視装置!$C$30:$C$74,B290,分娩監視装置!$K$30:$K$74)*((分娩監視装置!$H$3-分娩監視装置!$I$3)/分娩監視装置!$H$3),0)</f>
        <v>0</v>
      </c>
      <c r="AE290" s="68">
        <f t="shared" si="88"/>
        <v>0</v>
      </c>
      <c r="AF290" s="67">
        <f>IFERROR(SUMIF(新生児モニタ!$C$30:$C$74,B290,新生児モニタ!$K$30:$K$74)*((新生児モニタ!$H$3-新生児モニタ!$I$3)/新生児モニタ!$H$3),0)</f>
        <v>0</v>
      </c>
      <c r="AG290" s="68">
        <f t="shared" si="89"/>
        <v>0</v>
      </c>
    </row>
    <row r="291" spans="2:33">
      <c r="B291" s="64" t="s">
        <v>938</v>
      </c>
      <c r="C291" s="67">
        <f>IFERROR(SUMIF(初度設備!$C$30:$C$74,B291,初度設備!$N$30:$N$74)*((初度設備!$H$3-初度設備!$I$3)/初度設備!$H$3),0)</f>
        <v>0</v>
      </c>
      <c r="D291" s="68">
        <f t="shared" si="74"/>
        <v>0</v>
      </c>
      <c r="E291" s="67">
        <f>IFERROR(SUMIF(人工呼吸器!$C$30:$C$74,B291,人工呼吸器!$N$30:$N$74)*((人工呼吸器!$H$3-人工呼吸器!$I$3)/人工呼吸器!$H$3),0)</f>
        <v>0</v>
      </c>
      <c r="F291" s="68">
        <f t="shared" si="75"/>
        <v>0</v>
      </c>
      <c r="G291" s="68">
        <f t="shared" si="76"/>
        <v>0</v>
      </c>
      <c r="H291" s="68">
        <f t="shared" si="77"/>
        <v>0</v>
      </c>
      <c r="I291" s="67">
        <f>IFERROR(SUMIF(簡易陰圧装置!$C$30:$C$74,B291,簡易陰圧装置!$N$30:$N$74)*((簡易陰圧装置!$H$3-簡易陰圧装置!$I$3)/簡易陰圧装置!$H$3),0)</f>
        <v>0</v>
      </c>
      <c r="J291" s="68">
        <f t="shared" si="78"/>
        <v>0</v>
      </c>
      <c r="K291" s="67">
        <f>IFERROR(SUMIF(#REF!,B291,#REF!)*((#REF!-#REF!)/#REF!),0)</f>
        <v>0</v>
      </c>
      <c r="L291" s="68">
        <f t="shared" si="79"/>
        <v>0</v>
      </c>
      <c r="M291" s="67">
        <f>IFERROR(SUMIF(体外式膜型人工肺!$C$30:$C$74,B291,体外式膜型人工肺!$N$30:$N$74)*((体外式膜型人工肺!$H$3-体外式膜型人工肺!$I$3)/体外式膜型人工肺!$H$3),0)</f>
        <v>0</v>
      </c>
      <c r="N291" s="68">
        <f t="shared" si="80"/>
        <v>0</v>
      </c>
      <c r="O291" s="68">
        <f t="shared" si="81"/>
        <v>0</v>
      </c>
      <c r="P291" s="68">
        <f t="shared" si="82"/>
        <v>0</v>
      </c>
      <c r="Q291" s="67">
        <f>IFERROR(SUMIF(紫外線照射装置!$C$30:$C$74,B291,紫外線照射装置!$N$30:$N$74)*((紫外線照射装置!$H$3-紫外線照射装置!$I$3)/紫外線照射装置!$H$3),0)</f>
        <v>0</v>
      </c>
      <c r="R291" s="68">
        <f t="shared" si="83"/>
        <v>0</v>
      </c>
      <c r="S291" s="101">
        <f t="shared" si="84"/>
        <v>0</v>
      </c>
      <c r="T291" s="67">
        <f>IFERROR(SUMIF(超音波画像診断装置!$C$30:$C$74,B291,超音波画像診断装置!$K$30:$K$74)*((超音波画像診断装置!$H$3-超音波画像診断装置!$I$3)/超音波画像診断装置!$H$3),0)</f>
        <v>0</v>
      </c>
      <c r="U291" s="68">
        <f t="shared" si="85"/>
        <v>0</v>
      </c>
      <c r="V291" s="67">
        <f>IFERROR(SUMIF(血液浄化装置!$C$30:$C$74,B291,血液浄化装置!$K$30:$K$74)*((血液浄化装置!$H$3-血液浄化装置!$I$3)/血液浄化装置!$H$3),0)</f>
        <v>0</v>
      </c>
      <c r="W291" s="68">
        <f t="shared" si="86"/>
        <v>0</v>
      </c>
      <c r="X291" s="67">
        <f>IFERROR(SUMIF(気管支鏡!$C$30:$C$74,B291,気管支鏡!$K$30:$K$74)*((気管支鏡!$H$3-気管支鏡!$I$3)/気管支鏡!$H$3),0)</f>
        <v>0</v>
      </c>
      <c r="Y291" s="68">
        <f t="shared" si="72"/>
        <v>0</v>
      </c>
      <c r="Z291" s="67">
        <f>IFERROR(SUMIF(CT撮影装置!$C$30:$C$74,B291,CT撮影装置!$K$30:$K$74)*((CT撮影装置!$H$3-CT撮影装置!$I$3)/CT撮影装置!$H$3),0)</f>
        <v>0</v>
      </c>
      <c r="AA291" s="68">
        <f t="shared" si="87"/>
        <v>0</v>
      </c>
      <c r="AB291" s="67">
        <f>IFERROR(SUMIF(生体情報モニタ!$C$30:$C$74,B291,生体情報モニタ!$K$30:$K$74)*((生体情報モニタ!$H$3-生体情報モニタ!$I$3)/生体情報モニタ!$H$3),0)</f>
        <v>0</v>
      </c>
      <c r="AC291" s="68">
        <f t="shared" si="73"/>
        <v>0</v>
      </c>
      <c r="AD291" s="67">
        <f>IFERROR(SUMIF(分娩監視装置!$C$30:$C$74,B291,分娩監視装置!$K$30:$K$74)*((分娩監視装置!$H$3-分娩監視装置!$I$3)/分娩監視装置!$H$3),0)</f>
        <v>0</v>
      </c>
      <c r="AE291" s="68">
        <f t="shared" si="88"/>
        <v>0</v>
      </c>
      <c r="AF291" s="67">
        <f>IFERROR(SUMIF(新生児モニタ!$C$30:$C$74,B291,新生児モニタ!$K$30:$K$74)*((新生児モニタ!$H$3-新生児モニタ!$I$3)/新生児モニタ!$H$3),0)</f>
        <v>0</v>
      </c>
      <c r="AG291" s="68">
        <f t="shared" si="89"/>
        <v>0</v>
      </c>
    </row>
    <row r="292" spans="2:33">
      <c r="B292" s="64" t="s">
        <v>939</v>
      </c>
      <c r="C292" s="67">
        <f>IFERROR(SUMIF(初度設備!$C$30:$C$74,B292,初度設備!$N$30:$N$74)*((初度設備!$H$3-初度設備!$I$3)/初度設備!$H$3),0)</f>
        <v>0</v>
      </c>
      <c r="D292" s="68">
        <f t="shared" si="74"/>
        <v>0</v>
      </c>
      <c r="E292" s="67">
        <f>IFERROR(SUMIF(人工呼吸器!$C$30:$C$74,B292,人工呼吸器!$N$30:$N$74)*((人工呼吸器!$H$3-人工呼吸器!$I$3)/人工呼吸器!$H$3),0)</f>
        <v>0</v>
      </c>
      <c r="F292" s="68">
        <f t="shared" si="75"/>
        <v>0</v>
      </c>
      <c r="G292" s="68">
        <f t="shared" si="76"/>
        <v>0</v>
      </c>
      <c r="H292" s="68">
        <f t="shared" si="77"/>
        <v>0</v>
      </c>
      <c r="I292" s="67">
        <f>IFERROR(SUMIF(簡易陰圧装置!$C$30:$C$74,B292,簡易陰圧装置!$N$30:$N$74)*((簡易陰圧装置!$H$3-簡易陰圧装置!$I$3)/簡易陰圧装置!$H$3),0)</f>
        <v>0</v>
      </c>
      <c r="J292" s="68">
        <f t="shared" si="78"/>
        <v>0</v>
      </c>
      <c r="K292" s="67">
        <f>IFERROR(SUMIF(#REF!,B292,#REF!)*((#REF!-#REF!)/#REF!),0)</f>
        <v>0</v>
      </c>
      <c r="L292" s="68">
        <f t="shared" si="79"/>
        <v>0</v>
      </c>
      <c r="M292" s="67">
        <f>IFERROR(SUMIF(体外式膜型人工肺!$C$30:$C$74,B292,体外式膜型人工肺!$N$30:$N$74)*((体外式膜型人工肺!$H$3-体外式膜型人工肺!$I$3)/体外式膜型人工肺!$H$3),0)</f>
        <v>0</v>
      </c>
      <c r="N292" s="68">
        <f t="shared" si="80"/>
        <v>0</v>
      </c>
      <c r="O292" s="68">
        <f t="shared" si="81"/>
        <v>0</v>
      </c>
      <c r="P292" s="68">
        <f t="shared" si="82"/>
        <v>0</v>
      </c>
      <c r="Q292" s="67">
        <f>IFERROR(SUMIF(紫外線照射装置!$C$30:$C$74,B292,紫外線照射装置!$N$30:$N$74)*((紫外線照射装置!$H$3-紫外線照射装置!$I$3)/紫外線照射装置!$H$3),0)</f>
        <v>0</v>
      </c>
      <c r="R292" s="68">
        <f t="shared" si="83"/>
        <v>0</v>
      </c>
      <c r="S292" s="101">
        <f t="shared" si="84"/>
        <v>0</v>
      </c>
      <c r="T292" s="67">
        <f>IFERROR(SUMIF(超音波画像診断装置!$C$30:$C$74,B292,超音波画像診断装置!$K$30:$K$74)*((超音波画像診断装置!$H$3-超音波画像診断装置!$I$3)/超音波画像診断装置!$H$3),0)</f>
        <v>0</v>
      </c>
      <c r="U292" s="68">
        <f t="shared" si="85"/>
        <v>0</v>
      </c>
      <c r="V292" s="67">
        <f>IFERROR(SUMIF(血液浄化装置!$C$30:$C$74,B292,血液浄化装置!$K$30:$K$74)*((血液浄化装置!$H$3-血液浄化装置!$I$3)/血液浄化装置!$H$3),0)</f>
        <v>0</v>
      </c>
      <c r="W292" s="68">
        <f t="shared" si="86"/>
        <v>0</v>
      </c>
      <c r="X292" s="67">
        <f>IFERROR(SUMIF(気管支鏡!$C$30:$C$74,B292,気管支鏡!$K$30:$K$74)*((気管支鏡!$H$3-気管支鏡!$I$3)/気管支鏡!$H$3),0)</f>
        <v>0</v>
      </c>
      <c r="Y292" s="68">
        <f t="shared" si="72"/>
        <v>0</v>
      </c>
      <c r="Z292" s="67">
        <f>IFERROR(SUMIF(CT撮影装置!$C$30:$C$74,B292,CT撮影装置!$K$30:$K$74)*((CT撮影装置!$H$3-CT撮影装置!$I$3)/CT撮影装置!$H$3),0)</f>
        <v>0</v>
      </c>
      <c r="AA292" s="68">
        <f t="shared" si="87"/>
        <v>0</v>
      </c>
      <c r="AB292" s="67">
        <f>IFERROR(SUMIF(生体情報モニタ!$C$30:$C$74,B292,生体情報モニタ!$K$30:$K$74)*((生体情報モニタ!$H$3-生体情報モニタ!$I$3)/生体情報モニタ!$H$3),0)</f>
        <v>0</v>
      </c>
      <c r="AC292" s="68">
        <f t="shared" si="73"/>
        <v>0</v>
      </c>
      <c r="AD292" s="67">
        <f>IFERROR(SUMIF(分娩監視装置!$C$30:$C$74,B292,分娩監視装置!$K$30:$K$74)*((分娩監視装置!$H$3-分娩監視装置!$I$3)/分娩監視装置!$H$3),0)</f>
        <v>0</v>
      </c>
      <c r="AE292" s="68">
        <f t="shared" si="88"/>
        <v>0</v>
      </c>
      <c r="AF292" s="67">
        <f>IFERROR(SUMIF(新生児モニタ!$C$30:$C$74,B292,新生児モニタ!$K$30:$K$74)*((新生児モニタ!$H$3-新生児モニタ!$I$3)/新生児モニタ!$H$3),0)</f>
        <v>0</v>
      </c>
      <c r="AG292" s="68">
        <f t="shared" si="89"/>
        <v>0</v>
      </c>
    </row>
    <row r="293" spans="2:33">
      <c r="B293" s="64" t="s">
        <v>940</v>
      </c>
      <c r="C293" s="67">
        <f>IFERROR(SUMIF(初度設備!$C$30:$C$74,B293,初度設備!$N$30:$N$74)*((初度設備!$H$3-初度設備!$I$3)/初度設備!$H$3),0)</f>
        <v>0</v>
      </c>
      <c r="D293" s="68">
        <f t="shared" si="74"/>
        <v>0</v>
      </c>
      <c r="E293" s="67">
        <f>IFERROR(SUMIF(人工呼吸器!$C$30:$C$74,B293,人工呼吸器!$N$30:$N$74)*((人工呼吸器!$H$3-人工呼吸器!$I$3)/人工呼吸器!$H$3),0)</f>
        <v>0</v>
      </c>
      <c r="F293" s="68">
        <f t="shared" si="75"/>
        <v>0</v>
      </c>
      <c r="G293" s="68">
        <f t="shared" si="76"/>
        <v>0</v>
      </c>
      <c r="H293" s="68">
        <f t="shared" si="77"/>
        <v>0</v>
      </c>
      <c r="I293" s="67">
        <f>IFERROR(SUMIF(簡易陰圧装置!$C$30:$C$74,B293,簡易陰圧装置!$N$30:$N$74)*((簡易陰圧装置!$H$3-簡易陰圧装置!$I$3)/簡易陰圧装置!$H$3),0)</f>
        <v>0</v>
      </c>
      <c r="J293" s="68">
        <f t="shared" si="78"/>
        <v>0</v>
      </c>
      <c r="K293" s="67">
        <f>IFERROR(SUMIF(#REF!,B293,#REF!)*((#REF!-#REF!)/#REF!),0)</f>
        <v>0</v>
      </c>
      <c r="L293" s="68">
        <f t="shared" si="79"/>
        <v>0</v>
      </c>
      <c r="M293" s="67">
        <f>IFERROR(SUMIF(体外式膜型人工肺!$C$30:$C$74,B293,体外式膜型人工肺!$N$30:$N$74)*((体外式膜型人工肺!$H$3-体外式膜型人工肺!$I$3)/体外式膜型人工肺!$H$3),0)</f>
        <v>0</v>
      </c>
      <c r="N293" s="68">
        <f t="shared" si="80"/>
        <v>0</v>
      </c>
      <c r="O293" s="68">
        <f t="shared" si="81"/>
        <v>0</v>
      </c>
      <c r="P293" s="68">
        <f t="shared" si="82"/>
        <v>0</v>
      </c>
      <c r="Q293" s="67">
        <f>IFERROR(SUMIF(紫外線照射装置!$C$30:$C$74,B293,紫外線照射装置!$N$30:$N$74)*((紫外線照射装置!$H$3-紫外線照射装置!$I$3)/紫外線照射装置!$H$3),0)</f>
        <v>0</v>
      </c>
      <c r="R293" s="68">
        <f t="shared" si="83"/>
        <v>0</v>
      </c>
      <c r="S293" s="101">
        <f t="shared" si="84"/>
        <v>0</v>
      </c>
      <c r="T293" s="67">
        <f>IFERROR(SUMIF(超音波画像診断装置!$C$30:$C$74,B293,超音波画像診断装置!$K$30:$K$74)*((超音波画像診断装置!$H$3-超音波画像診断装置!$I$3)/超音波画像診断装置!$H$3),0)</f>
        <v>0</v>
      </c>
      <c r="U293" s="68">
        <f t="shared" si="85"/>
        <v>0</v>
      </c>
      <c r="V293" s="67">
        <f>IFERROR(SUMIF(血液浄化装置!$C$30:$C$74,B293,血液浄化装置!$K$30:$K$74)*((血液浄化装置!$H$3-血液浄化装置!$I$3)/血液浄化装置!$H$3),0)</f>
        <v>0</v>
      </c>
      <c r="W293" s="68">
        <f t="shared" si="86"/>
        <v>0</v>
      </c>
      <c r="X293" s="67">
        <f>IFERROR(SUMIF(気管支鏡!$C$30:$C$74,B293,気管支鏡!$K$30:$K$74)*((気管支鏡!$H$3-気管支鏡!$I$3)/気管支鏡!$H$3),0)</f>
        <v>0</v>
      </c>
      <c r="Y293" s="68">
        <f t="shared" si="72"/>
        <v>0</v>
      </c>
      <c r="Z293" s="67">
        <f>IFERROR(SUMIF(CT撮影装置!$C$30:$C$74,B293,CT撮影装置!$K$30:$K$74)*((CT撮影装置!$H$3-CT撮影装置!$I$3)/CT撮影装置!$H$3),0)</f>
        <v>0</v>
      </c>
      <c r="AA293" s="68">
        <f t="shared" si="87"/>
        <v>0</v>
      </c>
      <c r="AB293" s="67">
        <f>IFERROR(SUMIF(生体情報モニタ!$C$30:$C$74,B293,生体情報モニタ!$K$30:$K$74)*((生体情報モニタ!$H$3-生体情報モニタ!$I$3)/生体情報モニタ!$H$3),0)</f>
        <v>0</v>
      </c>
      <c r="AC293" s="68">
        <f t="shared" si="73"/>
        <v>0</v>
      </c>
      <c r="AD293" s="67">
        <f>IFERROR(SUMIF(分娩監視装置!$C$30:$C$74,B293,分娩監視装置!$K$30:$K$74)*((分娩監視装置!$H$3-分娩監視装置!$I$3)/分娩監視装置!$H$3),0)</f>
        <v>0</v>
      </c>
      <c r="AE293" s="68">
        <f t="shared" si="88"/>
        <v>0</v>
      </c>
      <c r="AF293" s="67">
        <f>IFERROR(SUMIF(新生児モニタ!$C$30:$C$74,B293,新生児モニタ!$K$30:$K$74)*((新生児モニタ!$H$3-新生児モニタ!$I$3)/新生児モニタ!$H$3),0)</f>
        <v>0</v>
      </c>
      <c r="AG293" s="68">
        <f t="shared" si="89"/>
        <v>0</v>
      </c>
    </row>
    <row r="294" spans="2:33">
      <c r="B294" s="64" t="s">
        <v>941</v>
      </c>
      <c r="C294" s="67">
        <f>IFERROR(SUMIF(初度設備!$C$30:$C$74,B294,初度設備!$N$30:$N$74)*((初度設備!$H$3-初度設備!$I$3)/初度設備!$H$3),0)</f>
        <v>0</v>
      </c>
      <c r="D294" s="68">
        <f t="shared" si="74"/>
        <v>0</v>
      </c>
      <c r="E294" s="67">
        <f>IFERROR(SUMIF(人工呼吸器!$C$30:$C$74,B294,人工呼吸器!$N$30:$N$74)*((人工呼吸器!$H$3-人工呼吸器!$I$3)/人工呼吸器!$H$3),0)</f>
        <v>0</v>
      </c>
      <c r="F294" s="68">
        <f t="shared" si="75"/>
        <v>0</v>
      </c>
      <c r="G294" s="68">
        <f t="shared" si="76"/>
        <v>0</v>
      </c>
      <c r="H294" s="68">
        <f t="shared" si="77"/>
        <v>0</v>
      </c>
      <c r="I294" s="67">
        <f>IFERROR(SUMIF(簡易陰圧装置!$C$30:$C$74,B294,簡易陰圧装置!$N$30:$N$74)*((簡易陰圧装置!$H$3-簡易陰圧装置!$I$3)/簡易陰圧装置!$H$3),0)</f>
        <v>0</v>
      </c>
      <c r="J294" s="68">
        <f t="shared" si="78"/>
        <v>0</v>
      </c>
      <c r="K294" s="67">
        <f>IFERROR(SUMIF(#REF!,B294,#REF!)*((#REF!-#REF!)/#REF!),0)</f>
        <v>0</v>
      </c>
      <c r="L294" s="68">
        <f t="shared" si="79"/>
        <v>0</v>
      </c>
      <c r="M294" s="67">
        <f>IFERROR(SUMIF(体外式膜型人工肺!$C$30:$C$74,B294,体外式膜型人工肺!$N$30:$N$74)*((体外式膜型人工肺!$H$3-体外式膜型人工肺!$I$3)/体外式膜型人工肺!$H$3),0)</f>
        <v>0</v>
      </c>
      <c r="N294" s="68">
        <f t="shared" si="80"/>
        <v>0</v>
      </c>
      <c r="O294" s="68">
        <f t="shared" si="81"/>
        <v>0</v>
      </c>
      <c r="P294" s="68">
        <f t="shared" si="82"/>
        <v>0</v>
      </c>
      <c r="Q294" s="67">
        <f>IFERROR(SUMIF(紫外線照射装置!$C$30:$C$74,B294,紫外線照射装置!$N$30:$N$74)*((紫外線照射装置!$H$3-紫外線照射装置!$I$3)/紫外線照射装置!$H$3),0)</f>
        <v>0</v>
      </c>
      <c r="R294" s="68">
        <f t="shared" si="83"/>
        <v>0</v>
      </c>
      <c r="S294" s="101">
        <f t="shared" si="84"/>
        <v>0</v>
      </c>
      <c r="T294" s="67">
        <f>IFERROR(SUMIF(超音波画像診断装置!$C$30:$C$74,B294,超音波画像診断装置!$K$30:$K$74)*((超音波画像診断装置!$H$3-超音波画像診断装置!$I$3)/超音波画像診断装置!$H$3),0)</f>
        <v>0</v>
      </c>
      <c r="U294" s="68">
        <f t="shared" si="85"/>
        <v>0</v>
      </c>
      <c r="V294" s="67">
        <f>IFERROR(SUMIF(血液浄化装置!$C$30:$C$74,B294,血液浄化装置!$K$30:$K$74)*((血液浄化装置!$H$3-血液浄化装置!$I$3)/血液浄化装置!$H$3),0)</f>
        <v>0</v>
      </c>
      <c r="W294" s="68">
        <f t="shared" si="86"/>
        <v>0</v>
      </c>
      <c r="X294" s="67">
        <f>IFERROR(SUMIF(気管支鏡!$C$30:$C$74,B294,気管支鏡!$K$30:$K$74)*((気管支鏡!$H$3-気管支鏡!$I$3)/気管支鏡!$H$3),0)</f>
        <v>0</v>
      </c>
      <c r="Y294" s="68">
        <f t="shared" si="72"/>
        <v>0</v>
      </c>
      <c r="Z294" s="67">
        <f>IFERROR(SUMIF(CT撮影装置!$C$30:$C$74,B294,CT撮影装置!$K$30:$K$74)*((CT撮影装置!$H$3-CT撮影装置!$I$3)/CT撮影装置!$H$3),0)</f>
        <v>0</v>
      </c>
      <c r="AA294" s="68">
        <f t="shared" si="87"/>
        <v>0</v>
      </c>
      <c r="AB294" s="67">
        <f>IFERROR(SUMIF(生体情報モニタ!$C$30:$C$74,B294,生体情報モニタ!$K$30:$K$74)*((生体情報モニタ!$H$3-生体情報モニタ!$I$3)/生体情報モニタ!$H$3),0)</f>
        <v>0</v>
      </c>
      <c r="AC294" s="68">
        <f t="shared" si="73"/>
        <v>0</v>
      </c>
      <c r="AD294" s="67">
        <f>IFERROR(SUMIF(分娩監視装置!$C$30:$C$74,B294,分娩監視装置!$K$30:$K$74)*((分娩監視装置!$H$3-分娩監視装置!$I$3)/分娩監視装置!$H$3),0)</f>
        <v>0</v>
      </c>
      <c r="AE294" s="68">
        <f t="shared" si="88"/>
        <v>0</v>
      </c>
      <c r="AF294" s="67">
        <f>IFERROR(SUMIF(新生児モニタ!$C$30:$C$74,B294,新生児モニタ!$K$30:$K$74)*((新生児モニタ!$H$3-新生児モニタ!$I$3)/新生児モニタ!$H$3),0)</f>
        <v>0</v>
      </c>
      <c r="AG294" s="68">
        <f t="shared" si="89"/>
        <v>0</v>
      </c>
    </row>
    <row r="295" spans="2:33">
      <c r="B295" s="64" t="s">
        <v>942</v>
      </c>
      <c r="C295" s="67">
        <f>IFERROR(SUMIF(初度設備!$C$30:$C$74,B295,初度設備!$N$30:$N$74)*((初度設備!$H$3-初度設備!$I$3)/初度設備!$H$3),0)</f>
        <v>0</v>
      </c>
      <c r="D295" s="68">
        <f t="shared" si="74"/>
        <v>0</v>
      </c>
      <c r="E295" s="67">
        <f>IFERROR(SUMIF(人工呼吸器!$C$30:$C$74,B295,人工呼吸器!$N$30:$N$74)*((人工呼吸器!$H$3-人工呼吸器!$I$3)/人工呼吸器!$H$3),0)</f>
        <v>0</v>
      </c>
      <c r="F295" s="68">
        <f t="shared" si="75"/>
        <v>0</v>
      </c>
      <c r="G295" s="68">
        <f t="shared" si="76"/>
        <v>0</v>
      </c>
      <c r="H295" s="68">
        <f t="shared" si="77"/>
        <v>0</v>
      </c>
      <c r="I295" s="67">
        <f>IFERROR(SUMIF(簡易陰圧装置!$C$30:$C$74,B295,簡易陰圧装置!$N$30:$N$74)*((簡易陰圧装置!$H$3-簡易陰圧装置!$I$3)/簡易陰圧装置!$H$3),0)</f>
        <v>0</v>
      </c>
      <c r="J295" s="68">
        <f t="shared" si="78"/>
        <v>0</v>
      </c>
      <c r="K295" s="67">
        <f>IFERROR(SUMIF(#REF!,B295,#REF!)*((#REF!-#REF!)/#REF!),0)</f>
        <v>0</v>
      </c>
      <c r="L295" s="68">
        <f t="shared" si="79"/>
        <v>0</v>
      </c>
      <c r="M295" s="67">
        <f>IFERROR(SUMIF(体外式膜型人工肺!$C$30:$C$74,B295,体外式膜型人工肺!$N$30:$N$74)*((体外式膜型人工肺!$H$3-体外式膜型人工肺!$I$3)/体外式膜型人工肺!$H$3),0)</f>
        <v>0</v>
      </c>
      <c r="N295" s="68">
        <f t="shared" si="80"/>
        <v>0</v>
      </c>
      <c r="O295" s="68">
        <f t="shared" si="81"/>
        <v>0</v>
      </c>
      <c r="P295" s="68">
        <f t="shared" si="82"/>
        <v>0</v>
      </c>
      <c r="Q295" s="67">
        <f>IFERROR(SUMIF(紫外線照射装置!$C$30:$C$74,B295,紫外線照射装置!$N$30:$N$74)*((紫外線照射装置!$H$3-紫外線照射装置!$I$3)/紫外線照射装置!$H$3),0)</f>
        <v>0</v>
      </c>
      <c r="R295" s="68">
        <f t="shared" si="83"/>
        <v>0</v>
      </c>
      <c r="S295" s="101">
        <f t="shared" si="84"/>
        <v>0</v>
      </c>
      <c r="T295" s="67">
        <f>IFERROR(SUMIF(超音波画像診断装置!$C$30:$C$74,B295,超音波画像診断装置!$K$30:$K$74)*((超音波画像診断装置!$H$3-超音波画像診断装置!$I$3)/超音波画像診断装置!$H$3),0)</f>
        <v>0</v>
      </c>
      <c r="U295" s="68">
        <f t="shared" si="85"/>
        <v>0</v>
      </c>
      <c r="V295" s="67">
        <f>IFERROR(SUMIF(血液浄化装置!$C$30:$C$74,B295,血液浄化装置!$K$30:$K$74)*((血液浄化装置!$H$3-血液浄化装置!$I$3)/血液浄化装置!$H$3),0)</f>
        <v>0</v>
      </c>
      <c r="W295" s="68">
        <f t="shared" si="86"/>
        <v>0</v>
      </c>
      <c r="X295" s="67">
        <f>IFERROR(SUMIF(気管支鏡!$C$30:$C$74,B295,気管支鏡!$K$30:$K$74)*((気管支鏡!$H$3-気管支鏡!$I$3)/気管支鏡!$H$3),0)</f>
        <v>0</v>
      </c>
      <c r="Y295" s="68">
        <f t="shared" si="72"/>
        <v>0</v>
      </c>
      <c r="Z295" s="67">
        <f>IFERROR(SUMIF(CT撮影装置!$C$30:$C$74,B295,CT撮影装置!$K$30:$K$74)*((CT撮影装置!$H$3-CT撮影装置!$I$3)/CT撮影装置!$H$3),0)</f>
        <v>0</v>
      </c>
      <c r="AA295" s="68">
        <f t="shared" si="87"/>
        <v>0</v>
      </c>
      <c r="AB295" s="67">
        <f>IFERROR(SUMIF(生体情報モニタ!$C$30:$C$74,B295,生体情報モニタ!$K$30:$K$74)*((生体情報モニタ!$H$3-生体情報モニタ!$I$3)/生体情報モニタ!$H$3),0)</f>
        <v>0</v>
      </c>
      <c r="AC295" s="68">
        <f t="shared" si="73"/>
        <v>0</v>
      </c>
      <c r="AD295" s="67">
        <f>IFERROR(SUMIF(分娩監視装置!$C$30:$C$74,B295,分娩監視装置!$K$30:$K$74)*((分娩監視装置!$H$3-分娩監視装置!$I$3)/分娩監視装置!$H$3),0)</f>
        <v>0</v>
      </c>
      <c r="AE295" s="68">
        <f t="shared" si="88"/>
        <v>0</v>
      </c>
      <c r="AF295" s="67">
        <f>IFERROR(SUMIF(新生児モニタ!$C$30:$C$74,B295,新生児モニタ!$K$30:$K$74)*((新生児モニタ!$H$3-新生児モニタ!$I$3)/新生児モニタ!$H$3),0)</f>
        <v>0</v>
      </c>
      <c r="AG295" s="68">
        <f t="shared" si="89"/>
        <v>0</v>
      </c>
    </row>
    <row r="296" spans="2:33">
      <c r="B296" s="64" t="s">
        <v>943</v>
      </c>
      <c r="C296" s="67">
        <f>IFERROR(SUMIF(初度設備!$C$30:$C$74,B296,初度設備!$N$30:$N$74)*((初度設備!$H$3-初度設備!$I$3)/初度設備!$H$3),0)</f>
        <v>0</v>
      </c>
      <c r="D296" s="68">
        <f t="shared" si="74"/>
        <v>0</v>
      </c>
      <c r="E296" s="67">
        <f>IFERROR(SUMIF(人工呼吸器!$C$30:$C$74,B296,人工呼吸器!$N$30:$N$74)*((人工呼吸器!$H$3-人工呼吸器!$I$3)/人工呼吸器!$H$3),0)</f>
        <v>0</v>
      </c>
      <c r="F296" s="68">
        <f t="shared" si="75"/>
        <v>0</v>
      </c>
      <c r="G296" s="68">
        <f t="shared" si="76"/>
        <v>0</v>
      </c>
      <c r="H296" s="68">
        <f t="shared" si="77"/>
        <v>0</v>
      </c>
      <c r="I296" s="67">
        <f>IFERROR(SUMIF(簡易陰圧装置!$C$30:$C$74,B296,簡易陰圧装置!$N$30:$N$74)*((簡易陰圧装置!$H$3-簡易陰圧装置!$I$3)/簡易陰圧装置!$H$3),0)</f>
        <v>0</v>
      </c>
      <c r="J296" s="68">
        <f t="shared" si="78"/>
        <v>0</v>
      </c>
      <c r="K296" s="67">
        <f>IFERROR(SUMIF(#REF!,B296,#REF!)*((#REF!-#REF!)/#REF!),0)</f>
        <v>0</v>
      </c>
      <c r="L296" s="68">
        <f t="shared" si="79"/>
        <v>0</v>
      </c>
      <c r="M296" s="67">
        <f>IFERROR(SUMIF(体外式膜型人工肺!$C$30:$C$74,B296,体外式膜型人工肺!$N$30:$N$74)*((体外式膜型人工肺!$H$3-体外式膜型人工肺!$I$3)/体外式膜型人工肺!$H$3),0)</f>
        <v>0</v>
      </c>
      <c r="N296" s="68">
        <f t="shared" si="80"/>
        <v>0</v>
      </c>
      <c r="O296" s="68">
        <f t="shared" si="81"/>
        <v>0</v>
      </c>
      <c r="P296" s="68">
        <f t="shared" si="82"/>
        <v>0</v>
      </c>
      <c r="Q296" s="67">
        <f>IFERROR(SUMIF(紫外線照射装置!$C$30:$C$74,B296,紫外線照射装置!$N$30:$N$74)*((紫外線照射装置!$H$3-紫外線照射装置!$I$3)/紫外線照射装置!$H$3),0)</f>
        <v>0</v>
      </c>
      <c r="R296" s="68">
        <f t="shared" si="83"/>
        <v>0</v>
      </c>
      <c r="S296" s="101">
        <f t="shared" si="84"/>
        <v>0</v>
      </c>
      <c r="T296" s="67">
        <f>IFERROR(SUMIF(超音波画像診断装置!$C$30:$C$74,B296,超音波画像診断装置!$K$30:$K$74)*((超音波画像診断装置!$H$3-超音波画像診断装置!$I$3)/超音波画像診断装置!$H$3),0)</f>
        <v>0</v>
      </c>
      <c r="U296" s="68">
        <f t="shared" si="85"/>
        <v>0</v>
      </c>
      <c r="V296" s="67">
        <f>IFERROR(SUMIF(血液浄化装置!$C$30:$C$74,B296,血液浄化装置!$K$30:$K$74)*((血液浄化装置!$H$3-血液浄化装置!$I$3)/血液浄化装置!$H$3),0)</f>
        <v>0</v>
      </c>
      <c r="W296" s="68">
        <f t="shared" si="86"/>
        <v>0</v>
      </c>
      <c r="X296" s="67">
        <f>IFERROR(SUMIF(気管支鏡!$C$30:$C$74,B296,気管支鏡!$K$30:$K$74)*((気管支鏡!$H$3-気管支鏡!$I$3)/気管支鏡!$H$3),0)</f>
        <v>0</v>
      </c>
      <c r="Y296" s="68">
        <f t="shared" si="72"/>
        <v>0</v>
      </c>
      <c r="Z296" s="67">
        <f>IFERROR(SUMIF(CT撮影装置!$C$30:$C$74,B296,CT撮影装置!$K$30:$K$74)*((CT撮影装置!$H$3-CT撮影装置!$I$3)/CT撮影装置!$H$3),0)</f>
        <v>0</v>
      </c>
      <c r="AA296" s="68">
        <f t="shared" si="87"/>
        <v>0</v>
      </c>
      <c r="AB296" s="67">
        <f>IFERROR(SUMIF(生体情報モニタ!$C$30:$C$74,B296,生体情報モニタ!$K$30:$K$74)*((生体情報モニタ!$H$3-生体情報モニタ!$I$3)/生体情報モニタ!$H$3),0)</f>
        <v>0</v>
      </c>
      <c r="AC296" s="68">
        <f t="shared" si="73"/>
        <v>0</v>
      </c>
      <c r="AD296" s="67">
        <f>IFERROR(SUMIF(分娩監視装置!$C$30:$C$74,B296,分娩監視装置!$K$30:$K$74)*((分娩監視装置!$H$3-分娩監視装置!$I$3)/分娩監視装置!$H$3),0)</f>
        <v>0</v>
      </c>
      <c r="AE296" s="68">
        <f t="shared" si="88"/>
        <v>0</v>
      </c>
      <c r="AF296" s="67">
        <f>IFERROR(SUMIF(新生児モニタ!$C$30:$C$74,B296,新生児モニタ!$K$30:$K$74)*((新生児モニタ!$H$3-新生児モニタ!$I$3)/新生児モニタ!$H$3),0)</f>
        <v>0</v>
      </c>
      <c r="AG296" s="68">
        <f t="shared" si="89"/>
        <v>0</v>
      </c>
    </row>
    <row r="297" spans="2:33">
      <c r="B297" s="64" t="s">
        <v>944</v>
      </c>
      <c r="C297" s="67">
        <f>IFERROR(SUMIF(初度設備!$C$30:$C$74,B297,初度設備!$N$30:$N$74)*((初度設備!$H$3-初度設備!$I$3)/初度設備!$H$3),0)</f>
        <v>0</v>
      </c>
      <c r="D297" s="68">
        <f t="shared" si="74"/>
        <v>0</v>
      </c>
      <c r="E297" s="67">
        <f>IFERROR(SUMIF(人工呼吸器!$C$30:$C$74,B297,人工呼吸器!$N$30:$N$74)*((人工呼吸器!$H$3-人工呼吸器!$I$3)/人工呼吸器!$H$3),0)</f>
        <v>0</v>
      </c>
      <c r="F297" s="68">
        <f t="shared" si="75"/>
        <v>0</v>
      </c>
      <c r="G297" s="68">
        <f t="shared" si="76"/>
        <v>0</v>
      </c>
      <c r="H297" s="68">
        <f t="shared" si="77"/>
        <v>0</v>
      </c>
      <c r="I297" s="67">
        <f>IFERROR(SUMIF(簡易陰圧装置!$C$30:$C$74,B297,簡易陰圧装置!$N$30:$N$74)*((簡易陰圧装置!$H$3-簡易陰圧装置!$I$3)/簡易陰圧装置!$H$3),0)</f>
        <v>0</v>
      </c>
      <c r="J297" s="68">
        <f t="shared" si="78"/>
        <v>0</v>
      </c>
      <c r="K297" s="67">
        <f>IFERROR(SUMIF(#REF!,B297,#REF!)*((#REF!-#REF!)/#REF!),0)</f>
        <v>0</v>
      </c>
      <c r="L297" s="68">
        <f t="shared" si="79"/>
        <v>0</v>
      </c>
      <c r="M297" s="67">
        <f>IFERROR(SUMIF(体外式膜型人工肺!$C$30:$C$74,B297,体外式膜型人工肺!$N$30:$N$74)*((体外式膜型人工肺!$H$3-体外式膜型人工肺!$I$3)/体外式膜型人工肺!$H$3),0)</f>
        <v>0</v>
      </c>
      <c r="N297" s="68">
        <f t="shared" si="80"/>
        <v>0</v>
      </c>
      <c r="O297" s="68">
        <f t="shared" si="81"/>
        <v>0</v>
      </c>
      <c r="P297" s="68">
        <f t="shared" si="82"/>
        <v>0</v>
      </c>
      <c r="Q297" s="67">
        <f>IFERROR(SUMIF(紫外線照射装置!$C$30:$C$74,B297,紫外線照射装置!$N$30:$N$74)*((紫外線照射装置!$H$3-紫外線照射装置!$I$3)/紫外線照射装置!$H$3),0)</f>
        <v>0</v>
      </c>
      <c r="R297" s="68">
        <f t="shared" si="83"/>
        <v>0</v>
      </c>
      <c r="S297" s="101">
        <f t="shared" si="84"/>
        <v>0</v>
      </c>
      <c r="T297" s="67">
        <f>IFERROR(SUMIF(超音波画像診断装置!$C$30:$C$74,B297,超音波画像診断装置!$K$30:$K$74)*((超音波画像診断装置!$H$3-超音波画像診断装置!$I$3)/超音波画像診断装置!$H$3),0)</f>
        <v>0</v>
      </c>
      <c r="U297" s="68">
        <f t="shared" si="85"/>
        <v>0</v>
      </c>
      <c r="V297" s="67">
        <f>IFERROR(SUMIF(血液浄化装置!$C$30:$C$74,B297,血液浄化装置!$K$30:$K$74)*((血液浄化装置!$H$3-血液浄化装置!$I$3)/血液浄化装置!$H$3),0)</f>
        <v>0</v>
      </c>
      <c r="W297" s="68">
        <f t="shared" si="86"/>
        <v>0</v>
      </c>
      <c r="X297" s="67">
        <f>IFERROR(SUMIF(気管支鏡!$C$30:$C$74,B297,気管支鏡!$K$30:$K$74)*((気管支鏡!$H$3-気管支鏡!$I$3)/気管支鏡!$H$3),0)</f>
        <v>0</v>
      </c>
      <c r="Y297" s="68">
        <f t="shared" si="72"/>
        <v>0</v>
      </c>
      <c r="Z297" s="67">
        <f>IFERROR(SUMIF(CT撮影装置!$C$30:$C$74,B297,CT撮影装置!$K$30:$K$74)*((CT撮影装置!$H$3-CT撮影装置!$I$3)/CT撮影装置!$H$3),0)</f>
        <v>0</v>
      </c>
      <c r="AA297" s="68">
        <f t="shared" si="87"/>
        <v>0</v>
      </c>
      <c r="AB297" s="67">
        <f>IFERROR(SUMIF(生体情報モニタ!$C$30:$C$74,B297,生体情報モニタ!$K$30:$K$74)*((生体情報モニタ!$H$3-生体情報モニタ!$I$3)/生体情報モニタ!$H$3),0)</f>
        <v>0</v>
      </c>
      <c r="AC297" s="68">
        <f t="shared" si="73"/>
        <v>0</v>
      </c>
      <c r="AD297" s="67">
        <f>IFERROR(SUMIF(分娩監視装置!$C$30:$C$74,B297,分娩監視装置!$K$30:$K$74)*((分娩監視装置!$H$3-分娩監視装置!$I$3)/分娩監視装置!$H$3),0)</f>
        <v>0</v>
      </c>
      <c r="AE297" s="68">
        <f t="shared" si="88"/>
        <v>0</v>
      </c>
      <c r="AF297" s="67">
        <f>IFERROR(SUMIF(新生児モニタ!$C$30:$C$74,B297,新生児モニタ!$K$30:$K$74)*((新生児モニタ!$H$3-新生児モニタ!$I$3)/新生児モニタ!$H$3),0)</f>
        <v>0</v>
      </c>
      <c r="AG297" s="68">
        <f t="shared" si="89"/>
        <v>0</v>
      </c>
    </row>
    <row r="298" spans="2:33">
      <c r="B298" s="64" t="s">
        <v>945</v>
      </c>
      <c r="C298" s="67">
        <f>IFERROR(SUMIF(初度設備!$C$30:$C$74,B298,初度設備!$N$30:$N$74)*((初度設備!$H$3-初度設備!$I$3)/初度設備!$H$3),0)</f>
        <v>0</v>
      </c>
      <c r="D298" s="68">
        <f t="shared" si="74"/>
        <v>0</v>
      </c>
      <c r="E298" s="67">
        <f>IFERROR(SUMIF(人工呼吸器!$C$30:$C$74,B298,人工呼吸器!$N$30:$N$74)*((人工呼吸器!$H$3-人工呼吸器!$I$3)/人工呼吸器!$H$3),0)</f>
        <v>0</v>
      </c>
      <c r="F298" s="68">
        <f t="shared" si="75"/>
        <v>0</v>
      </c>
      <c r="G298" s="68">
        <f t="shared" si="76"/>
        <v>0</v>
      </c>
      <c r="H298" s="68">
        <f t="shared" si="77"/>
        <v>0</v>
      </c>
      <c r="I298" s="67">
        <f>IFERROR(SUMIF(簡易陰圧装置!$C$30:$C$74,B298,簡易陰圧装置!$N$30:$N$74)*((簡易陰圧装置!$H$3-簡易陰圧装置!$I$3)/簡易陰圧装置!$H$3),0)</f>
        <v>0</v>
      </c>
      <c r="J298" s="68">
        <f t="shared" si="78"/>
        <v>0</v>
      </c>
      <c r="K298" s="67">
        <f>IFERROR(SUMIF(#REF!,B298,#REF!)*((#REF!-#REF!)/#REF!),0)</f>
        <v>0</v>
      </c>
      <c r="L298" s="68">
        <f t="shared" si="79"/>
        <v>0</v>
      </c>
      <c r="M298" s="67">
        <f>IFERROR(SUMIF(体外式膜型人工肺!$C$30:$C$74,B298,体外式膜型人工肺!$N$30:$N$74)*((体外式膜型人工肺!$H$3-体外式膜型人工肺!$I$3)/体外式膜型人工肺!$H$3),0)</f>
        <v>0</v>
      </c>
      <c r="N298" s="68">
        <f t="shared" si="80"/>
        <v>0</v>
      </c>
      <c r="O298" s="68">
        <f t="shared" si="81"/>
        <v>0</v>
      </c>
      <c r="P298" s="68">
        <f t="shared" si="82"/>
        <v>0</v>
      </c>
      <c r="Q298" s="67">
        <f>IFERROR(SUMIF(紫外線照射装置!$C$30:$C$74,B298,紫外線照射装置!$N$30:$N$74)*((紫外線照射装置!$H$3-紫外線照射装置!$I$3)/紫外線照射装置!$H$3),0)</f>
        <v>0</v>
      </c>
      <c r="R298" s="68">
        <f t="shared" si="83"/>
        <v>0</v>
      </c>
      <c r="S298" s="101">
        <f t="shared" si="84"/>
        <v>0</v>
      </c>
      <c r="T298" s="67">
        <f>IFERROR(SUMIF(超音波画像診断装置!$C$30:$C$74,B298,超音波画像診断装置!$K$30:$K$74)*((超音波画像診断装置!$H$3-超音波画像診断装置!$I$3)/超音波画像診断装置!$H$3),0)</f>
        <v>0</v>
      </c>
      <c r="U298" s="68">
        <f t="shared" si="85"/>
        <v>0</v>
      </c>
      <c r="V298" s="67">
        <f>IFERROR(SUMIF(血液浄化装置!$C$30:$C$74,B298,血液浄化装置!$K$30:$K$74)*((血液浄化装置!$H$3-血液浄化装置!$I$3)/血液浄化装置!$H$3),0)</f>
        <v>0</v>
      </c>
      <c r="W298" s="68">
        <f t="shared" si="86"/>
        <v>0</v>
      </c>
      <c r="X298" s="67">
        <f>IFERROR(SUMIF(気管支鏡!$C$30:$C$74,B298,気管支鏡!$K$30:$K$74)*((気管支鏡!$H$3-気管支鏡!$I$3)/気管支鏡!$H$3),0)</f>
        <v>0</v>
      </c>
      <c r="Y298" s="68">
        <f t="shared" si="72"/>
        <v>0</v>
      </c>
      <c r="Z298" s="67">
        <f>IFERROR(SUMIF(CT撮影装置!$C$30:$C$74,B298,CT撮影装置!$K$30:$K$74)*((CT撮影装置!$H$3-CT撮影装置!$I$3)/CT撮影装置!$H$3),0)</f>
        <v>0</v>
      </c>
      <c r="AA298" s="68">
        <f t="shared" si="87"/>
        <v>0</v>
      </c>
      <c r="AB298" s="67">
        <f>IFERROR(SUMIF(生体情報モニタ!$C$30:$C$74,B298,生体情報モニタ!$K$30:$K$74)*((生体情報モニタ!$H$3-生体情報モニタ!$I$3)/生体情報モニタ!$H$3),0)</f>
        <v>0</v>
      </c>
      <c r="AC298" s="68">
        <f t="shared" si="73"/>
        <v>0</v>
      </c>
      <c r="AD298" s="67">
        <f>IFERROR(SUMIF(分娩監視装置!$C$30:$C$74,B298,分娩監視装置!$K$30:$K$74)*((分娩監視装置!$H$3-分娩監視装置!$I$3)/分娩監視装置!$H$3),0)</f>
        <v>0</v>
      </c>
      <c r="AE298" s="68">
        <f t="shared" si="88"/>
        <v>0</v>
      </c>
      <c r="AF298" s="67">
        <f>IFERROR(SUMIF(新生児モニタ!$C$30:$C$74,B298,新生児モニタ!$K$30:$K$74)*((新生児モニタ!$H$3-新生児モニタ!$I$3)/新生児モニタ!$H$3),0)</f>
        <v>0</v>
      </c>
      <c r="AG298" s="68">
        <f t="shared" si="89"/>
        <v>0</v>
      </c>
    </row>
    <row r="299" spans="2:33">
      <c r="B299" s="64" t="s">
        <v>946</v>
      </c>
      <c r="C299" s="67">
        <f>IFERROR(SUMIF(初度設備!$C$30:$C$74,B299,初度設備!$N$30:$N$74)*((初度設備!$H$3-初度設備!$I$3)/初度設備!$H$3),0)</f>
        <v>0</v>
      </c>
      <c r="D299" s="68">
        <f t="shared" si="74"/>
        <v>0</v>
      </c>
      <c r="E299" s="67">
        <f>IFERROR(SUMIF(人工呼吸器!$C$30:$C$74,B299,人工呼吸器!$N$30:$N$74)*((人工呼吸器!$H$3-人工呼吸器!$I$3)/人工呼吸器!$H$3),0)</f>
        <v>0</v>
      </c>
      <c r="F299" s="68">
        <f t="shared" si="75"/>
        <v>0</v>
      </c>
      <c r="G299" s="68">
        <f t="shared" si="76"/>
        <v>0</v>
      </c>
      <c r="H299" s="68">
        <f t="shared" si="77"/>
        <v>0</v>
      </c>
      <c r="I299" s="67">
        <f>IFERROR(SUMIF(簡易陰圧装置!$C$30:$C$74,B299,簡易陰圧装置!$N$30:$N$74)*((簡易陰圧装置!$H$3-簡易陰圧装置!$I$3)/簡易陰圧装置!$H$3),0)</f>
        <v>0</v>
      </c>
      <c r="J299" s="68">
        <f t="shared" si="78"/>
        <v>0</v>
      </c>
      <c r="K299" s="67">
        <f>IFERROR(SUMIF(#REF!,B299,#REF!)*((#REF!-#REF!)/#REF!),0)</f>
        <v>0</v>
      </c>
      <c r="L299" s="68">
        <f t="shared" si="79"/>
        <v>0</v>
      </c>
      <c r="M299" s="67">
        <f>IFERROR(SUMIF(体外式膜型人工肺!$C$30:$C$74,B299,体外式膜型人工肺!$N$30:$N$74)*((体外式膜型人工肺!$H$3-体外式膜型人工肺!$I$3)/体外式膜型人工肺!$H$3),0)</f>
        <v>0</v>
      </c>
      <c r="N299" s="68">
        <f t="shared" si="80"/>
        <v>0</v>
      </c>
      <c r="O299" s="68">
        <f t="shared" si="81"/>
        <v>0</v>
      </c>
      <c r="P299" s="68">
        <f t="shared" si="82"/>
        <v>0</v>
      </c>
      <c r="Q299" s="67">
        <f>IFERROR(SUMIF(紫外線照射装置!$C$30:$C$74,B299,紫外線照射装置!$N$30:$N$74)*((紫外線照射装置!$H$3-紫外線照射装置!$I$3)/紫外線照射装置!$H$3),0)</f>
        <v>0</v>
      </c>
      <c r="R299" s="68">
        <f t="shared" si="83"/>
        <v>0</v>
      </c>
      <c r="S299" s="101">
        <f t="shared" si="84"/>
        <v>0</v>
      </c>
      <c r="T299" s="67">
        <f>IFERROR(SUMIF(超音波画像診断装置!$C$30:$C$74,B299,超音波画像診断装置!$K$30:$K$74)*((超音波画像診断装置!$H$3-超音波画像診断装置!$I$3)/超音波画像診断装置!$H$3),0)</f>
        <v>0</v>
      </c>
      <c r="U299" s="68">
        <f t="shared" si="85"/>
        <v>0</v>
      </c>
      <c r="V299" s="67">
        <f>IFERROR(SUMIF(血液浄化装置!$C$30:$C$74,B299,血液浄化装置!$K$30:$K$74)*((血液浄化装置!$H$3-血液浄化装置!$I$3)/血液浄化装置!$H$3),0)</f>
        <v>0</v>
      </c>
      <c r="W299" s="68">
        <f t="shared" si="86"/>
        <v>0</v>
      </c>
      <c r="X299" s="67">
        <f>IFERROR(SUMIF(気管支鏡!$C$30:$C$74,B299,気管支鏡!$K$30:$K$74)*((気管支鏡!$H$3-気管支鏡!$I$3)/気管支鏡!$H$3),0)</f>
        <v>0</v>
      </c>
      <c r="Y299" s="68">
        <f t="shared" si="72"/>
        <v>0</v>
      </c>
      <c r="Z299" s="67">
        <f>IFERROR(SUMIF(CT撮影装置!$C$30:$C$74,B299,CT撮影装置!$K$30:$K$74)*((CT撮影装置!$H$3-CT撮影装置!$I$3)/CT撮影装置!$H$3),0)</f>
        <v>0</v>
      </c>
      <c r="AA299" s="68">
        <f t="shared" si="87"/>
        <v>0</v>
      </c>
      <c r="AB299" s="67">
        <f>IFERROR(SUMIF(生体情報モニタ!$C$30:$C$74,B299,生体情報モニタ!$K$30:$K$74)*((生体情報モニタ!$H$3-生体情報モニタ!$I$3)/生体情報モニタ!$H$3),0)</f>
        <v>0</v>
      </c>
      <c r="AC299" s="68">
        <f t="shared" si="73"/>
        <v>0</v>
      </c>
      <c r="AD299" s="67">
        <f>IFERROR(SUMIF(分娩監視装置!$C$30:$C$74,B299,分娩監視装置!$K$30:$K$74)*((分娩監視装置!$H$3-分娩監視装置!$I$3)/分娩監視装置!$H$3),0)</f>
        <v>0</v>
      </c>
      <c r="AE299" s="68">
        <f t="shared" si="88"/>
        <v>0</v>
      </c>
      <c r="AF299" s="67">
        <f>IFERROR(SUMIF(新生児モニタ!$C$30:$C$74,B299,新生児モニタ!$K$30:$K$74)*((新生児モニタ!$H$3-新生児モニタ!$I$3)/新生児モニタ!$H$3),0)</f>
        <v>0</v>
      </c>
      <c r="AG299" s="68">
        <f t="shared" si="89"/>
        <v>0</v>
      </c>
    </row>
    <row r="300" spans="2:33">
      <c r="B300" s="64" t="s">
        <v>947</v>
      </c>
      <c r="C300" s="67">
        <f>IFERROR(SUMIF(初度設備!$C$30:$C$74,B300,初度設備!$N$30:$N$74)*((初度設備!$H$3-初度設備!$I$3)/初度設備!$H$3),0)</f>
        <v>0</v>
      </c>
      <c r="D300" s="68">
        <f t="shared" si="74"/>
        <v>0</v>
      </c>
      <c r="E300" s="67">
        <f>IFERROR(SUMIF(人工呼吸器!$C$30:$C$74,B300,人工呼吸器!$N$30:$N$74)*((人工呼吸器!$H$3-人工呼吸器!$I$3)/人工呼吸器!$H$3),0)</f>
        <v>0</v>
      </c>
      <c r="F300" s="68">
        <f t="shared" si="75"/>
        <v>0</v>
      </c>
      <c r="G300" s="68">
        <f t="shared" si="76"/>
        <v>0</v>
      </c>
      <c r="H300" s="68">
        <f t="shared" si="77"/>
        <v>0</v>
      </c>
      <c r="I300" s="67">
        <f>IFERROR(SUMIF(簡易陰圧装置!$C$30:$C$74,B300,簡易陰圧装置!$N$30:$N$74)*((簡易陰圧装置!$H$3-簡易陰圧装置!$I$3)/簡易陰圧装置!$H$3),0)</f>
        <v>0</v>
      </c>
      <c r="J300" s="68">
        <f t="shared" si="78"/>
        <v>0</v>
      </c>
      <c r="K300" s="67">
        <f>IFERROR(SUMIF(#REF!,B300,#REF!)*((#REF!-#REF!)/#REF!),0)</f>
        <v>0</v>
      </c>
      <c r="L300" s="68">
        <f t="shared" si="79"/>
        <v>0</v>
      </c>
      <c r="M300" s="67">
        <f>IFERROR(SUMIF(体外式膜型人工肺!$C$30:$C$74,B300,体外式膜型人工肺!$N$30:$N$74)*((体外式膜型人工肺!$H$3-体外式膜型人工肺!$I$3)/体外式膜型人工肺!$H$3),0)</f>
        <v>0</v>
      </c>
      <c r="N300" s="68">
        <f t="shared" si="80"/>
        <v>0</v>
      </c>
      <c r="O300" s="68">
        <f t="shared" si="81"/>
        <v>0</v>
      </c>
      <c r="P300" s="68">
        <f t="shared" si="82"/>
        <v>0</v>
      </c>
      <c r="Q300" s="67">
        <f>IFERROR(SUMIF(紫外線照射装置!$C$30:$C$74,B300,紫外線照射装置!$N$30:$N$74)*((紫外線照射装置!$H$3-紫外線照射装置!$I$3)/紫外線照射装置!$H$3),0)</f>
        <v>0</v>
      </c>
      <c r="R300" s="68">
        <f t="shared" si="83"/>
        <v>0</v>
      </c>
      <c r="S300" s="101">
        <f t="shared" si="84"/>
        <v>0</v>
      </c>
      <c r="T300" s="67">
        <f>IFERROR(SUMIF(超音波画像診断装置!$C$30:$C$74,B300,超音波画像診断装置!$K$30:$K$74)*((超音波画像診断装置!$H$3-超音波画像診断装置!$I$3)/超音波画像診断装置!$H$3),0)</f>
        <v>0</v>
      </c>
      <c r="U300" s="68">
        <f t="shared" si="85"/>
        <v>0</v>
      </c>
      <c r="V300" s="67">
        <f>IFERROR(SUMIF(血液浄化装置!$C$30:$C$74,B300,血液浄化装置!$K$30:$K$74)*((血液浄化装置!$H$3-血液浄化装置!$I$3)/血液浄化装置!$H$3),0)</f>
        <v>0</v>
      </c>
      <c r="W300" s="68">
        <f t="shared" si="86"/>
        <v>0</v>
      </c>
      <c r="X300" s="67">
        <f>IFERROR(SUMIF(気管支鏡!$C$30:$C$74,B300,気管支鏡!$K$30:$K$74)*((気管支鏡!$H$3-気管支鏡!$I$3)/気管支鏡!$H$3),0)</f>
        <v>0</v>
      </c>
      <c r="Y300" s="68">
        <f t="shared" si="72"/>
        <v>0</v>
      </c>
      <c r="Z300" s="67">
        <f>IFERROR(SUMIF(CT撮影装置!$C$30:$C$74,B300,CT撮影装置!$K$30:$K$74)*((CT撮影装置!$H$3-CT撮影装置!$I$3)/CT撮影装置!$H$3),0)</f>
        <v>0</v>
      </c>
      <c r="AA300" s="68">
        <f t="shared" si="87"/>
        <v>0</v>
      </c>
      <c r="AB300" s="67">
        <f>IFERROR(SUMIF(生体情報モニタ!$C$30:$C$74,B300,生体情報モニタ!$K$30:$K$74)*((生体情報モニタ!$H$3-生体情報モニタ!$I$3)/生体情報モニタ!$H$3),0)</f>
        <v>0</v>
      </c>
      <c r="AC300" s="68">
        <f t="shared" si="73"/>
        <v>0</v>
      </c>
      <c r="AD300" s="67">
        <f>IFERROR(SUMIF(分娩監視装置!$C$30:$C$74,B300,分娩監視装置!$K$30:$K$74)*((分娩監視装置!$H$3-分娩監視装置!$I$3)/分娩監視装置!$H$3),0)</f>
        <v>0</v>
      </c>
      <c r="AE300" s="68">
        <f t="shared" si="88"/>
        <v>0</v>
      </c>
      <c r="AF300" s="67">
        <f>IFERROR(SUMIF(新生児モニタ!$C$30:$C$74,B300,新生児モニタ!$K$30:$K$74)*((新生児モニタ!$H$3-新生児モニタ!$I$3)/新生児モニタ!$H$3),0)</f>
        <v>0</v>
      </c>
      <c r="AG300" s="68">
        <f t="shared" si="89"/>
        <v>0</v>
      </c>
    </row>
    <row r="301" spans="2:33">
      <c r="B301" s="64" t="s">
        <v>948</v>
      </c>
      <c r="C301" s="67">
        <f>IFERROR(SUMIF(初度設備!$C$30:$C$74,B301,初度設備!$N$30:$N$74)*((初度設備!$H$3-初度設備!$I$3)/初度設備!$H$3),0)</f>
        <v>0</v>
      </c>
      <c r="D301" s="68">
        <f t="shared" si="74"/>
        <v>0</v>
      </c>
      <c r="E301" s="67">
        <f>IFERROR(SUMIF(人工呼吸器!$C$30:$C$74,B301,人工呼吸器!$N$30:$N$74)*((人工呼吸器!$H$3-人工呼吸器!$I$3)/人工呼吸器!$H$3),0)</f>
        <v>0</v>
      </c>
      <c r="F301" s="68">
        <f t="shared" si="75"/>
        <v>0</v>
      </c>
      <c r="G301" s="68">
        <f t="shared" si="76"/>
        <v>0</v>
      </c>
      <c r="H301" s="68">
        <f t="shared" si="77"/>
        <v>0</v>
      </c>
      <c r="I301" s="67">
        <f>IFERROR(SUMIF(簡易陰圧装置!$C$30:$C$74,B301,簡易陰圧装置!$N$30:$N$74)*((簡易陰圧装置!$H$3-簡易陰圧装置!$I$3)/簡易陰圧装置!$H$3),0)</f>
        <v>0</v>
      </c>
      <c r="J301" s="68">
        <f t="shared" si="78"/>
        <v>0</v>
      </c>
      <c r="K301" s="67">
        <f>IFERROR(SUMIF(#REF!,B301,#REF!)*((#REF!-#REF!)/#REF!),0)</f>
        <v>0</v>
      </c>
      <c r="L301" s="68">
        <f t="shared" si="79"/>
        <v>0</v>
      </c>
      <c r="M301" s="67">
        <f>IFERROR(SUMIF(体外式膜型人工肺!$C$30:$C$74,B301,体外式膜型人工肺!$N$30:$N$74)*((体外式膜型人工肺!$H$3-体外式膜型人工肺!$I$3)/体外式膜型人工肺!$H$3),0)</f>
        <v>0</v>
      </c>
      <c r="N301" s="68">
        <f t="shared" si="80"/>
        <v>0</v>
      </c>
      <c r="O301" s="68">
        <f t="shared" si="81"/>
        <v>0</v>
      </c>
      <c r="P301" s="68">
        <f t="shared" si="82"/>
        <v>0</v>
      </c>
      <c r="Q301" s="67">
        <f>IFERROR(SUMIF(紫外線照射装置!$C$30:$C$74,B301,紫外線照射装置!$N$30:$N$74)*((紫外線照射装置!$H$3-紫外線照射装置!$I$3)/紫外線照射装置!$H$3),0)</f>
        <v>0</v>
      </c>
      <c r="R301" s="68">
        <f t="shared" si="83"/>
        <v>0</v>
      </c>
      <c r="S301" s="101">
        <f t="shared" si="84"/>
        <v>0</v>
      </c>
      <c r="T301" s="67">
        <f>IFERROR(SUMIF(超音波画像診断装置!$C$30:$C$74,B301,超音波画像診断装置!$K$30:$K$74)*((超音波画像診断装置!$H$3-超音波画像診断装置!$I$3)/超音波画像診断装置!$H$3),0)</f>
        <v>0</v>
      </c>
      <c r="U301" s="68">
        <f t="shared" si="85"/>
        <v>0</v>
      </c>
      <c r="V301" s="67">
        <f>IFERROR(SUMIF(血液浄化装置!$C$30:$C$74,B301,血液浄化装置!$K$30:$K$74)*((血液浄化装置!$H$3-血液浄化装置!$I$3)/血液浄化装置!$H$3),0)</f>
        <v>0</v>
      </c>
      <c r="W301" s="68">
        <f t="shared" si="86"/>
        <v>0</v>
      </c>
      <c r="X301" s="67">
        <f>IFERROR(SUMIF(気管支鏡!$C$30:$C$74,B301,気管支鏡!$K$30:$K$74)*((気管支鏡!$H$3-気管支鏡!$I$3)/気管支鏡!$H$3),0)</f>
        <v>0</v>
      </c>
      <c r="Y301" s="68">
        <f t="shared" si="72"/>
        <v>0</v>
      </c>
      <c r="Z301" s="67">
        <f>IFERROR(SUMIF(CT撮影装置!$C$30:$C$74,B301,CT撮影装置!$K$30:$K$74)*((CT撮影装置!$H$3-CT撮影装置!$I$3)/CT撮影装置!$H$3),0)</f>
        <v>0</v>
      </c>
      <c r="AA301" s="68">
        <f t="shared" si="87"/>
        <v>0</v>
      </c>
      <c r="AB301" s="67">
        <f>IFERROR(SUMIF(生体情報モニタ!$C$30:$C$74,B301,生体情報モニタ!$K$30:$K$74)*((生体情報モニタ!$H$3-生体情報モニタ!$I$3)/生体情報モニタ!$H$3),0)</f>
        <v>0</v>
      </c>
      <c r="AC301" s="68">
        <f t="shared" si="73"/>
        <v>0</v>
      </c>
      <c r="AD301" s="67">
        <f>IFERROR(SUMIF(分娩監視装置!$C$30:$C$74,B301,分娩監視装置!$K$30:$K$74)*((分娩監視装置!$H$3-分娩監視装置!$I$3)/分娩監視装置!$H$3),0)</f>
        <v>0</v>
      </c>
      <c r="AE301" s="68">
        <f t="shared" si="88"/>
        <v>0</v>
      </c>
      <c r="AF301" s="67">
        <f>IFERROR(SUMIF(新生児モニタ!$C$30:$C$74,B301,新生児モニタ!$K$30:$K$74)*((新生児モニタ!$H$3-新生児モニタ!$I$3)/新生児モニタ!$H$3),0)</f>
        <v>0</v>
      </c>
      <c r="AG301" s="68">
        <f t="shared" si="89"/>
        <v>0</v>
      </c>
    </row>
    <row r="302" spans="2:33">
      <c r="B302" s="64" t="s">
        <v>949</v>
      </c>
      <c r="C302" s="67">
        <f>IFERROR(SUMIF(初度設備!$C$30:$C$74,B302,初度設備!$N$30:$N$74)*((初度設備!$H$3-初度設備!$I$3)/初度設備!$H$3),0)</f>
        <v>0</v>
      </c>
      <c r="D302" s="68">
        <f t="shared" si="74"/>
        <v>0</v>
      </c>
      <c r="E302" s="67">
        <f>IFERROR(SUMIF(人工呼吸器!$C$30:$C$74,B302,人工呼吸器!$N$30:$N$74)*((人工呼吸器!$H$3-人工呼吸器!$I$3)/人工呼吸器!$H$3),0)</f>
        <v>0</v>
      </c>
      <c r="F302" s="68">
        <f t="shared" si="75"/>
        <v>0</v>
      </c>
      <c r="G302" s="68">
        <f t="shared" si="76"/>
        <v>0</v>
      </c>
      <c r="H302" s="68">
        <f t="shared" si="77"/>
        <v>0</v>
      </c>
      <c r="I302" s="67">
        <f>IFERROR(SUMIF(簡易陰圧装置!$C$30:$C$74,B302,簡易陰圧装置!$N$30:$N$74)*((簡易陰圧装置!$H$3-簡易陰圧装置!$I$3)/簡易陰圧装置!$H$3),0)</f>
        <v>0</v>
      </c>
      <c r="J302" s="68">
        <f t="shared" si="78"/>
        <v>0</v>
      </c>
      <c r="K302" s="67">
        <f>IFERROR(SUMIF(#REF!,B302,#REF!)*((#REF!-#REF!)/#REF!),0)</f>
        <v>0</v>
      </c>
      <c r="L302" s="68">
        <f t="shared" si="79"/>
        <v>0</v>
      </c>
      <c r="M302" s="67">
        <f>IFERROR(SUMIF(体外式膜型人工肺!$C$30:$C$74,B302,体外式膜型人工肺!$N$30:$N$74)*((体外式膜型人工肺!$H$3-体外式膜型人工肺!$I$3)/体外式膜型人工肺!$H$3),0)</f>
        <v>0</v>
      </c>
      <c r="N302" s="68">
        <f t="shared" si="80"/>
        <v>0</v>
      </c>
      <c r="O302" s="68">
        <f t="shared" si="81"/>
        <v>0</v>
      </c>
      <c r="P302" s="68">
        <f t="shared" si="82"/>
        <v>0</v>
      </c>
      <c r="Q302" s="67">
        <f>IFERROR(SUMIF(紫外線照射装置!$C$30:$C$74,B302,紫外線照射装置!$N$30:$N$74)*((紫外線照射装置!$H$3-紫外線照射装置!$I$3)/紫外線照射装置!$H$3),0)</f>
        <v>0</v>
      </c>
      <c r="R302" s="68">
        <f t="shared" si="83"/>
        <v>0</v>
      </c>
      <c r="S302" s="101">
        <f t="shared" si="84"/>
        <v>0</v>
      </c>
      <c r="T302" s="67">
        <f>IFERROR(SUMIF(超音波画像診断装置!$C$30:$C$74,B302,超音波画像診断装置!$K$30:$K$74)*((超音波画像診断装置!$H$3-超音波画像診断装置!$I$3)/超音波画像診断装置!$H$3),0)</f>
        <v>0</v>
      </c>
      <c r="U302" s="68">
        <f t="shared" si="85"/>
        <v>0</v>
      </c>
      <c r="V302" s="67">
        <f>IFERROR(SUMIF(血液浄化装置!$C$30:$C$74,B302,血液浄化装置!$K$30:$K$74)*((血液浄化装置!$H$3-血液浄化装置!$I$3)/血液浄化装置!$H$3),0)</f>
        <v>0</v>
      </c>
      <c r="W302" s="68">
        <f t="shared" si="86"/>
        <v>0</v>
      </c>
      <c r="X302" s="67">
        <f>IFERROR(SUMIF(気管支鏡!$C$30:$C$74,B302,気管支鏡!$K$30:$K$74)*((気管支鏡!$H$3-気管支鏡!$I$3)/気管支鏡!$H$3),0)</f>
        <v>0</v>
      </c>
      <c r="Y302" s="68">
        <f t="shared" si="72"/>
        <v>0</v>
      </c>
      <c r="Z302" s="67">
        <f>IFERROR(SUMIF(CT撮影装置!$C$30:$C$74,B302,CT撮影装置!$K$30:$K$74)*((CT撮影装置!$H$3-CT撮影装置!$I$3)/CT撮影装置!$H$3),0)</f>
        <v>0</v>
      </c>
      <c r="AA302" s="68">
        <f t="shared" si="87"/>
        <v>0</v>
      </c>
      <c r="AB302" s="67">
        <f>IFERROR(SUMIF(生体情報モニタ!$C$30:$C$74,B302,生体情報モニタ!$K$30:$K$74)*((生体情報モニタ!$H$3-生体情報モニタ!$I$3)/生体情報モニタ!$H$3),0)</f>
        <v>0</v>
      </c>
      <c r="AC302" s="68">
        <f t="shared" si="73"/>
        <v>0</v>
      </c>
      <c r="AD302" s="67">
        <f>IFERROR(SUMIF(分娩監視装置!$C$30:$C$74,B302,分娩監視装置!$K$30:$K$74)*((分娩監視装置!$H$3-分娩監視装置!$I$3)/分娩監視装置!$H$3),0)</f>
        <v>0</v>
      </c>
      <c r="AE302" s="68">
        <f t="shared" si="88"/>
        <v>0</v>
      </c>
      <c r="AF302" s="67">
        <f>IFERROR(SUMIF(新生児モニタ!$C$30:$C$74,B302,新生児モニタ!$K$30:$K$74)*((新生児モニタ!$H$3-新生児モニタ!$I$3)/新生児モニタ!$H$3),0)</f>
        <v>0</v>
      </c>
      <c r="AG302" s="68">
        <f t="shared" si="89"/>
        <v>0</v>
      </c>
    </row>
    <row r="303" spans="2:33">
      <c r="B303" s="64" t="s">
        <v>950</v>
      </c>
      <c r="C303" s="67">
        <f>IFERROR(SUMIF(初度設備!$C$30:$C$74,B303,初度設備!$N$30:$N$74)*((初度設備!$H$3-初度設備!$I$3)/初度設備!$H$3),0)</f>
        <v>0</v>
      </c>
      <c r="D303" s="68">
        <f t="shared" si="74"/>
        <v>0</v>
      </c>
      <c r="E303" s="67">
        <f>IFERROR(SUMIF(人工呼吸器!$C$30:$C$74,B303,人工呼吸器!$N$30:$N$74)*((人工呼吸器!$H$3-人工呼吸器!$I$3)/人工呼吸器!$H$3),0)</f>
        <v>0</v>
      </c>
      <c r="F303" s="68">
        <f t="shared" si="75"/>
        <v>0</v>
      </c>
      <c r="G303" s="68">
        <f t="shared" si="76"/>
        <v>0</v>
      </c>
      <c r="H303" s="68">
        <f t="shared" si="77"/>
        <v>0</v>
      </c>
      <c r="I303" s="67">
        <f>IFERROR(SUMIF(簡易陰圧装置!$C$30:$C$74,B303,簡易陰圧装置!$N$30:$N$74)*((簡易陰圧装置!$H$3-簡易陰圧装置!$I$3)/簡易陰圧装置!$H$3),0)</f>
        <v>0</v>
      </c>
      <c r="J303" s="68">
        <f t="shared" si="78"/>
        <v>0</v>
      </c>
      <c r="K303" s="67">
        <f>IFERROR(SUMIF(#REF!,B303,#REF!)*((#REF!-#REF!)/#REF!),0)</f>
        <v>0</v>
      </c>
      <c r="L303" s="68">
        <f t="shared" si="79"/>
        <v>0</v>
      </c>
      <c r="M303" s="67">
        <f>IFERROR(SUMIF(体外式膜型人工肺!$C$30:$C$74,B303,体外式膜型人工肺!$N$30:$N$74)*((体外式膜型人工肺!$H$3-体外式膜型人工肺!$I$3)/体外式膜型人工肺!$H$3),0)</f>
        <v>0</v>
      </c>
      <c r="N303" s="68">
        <f t="shared" si="80"/>
        <v>0</v>
      </c>
      <c r="O303" s="68">
        <f t="shared" si="81"/>
        <v>0</v>
      </c>
      <c r="P303" s="68">
        <f t="shared" si="82"/>
        <v>0</v>
      </c>
      <c r="Q303" s="67">
        <f>IFERROR(SUMIF(紫外線照射装置!$C$30:$C$74,B303,紫外線照射装置!$N$30:$N$74)*((紫外線照射装置!$H$3-紫外線照射装置!$I$3)/紫外線照射装置!$H$3),0)</f>
        <v>0</v>
      </c>
      <c r="R303" s="68">
        <f t="shared" si="83"/>
        <v>0</v>
      </c>
      <c r="S303" s="101">
        <f t="shared" si="84"/>
        <v>0</v>
      </c>
      <c r="T303" s="67">
        <f>IFERROR(SUMIF(超音波画像診断装置!$C$30:$C$74,B303,超音波画像診断装置!$K$30:$K$74)*((超音波画像診断装置!$H$3-超音波画像診断装置!$I$3)/超音波画像診断装置!$H$3),0)</f>
        <v>0</v>
      </c>
      <c r="U303" s="68">
        <f t="shared" si="85"/>
        <v>0</v>
      </c>
      <c r="V303" s="67">
        <f>IFERROR(SUMIF(血液浄化装置!$C$30:$C$74,B303,血液浄化装置!$K$30:$K$74)*((血液浄化装置!$H$3-血液浄化装置!$I$3)/血液浄化装置!$H$3),0)</f>
        <v>0</v>
      </c>
      <c r="W303" s="68">
        <f t="shared" si="86"/>
        <v>0</v>
      </c>
      <c r="X303" s="67">
        <f>IFERROR(SUMIF(気管支鏡!$C$30:$C$74,B303,気管支鏡!$K$30:$K$74)*((気管支鏡!$H$3-気管支鏡!$I$3)/気管支鏡!$H$3),0)</f>
        <v>0</v>
      </c>
      <c r="Y303" s="68">
        <f t="shared" si="72"/>
        <v>0</v>
      </c>
      <c r="Z303" s="67">
        <f>IFERROR(SUMIF(CT撮影装置!$C$30:$C$74,B303,CT撮影装置!$K$30:$K$74)*((CT撮影装置!$H$3-CT撮影装置!$I$3)/CT撮影装置!$H$3),0)</f>
        <v>0</v>
      </c>
      <c r="AA303" s="68">
        <f t="shared" si="87"/>
        <v>0</v>
      </c>
      <c r="AB303" s="67">
        <f>IFERROR(SUMIF(生体情報モニタ!$C$30:$C$74,B303,生体情報モニタ!$K$30:$K$74)*((生体情報モニタ!$H$3-生体情報モニタ!$I$3)/生体情報モニタ!$H$3),0)</f>
        <v>0</v>
      </c>
      <c r="AC303" s="68">
        <f t="shared" si="73"/>
        <v>0</v>
      </c>
      <c r="AD303" s="67">
        <f>IFERROR(SUMIF(分娩監視装置!$C$30:$C$74,B303,分娩監視装置!$K$30:$K$74)*((分娩監視装置!$H$3-分娩監視装置!$I$3)/分娩監視装置!$H$3),0)</f>
        <v>0</v>
      </c>
      <c r="AE303" s="68">
        <f t="shared" si="88"/>
        <v>0</v>
      </c>
      <c r="AF303" s="67">
        <f>IFERROR(SUMIF(新生児モニタ!$C$30:$C$74,B303,新生児モニタ!$K$30:$K$74)*((新生児モニタ!$H$3-新生児モニタ!$I$3)/新生児モニタ!$H$3),0)</f>
        <v>0</v>
      </c>
      <c r="AG303" s="68">
        <f t="shared" si="89"/>
        <v>0</v>
      </c>
    </row>
    <row r="304" spans="2:33">
      <c r="B304" s="64" t="s">
        <v>951</v>
      </c>
      <c r="C304" s="67">
        <f>IFERROR(SUMIF(初度設備!$C$30:$C$74,B304,初度設備!$N$30:$N$74)*((初度設備!$H$3-初度設備!$I$3)/初度設備!$H$3),0)</f>
        <v>0</v>
      </c>
      <c r="D304" s="68">
        <f t="shared" si="74"/>
        <v>0</v>
      </c>
      <c r="E304" s="67">
        <f>IFERROR(SUMIF(人工呼吸器!$C$30:$C$74,B304,人工呼吸器!$N$30:$N$74)*((人工呼吸器!$H$3-人工呼吸器!$I$3)/人工呼吸器!$H$3),0)</f>
        <v>0</v>
      </c>
      <c r="F304" s="68">
        <f t="shared" si="75"/>
        <v>0</v>
      </c>
      <c r="G304" s="68">
        <f t="shared" si="76"/>
        <v>0</v>
      </c>
      <c r="H304" s="68">
        <f t="shared" si="77"/>
        <v>0</v>
      </c>
      <c r="I304" s="67">
        <f>IFERROR(SUMIF(簡易陰圧装置!$C$30:$C$74,B304,簡易陰圧装置!$N$30:$N$74)*((簡易陰圧装置!$H$3-簡易陰圧装置!$I$3)/簡易陰圧装置!$H$3),0)</f>
        <v>0</v>
      </c>
      <c r="J304" s="68">
        <f t="shared" si="78"/>
        <v>0</v>
      </c>
      <c r="K304" s="67">
        <f>IFERROR(SUMIF(#REF!,B304,#REF!)*((#REF!-#REF!)/#REF!),0)</f>
        <v>0</v>
      </c>
      <c r="L304" s="68">
        <f t="shared" si="79"/>
        <v>0</v>
      </c>
      <c r="M304" s="67">
        <f>IFERROR(SUMIF(体外式膜型人工肺!$C$30:$C$74,B304,体外式膜型人工肺!$N$30:$N$74)*((体外式膜型人工肺!$H$3-体外式膜型人工肺!$I$3)/体外式膜型人工肺!$H$3),0)</f>
        <v>0</v>
      </c>
      <c r="N304" s="68">
        <f t="shared" si="80"/>
        <v>0</v>
      </c>
      <c r="O304" s="68">
        <f t="shared" si="81"/>
        <v>0</v>
      </c>
      <c r="P304" s="68">
        <f t="shared" si="82"/>
        <v>0</v>
      </c>
      <c r="Q304" s="67">
        <f>IFERROR(SUMIF(紫外線照射装置!$C$30:$C$74,B304,紫外線照射装置!$N$30:$N$74)*((紫外線照射装置!$H$3-紫外線照射装置!$I$3)/紫外線照射装置!$H$3),0)</f>
        <v>0</v>
      </c>
      <c r="R304" s="68">
        <f t="shared" si="83"/>
        <v>0</v>
      </c>
      <c r="S304" s="101">
        <f t="shared" si="84"/>
        <v>0</v>
      </c>
      <c r="T304" s="67">
        <f>IFERROR(SUMIF(超音波画像診断装置!$C$30:$C$74,B304,超音波画像診断装置!$K$30:$K$74)*((超音波画像診断装置!$H$3-超音波画像診断装置!$I$3)/超音波画像診断装置!$H$3),0)</f>
        <v>0</v>
      </c>
      <c r="U304" s="68">
        <f t="shared" si="85"/>
        <v>0</v>
      </c>
      <c r="V304" s="67">
        <f>IFERROR(SUMIF(血液浄化装置!$C$30:$C$74,B304,血液浄化装置!$K$30:$K$74)*((血液浄化装置!$H$3-血液浄化装置!$I$3)/血液浄化装置!$H$3),0)</f>
        <v>0</v>
      </c>
      <c r="W304" s="68">
        <f t="shared" si="86"/>
        <v>0</v>
      </c>
      <c r="X304" s="67">
        <f>IFERROR(SUMIF(気管支鏡!$C$30:$C$74,B304,気管支鏡!$K$30:$K$74)*((気管支鏡!$H$3-気管支鏡!$I$3)/気管支鏡!$H$3),0)</f>
        <v>0</v>
      </c>
      <c r="Y304" s="68">
        <f t="shared" si="72"/>
        <v>0</v>
      </c>
      <c r="Z304" s="67">
        <f>IFERROR(SUMIF(CT撮影装置!$C$30:$C$74,B304,CT撮影装置!$K$30:$K$74)*((CT撮影装置!$H$3-CT撮影装置!$I$3)/CT撮影装置!$H$3),0)</f>
        <v>0</v>
      </c>
      <c r="AA304" s="68">
        <f t="shared" si="87"/>
        <v>0</v>
      </c>
      <c r="AB304" s="67">
        <f>IFERROR(SUMIF(生体情報モニタ!$C$30:$C$74,B304,生体情報モニタ!$K$30:$K$74)*((生体情報モニタ!$H$3-生体情報モニタ!$I$3)/生体情報モニタ!$H$3),0)</f>
        <v>0</v>
      </c>
      <c r="AC304" s="68">
        <f t="shared" si="73"/>
        <v>0</v>
      </c>
      <c r="AD304" s="67">
        <f>IFERROR(SUMIF(分娩監視装置!$C$30:$C$74,B304,分娩監視装置!$K$30:$K$74)*((分娩監視装置!$H$3-分娩監視装置!$I$3)/分娩監視装置!$H$3),0)</f>
        <v>0</v>
      </c>
      <c r="AE304" s="68">
        <f t="shared" si="88"/>
        <v>0</v>
      </c>
      <c r="AF304" s="67">
        <f>IFERROR(SUMIF(新生児モニタ!$C$30:$C$74,B304,新生児モニタ!$K$30:$K$74)*((新生児モニタ!$H$3-新生児モニタ!$I$3)/新生児モニタ!$H$3),0)</f>
        <v>0</v>
      </c>
      <c r="AG304" s="68">
        <f t="shared" si="89"/>
        <v>0</v>
      </c>
    </row>
    <row r="305" spans="2:33">
      <c r="B305" s="64" t="s">
        <v>952</v>
      </c>
      <c r="C305" s="67">
        <f>IFERROR(SUMIF(初度設備!$C$30:$C$74,B305,初度設備!$N$30:$N$74)*((初度設備!$H$3-初度設備!$I$3)/初度設備!$H$3),0)</f>
        <v>0</v>
      </c>
      <c r="D305" s="68">
        <f t="shared" si="74"/>
        <v>0</v>
      </c>
      <c r="E305" s="67">
        <f>IFERROR(SUMIF(人工呼吸器!$C$30:$C$74,B305,人工呼吸器!$N$30:$N$74)*((人工呼吸器!$H$3-人工呼吸器!$I$3)/人工呼吸器!$H$3),0)</f>
        <v>0</v>
      </c>
      <c r="F305" s="68">
        <f t="shared" si="75"/>
        <v>0</v>
      </c>
      <c r="G305" s="68">
        <f t="shared" si="76"/>
        <v>0</v>
      </c>
      <c r="H305" s="68">
        <f t="shared" si="77"/>
        <v>0</v>
      </c>
      <c r="I305" s="67">
        <f>IFERROR(SUMIF(簡易陰圧装置!$C$30:$C$74,B305,簡易陰圧装置!$N$30:$N$74)*((簡易陰圧装置!$H$3-簡易陰圧装置!$I$3)/簡易陰圧装置!$H$3),0)</f>
        <v>0</v>
      </c>
      <c r="J305" s="68">
        <f t="shared" si="78"/>
        <v>0</v>
      </c>
      <c r="K305" s="67">
        <f>IFERROR(SUMIF(#REF!,B305,#REF!)*((#REF!-#REF!)/#REF!),0)</f>
        <v>0</v>
      </c>
      <c r="L305" s="68">
        <f t="shared" si="79"/>
        <v>0</v>
      </c>
      <c r="M305" s="67">
        <f>IFERROR(SUMIF(体外式膜型人工肺!$C$30:$C$74,B305,体外式膜型人工肺!$N$30:$N$74)*((体外式膜型人工肺!$H$3-体外式膜型人工肺!$I$3)/体外式膜型人工肺!$H$3),0)</f>
        <v>0</v>
      </c>
      <c r="N305" s="68">
        <f t="shared" si="80"/>
        <v>0</v>
      </c>
      <c r="O305" s="68">
        <f t="shared" si="81"/>
        <v>0</v>
      </c>
      <c r="P305" s="68">
        <f t="shared" si="82"/>
        <v>0</v>
      </c>
      <c r="Q305" s="67">
        <f>IFERROR(SUMIF(紫外線照射装置!$C$30:$C$74,B305,紫外線照射装置!$N$30:$N$74)*((紫外線照射装置!$H$3-紫外線照射装置!$I$3)/紫外線照射装置!$H$3),0)</f>
        <v>0</v>
      </c>
      <c r="R305" s="68">
        <f t="shared" si="83"/>
        <v>0</v>
      </c>
      <c r="S305" s="101">
        <f t="shared" si="84"/>
        <v>0</v>
      </c>
      <c r="T305" s="67">
        <f>IFERROR(SUMIF(超音波画像診断装置!$C$30:$C$74,B305,超音波画像診断装置!$K$30:$K$74)*((超音波画像診断装置!$H$3-超音波画像診断装置!$I$3)/超音波画像診断装置!$H$3),0)</f>
        <v>0</v>
      </c>
      <c r="U305" s="68">
        <f t="shared" si="85"/>
        <v>0</v>
      </c>
      <c r="V305" s="67">
        <f>IFERROR(SUMIF(血液浄化装置!$C$30:$C$74,B305,血液浄化装置!$K$30:$K$74)*((血液浄化装置!$H$3-血液浄化装置!$I$3)/血液浄化装置!$H$3),0)</f>
        <v>0</v>
      </c>
      <c r="W305" s="68">
        <f t="shared" si="86"/>
        <v>0</v>
      </c>
      <c r="X305" s="67">
        <f>IFERROR(SUMIF(気管支鏡!$C$30:$C$74,B305,気管支鏡!$K$30:$K$74)*((気管支鏡!$H$3-気管支鏡!$I$3)/気管支鏡!$H$3),0)</f>
        <v>0</v>
      </c>
      <c r="Y305" s="68">
        <f t="shared" si="72"/>
        <v>0</v>
      </c>
      <c r="Z305" s="67">
        <f>IFERROR(SUMIF(CT撮影装置!$C$30:$C$74,B305,CT撮影装置!$K$30:$K$74)*((CT撮影装置!$H$3-CT撮影装置!$I$3)/CT撮影装置!$H$3),0)</f>
        <v>0</v>
      </c>
      <c r="AA305" s="68">
        <f t="shared" si="87"/>
        <v>0</v>
      </c>
      <c r="AB305" s="67">
        <f>IFERROR(SUMIF(生体情報モニタ!$C$30:$C$74,B305,生体情報モニタ!$K$30:$K$74)*((生体情報モニタ!$H$3-生体情報モニタ!$I$3)/生体情報モニタ!$H$3),0)</f>
        <v>0</v>
      </c>
      <c r="AC305" s="68">
        <f t="shared" si="73"/>
        <v>0</v>
      </c>
      <c r="AD305" s="67">
        <f>IFERROR(SUMIF(分娩監視装置!$C$30:$C$74,B305,分娩監視装置!$K$30:$K$74)*((分娩監視装置!$H$3-分娩監視装置!$I$3)/分娩監視装置!$H$3),0)</f>
        <v>0</v>
      </c>
      <c r="AE305" s="68">
        <f t="shared" si="88"/>
        <v>0</v>
      </c>
      <c r="AF305" s="67">
        <f>IFERROR(SUMIF(新生児モニタ!$C$30:$C$74,B305,新生児モニタ!$K$30:$K$74)*((新生児モニタ!$H$3-新生児モニタ!$I$3)/新生児モニタ!$H$3),0)</f>
        <v>0</v>
      </c>
      <c r="AG305" s="68">
        <f t="shared" si="89"/>
        <v>0</v>
      </c>
    </row>
    <row r="306" spans="2:33">
      <c r="B306" s="64" t="s">
        <v>953</v>
      </c>
      <c r="C306" s="67">
        <f>IFERROR(SUMIF(初度設備!$C$30:$C$74,B306,初度設備!$N$30:$N$74)*((初度設備!$H$3-初度設備!$I$3)/初度設備!$H$3),0)</f>
        <v>0</v>
      </c>
      <c r="D306" s="68">
        <f t="shared" si="74"/>
        <v>0</v>
      </c>
      <c r="E306" s="67">
        <f>IFERROR(SUMIF(人工呼吸器!$C$30:$C$74,B306,人工呼吸器!$N$30:$N$74)*((人工呼吸器!$H$3-人工呼吸器!$I$3)/人工呼吸器!$H$3),0)</f>
        <v>0</v>
      </c>
      <c r="F306" s="68">
        <f t="shared" si="75"/>
        <v>0</v>
      </c>
      <c r="G306" s="68">
        <f t="shared" si="76"/>
        <v>0</v>
      </c>
      <c r="H306" s="68">
        <f t="shared" si="77"/>
        <v>0</v>
      </c>
      <c r="I306" s="67">
        <f>IFERROR(SUMIF(簡易陰圧装置!$C$30:$C$74,B306,簡易陰圧装置!$N$30:$N$74)*((簡易陰圧装置!$H$3-簡易陰圧装置!$I$3)/簡易陰圧装置!$H$3),0)</f>
        <v>0</v>
      </c>
      <c r="J306" s="68">
        <f t="shared" si="78"/>
        <v>0</v>
      </c>
      <c r="K306" s="67">
        <f>IFERROR(SUMIF(#REF!,B306,#REF!)*((#REF!-#REF!)/#REF!),0)</f>
        <v>0</v>
      </c>
      <c r="L306" s="68">
        <f t="shared" si="79"/>
        <v>0</v>
      </c>
      <c r="M306" s="67">
        <f>IFERROR(SUMIF(体外式膜型人工肺!$C$30:$C$74,B306,体外式膜型人工肺!$N$30:$N$74)*((体外式膜型人工肺!$H$3-体外式膜型人工肺!$I$3)/体外式膜型人工肺!$H$3),0)</f>
        <v>0</v>
      </c>
      <c r="N306" s="68">
        <f t="shared" si="80"/>
        <v>0</v>
      </c>
      <c r="O306" s="68">
        <f t="shared" si="81"/>
        <v>0</v>
      </c>
      <c r="P306" s="68">
        <f t="shared" si="82"/>
        <v>0</v>
      </c>
      <c r="Q306" s="67">
        <f>IFERROR(SUMIF(紫外線照射装置!$C$30:$C$74,B306,紫外線照射装置!$N$30:$N$74)*((紫外線照射装置!$H$3-紫外線照射装置!$I$3)/紫外線照射装置!$H$3),0)</f>
        <v>0</v>
      </c>
      <c r="R306" s="68">
        <f t="shared" si="83"/>
        <v>0</v>
      </c>
      <c r="S306" s="101">
        <f t="shared" si="84"/>
        <v>0</v>
      </c>
      <c r="T306" s="67">
        <f>IFERROR(SUMIF(超音波画像診断装置!$C$30:$C$74,B306,超音波画像診断装置!$K$30:$K$74)*((超音波画像診断装置!$H$3-超音波画像診断装置!$I$3)/超音波画像診断装置!$H$3),0)</f>
        <v>0</v>
      </c>
      <c r="U306" s="68">
        <f t="shared" si="85"/>
        <v>0</v>
      </c>
      <c r="V306" s="67">
        <f>IFERROR(SUMIF(血液浄化装置!$C$30:$C$74,B306,血液浄化装置!$K$30:$K$74)*((血液浄化装置!$H$3-血液浄化装置!$I$3)/血液浄化装置!$H$3),0)</f>
        <v>0</v>
      </c>
      <c r="W306" s="68">
        <f t="shared" si="86"/>
        <v>0</v>
      </c>
      <c r="X306" s="67">
        <f>IFERROR(SUMIF(気管支鏡!$C$30:$C$74,B306,気管支鏡!$K$30:$K$74)*((気管支鏡!$H$3-気管支鏡!$I$3)/気管支鏡!$H$3),0)</f>
        <v>0</v>
      </c>
      <c r="Y306" s="68">
        <f t="shared" si="72"/>
        <v>0</v>
      </c>
      <c r="Z306" s="67">
        <f>IFERROR(SUMIF(CT撮影装置!$C$30:$C$74,B306,CT撮影装置!$K$30:$K$74)*((CT撮影装置!$H$3-CT撮影装置!$I$3)/CT撮影装置!$H$3),0)</f>
        <v>0</v>
      </c>
      <c r="AA306" s="68">
        <f t="shared" si="87"/>
        <v>0</v>
      </c>
      <c r="AB306" s="67">
        <f>IFERROR(SUMIF(生体情報モニタ!$C$30:$C$74,B306,生体情報モニタ!$K$30:$K$74)*((生体情報モニタ!$H$3-生体情報モニタ!$I$3)/生体情報モニタ!$H$3),0)</f>
        <v>0</v>
      </c>
      <c r="AC306" s="68">
        <f t="shared" si="73"/>
        <v>0</v>
      </c>
      <c r="AD306" s="67">
        <f>IFERROR(SUMIF(分娩監視装置!$C$30:$C$74,B306,分娩監視装置!$K$30:$K$74)*((分娩監視装置!$H$3-分娩監視装置!$I$3)/分娩監視装置!$H$3),0)</f>
        <v>0</v>
      </c>
      <c r="AE306" s="68">
        <f t="shared" si="88"/>
        <v>0</v>
      </c>
      <c r="AF306" s="67">
        <f>IFERROR(SUMIF(新生児モニタ!$C$30:$C$74,B306,新生児モニタ!$K$30:$K$74)*((新生児モニタ!$H$3-新生児モニタ!$I$3)/新生児モニタ!$H$3),0)</f>
        <v>0</v>
      </c>
      <c r="AG306" s="68">
        <f t="shared" si="89"/>
        <v>0</v>
      </c>
    </row>
    <row r="307" spans="2:33">
      <c r="B307" s="64" t="s">
        <v>954</v>
      </c>
      <c r="C307" s="67">
        <f>IFERROR(SUMIF(初度設備!$C$30:$C$74,B307,初度設備!$N$30:$N$74)*((初度設備!$H$3-初度設備!$I$3)/初度設備!$H$3),0)</f>
        <v>0</v>
      </c>
      <c r="D307" s="68">
        <f t="shared" si="74"/>
        <v>0</v>
      </c>
      <c r="E307" s="67">
        <f>IFERROR(SUMIF(人工呼吸器!$C$30:$C$74,B307,人工呼吸器!$N$30:$N$74)*((人工呼吸器!$H$3-人工呼吸器!$I$3)/人工呼吸器!$H$3),0)</f>
        <v>0</v>
      </c>
      <c r="F307" s="68">
        <f t="shared" si="75"/>
        <v>0</v>
      </c>
      <c r="G307" s="68">
        <f t="shared" si="76"/>
        <v>0</v>
      </c>
      <c r="H307" s="68">
        <f t="shared" si="77"/>
        <v>0</v>
      </c>
      <c r="I307" s="67">
        <f>IFERROR(SUMIF(簡易陰圧装置!$C$30:$C$74,B307,簡易陰圧装置!$N$30:$N$74)*((簡易陰圧装置!$H$3-簡易陰圧装置!$I$3)/簡易陰圧装置!$H$3),0)</f>
        <v>0</v>
      </c>
      <c r="J307" s="68">
        <f t="shared" si="78"/>
        <v>0</v>
      </c>
      <c r="K307" s="67">
        <f>IFERROR(SUMIF(#REF!,B307,#REF!)*((#REF!-#REF!)/#REF!),0)</f>
        <v>0</v>
      </c>
      <c r="L307" s="68">
        <f t="shared" si="79"/>
        <v>0</v>
      </c>
      <c r="M307" s="67">
        <f>IFERROR(SUMIF(体外式膜型人工肺!$C$30:$C$74,B307,体外式膜型人工肺!$N$30:$N$74)*((体外式膜型人工肺!$H$3-体外式膜型人工肺!$I$3)/体外式膜型人工肺!$H$3),0)</f>
        <v>0</v>
      </c>
      <c r="N307" s="68">
        <f t="shared" si="80"/>
        <v>0</v>
      </c>
      <c r="O307" s="68">
        <f t="shared" si="81"/>
        <v>0</v>
      </c>
      <c r="P307" s="68">
        <f t="shared" si="82"/>
        <v>0</v>
      </c>
      <c r="Q307" s="67">
        <f>IFERROR(SUMIF(紫外線照射装置!$C$30:$C$74,B307,紫外線照射装置!$N$30:$N$74)*((紫外線照射装置!$H$3-紫外線照射装置!$I$3)/紫外線照射装置!$H$3),0)</f>
        <v>0</v>
      </c>
      <c r="R307" s="68">
        <f t="shared" si="83"/>
        <v>0</v>
      </c>
      <c r="S307" s="101">
        <f t="shared" si="84"/>
        <v>0</v>
      </c>
      <c r="T307" s="67">
        <f>IFERROR(SUMIF(超音波画像診断装置!$C$30:$C$74,B307,超音波画像診断装置!$K$30:$K$74)*((超音波画像診断装置!$H$3-超音波画像診断装置!$I$3)/超音波画像診断装置!$H$3),0)</f>
        <v>0</v>
      </c>
      <c r="U307" s="68">
        <f t="shared" si="85"/>
        <v>0</v>
      </c>
      <c r="V307" s="67">
        <f>IFERROR(SUMIF(血液浄化装置!$C$30:$C$74,B307,血液浄化装置!$K$30:$K$74)*((血液浄化装置!$H$3-血液浄化装置!$I$3)/血液浄化装置!$H$3),0)</f>
        <v>0</v>
      </c>
      <c r="W307" s="68">
        <f t="shared" si="86"/>
        <v>0</v>
      </c>
      <c r="X307" s="67">
        <f>IFERROR(SUMIF(気管支鏡!$C$30:$C$74,B307,気管支鏡!$K$30:$K$74)*((気管支鏡!$H$3-気管支鏡!$I$3)/気管支鏡!$H$3),0)</f>
        <v>0</v>
      </c>
      <c r="Y307" s="68">
        <f t="shared" si="72"/>
        <v>0</v>
      </c>
      <c r="Z307" s="67">
        <f>IFERROR(SUMIF(CT撮影装置!$C$30:$C$74,B307,CT撮影装置!$K$30:$K$74)*((CT撮影装置!$H$3-CT撮影装置!$I$3)/CT撮影装置!$H$3),0)</f>
        <v>0</v>
      </c>
      <c r="AA307" s="68">
        <f t="shared" si="87"/>
        <v>0</v>
      </c>
      <c r="AB307" s="67">
        <f>IFERROR(SUMIF(生体情報モニタ!$C$30:$C$74,B307,生体情報モニタ!$K$30:$K$74)*((生体情報モニタ!$H$3-生体情報モニタ!$I$3)/生体情報モニタ!$H$3),0)</f>
        <v>0</v>
      </c>
      <c r="AC307" s="68">
        <f t="shared" si="73"/>
        <v>0</v>
      </c>
      <c r="AD307" s="67">
        <f>IFERROR(SUMIF(分娩監視装置!$C$30:$C$74,B307,分娩監視装置!$K$30:$K$74)*((分娩監視装置!$H$3-分娩監視装置!$I$3)/分娩監視装置!$H$3),0)</f>
        <v>0</v>
      </c>
      <c r="AE307" s="68">
        <f t="shared" si="88"/>
        <v>0</v>
      </c>
      <c r="AF307" s="67">
        <f>IFERROR(SUMIF(新生児モニタ!$C$30:$C$74,B307,新生児モニタ!$K$30:$K$74)*((新生児モニタ!$H$3-新生児モニタ!$I$3)/新生児モニタ!$H$3),0)</f>
        <v>0</v>
      </c>
      <c r="AG307" s="68">
        <f t="shared" si="89"/>
        <v>0</v>
      </c>
    </row>
    <row r="308" spans="2:33">
      <c r="B308" s="64" t="s">
        <v>955</v>
      </c>
      <c r="C308" s="67">
        <f>IFERROR(SUMIF(初度設備!$C$30:$C$74,B308,初度設備!$N$30:$N$74)*((初度設備!$H$3-初度設備!$I$3)/初度設備!$H$3),0)</f>
        <v>0</v>
      </c>
      <c r="D308" s="68">
        <f t="shared" si="74"/>
        <v>0</v>
      </c>
      <c r="E308" s="67">
        <f>IFERROR(SUMIF(人工呼吸器!$C$30:$C$74,B308,人工呼吸器!$N$30:$N$74)*((人工呼吸器!$H$3-人工呼吸器!$I$3)/人工呼吸器!$H$3),0)</f>
        <v>0</v>
      </c>
      <c r="F308" s="68">
        <f t="shared" si="75"/>
        <v>0</v>
      </c>
      <c r="G308" s="68">
        <f t="shared" si="76"/>
        <v>0</v>
      </c>
      <c r="H308" s="68">
        <f t="shared" si="77"/>
        <v>0</v>
      </c>
      <c r="I308" s="67">
        <f>IFERROR(SUMIF(簡易陰圧装置!$C$30:$C$74,B308,簡易陰圧装置!$N$30:$N$74)*((簡易陰圧装置!$H$3-簡易陰圧装置!$I$3)/簡易陰圧装置!$H$3),0)</f>
        <v>0</v>
      </c>
      <c r="J308" s="68">
        <f t="shared" si="78"/>
        <v>0</v>
      </c>
      <c r="K308" s="67">
        <f>IFERROR(SUMIF(#REF!,B308,#REF!)*((#REF!-#REF!)/#REF!),0)</f>
        <v>0</v>
      </c>
      <c r="L308" s="68">
        <f t="shared" si="79"/>
        <v>0</v>
      </c>
      <c r="M308" s="67">
        <f>IFERROR(SUMIF(体外式膜型人工肺!$C$30:$C$74,B308,体外式膜型人工肺!$N$30:$N$74)*((体外式膜型人工肺!$H$3-体外式膜型人工肺!$I$3)/体外式膜型人工肺!$H$3),0)</f>
        <v>0</v>
      </c>
      <c r="N308" s="68">
        <f t="shared" si="80"/>
        <v>0</v>
      </c>
      <c r="O308" s="68">
        <f t="shared" si="81"/>
        <v>0</v>
      </c>
      <c r="P308" s="68">
        <f t="shared" si="82"/>
        <v>0</v>
      </c>
      <c r="Q308" s="67">
        <f>IFERROR(SUMIF(紫外線照射装置!$C$30:$C$74,B308,紫外線照射装置!$N$30:$N$74)*((紫外線照射装置!$H$3-紫外線照射装置!$I$3)/紫外線照射装置!$H$3),0)</f>
        <v>0</v>
      </c>
      <c r="R308" s="68">
        <f t="shared" si="83"/>
        <v>0</v>
      </c>
      <c r="S308" s="101">
        <f t="shared" si="84"/>
        <v>0</v>
      </c>
      <c r="T308" s="67">
        <f>IFERROR(SUMIF(超音波画像診断装置!$C$30:$C$74,B308,超音波画像診断装置!$K$30:$K$74)*((超音波画像診断装置!$H$3-超音波画像診断装置!$I$3)/超音波画像診断装置!$H$3),0)</f>
        <v>0</v>
      </c>
      <c r="U308" s="68">
        <f t="shared" si="85"/>
        <v>0</v>
      </c>
      <c r="V308" s="67">
        <f>IFERROR(SUMIF(血液浄化装置!$C$30:$C$74,B308,血液浄化装置!$K$30:$K$74)*((血液浄化装置!$H$3-血液浄化装置!$I$3)/血液浄化装置!$H$3),0)</f>
        <v>0</v>
      </c>
      <c r="W308" s="68">
        <f t="shared" si="86"/>
        <v>0</v>
      </c>
      <c r="X308" s="67">
        <f>IFERROR(SUMIF(気管支鏡!$C$30:$C$74,B308,気管支鏡!$K$30:$K$74)*((気管支鏡!$H$3-気管支鏡!$I$3)/気管支鏡!$H$3),0)</f>
        <v>0</v>
      </c>
      <c r="Y308" s="68">
        <f t="shared" si="72"/>
        <v>0</v>
      </c>
      <c r="Z308" s="67">
        <f>IFERROR(SUMIF(CT撮影装置!$C$30:$C$74,B308,CT撮影装置!$K$30:$K$74)*((CT撮影装置!$H$3-CT撮影装置!$I$3)/CT撮影装置!$H$3),0)</f>
        <v>0</v>
      </c>
      <c r="AA308" s="68">
        <f t="shared" si="87"/>
        <v>0</v>
      </c>
      <c r="AB308" s="67">
        <f>IFERROR(SUMIF(生体情報モニタ!$C$30:$C$74,B308,生体情報モニタ!$K$30:$K$74)*((生体情報モニタ!$H$3-生体情報モニタ!$I$3)/生体情報モニタ!$H$3),0)</f>
        <v>0</v>
      </c>
      <c r="AC308" s="68">
        <f t="shared" si="73"/>
        <v>0</v>
      </c>
      <c r="AD308" s="67">
        <f>IFERROR(SUMIF(分娩監視装置!$C$30:$C$74,B308,分娩監視装置!$K$30:$K$74)*((分娩監視装置!$H$3-分娩監視装置!$I$3)/分娩監視装置!$H$3),0)</f>
        <v>0</v>
      </c>
      <c r="AE308" s="68">
        <f t="shared" si="88"/>
        <v>0</v>
      </c>
      <c r="AF308" s="67">
        <f>IFERROR(SUMIF(新生児モニタ!$C$30:$C$74,B308,新生児モニタ!$K$30:$K$74)*((新生児モニタ!$H$3-新生児モニタ!$I$3)/新生児モニタ!$H$3),0)</f>
        <v>0</v>
      </c>
      <c r="AG308" s="68">
        <f t="shared" si="89"/>
        <v>0</v>
      </c>
    </row>
    <row r="309" spans="2:33">
      <c r="B309" s="64" t="s">
        <v>956</v>
      </c>
      <c r="C309" s="67">
        <f>IFERROR(SUMIF(初度設備!$C$30:$C$74,B309,初度設備!$N$30:$N$74)*((初度設備!$H$3-初度設備!$I$3)/初度設備!$H$3),0)</f>
        <v>0</v>
      </c>
      <c r="D309" s="68">
        <f t="shared" si="74"/>
        <v>0</v>
      </c>
      <c r="E309" s="67">
        <f>IFERROR(SUMIF(人工呼吸器!$C$30:$C$74,B309,人工呼吸器!$N$30:$N$74)*((人工呼吸器!$H$3-人工呼吸器!$I$3)/人工呼吸器!$H$3),0)</f>
        <v>0</v>
      </c>
      <c r="F309" s="68">
        <f t="shared" si="75"/>
        <v>0</v>
      </c>
      <c r="G309" s="68">
        <f t="shared" si="76"/>
        <v>0</v>
      </c>
      <c r="H309" s="68">
        <f t="shared" si="77"/>
        <v>0</v>
      </c>
      <c r="I309" s="67">
        <f>IFERROR(SUMIF(簡易陰圧装置!$C$30:$C$74,B309,簡易陰圧装置!$N$30:$N$74)*((簡易陰圧装置!$H$3-簡易陰圧装置!$I$3)/簡易陰圧装置!$H$3),0)</f>
        <v>0</v>
      </c>
      <c r="J309" s="68">
        <f t="shared" si="78"/>
        <v>0</v>
      </c>
      <c r="K309" s="67">
        <f>IFERROR(SUMIF(#REF!,B309,#REF!)*((#REF!-#REF!)/#REF!),0)</f>
        <v>0</v>
      </c>
      <c r="L309" s="68">
        <f t="shared" si="79"/>
        <v>0</v>
      </c>
      <c r="M309" s="67">
        <f>IFERROR(SUMIF(体外式膜型人工肺!$C$30:$C$74,B309,体外式膜型人工肺!$N$30:$N$74)*((体外式膜型人工肺!$H$3-体外式膜型人工肺!$I$3)/体外式膜型人工肺!$H$3),0)</f>
        <v>0</v>
      </c>
      <c r="N309" s="68">
        <f t="shared" si="80"/>
        <v>0</v>
      </c>
      <c r="O309" s="68">
        <f t="shared" si="81"/>
        <v>0</v>
      </c>
      <c r="P309" s="68">
        <f t="shared" si="82"/>
        <v>0</v>
      </c>
      <c r="Q309" s="67">
        <f>IFERROR(SUMIF(紫外線照射装置!$C$30:$C$74,B309,紫外線照射装置!$N$30:$N$74)*((紫外線照射装置!$H$3-紫外線照射装置!$I$3)/紫外線照射装置!$H$3),0)</f>
        <v>0</v>
      </c>
      <c r="R309" s="68">
        <f t="shared" si="83"/>
        <v>0</v>
      </c>
      <c r="S309" s="101">
        <f t="shared" si="84"/>
        <v>0</v>
      </c>
      <c r="T309" s="67">
        <f>IFERROR(SUMIF(超音波画像診断装置!$C$30:$C$74,B309,超音波画像診断装置!$K$30:$K$74)*((超音波画像診断装置!$H$3-超音波画像診断装置!$I$3)/超音波画像診断装置!$H$3),0)</f>
        <v>0</v>
      </c>
      <c r="U309" s="68">
        <f t="shared" si="85"/>
        <v>0</v>
      </c>
      <c r="V309" s="67">
        <f>IFERROR(SUMIF(血液浄化装置!$C$30:$C$74,B309,血液浄化装置!$K$30:$K$74)*((血液浄化装置!$H$3-血液浄化装置!$I$3)/血液浄化装置!$H$3),0)</f>
        <v>0</v>
      </c>
      <c r="W309" s="68">
        <f t="shared" si="86"/>
        <v>0</v>
      </c>
      <c r="X309" s="67">
        <f>IFERROR(SUMIF(気管支鏡!$C$30:$C$74,B309,気管支鏡!$K$30:$K$74)*((気管支鏡!$H$3-気管支鏡!$I$3)/気管支鏡!$H$3),0)</f>
        <v>0</v>
      </c>
      <c r="Y309" s="68">
        <f t="shared" si="72"/>
        <v>0</v>
      </c>
      <c r="Z309" s="67">
        <f>IFERROR(SUMIF(CT撮影装置!$C$30:$C$74,B309,CT撮影装置!$K$30:$K$74)*((CT撮影装置!$H$3-CT撮影装置!$I$3)/CT撮影装置!$H$3),0)</f>
        <v>0</v>
      </c>
      <c r="AA309" s="68">
        <f t="shared" si="87"/>
        <v>0</v>
      </c>
      <c r="AB309" s="67">
        <f>IFERROR(SUMIF(生体情報モニタ!$C$30:$C$74,B309,生体情報モニタ!$K$30:$K$74)*((生体情報モニタ!$H$3-生体情報モニタ!$I$3)/生体情報モニタ!$H$3),0)</f>
        <v>0</v>
      </c>
      <c r="AC309" s="68">
        <f t="shared" si="73"/>
        <v>0</v>
      </c>
      <c r="AD309" s="67">
        <f>IFERROR(SUMIF(分娩監視装置!$C$30:$C$74,B309,分娩監視装置!$K$30:$K$74)*((分娩監視装置!$H$3-分娩監視装置!$I$3)/分娩監視装置!$H$3),0)</f>
        <v>0</v>
      </c>
      <c r="AE309" s="68">
        <f t="shared" si="88"/>
        <v>0</v>
      </c>
      <c r="AF309" s="67">
        <f>IFERROR(SUMIF(新生児モニタ!$C$30:$C$74,B309,新生児モニタ!$K$30:$K$74)*((新生児モニタ!$H$3-新生児モニタ!$I$3)/新生児モニタ!$H$3),0)</f>
        <v>0</v>
      </c>
      <c r="AG309" s="68">
        <f t="shared" si="89"/>
        <v>0</v>
      </c>
    </row>
    <row r="310" spans="2:33">
      <c r="B310" s="64" t="s">
        <v>957</v>
      </c>
      <c r="C310" s="67">
        <f>IFERROR(SUMIF(初度設備!$C$30:$C$74,B310,初度設備!$N$30:$N$74)*((初度設備!$H$3-初度設備!$I$3)/初度設備!$H$3),0)</f>
        <v>0</v>
      </c>
      <c r="D310" s="68">
        <f t="shared" si="74"/>
        <v>0</v>
      </c>
      <c r="E310" s="67">
        <f>IFERROR(SUMIF(人工呼吸器!$C$30:$C$74,B310,人工呼吸器!$N$30:$N$74)*((人工呼吸器!$H$3-人工呼吸器!$I$3)/人工呼吸器!$H$3),0)</f>
        <v>0</v>
      </c>
      <c r="F310" s="68">
        <f t="shared" si="75"/>
        <v>0</v>
      </c>
      <c r="G310" s="68">
        <f t="shared" si="76"/>
        <v>0</v>
      </c>
      <c r="H310" s="68">
        <f t="shared" si="77"/>
        <v>0</v>
      </c>
      <c r="I310" s="67">
        <f>IFERROR(SUMIF(簡易陰圧装置!$C$30:$C$74,B310,簡易陰圧装置!$N$30:$N$74)*((簡易陰圧装置!$H$3-簡易陰圧装置!$I$3)/簡易陰圧装置!$H$3),0)</f>
        <v>0</v>
      </c>
      <c r="J310" s="68">
        <f t="shared" si="78"/>
        <v>0</v>
      </c>
      <c r="K310" s="67">
        <f>IFERROR(SUMIF(#REF!,B310,#REF!)*((#REF!-#REF!)/#REF!),0)</f>
        <v>0</v>
      </c>
      <c r="L310" s="68">
        <f t="shared" si="79"/>
        <v>0</v>
      </c>
      <c r="M310" s="67">
        <f>IFERROR(SUMIF(体外式膜型人工肺!$C$30:$C$74,B310,体外式膜型人工肺!$N$30:$N$74)*((体外式膜型人工肺!$H$3-体外式膜型人工肺!$I$3)/体外式膜型人工肺!$H$3),0)</f>
        <v>0</v>
      </c>
      <c r="N310" s="68">
        <f t="shared" si="80"/>
        <v>0</v>
      </c>
      <c r="O310" s="68">
        <f t="shared" si="81"/>
        <v>0</v>
      </c>
      <c r="P310" s="68">
        <f t="shared" si="82"/>
        <v>0</v>
      </c>
      <c r="Q310" s="67">
        <f>IFERROR(SUMIF(紫外線照射装置!$C$30:$C$74,B310,紫外線照射装置!$N$30:$N$74)*((紫外線照射装置!$H$3-紫外線照射装置!$I$3)/紫外線照射装置!$H$3),0)</f>
        <v>0</v>
      </c>
      <c r="R310" s="68">
        <f t="shared" si="83"/>
        <v>0</v>
      </c>
      <c r="S310" s="101">
        <f t="shared" si="84"/>
        <v>0</v>
      </c>
      <c r="T310" s="67">
        <f>IFERROR(SUMIF(超音波画像診断装置!$C$30:$C$74,B310,超音波画像診断装置!$K$30:$K$74)*((超音波画像診断装置!$H$3-超音波画像診断装置!$I$3)/超音波画像診断装置!$H$3),0)</f>
        <v>0</v>
      </c>
      <c r="U310" s="68">
        <f t="shared" si="85"/>
        <v>0</v>
      </c>
      <c r="V310" s="67">
        <f>IFERROR(SUMIF(血液浄化装置!$C$30:$C$74,B310,血液浄化装置!$K$30:$K$74)*((血液浄化装置!$H$3-血液浄化装置!$I$3)/血液浄化装置!$H$3),0)</f>
        <v>0</v>
      </c>
      <c r="W310" s="68">
        <f t="shared" si="86"/>
        <v>0</v>
      </c>
      <c r="X310" s="67">
        <f>IFERROR(SUMIF(気管支鏡!$C$30:$C$74,B310,気管支鏡!$K$30:$K$74)*((気管支鏡!$H$3-気管支鏡!$I$3)/気管支鏡!$H$3),0)</f>
        <v>0</v>
      </c>
      <c r="Y310" s="68">
        <f t="shared" si="72"/>
        <v>0</v>
      </c>
      <c r="Z310" s="67">
        <f>IFERROR(SUMIF(CT撮影装置!$C$30:$C$74,B310,CT撮影装置!$K$30:$K$74)*((CT撮影装置!$H$3-CT撮影装置!$I$3)/CT撮影装置!$H$3),0)</f>
        <v>0</v>
      </c>
      <c r="AA310" s="68">
        <f t="shared" si="87"/>
        <v>0</v>
      </c>
      <c r="AB310" s="67">
        <f>IFERROR(SUMIF(生体情報モニタ!$C$30:$C$74,B310,生体情報モニタ!$K$30:$K$74)*((生体情報モニタ!$H$3-生体情報モニタ!$I$3)/生体情報モニタ!$H$3),0)</f>
        <v>0</v>
      </c>
      <c r="AC310" s="68">
        <f t="shared" si="73"/>
        <v>0</v>
      </c>
      <c r="AD310" s="67">
        <f>IFERROR(SUMIF(分娩監視装置!$C$30:$C$74,B310,分娩監視装置!$K$30:$K$74)*((分娩監視装置!$H$3-分娩監視装置!$I$3)/分娩監視装置!$H$3),0)</f>
        <v>0</v>
      </c>
      <c r="AE310" s="68">
        <f t="shared" si="88"/>
        <v>0</v>
      </c>
      <c r="AF310" s="67">
        <f>IFERROR(SUMIF(新生児モニタ!$C$30:$C$74,B310,新生児モニタ!$K$30:$K$74)*((新生児モニタ!$H$3-新生児モニタ!$I$3)/新生児モニタ!$H$3),0)</f>
        <v>0</v>
      </c>
      <c r="AG310" s="68">
        <f t="shared" si="89"/>
        <v>0</v>
      </c>
    </row>
    <row r="311" spans="2:33">
      <c r="B311" s="64" t="s">
        <v>958</v>
      </c>
      <c r="C311" s="67">
        <f>IFERROR(SUMIF(初度設備!$C$30:$C$74,B311,初度設備!$N$30:$N$74)*((初度設備!$H$3-初度設備!$I$3)/初度設備!$H$3),0)</f>
        <v>0</v>
      </c>
      <c r="D311" s="68">
        <f t="shared" si="74"/>
        <v>0</v>
      </c>
      <c r="E311" s="67">
        <f>IFERROR(SUMIF(人工呼吸器!$C$30:$C$74,B311,人工呼吸器!$N$30:$N$74)*((人工呼吸器!$H$3-人工呼吸器!$I$3)/人工呼吸器!$H$3),0)</f>
        <v>0</v>
      </c>
      <c r="F311" s="68">
        <f t="shared" si="75"/>
        <v>0</v>
      </c>
      <c r="G311" s="68">
        <f t="shared" si="76"/>
        <v>0</v>
      </c>
      <c r="H311" s="68">
        <f t="shared" si="77"/>
        <v>0</v>
      </c>
      <c r="I311" s="67">
        <f>IFERROR(SUMIF(簡易陰圧装置!$C$30:$C$74,B311,簡易陰圧装置!$N$30:$N$74)*((簡易陰圧装置!$H$3-簡易陰圧装置!$I$3)/簡易陰圧装置!$H$3),0)</f>
        <v>0</v>
      </c>
      <c r="J311" s="68">
        <f t="shared" si="78"/>
        <v>0</v>
      </c>
      <c r="K311" s="67">
        <f>IFERROR(SUMIF(#REF!,B311,#REF!)*((#REF!-#REF!)/#REF!),0)</f>
        <v>0</v>
      </c>
      <c r="L311" s="68">
        <f t="shared" si="79"/>
        <v>0</v>
      </c>
      <c r="M311" s="67">
        <f>IFERROR(SUMIF(体外式膜型人工肺!$C$30:$C$74,B311,体外式膜型人工肺!$N$30:$N$74)*((体外式膜型人工肺!$H$3-体外式膜型人工肺!$I$3)/体外式膜型人工肺!$H$3),0)</f>
        <v>0</v>
      </c>
      <c r="N311" s="68">
        <f t="shared" si="80"/>
        <v>0</v>
      </c>
      <c r="O311" s="68">
        <f t="shared" si="81"/>
        <v>0</v>
      </c>
      <c r="P311" s="68">
        <f t="shared" si="82"/>
        <v>0</v>
      </c>
      <c r="Q311" s="67">
        <f>IFERROR(SUMIF(紫外線照射装置!$C$30:$C$74,B311,紫外線照射装置!$N$30:$N$74)*((紫外線照射装置!$H$3-紫外線照射装置!$I$3)/紫外線照射装置!$H$3),0)</f>
        <v>0</v>
      </c>
      <c r="R311" s="68">
        <f t="shared" si="83"/>
        <v>0</v>
      </c>
      <c r="S311" s="101">
        <f t="shared" si="84"/>
        <v>0</v>
      </c>
      <c r="T311" s="67">
        <f>IFERROR(SUMIF(超音波画像診断装置!$C$30:$C$74,B311,超音波画像診断装置!$K$30:$K$74)*((超音波画像診断装置!$H$3-超音波画像診断装置!$I$3)/超音波画像診断装置!$H$3),0)</f>
        <v>0</v>
      </c>
      <c r="U311" s="68">
        <f t="shared" si="85"/>
        <v>0</v>
      </c>
      <c r="V311" s="67">
        <f>IFERROR(SUMIF(血液浄化装置!$C$30:$C$74,B311,血液浄化装置!$K$30:$K$74)*((血液浄化装置!$H$3-血液浄化装置!$I$3)/血液浄化装置!$H$3),0)</f>
        <v>0</v>
      </c>
      <c r="W311" s="68">
        <f t="shared" si="86"/>
        <v>0</v>
      </c>
      <c r="X311" s="67">
        <f>IFERROR(SUMIF(気管支鏡!$C$30:$C$74,B311,気管支鏡!$K$30:$K$74)*((気管支鏡!$H$3-気管支鏡!$I$3)/気管支鏡!$H$3),0)</f>
        <v>0</v>
      </c>
      <c r="Y311" s="68">
        <f t="shared" si="72"/>
        <v>0</v>
      </c>
      <c r="Z311" s="67">
        <f>IFERROR(SUMIF(CT撮影装置!$C$30:$C$74,B311,CT撮影装置!$K$30:$K$74)*((CT撮影装置!$H$3-CT撮影装置!$I$3)/CT撮影装置!$H$3),0)</f>
        <v>0</v>
      </c>
      <c r="AA311" s="68">
        <f t="shared" si="87"/>
        <v>0</v>
      </c>
      <c r="AB311" s="67">
        <f>IFERROR(SUMIF(生体情報モニタ!$C$30:$C$74,B311,生体情報モニタ!$K$30:$K$74)*((生体情報モニタ!$H$3-生体情報モニタ!$I$3)/生体情報モニタ!$H$3),0)</f>
        <v>0</v>
      </c>
      <c r="AC311" s="68">
        <f t="shared" si="73"/>
        <v>0</v>
      </c>
      <c r="AD311" s="67">
        <f>IFERROR(SUMIF(分娩監視装置!$C$30:$C$74,B311,分娩監視装置!$K$30:$K$74)*((分娩監視装置!$H$3-分娩監視装置!$I$3)/分娩監視装置!$H$3),0)</f>
        <v>0</v>
      </c>
      <c r="AE311" s="68">
        <f t="shared" si="88"/>
        <v>0</v>
      </c>
      <c r="AF311" s="67">
        <f>IFERROR(SUMIF(新生児モニタ!$C$30:$C$74,B311,新生児モニタ!$K$30:$K$74)*((新生児モニタ!$H$3-新生児モニタ!$I$3)/新生児モニタ!$H$3),0)</f>
        <v>0</v>
      </c>
      <c r="AG311" s="68">
        <f t="shared" si="89"/>
        <v>0</v>
      </c>
    </row>
    <row r="312" spans="2:33">
      <c r="B312" s="64" t="s">
        <v>959</v>
      </c>
      <c r="C312" s="67">
        <f>IFERROR(SUMIF(初度設備!$C$30:$C$74,B312,初度設備!$N$30:$N$74)*((初度設備!$H$3-初度設備!$I$3)/初度設備!$H$3),0)</f>
        <v>0</v>
      </c>
      <c r="D312" s="68">
        <f t="shared" si="74"/>
        <v>0</v>
      </c>
      <c r="E312" s="67">
        <f>IFERROR(SUMIF(人工呼吸器!$C$30:$C$74,B312,人工呼吸器!$N$30:$N$74)*((人工呼吸器!$H$3-人工呼吸器!$I$3)/人工呼吸器!$H$3),0)</f>
        <v>0</v>
      </c>
      <c r="F312" s="68">
        <f t="shared" si="75"/>
        <v>0</v>
      </c>
      <c r="G312" s="68">
        <f t="shared" si="76"/>
        <v>0</v>
      </c>
      <c r="H312" s="68">
        <f t="shared" si="77"/>
        <v>0</v>
      </c>
      <c r="I312" s="67">
        <f>IFERROR(SUMIF(簡易陰圧装置!$C$30:$C$74,B312,簡易陰圧装置!$N$30:$N$74)*((簡易陰圧装置!$H$3-簡易陰圧装置!$I$3)/簡易陰圧装置!$H$3),0)</f>
        <v>0</v>
      </c>
      <c r="J312" s="68">
        <f t="shared" si="78"/>
        <v>0</v>
      </c>
      <c r="K312" s="67">
        <f>IFERROR(SUMIF(#REF!,B312,#REF!)*((#REF!-#REF!)/#REF!),0)</f>
        <v>0</v>
      </c>
      <c r="L312" s="68">
        <f t="shared" si="79"/>
        <v>0</v>
      </c>
      <c r="M312" s="67">
        <f>IFERROR(SUMIF(体外式膜型人工肺!$C$30:$C$74,B312,体外式膜型人工肺!$N$30:$N$74)*((体外式膜型人工肺!$H$3-体外式膜型人工肺!$I$3)/体外式膜型人工肺!$H$3),0)</f>
        <v>0</v>
      </c>
      <c r="N312" s="68">
        <f t="shared" si="80"/>
        <v>0</v>
      </c>
      <c r="O312" s="68">
        <f t="shared" si="81"/>
        <v>0</v>
      </c>
      <c r="P312" s="68">
        <f t="shared" si="82"/>
        <v>0</v>
      </c>
      <c r="Q312" s="67">
        <f>IFERROR(SUMIF(紫外線照射装置!$C$30:$C$74,B312,紫外線照射装置!$N$30:$N$74)*((紫外線照射装置!$H$3-紫外線照射装置!$I$3)/紫外線照射装置!$H$3),0)</f>
        <v>0</v>
      </c>
      <c r="R312" s="68">
        <f t="shared" si="83"/>
        <v>0</v>
      </c>
      <c r="S312" s="101">
        <f t="shared" si="84"/>
        <v>0</v>
      </c>
      <c r="T312" s="67">
        <f>IFERROR(SUMIF(超音波画像診断装置!$C$30:$C$74,B312,超音波画像診断装置!$K$30:$K$74)*((超音波画像診断装置!$H$3-超音波画像診断装置!$I$3)/超音波画像診断装置!$H$3),0)</f>
        <v>0</v>
      </c>
      <c r="U312" s="68">
        <f t="shared" si="85"/>
        <v>0</v>
      </c>
      <c r="V312" s="67">
        <f>IFERROR(SUMIF(血液浄化装置!$C$30:$C$74,B312,血液浄化装置!$K$30:$K$74)*((血液浄化装置!$H$3-血液浄化装置!$I$3)/血液浄化装置!$H$3),0)</f>
        <v>0</v>
      </c>
      <c r="W312" s="68">
        <f t="shared" si="86"/>
        <v>0</v>
      </c>
      <c r="X312" s="67">
        <f>IFERROR(SUMIF(気管支鏡!$C$30:$C$74,B312,気管支鏡!$K$30:$K$74)*((気管支鏡!$H$3-気管支鏡!$I$3)/気管支鏡!$H$3),0)</f>
        <v>0</v>
      </c>
      <c r="Y312" s="68">
        <f t="shared" si="72"/>
        <v>0</v>
      </c>
      <c r="Z312" s="67">
        <f>IFERROR(SUMIF(CT撮影装置!$C$30:$C$74,B312,CT撮影装置!$K$30:$K$74)*((CT撮影装置!$H$3-CT撮影装置!$I$3)/CT撮影装置!$H$3),0)</f>
        <v>0</v>
      </c>
      <c r="AA312" s="68">
        <f t="shared" si="87"/>
        <v>0</v>
      </c>
      <c r="AB312" s="67">
        <f>IFERROR(SUMIF(生体情報モニタ!$C$30:$C$74,B312,生体情報モニタ!$K$30:$K$74)*((生体情報モニタ!$H$3-生体情報モニタ!$I$3)/生体情報モニタ!$H$3),0)</f>
        <v>0</v>
      </c>
      <c r="AC312" s="68">
        <f t="shared" si="73"/>
        <v>0</v>
      </c>
      <c r="AD312" s="67">
        <f>IFERROR(SUMIF(分娩監視装置!$C$30:$C$74,B312,分娩監視装置!$K$30:$K$74)*((分娩監視装置!$H$3-分娩監視装置!$I$3)/分娩監視装置!$H$3),0)</f>
        <v>0</v>
      </c>
      <c r="AE312" s="68">
        <f t="shared" si="88"/>
        <v>0</v>
      </c>
      <c r="AF312" s="67">
        <f>IFERROR(SUMIF(新生児モニタ!$C$30:$C$74,B312,新生児モニタ!$K$30:$K$74)*((新生児モニタ!$H$3-新生児モニタ!$I$3)/新生児モニタ!$H$3),0)</f>
        <v>0</v>
      </c>
      <c r="AG312" s="68">
        <f t="shared" si="89"/>
        <v>0</v>
      </c>
    </row>
    <row r="313" spans="2:33">
      <c r="B313" s="64" t="s">
        <v>960</v>
      </c>
      <c r="C313" s="67">
        <f>IFERROR(SUMIF(初度設備!$C$30:$C$74,B313,初度設備!$N$30:$N$74)*((初度設備!$H$3-初度設備!$I$3)/初度設備!$H$3),0)</f>
        <v>0</v>
      </c>
      <c r="D313" s="68">
        <f t="shared" si="74"/>
        <v>0</v>
      </c>
      <c r="E313" s="67">
        <f>IFERROR(SUMIF(人工呼吸器!$C$30:$C$74,B313,人工呼吸器!$N$30:$N$74)*((人工呼吸器!$H$3-人工呼吸器!$I$3)/人工呼吸器!$H$3),0)</f>
        <v>0</v>
      </c>
      <c r="F313" s="68">
        <f t="shared" si="75"/>
        <v>0</v>
      </c>
      <c r="G313" s="68">
        <f t="shared" si="76"/>
        <v>0</v>
      </c>
      <c r="H313" s="68">
        <f t="shared" si="77"/>
        <v>0</v>
      </c>
      <c r="I313" s="67">
        <f>IFERROR(SUMIF(簡易陰圧装置!$C$30:$C$74,B313,簡易陰圧装置!$N$30:$N$74)*((簡易陰圧装置!$H$3-簡易陰圧装置!$I$3)/簡易陰圧装置!$H$3),0)</f>
        <v>0</v>
      </c>
      <c r="J313" s="68">
        <f t="shared" si="78"/>
        <v>0</v>
      </c>
      <c r="K313" s="67">
        <f>IFERROR(SUMIF(#REF!,B313,#REF!)*((#REF!-#REF!)/#REF!),0)</f>
        <v>0</v>
      </c>
      <c r="L313" s="68">
        <f t="shared" si="79"/>
        <v>0</v>
      </c>
      <c r="M313" s="67">
        <f>IFERROR(SUMIF(体外式膜型人工肺!$C$30:$C$74,B313,体外式膜型人工肺!$N$30:$N$74)*((体外式膜型人工肺!$H$3-体外式膜型人工肺!$I$3)/体外式膜型人工肺!$H$3),0)</f>
        <v>0</v>
      </c>
      <c r="N313" s="68">
        <f t="shared" si="80"/>
        <v>0</v>
      </c>
      <c r="O313" s="68">
        <f t="shared" si="81"/>
        <v>0</v>
      </c>
      <c r="P313" s="68">
        <f t="shared" si="82"/>
        <v>0</v>
      </c>
      <c r="Q313" s="67">
        <f>IFERROR(SUMIF(紫外線照射装置!$C$30:$C$74,B313,紫外線照射装置!$N$30:$N$74)*((紫外線照射装置!$H$3-紫外線照射装置!$I$3)/紫外線照射装置!$H$3),0)</f>
        <v>0</v>
      </c>
      <c r="R313" s="68">
        <f t="shared" si="83"/>
        <v>0</v>
      </c>
      <c r="S313" s="101">
        <f t="shared" si="84"/>
        <v>0</v>
      </c>
      <c r="T313" s="67">
        <f>IFERROR(SUMIF(超音波画像診断装置!$C$30:$C$74,B313,超音波画像診断装置!$K$30:$K$74)*((超音波画像診断装置!$H$3-超音波画像診断装置!$I$3)/超音波画像診断装置!$H$3),0)</f>
        <v>0</v>
      </c>
      <c r="U313" s="68">
        <f t="shared" si="85"/>
        <v>0</v>
      </c>
      <c r="V313" s="67">
        <f>IFERROR(SUMIF(血液浄化装置!$C$30:$C$74,B313,血液浄化装置!$K$30:$K$74)*((血液浄化装置!$H$3-血液浄化装置!$I$3)/血液浄化装置!$H$3),0)</f>
        <v>0</v>
      </c>
      <c r="W313" s="68">
        <f t="shared" si="86"/>
        <v>0</v>
      </c>
      <c r="X313" s="67">
        <f>IFERROR(SUMIF(気管支鏡!$C$30:$C$74,B313,気管支鏡!$K$30:$K$74)*((気管支鏡!$H$3-気管支鏡!$I$3)/気管支鏡!$H$3),0)</f>
        <v>0</v>
      </c>
      <c r="Y313" s="68">
        <f t="shared" si="72"/>
        <v>0</v>
      </c>
      <c r="Z313" s="67">
        <f>IFERROR(SUMIF(CT撮影装置!$C$30:$C$74,B313,CT撮影装置!$K$30:$K$74)*((CT撮影装置!$H$3-CT撮影装置!$I$3)/CT撮影装置!$H$3),0)</f>
        <v>0</v>
      </c>
      <c r="AA313" s="68">
        <f t="shared" si="87"/>
        <v>0</v>
      </c>
      <c r="AB313" s="67">
        <f>IFERROR(SUMIF(生体情報モニタ!$C$30:$C$74,B313,生体情報モニタ!$K$30:$K$74)*((生体情報モニタ!$H$3-生体情報モニタ!$I$3)/生体情報モニタ!$H$3),0)</f>
        <v>0</v>
      </c>
      <c r="AC313" s="68">
        <f t="shared" si="73"/>
        <v>0</v>
      </c>
      <c r="AD313" s="67">
        <f>IFERROR(SUMIF(分娩監視装置!$C$30:$C$74,B313,分娩監視装置!$K$30:$K$74)*((分娩監視装置!$H$3-分娩監視装置!$I$3)/分娩監視装置!$H$3),0)</f>
        <v>0</v>
      </c>
      <c r="AE313" s="68">
        <f t="shared" si="88"/>
        <v>0</v>
      </c>
      <c r="AF313" s="67">
        <f>IFERROR(SUMIF(新生児モニタ!$C$30:$C$74,B313,新生児モニタ!$K$30:$K$74)*((新生児モニタ!$H$3-新生児モニタ!$I$3)/新生児モニタ!$H$3),0)</f>
        <v>0</v>
      </c>
      <c r="AG313" s="68">
        <f t="shared" si="89"/>
        <v>0</v>
      </c>
    </row>
    <row r="314" spans="2:33">
      <c r="B314" s="64" t="s">
        <v>961</v>
      </c>
      <c r="C314" s="67">
        <f>IFERROR(SUMIF(初度設備!$C$30:$C$74,B314,初度設備!$N$30:$N$74)*((初度設備!$H$3-初度設備!$I$3)/初度設備!$H$3),0)</f>
        <v>0</v>
      </c>
      <c r="D314" s="68">
        <f t="shared" si="74"/>
        <v>0</v>
      </c>
      <c r="E314" s="67">
        <f>IFERROR(SUMIF(人工呼吸器!$C$30:$C$74,B314,人工呼吸器!$N$30:$N$74)*((人工呼吸器!$H$3-人工呼吸器!$I$3)/人工呼吸器!$H$3),0)</f>
        <v>0</v>
      </c>
      <c r="F314" s="68">
        <f t="shared" si="75"/>
        <v>0</v>
      </c>
      <c r="G314" s="68">
        <f t="shared" si="76"/>
        <v>0</v>
      </c>
      <c r="H314" s="68">
        <f t="shared" si="77"/>
        <v>0</v>
      </c>
      <c r="I314" s="67">
        <f>IFERROR(SUMIF(簡易陰圧装置!$C$30:$C$74,B314,簡易陰圧装置!$N$30:$N$74)*((簡易陰圧装置!$H$3-簡易陰圧装置!$I$3)/簡易陰圧装置!$H$3),0)</f>
        <v>0</v>
      </c>
      <c r="J314" s="68">
        <f t="shared" si="78"/>
        <v>0</v>
      </c>
      <c r="K314" s="67">
        <f>IFERROR(SUMIF(#REF!,B314,#REF!)*((#REF!-#REF!)/#REF!),0)</f>
        <v>0</v>
      </c>
      <c r="L314" s="68">
        <f t="shared" si="79"/>
        <v>0</v>
      </c>
      <c r="M314" s="67">
        <f>IFERROR(SUMIF(体外式膜型人工肺!$C$30:$C$74,B314,体外式膜型人工肺!$N$30:$N$74)*((体外式膜型人工肺!$H$3-体外式膜型人工肺!$I$3)/体外式膜型人工肺!$H$3),0)</f>
        <v>0</v>
      </c>
      <c r="N314" s="68">
        <f t="shared" si="80"/>
        <v>0</v>
      </c>
      <c r="O314" s="68">
        <f t="shared" si="81"/>
        <v>0</v>
      </c>
      <c r="P314" s="68">
        <f t="shared" si="82"/>
        <v>0</v>
      </c>
      <c r="Q314" s="67">
        <f>IFERROR(SUMIF(紫外線照射装置!$C$30:$C$74,B314,紫外線照射装置!$N$30:$N$74)*((紫外線照射装置!$H$3-紫外線照射装置!$I$3)/紫外線照射装置!$H$3),0)</f>
        <v>0</v>
      </c>
      <c r="R314" s="68">
        <f t="shared" si="83"/>
        <v>0</v>
      </c>
      <c r="S314" s="101">
        <f t="shared" si="84"/>
        <v>0</v>
      </c>
      <c r="T314" s="67">
        <f>IFERROR(SUMIF(超音波画像診断装置!$C$30:$C$74,B314,超音波画像診断装置!$K$30:$K$74)*((超音波画像診断装置!$H$3-超音波画像診断装置!$I$3)/超音波画像診断装置!$H$3),0)</f>
        <v>0</v>
      </c>
      <c r="U314" s="68">
        <f t="shared" si="85"/>
        <v>0</v>
      </c>
      <c r="V314" s="67">
        <f>IFERROR(SUMIF(血液浄化装置!$C$30:$C$74,B314,血液浄化装置!$K$30:$K$74)*((血液浄化装置!$H$3-血液浄化装置!$I$3)/血液浄化装置!$H$3),0)</f>
        <v>0</v>
      </c>
      <c r="W314" s="68">
        <f t="shared" si="86"/>
        <v>0</v>
      </c>
      <c r="X314" s="67">
        <f>IFERROR(SUMIF(気管支鏡!$C$30:$C$74,B314,気管支鏡!$K$30:$K$74)*((気管支鏡!$H$3-気管支鏡!$I$3)/気管支鏡!$H$3),0)</f>
        <v>0</v>
      </c>
      <c r="Y314" s="68">
        <f t="shared" si="72"/>
        <v>0</v>
      </c>
      <c r="Z314" s="67">
        <f>IFERROR(SUMIF(CT撮影装置!$C$30:$C$74,B314,CT撮影装置!$K$30:$K$74)*((CT撮影装置!$H$3-CT撮影装置!$I$3)/CT撮影装置!$H$3),0)</f>
        <v>0</v>
      </c>
      <c r="AA314" s="68">
        <f t="shared" si="87"/>
        <v>0</v>
      </c>
      <c r="AB314" s="67">
        <f>IFERROR(SUMIF(生体情報モニタ!$C$30:$C$74,B314,生体情報モニタ!$K$30:$K$74)*((生体情報モニタ!$H$3-生体情報モニタ!$I$3)/生体情報モニタ!$H$3),0)</f>
        <v>0</v>
      </c>
      <c r="AC314" s="68">
        <f t="shared" si="73"/>
        <v>0</v>
      </c>
      <c r="AD314" s="67">
        <f>IFERROR(SUMIF(分娩監視装置!$C$30:$C$74,B314,分娩監視装置!$K$30:$K$74)*((分娩監視装置!$H$3-分娩監視装置!$I$3)/分娩監視装置!$H$3),0)</f>
        <v>0</v>
      </c>
      <c r="AE314" s="68">
        <f t="shared" si="88"/>
        <v>0</v>
      </c>
      <c r="AF314" s="67">
        <f>IFERROR(SUMIF(新生児モニタ!$C$30:$C$74,B314,新生児モニタ!$K$30:$K$74)*((新生児モニタ!$H$3-新生児モニタ!$I$3)/新生児モニタ!$H$3),0)</f>
        <v>0</v>
      </c>
      <c r="AG314" s="68">
        <f t="shared" si="89"/>
        <v>0</v>
      </c>
    </row>
    <row r="315" spans="2:33">
      <c r="B315" s="64" t="s">
        <v>962</v>
      </c>
      <c r="C315" s="67">
        <f>IFERROR(SUMIF(初度設備!$C$30:$C$74,B315,初度設備!$N$30:$N$74)*((初度設備!$H$3-初度設備!$I$3)/初度設備!$H$3),0)</f>
        <v>0</v>
      </c>
      <c r="D315" s="68">
        <f t="shared" si="74"/>
        <v>0</v>
      </c>
      <c r="E315" s="67">
        <f>IFERROR(SUMIF(人工呼吸器!$C$30:$C$74,B315,人工呼吸器!$N$30:$N$74)*((人工呼吸器!$H$3-人工呼吸器!$I$3)/人工呼吸器!$H$3),0)</f>
        <v>0</v>
      </c>
      <c r="F315" s="68">
        <f t="shared" si="75"/>
        <v>0</v>
      </c>
      <c r="G315" s="68">
        <f t="shared" si="76"/>
        <v>0</v>
      </c>
      <c r="H315" s="68">
        <f t="shared" si="77"/>
        <v>0</v>
      </c>
      <c r="I315" s="67">
        <f>IFERROR(SUMIF(簡易陰圧装置!$C$30:$C$74,B315,簡易陰圧装置!$N$30:$N$74)*((簡易陰圧装置!$H$3-簡易陰圧装置!$I$3)/簡易陰圧装置!$H$3),0)</f>
        <v>0</v>
      </c>
      <c r="J315" s="68">
        <f t="shared" si="78"/>
        <v>0</v>
      </c>
      <c r="K315" s="67">
        <f>IFERROR(SUMIF(#REF!,B315,#REF!)*((#REF!-#REF!)/#REF!),0)</f>
        <v>0</v>
      </c>
      <c r="L315" s="68">
        <f t="shared" si="79"/>
        <v>0</v>
      </c>
      <c r="M315" s="67">
        <f>IFERROR(SUMIF(体外式膜型人工肺!$C$30:$C$74,B315,体外式膜型人工肺!$N$30:$N$74)*((体外式膜型人工肺!$H$3-体外式膜型人工肺!$I$3)/体外式膜型人工肺!$H$3),0)</f>
        <v>0</v>
      </c>
      <c r="N315" s="68">
        <f t="shared" si="80"/>
        <v>0</v>
      </c>
      <c r="O315" s="68">
        <f t="shared" si="81"/>
        <v>0</v>
      </c>
      <c r="P315" s="68">
        <f t="shared" si="82"/>
        <v>0</v>
      </c>
      <c r="Q315" s="67">
        <f>IFERROR(SUMIF(紫外線照射装置!$C$30:$C$74,B315,紫外線照射装置!$N$30:$N$74)*((紫外線照射装置!$H$3-紫外線照射装置!$I$3)/紫外線照射装置!$H$3),0)</f>
        <v>0</v>
      </c>
      <c r="R315" s="68">
        <f t="shared" si="83"/>
        <v>0</v>
      </c>
      <c r="S315" s="101">
        <f t="shared" si="84"/>
        <v>0</v>
      </c>
      <c r="T315" s="67">
        <f>IFERROR(SUMIF(超音波画像診断装置!$C$30:$C$74,B315,超音波画像診断装置!$K$30:$K$74)*((超音波画像診断装置!$H$3-超音波画像診断装置!$I$3)/超音波画像診断装置!$H$3),0)</f>
        <v>0</v>
      </c>
      <c r="U315" s="68">
        <f t="shared" si="85"/>
        <v>0</v>
      </c>
      <c r="V315" s="67">
        <f>IFERROR(SUMIF(血液浄化装置!$C$30:$C$74,B315,血液浄化装置!$K$30:$K$74)*((血液浄化装置!$H$3-血液浄化装置!$I$3)/血液浄化装置!$H$3),0)</f>
        <v>0</v>
      </c>
      <c r="W315" s="68">
        <f t="shared" si="86"/>
        <v>0</v>
      </c>
      <c r="X315" s="67">
        <f>IFERROR(SUMIF(気管支鏡!$C$30:$C$74,B315,気管支鏡!$K$30:$K$74)*((気管支鏡!$H$3-気管支鏡!$I$3)/気管支鏡!$H$3),0)</f>
        <v>0</v>
      </c>
      <c r="Y315" s="68">
        <f t="shared" si="72"/>
        <v>0</v>
      </c>
      <c r="Z315" s="67">
        <f>IFERROR(SUMIF(CT撮影装置!$C$30:$C$74,B315,CT撮影装置!$K$30:$K$74)*((CT撮影装置!$H$3-CT撮影装置!$I$3)/CT撮影装置!$H$3),0)</f>
        <v>0</v>
      </c>
      <c r="AA315" s="68">
        <f t="shared" si="87"/>
        <v>0</v>
      </c>
      <c r="AB315" s="67">
        <f>IFERROR(SUMIF(生体情報モニタ!$C$30:$C$74,B315,生体情報モニタ!$K$30:$K$74)*((生体情報モニタ!$H$3-生体情報モニタ!$I$3)/生体情報モニタ!$H$3),0)</f>
        <v>0</v>
      </c>
      <c r="AC315" s="68">
        <f t="shared" si="73"/>
        <v>0</v>
      </c>
      <c r="AD315" s="67">
        <f>IFERROR(SUMIF(分娩監視装置!$C$30:$C$74,B315,分娩監視装置!$K$30:$K$74)*((分娩監視装置!$H$3-分娩監視装置!$I$3)/分娩監視装置!$H$3),0)</f>
        <v>0</v>
      </c>
      <c r="AE315" s="68">
        <f t="shared" si="88"/>
        <v>0</v>
      </c>
      <c r="AF315" s="67">
        <f>IFERROR(SUMIF(新生児モニタ!$C$30:$C$74,B315,新生児モニタ!$K$30:$K$74)*((新生児モニタ!$H$3-新生児モニタ!$I$3)/新生児モニタ!$H$3),0)</f>
        <v>0</v>
      </c>
      <c r="AG315" s="68">
        <f t="shared" si="89"/>
        <v>0</v>
      </c>
    </row>
    <row r="316" spans="2:33">
      <c r="B316" s="64" t="s">
        <v>963</v>
      </c>
      <c r="C316" s="67">
        <f>IFERROR(SUMIF(初度設備!$C$30:$C$74,B316,初度設備!$N$30:$N$74)*((初度設備!$H$3-初度設備!$I$3)/初度設備!$H$3),0)</f>
        <v>0</v>
      </c>
      <c r="D316" s="68">
        <f t="shared" si="74"/>
        <v>0</v>
      </c>
      <c r="E316" s="67">
        <f>IFERROR(SUMIF(人工呼吸器!$C$30:$C$74,B316,人工呼吸器!$N$30:$N$74)*((人工呼吸器!$H$3-人工呼吸器!$I$3)/人工呼吸器!$H$3),0)</f>
        <v>0</v>
      </c>
      <c r="F316" s="68">
        <f t="shared" si="75"/>
        <v>0</v>
      </c>
      <c r="G316" s="68">
        <f t="shared" si="76"/>
        <v>0</v>
      </c>
      <c r="H316" s="68">
        <f t="shared" si="77"/>
        <v>0</v>
      </c>
      <c r="I316" s="67">
        <f>IFERROR(SUMIF(簡易陰圧装置!$C$30:$C$74,B316,簡易陰圧装置!$N$30:$N$74)*((簡易陰圧装置!$H$3-簡易陰圧装置!$I$3)/簡易陰圧装置!$H$3),0)</f>
        <v>0</v>
      </c>
      <c r="J316" s="68">
        <f t="shared" si="78"/>
        <v>0</v>
      </c>
      <c r="K316" s="67">
        <f>IFERROR(SUMIF(#REF!,B316,#REF!)*((#REF!-#REF!)/#REF!),0)</f>
        <v>0</v>
      </c>
      <c r="L316" s="68">
        <f t="shared" si="79"/>
        <v>0</v>
      </c>
      <c r="M316" s="67">
        <f>IFERROR(SUMIF(体外式膜型人工肺!$C$30:$C$74,B316,体外式膜型人工肺!$N$30:$N$74)*((体外式膜型人工肺!$H$3-体外式膜型人工肺!$I$3)/体外式膜型人工肺!$H$3),0)</f>
        <v>0</v>
      </c>
      <c r="N316" s="68">
        <f t="shared" si="80"/>
        <v>0</v>
      </c>
      <c r="O316" s="68">
        <f t="shared" si="81"/>
        <v>0</v>
      </c>
      <c r="P316" s="68">
        <f t="shared" si="82"/>
        <v>0</v>
      </c>
      <c r="Q316" s="67">
        <f>IFERROR(SUMIF(紫外線照射装置!$C$30:$C$74,B316,紫外線照射装置!$N$30:$N$74)*((紫外線照射装置!$H$3-紫外線照射装置!$I$3)/紫外線照射装置!$H$3),0)</f>
        <v>0</v>
      </c>
      <c r="R316" s="68">
        <f t="shared" si="83"/>
        <v>0</v>
      </c>
      <c r="S316" s="101">
        <f t="shared" si="84"/>
        <v>0</v>
      </c>
      <c r="T316" s="67">
        <f>IFERROR(SUMIF(超音波画像診断装置!$C$30:$C$74,B316,超音波画像診断装置!$K$30:$K$74)*((超音波画像診断装置!$H$3-超音波画像診断装置!$I$3)/超音波画像診断装置!$H$3),0)</f>
        <v>0</v>
      </c>
      <c r="U316" s="68">
        <f t="shared" si="85"/>
        <v>0</v>
      </c>
      <c r="V316" s="67">
        <f>IFERROR(SUMIF(血液浄化装置!$C$30:$C$74,B316,血液浄化装置!$K$30:$K$74)*((血液浄化装置!$H$3-血液浄化装置!$I$3)/血液浄化装置!$H$3),0)</f>
        <v>0</v>
      </c>
      <c r="W316" s="68">
        <f t="shared" si="86"/>
        <v>0</v>
      </c>
      <c r="X316" s="67">
        <f>IFERROR(SUMIF(気管支鏡!$C$30:$C$74,B316,気管支鏡!$K$30:$K$74)*((気管支鏡!$H$3-気管支鏡!$I$3)/気管支鏡!$H$3),0)</f>
        <v>0</v>
      </c>
      <c r="Y316" s="68">
        <f t="shared" si="72"/>
        <v>0</v>
      </c>
      <c r="Z316" s="67">
        <f>IFERROR(SUMIF(CT撮影装置!$C$30:$C$74,B316,CT撮影装置!$K$30:$K$74)*((CT撮影装置!$H$3-CT撮影装置!$I$3)/CT撮影装置!$H$3),0)</f>
        <v>0</v>
      </c>
      <c r="AA316" s="68">
        <f t="shared" si="87"/>
        <v>0</v>
      </c>
      <c r="AB316" s="67">
        <f>IFERROR(SUMIF(生体情報モニタ!$C$30:$C$74,B316,生体情報モニタ!$K$30:$K$74)*((生体情報モニタ!$H$3-生体情報モニタ!$I$3)/生体情報モニタ!$H$3),0)</f>
        <v>0</v>
      </c>
      <c r="AC316" s="68">
        <f t="shared" si="73"/>
        <v>0</v>
      </c>
      <c r="AD316" s="67">
        <f>IFERROR(SUMIF(分娩監視装置!$C$30:$C$74,B316,分娩監視装置!$K$30:$K$74)*((分娩監視装置!$H$3-分娩監視装置!$I$3)/分娩監視装置!$H$3),0)</f>
        <v>0</v>
      </c>
      <c r="AE316" s="68">
        <f t="shared" si="88"/>
        <v>0</v>
      </c>
      <c r="AF316" s="67">
        <f>IFERROR(SUMIF(新生児モニタ!$C$30:$C$74,B316,新生児モニタ!$K$30:$K$74)*((新生児モニタ!$H$3-新生児モニタ!$I$3)/新生児モニタ!$H$3),0)</f>
        <v>0</v>
      </c>
      <c r="AG316" s="68">
        <f t="shared" si="89"/>
        <v>0</v>
      </c>
    </row>
    <row r="317" spans="2:33">
      <c r="B317" s="64" t="s">
        <v>964</v>
      </c>
      <c r="C317" s="67">
        <f>IFERROR(SUMIF(初度設備!$C$30:$C$74,B317,初度設備!$N$30:$N$74)*((初度設備!$H$3-初度設備!$I$3)/初度設備!$H$3),0)</f>
        <v>0</v>
      </c>
      <c r="D317" s="68">
        <f t="shared" si="74"/>
        <v>0</v>
      </c>
      <c r="E317" s="67">
        <f>IFERROR(SUMIF(人工呼吸器!$C$30:$C$74,B317,人工呼吸器!$N$30:$N$74)*((人工呼吸器!$H$3-人工呼吸器!$I$3)/人工呼吸器!$H$3),0)</f>
        <v>0</v>
      </c>
      <c r="F317" s="68">
        <f t="shared" si="75"/>
        <v>0</v>
      </c>
      <c r="G317" s="68">
        <f t="shared" si="76"/>
        <v>0</v>
      </c>
      <c r="H317" s="68">
        <f t="shared" si="77"/>
        <v>0</v>
      </c>
      <c r="I317" s="67">
        <f>IFERROR(SUMIF(簡易陰圧装置!$C$30:$C$74,B317,簡易陰圧装置!$N$30:$N$74)*((簡易陰圧装置!$H$3-簡易陰圧装置!$I$3)/簡易陰圧装置!$H$3),0)</f>
        <v>0</v>
      </c>
      <c r="J317" s="68">
        <f t="shared" si="78"/>
        <v>0</v>
      </c>
      <c r="K317" s="67">
        <f>IFERROR(SUMIF(#REF!,B317,#REF!)*((#REF!-#REF!)/#REF!),0)</f>
        <v>0</v>
      </c>
      <c r="L317" s="68">
        <f t="shared" si="79"/>
        <v>0</v>
      </c>
      <c r="M317" s="67">
        <f>IFERROR(SUMIF(体外式膜型人工肺!$C$30:$C$74,B317,体外式膜型人工肺!$N$30:$N$74)*((体外式膜型人工肺!$H$3-体外式膜型人工肺!$I$3)/体外式膜型人工肺!$H$3),0)</f>
        <v>0</v>
      </c>
      <c r="N317" s="68">
        <f t="shared" si="80"/>
        <v>0</v>
      </c>
      <c r="O317" s="68">
        <f t="shared" si="81"/>
        <v>0</v>
      </c>
      <c r="P317" s="68">
        <f t="shared" si="82"/>
        <v>0</v>
      </c>
      <c r="Q317" s="67">
        <f>IFERROR(SUMIF(紫外線照射装置!$C$30:$C$74,B317,紫外線照射装置!$N$30:$N$74)*((紫外線照射装置!$H$3-紫外線照射装置!$I$3)/紫外線照射装置!$H$3),0)</f>
        <v>0</v>
      </c>
      <c r="R317" s="68">
        <f t="shared" si="83"/>
        <v>0</v>
      </c>
      <c r="S317" s="101">
        <f t="shared" si="84"/>
        <v>0</v>
      </c>
      <c r="T317" s="67">
        <f>IFERROR(SUMIF(超音波画像診断装置!$C$30:$C$74,B317,超音波画像診断装置!$K$30:$K$74)*((超音波画像診断装置!$H$3-超音波画像診断装置!$I$3)/超音波画像診断装置!$H$3),0)</f>
        <v>0</v>
      </c>
      <c r="U317" s="68">
        <f t="shared" si="85"/>
        <v>0</v>
      </c>
      <c r="V317" s="67">
        <f>IFERROR(SUMIF(血液浄化装置!$C$30:$C$74,B317,血液浄化装置!$K$30:$K$74)*((血液浄化装置!$H$3-血液浄化装置!$I$3)/血液浄化装置!$H$3),0)</f>
        <v>0</v>
      </c>
      <c r="W317" s="68">
        <f t="shared" si="86"/>
        <v>0</v>
      </c>
      <c r="X317" s="67">
        <f>IFERROR(SUMIF(気管支鏡!$C$30:$C$74,B317,気管支鏡!$K$30:$K$74)*((気管支鏡!$H$3-気管支鏡!$I$3)/気管支鏡!$H$3),0)</f>
        <v>0</v>
      </c>
      <c r="Y317" s="68">
        <f t="shared" si="72"/>
        <v>0</v>
      </c>
      <c r="Z317" s="67">
        <f>IFERROR(SUMIF(CT撮影装置!$C$30:$C$74,B317,CT撮影装置!$K$30:$K$74)*((CT撮影装置!$H$3-CT撮影装置!$I$3)/CT撮影装置!$H$3),0)</f>
        <v>0</v>
      </c>
      <c r="AA317" s="68">
        <f t="shared" si="87"/>
        <v>0</v>
      </c>
      <c r="AB317" s="67">
        <f>IFERROR(SUMIF(生体情報モニタ!$C$30:$C$74,B317,生体情報モニタ!$K$30:$K$74)*((生体情報モニタ!$H$3-生体情報モニタ!$I$3)/生体情報モニタ!$H$3),0)</f>
        <v>0</v>
      </c>
      <c r="AC317" s="68">
        <f t="shared" si="73"/>
        <v>0</v>
      </c>
      <c r="AD317" s="67">
        <f>IFERROR(SUMIF(分娩監視装置!$C$30:$C$74,B317,分娩監視装置!$K$30:$K$74)*((分娩監視装置!$H$3-分娩監視装置!$I$3)/分娩監視装置!$H$3),0)</f>
        <v>0</v>
      </c>
      <c r="AE317" s="68">
        <f t="shared" si="88"/>
        <v>0</v>
      </c>
      <c r="AF317" s="67">
        <f>IFERROR(SUMIF(新生児モニタ!$C$30:$C$74,B317,新生児モニタ!$K$30:$K$74)*((新生児モニタ!$H$3-新生児モニタ!$I$3)/新生児モニタ!$H$3),0)</f>
        <v>0</v>
      </c>
      <c r="AG317" s="68">
        <f t="shared" si="89"/>
        <v>0</v>
      </c>
    </row>
    <row r="318" spans="2:33">
      <c r="B318" s="64" t="s">
        <v>965</v>
      </c>
      <c r="C318" s="67">
        <f>IFERROR(SUMIF(初度設備!$C$30:$C$74,B318,初度設備!$N$30:$N$74)*((初度設備!$H$3-初度設備!$I$3)/初度設備!$H$3),0)</f>
        <v>0</v>
      </c>
      <c r="D318" s="68">
        <f t="shared" si="74"/>
        <v>0</v>
      </c>
      <c r="E318" s="67">
        <f>IFERROR(SUMIF(人工呼吸器!$C$30:$C$74,B318,人工呼吸器!$N$30:$N$74)*((人工呼吸器!$H$3-人工呼吸器!$I$3)/人工呼吸器!$H$3),0)</f>
        <v>0</v>
      </c>
      <c r="F318" s="68">
        <f t="shared" si="75"/>
        <v>0</v>
      </c>
      <c r="G318" s="68">
        <f t="shared" si="76"/>
        <v>0</v>
      </c>
      <c r="H318" s="68">
        <f t="shared" si="77"/>
        <v>0</v>
      </c>
      <c r="I318" s="67">
        <f>IFERROR(SUMIF(簡易陰圧装置!$C$30:$C$74,B318,簡易陰圧装置!$N$30:$N$74)*((簡易陰圧装置!$H$3-簡易陰圧装置!$I$3)/簡易陰圧装置!$H$3),0)</f>
        <v>0</v>
      </c>
      <c r="J318" s="68">
        <f t="shared" si="78"/>
        <v>0</v>
      </c>
      <c r="K318" s="67">
        <f>IFERROR(SUMIF(#REF!,B318,#REF!)*((#REF!-#REF!)/#REF!),0)</f>
        <v>0</v>
      </c>
      <c r="L318" s="68">
        <f t="shared" si="79"/>
        <v>0</v>
      </c>
      <c r="M318" s="67">
        <f>IFERROR(SUMIF(体外式膜型人工肺!$C$30:$C$74,B318,体外式膜型人工肺!$N$30:$N$74)*((体外式膜型人工肺!$H$3-体外式膜型人工肺!$I$3)/体外式膜型人工肺!$H$3),0)</f>
        <v>0</v>
      </c>
      <c r="N318" s="68">
        <f t="shared" si="80"/>
        <v>0</v>
      </c>
      <c r="O318" s="68">
        <f t="shared" si="81"/>
        <v>0</v>
      </c>
      <c r="P318" s="68">
        <f t="shared" si="82"/>
        <v>0</v>
      </c>
      <c r="Q318" s="67">
        <f>IFERROR(SUMIF(紫外線照射装置!$C$30:$C$74,B318,紫外線照射装置!$N$30:$N$74)*((紫外線照射装置!$H$3-紫外線照射装置!$I$3)/紫外線照射装置!$H$3),0)</f>
        <v>0</v>
      </c>
      <c r="R318" s="68">
        <f t="shared" si="83"/>
        <v>0</v>
      </c>
      <c r="S318" s="101">
        <f t="shared" si="84"/>
        <v>0</v>
      </c>
      <c r="T318" s="67">
        <f>IFERROR(SUMIF(超音波画像診断装置!$C$30:$C$74,B318,超音波画像診断装置!$K$30:$K$74)*((超音波画像診断装置!$H$3-超音波画像診断装置!$I$3)/超音波画像診断装置!$H$3),0)</f>
        <v>0</v>
      </c>
      <c r="U318" s="68">
        <f t="shared" si="85"/>
        <v>0</v>
      </c>
      <c r="V318" s="67">
        <f>IFERROR(SUMIF(血液浄化装置!$C$30:$C$74,B318,血液浄化装置!$K$30:$K$74)*((血液浄化装置!$H$3-血液浄化装置!$I$3)/血液浄化装置!$H$3),0)</f>
        <v>0</v>
      </c>
      <c r="W318" s="68">
        <f t="shared" si="86"/>
        <v>0</v>
      </c>
      <c r="X318" s="67">
        <f>IFERROR(SUMIF(気管支鏡!$C$30:$C$74,B318,気管支鏡!$K$30:$K$74)*((気管支鏡!$H$3-気管支鏡!$I$3)/気管支鏡!$H$3),0)</f>
        <v>0</v>
      </c>
      <c r="Y318" s="68">
        <f t="shared" si="72"/>
        <v>0</v>
      </c>
      <c r="Z318" s="67">
        <f>IFERROR(SUMIF(CT撮影装置!$C$30:$C$74,B318,CT撮影装置!$K$30:$K$74)*((CT撮影装置!$H$3-CT撮影装置!$I$3)/CT撮影装置!$H$3),0)</f>
        <v>0</v>
      </c>
      <c r="AA318" s="68">
        <f t="shared" si="87"/>
        <v>0</v>
      </c>
      <c r="AB318" s="67">
        <f>IFERROR(SUMIF(生体情報モニタ!$C$30:$C$74,B318,生体情報モニタ!$K$30:$K$74)*((生体情報モニタ!$H$3-生体情報モニタ!$I$3)/生体情報モニタ!$H$3),0)</f>
        <v>0</v>
      </c>
      <c r="AC318" s="68">
        <f t="shared" si="73"/>
        <v>0</v>
      </c>
      <c r="AD318" s="67">
        <f>IFERROR(SUMIF(分娩監視装置!$C$30:$C$74,B318,分娩監視装置!$K$30:$K$74)*((分娩監視装置!$H$3-分娩監視装置!$I$3)/分娩監視装置!$H$3),0)</f>
        <v>0</v>
      </c>
      <c r="AE318" s="68">
        <f t="shared" si="88"/>
        <v>0</v>
      </c>
      <c r="AF318" s="67">
        <f>IFERROR(SUMIF(新生児モニタ!$C$30:$C$74,B318,新生児モニタ!$K$30:$K$74)*((新生児モニタ!$H$3-新生児モニタ!$I$3)/新生児モニタ!$H$3),0)</f>
        <v>0</v>
      </c>
      <c r="AG318" s="68">
        <f t="shared" si="89"/>
        <v>0</v>
      </c>
    </row>
    <row r="319" spans="2:33">
      <c r="B319" s="64" t="s">
        <v>966</v>
      </c>
      <c r="C319" s="67">
        <f>IFERROR(SUMIF(初度設備!$C$30:$C$74,B319,初度設備!$N$30:$N$74)*((初度設備!$H$3-初度設備!$I$3)/初度設備!$H$3),0)</f>
        <v>0</v>
      </c>
      <c r="D319" s="68">
        <f t="shared" si="74"/>
        <v>0</v>
      </c>
      <c r="E319" s="67">
        <f>IFERROR(SUMIF(人工呼吸器!$C$30:$C$74,B319,人工呼吸器!$N$30:$N$74)*((人工呼吸器!$H$3-人工呼吸器!$I$3)/人工呼吸器!$H$3),0)</f>
        <v>0</v>
      </c>
      <c r="F319" s="68">
        <f t="shared" si="75"/>
        <v>0</v>
      </c>
      <c r="G319" s="68">
        <f t="shared" si="76"/>
        <v>0</v>
      </c>
      <c r="H319" s="68">
        <f t="shared" si="77"/>
        <v>0</v>
      </c>
      <c r="I319" s="67">
        <f>IFERROR(SUMIF(簡易陰圧装置!$C$30:$C$74,B319,簡易陰圧装置!$N$30:$N$74)*((簡易陰圧装置!$H$3-簡易陰圧装置!$I$3)/簡易陰圧装置!$H$3),0)</f>
        <v>0</v>
      </c>
      <c r="J319" s="68">
        <f t="shared" si="78"/>
        <v>0</v>
      </c>
      <c r="K319" s="67">
        <f>IFERROR(SUMIF(#REF!,B319,#REF!)*((#REF!-#REF!)/#REF!),0)</f>
        <v>0</v>
      </c>
      <c r="L319" s="68">
        <f t="shared" si="79"/>
        <v>0</v>
      </c>
      <c r="M319" s="67">
        <f>IFERROR(SUMIF(体外式膜型人工肺!$C$30:$C$74,B319,体外式膜型人工肺!$N$30:$N$74)*((体外式膜型人工肺!$H$3-体外式膜型人工肺!$I$3)/体外式膜型人工肺!$H$3),0)</f>
        <v>0</v>
      </c>
      <c r="N319" s="68">
        <f t="shared" si="80"/>
        <v>0</v>
      </c>
      <c r="O319" s="68">
        <f t="shared" si="81"/>
        <v>0</v>
      </c>
      <c r="P319" s="68">
        <f t="shared" si="82"/>
        <v>0</v>
      </c>
      <c r="Q319" s="67">
        <f>IFERROR(SUMIF(紫外線照射装置!$C$30:$C$74,B319,紫外線照射装置!$N$30:$N$74)*((紫外線照射装置!$H$3-紫外線照射装置!$I$3)/紫外線照射装置!$H$3),0)</f>
        <v>0</v>
      </c>
      <c r="R319" s="68">
        <f t="shared" si="83"/>
        <v>0</v>
      </c>
      <c r="S319" s="101">
        <f t="shared" si="84"/>
        <v>0</v>
      </c>
      <c r="T319" s="67">
        <f>IFERROR(SUMIF(超音波画像診断装置!$C$30:$C$74,B319,超音波画像診断装置!$K$30:$K$74)*((超音波画像診断装置!$H$3-超音波画像診断装置!$I$3)/超音波画像診断装置!$H$3),0)</f>
        <v>0</v>
      </c>
      <c r="U319" s="68">
        <f t="shared" si="85"/>
        <v>0</v>
      </c>
      <c r="V319" s="67">
        <f>IFERROR(SUMIF(血液浄化装置!$C$30:$C$74,B319,血液浄化装置!$K$30:$K$74)*((血液浄化装置!$H$3-血液浄化装置!$I$3)/血液浄化装置!$H$3),0)</f>
        <v>0</v>
      </c>
      <c r="W319" s="68">
        <f t="shared" si="86"/>
        <v>0</v>
      </c>
      <c r="X319" s="67">
        <f>IFERROR(SUMIF(気管支鏡!$C$30:$C$74,B319,気管支鏡!$K$30:$K$74)*((気管支鏡!$H$3-気管支鏡!$I$3)/気管支鏡!$H$3),0)</f>
        <v>0</v>
      </c>
      <c r="Y319" s="68">
        <f t="shared" si="72"/>
        <v>0</v>
      </c>
      <c r="Z319" s="67">
        <f>IFERROR(SUMIF(CT撮影装置!$C$30:$C$74,B319,CT撮影装置!$K$30:$K$74)*((CT撮影装置!$H$3-CT撮影装置!$I$3)/CT撮影装置!$H$3),0)</f>
        <v>0</v>
      </c>
      <c r="AA319" s="68">
        <f t="shared" si="87"/>
        <v>0</v>
      </c>
      <c r="AB319" s="67">
        <f>IFERROR(SUMIF(生体情報モニタ!$C$30:$C$74,B319,生体情報モニタ!$K$30:$K$74)*((生体情報モニタ!$H$3-生体情報モニタ!$I$3)/生体情報モニタ!$H$3),0)</f>
        <v>0</v>
      </c>
      <c r="AC319" s="68">
        <f t="shared" si="73"/>
        <v>0</v>
      </c>
      <c r="AD319" s="67">
        <f>IFERROR(SUMIF(分娩監視装置!$C$30:$C$74,B319,分娩監視装置!$K$30:$K$74)*((分娩監視装置!$H$3-分娩監視装置!$I$3)/分娩監視装置!$H$3),0)</f>
        <v>0</v>
      </c>
      <c r="AE319" s="68">
        <f t="shared" si="88"/>
        <v>0</v>
      </c>
      <c r="AF319" s="67">
        <f>IFERROR(SUMIF(新生児モニタ!$C$30:$C$74,B319,新生児モニタ!$K$30:$K$74)*((新生児モニタ!$H$3-新生児モニタ!$I$3)/新生児モニタ!$H$3),0)</f>
        <v>0</v>
      </c>
      <c r="AG319" s="68">
        <f t="shared" si="89"/>
        <v>0</v>
      </c>
    </row>
    <row r="320" spans="2:33">
      <c r="B320" s="64" t="s">
        <v>967</v>
      </c>
      <c r="C320" s="67">
        <f>IFERROR(SUMIF(初度設備!$C$30:$C$74,B320,初度設備!$N$30:$N$74)*((初度設備!$H$3-初度設備!$I$3)/初度設備!$H$3),0)</f>
        <v>0</v>
      </c>
      <c r="D320" s="68">
        <f t="shared" si="74"/>
        <v>0</v>
      </c>
      <c r="E320" s="67">
        <f>IFERROR(SUMIF(人工呼吸器!$C$30:$C$74,B320,人工呼吸器!$N$30:$N$74)*((人工呼吸器!$H$3-人工呼吸器!$I$3)/人工呼吸器!$H$3),0)</f>
        <v>0</v>
      </c>
      <c r="F320" s="68">
        <f t="shared" si="75"/>
        <v>0</v>
      </c>
      <c r="G320" s="68">
        <f t="shared" si="76"/>
        <v>0</v>
      </c>
      <c r="H320" s="68">
        <f t="shared" si="77"/>
        <v>0</v>
      </c>
      <c r="I320" s="67">
        <f>IFERROR(SUMIF(簡易陰圧装置!$C$30:$C$74,B320,簡易陰圧装置!$N$30:$N$74)*((簡易陰圧装置!$H$3-簡易陰圧装置!$I$3)/簡易陰圧装置!$H$3),0)</f>
        <v>0</v>
      </c>
      <c r="J320" s="68">
        <f t="shared" si="78"/>
        <v>0</v>
      </c>
      <c r="K320" s="67">
        <f>IFERROR(SUMIF(#REF!,B320,#REF!)*((#REF!-#REF!)/#REF!),0)</f>
        <v>0</v>
      </c>
      <c r="L320" s="68">
        <f t="shared" si="79"/>
        <v>0</v>
      </c>
      <c r="M320" s="67">
        <f>IFERROR(SUMIF(体外式膜型人工肺!$C$30:$C$74,B320,体外式膜型人工肺!$N$30:$N$74)*((体外式膜型人工肺!$H$3-体外式膜型人工肺!$I$3)/体外式膜型人工肺!$H$3),0)</f>
        <v>0</v>
      </c>
      <c r="N320" s="68">
        <f t="shared" si="80"/>
        <v>0</v>
      </c>
      <c r="O320" s="68">
        <f t="shared" si="81"/>
        <v>0</v>
      </c>
      <c r="P320" s="68">
        <f t="shared" si="82"/>
        <v>0</v>
      </c>
      <c r="Q320" s="67">
        <f>IFERROR(SUMIF(紫外線照射装置!$C$30:$C$74,B320,紫外線照射装置!$N$30:$N$74)*((紫外線照射装置!$H$3-紫外線照射装置!$I$3)/紫外線照射装置!$H$3),0)</f>
        <v>0</v>
      </c>
      <c r="R320" s="68">
        <f t="shared" si="83"/>
        <v>0</v>
      </c>
      <c r="S320" s="101">
        <f t="shared" si="84"/>
        <v>0</v>
      </c>
      <c r="T320" s="67">
        <f>IFERROR(SUMIF(超音波画像診断装置!$C$30:$C$74,B320,超音波画像診断装置!$K$30:$K$74)*((超音波画像診断装置!$H$3-超音波画像診断装置!$I$3)/超音波画像診断装置!$H$3),0)</f>
        <v>0</v>
      </c>
      <c r="U320" s="68">
        <f t="shared" si="85"/>
        <v>0</v>
      </c>
      <c r="V320" s="67">
        <f>IFERROR(SUMIF(血液浄化装置!$C$30:$C$74,B320,血液浄化装置!$K$30:$K$74)*((血液浄化装置!$H$3-血液浄化装置!$I$3)/血液浄化装置!$H$3),0)</f>
        <v>0</v>
      </c>
      <c r="W320" s="68">
        <f t="shared" si="86"/>
        <v>0</v>
      </c>
      <c r="X320" s="67">
        <f>IFERROR(SUMIF(気管支鏡!$C$30:$C$74,B320,気管支鏡!$K$30:$K$74)*((気管支鏡!$H$3-気管支鏡!$I$3)/気管支鏡!$H$3),0)</f>
        <v>0</v>
      </c>
      <c r="Y320" s="68">
        <f t="shared" si="72"/>
        <v>0</v>
      </c>
      <c r="Z320" s="67">
        <f>IFERROR(SUMIF(CT撮影装置!$C$30:$C$74,B320,CT撮影装置!$K$30:$K$74)*((CT撮影装置!$H$3-CT撮影装置!$I$3)/CT撮影装置!$H$3),0)</f>
        <v>0</v>
      </c>
      <c r="AA320" s="68">
        <f t="shared" si="87"/>
        <v>0</v>
      </c>
      <c r="AB320" s="67">
        <f>IFERROR(SUMIF(生体情報モニタ!$C$30:$C$74,B320,生体情報モニタ!$K$30:$K$74)*((生体情報モニタ!$H$3-生体情報モニタ!$I$3)/生体情報モニタ!$H$3),0)</f>
        <v>0</v>
      </c>
      <c r="AC320" s="68">
        <f t="shared" si="73"/>
        <v>0</v>
      </c>
      <c r="AD320" s="67">
        <f>IFERROR(SUMIF(分娩監視装置!$C$30:$C$74,B320,分娩監視装置!$K$30:$K$74)*((分娩監視装置!$H$3-分娩監視装置!$I$3)/分娩監視装置!$H$3),0)</f>
        <v>0</v>
      </c>
      <c r="AE320" s="68">
        <f t="shared" si="88"/>
        <v>0</v>
      </c>
      <c r="AF320" s="67">
        <f>IFERROR(SUMIF(新生児モニタ!$C$30:$C$74,B320,新生児モニタ!$K$30:$K$74)*((新生児モニタ!$H$3-新生児モニタ!$I$3)/新生児モニタ!$H$3),0)</f>
        <v>0</v>
      </c>
      <c r="AG320" s="68">
        <f t="shared" si="89"/>
        <v>0</v>
      </c>
    </row>
    <row r="321" spans="2:33">
      <c r="B321" s="64" t="s">
        <v>968</v>
      </c>
      <c r="C321" s="67">
        <f>IFERROR(SUMIF(初度設備!$C$30:$C$74,B321,初度設備!$N$30:$N$74)*((初度設備!$H$3-初度設備!$I$3)/初度設備!$H$3),0)</f>
        <v>0</v>
      </c>
      <c r="D321" s="68">
        <f t="shared" si="74"/>
        <v>0</v>
      </c>
      <c r="E321" s="67">
        <f>IFERROR(SUMIF(人工呼吸器!$C$30:$C$74,B321,人工呼吸器!$N$30:$N$74)*((人工呼吸器!$H$3-人工呼吸器!$I$3)/人工呼吸器!$H$3),0)</f>
        <v>0</v>
      </c>
      <c r="F321" s="68">
        <f t="shared" si="75"/>
        <v>0</v>
      </c>
      <c r="G321" s="68">
        <f t="shared" si="76"/>
        <v>0</v>
      </c>
      <c r="H321" s="68">
        <f t="shared" si="77"/>
        <v>0</v>
      </c>
      <c r="I321" s="67">
        <f>IFERROR(SUMIF(簡易陰圧装置!$C$30:$C$74,B321,簡易陰圧装置!$N$30:$N$74)*((簡易陰圧装置!$H$3-簡易陰圧装置!$I$3)/簡易陰圧装置!$H$3),0)</f>
        <v>0</v>
      </c>
      <c r="J321" s="68">
        <f t="shared" si="78"/>
        <v>0</v>
      </c>
      <c r="K321" s="67">
        <f>IFERROR(SUMIF(#REF!,B321,#REF!)*((#REF!-#REF!)/#REF!),0)</f>
        <v>0</v>
      </c>
      <c r="L321" s="68">
        <f t="shared" si="79"/>
        <v>0</v>
      </c>
      <c r="M321" s="67">
        <f>IFERROR(SUMIF(体外式膜型人工肺!$C$30:$C$74,B321,体外式膜型人工肺!$N$30:$N$74)*((体外式膜型人工肺!$H$3-体外式膜型人工肺!$I$3)/体外式膜型人工肺!$H$3),0)</f>
        <v>0</v>
      </c>
      <c r="N321" s="68">
        <f t="shared" si="80"/>
        <v>0</v>
      </c>
      <c r="O321" s="68">
        <f t="shared" si="81"/>
        <v>0</v>
      </c>
      <c r="P321" s="68">
        <f t="shared" si="82"/>
        <v>0</v>
      </c>
      <c r="Q321" s="67">
        <f>IFERROR(SUMIF(紫外線照射装置!$C$30:$C$74,B321,紫外線照射装置!$N$30:$N$74)*((紫外線照射装置!$H$3-紫外線照射装置!$I$3)/紫外線照射装置!$H$3),0)</f>
        <v>0</v>
      </c>
      <c r="R321" s="68">
        <f t="shared" si="83"/>
        <v>0</v>
      </c>
      <c r="S321" s="101">
        <f t="shared" si="84"/>
        <v>0</v>
      </c>
      <c r="T321" s="67">
        <f>IFERROR(SUMIF(超音波画像診断装置!$C$30:$C$74,B321,超音波画像診断装置!$K$30:$K$74)*((超音波画像診断装置!$H$3-超音波画像診断装置!$I$3)/超音波画像診断装置!$H$3),0)</f>
        <v>0</v>
      </c>
      <c r="U321" s="68">
        <f t="shared" si="85"/>
        <v>0</v>
      </c>
      <c r="V321" s="67">
        <f>IFERROR(SUMIF(血液浄化装置!$C$30:$C$74,B321,血液浄化装置!$K$30:$K$74)*((血液浄化装置!$H$3-血液浄化装置!$I$3)/血液浄化装置!$H$3),0)</f>
        <v>0</v>
      </c>
      <c r="W321" s="68">
        <f t="shared" si="86"/>
        <v>0</v>
      </c>
      <c r="X321" s="67">
        <f>IFERROR(SUMIF(気管支鏡!$C$30:$C$74,B321,気管支鏡!$K$30:$K$74)*((気管支鏡!$H$3-気管支鏡!$I$3)/気管支鏡!$H$3),0)</f>
        <v>0</v>
      </c>
      <c r="Y321" s="68">
        <f t="shared" si="72"/>
        <v>0</v>
      </c>
      <c r="Z321" s="67">
        <f>IFERROR(SUMIF(CT撮影装置!$C$30:$C$74,B321,CT撮影装置!$K$30:$K$74)*((CT撮影装置!$H$3-CT撮影装置!$I$3)/CT撮影装置!$H$3),0)</f>
        <v>0</v>
      </c>
      <c r="AA321" s="68">
        <f t="shared" si="87"/>
        <v>0</v>
      </c>
      <c r="AB321" s="67">
        <f>IFERROR(SUMIF(生体情報モニタ!$C$30:$C$74,B321,生体情報モニタ!$K$30:$K$74)*((生体情報モニタ!$H$3-生体情報モニタ!$I$3)/生体情報モニタ!$H$3),0)</f>
        <v>0</v>
      </c>
      <c r="AC321" s="68">
        <f t="shared" si="73"/>
        <v>0</v>
      </c>
      <c r="AD321" s="67">
        <f>IFERROR(SUMIF(分娩監視装置!$C$30:$C$74,B321,分娩監視装置!$K$30:$K$74)*((分娩監視装置!$H$3-分娩監視装置!$I$3)/分娩監視装置!$H$3),0)</f>
        <v>0</v>
      </c>
      <c r="AE321" s="68">
        <f t="shared" si="88"/>
        <v>0</v>
      </c>
      <c r="AF321" s="67">
        <f>IFERROR(SUMIF(新生児モニタ!$C$30:$C$74,B321,新生児モニタ!$K$30:$K$74)*((新生児モニタ!$H$3-新生児モニタ!$I$3)/新生児モニタ!$H$3),0)</f>
        <v>0</v>
      </c>
      <c r="AG321" s="68">
        <f t="shared" si="89"/>
        <v>0</v>
      </c>
    </row>
    <row r="322" spans="2:33">
      <c r="B322" s="64" t="s">
        <v>969</v>
      </c>
      <c r="C322" s="67">
        <f>IFERROR(SUMIF(初度設備!$C$30:$C$74,B322,初度設備!$N$30:$N$74)*((初度設備!$H$3-初度設備!$I$3)/初度設備!$H$3),0)</f>
        <v>0</v>
      </c>
      <c r="D322" s="68">
        <f t="shared" si="74"/>
        <v>0</v>
      </c>
      <c r="E322" s="67">
        <f>IFERROR(SUMIF(人工呼吸器!$C$30:$C$74,B322,人工呼吸器!$N$30:$N$74)*((人工呼吸器!$H$3-人工呼吸器!$I$3)/人工呼吸器!$H$3),0)</f>
        <v>0</v>
      </c>
      <c r="F322" s="68">
        <f t="shared" si="75"/>
        <v>0</v>
      </c>
      <c r="G322" s="68">
        <f t="shared" si="76"/>
        <v>0</v>
      </c>
      <c r="H322" s="68">
        <f t="shared" si="77"/>
        <v>0</v>
      </c>
      <c r="I322" s="67">
        <f>IFERROR(SUMIF(簡易陰圧装置!$C$30:$C$74,B322,簡易陰圧装置!$N$30:$N$74)*((簡易陰圧装置!$H$3-簡易陰圧装置!$I$3)/簡易陰圧装置!$H$3),0)</f>
        <v>0</v>
      </c>
      <c r="J322" s="68">
        <f t="shared" si="78"/>
        <v>0</v>
      </c>
      <c r="K322" s="67">
        <f>IFERROR(SUMIF(#REF!,B322,#REF!)*((#REF!-#REF!)/#REF!),0)</f>
        <v>0</v>
      </c>
      <c r="L322" s="68">
        <f t="shared" si="79"/>
        <v>0</v>
      </c>
      <c r="M322" s="67">
        <f>IFERROR(SUMIF(体外式膜型人工肺!$C$30:$C$74,B322,体外式膜型人工肺!$N$30:$N$74)*((体外式膜型人工肺!$H$3-体外式膜型人工肺!$I$3)/体外式膜型人工肺!$H$3),0)</f>
        <v>0</v>
      </c>
      <c r="N322" s="68">
        <f t="shared" si="80"/>
        <v>0</v>
      </c>
      <c r="O322" s="68">
        <f t="shared" si="81"/>
        <v>0</v>
      </c>
      <c r="P322" s="68">
        <f t="shared" si="82"/>
        <v>0</v>
      </c>
      <c r="Q322" s="67">
        <f>IFERROR(SUMIF(紫外線照射装置!$C$30:$C$74,B322,紫外線照射装置!$N$30:$N$74)*((紫外線照射装置!$H$3-紫外線照射装置!$I$3)/紫外線照射装置!$H$3),0)</f>
        <v>0</v>
      </c>
      <c r="R322" s="68">
        <f t="shared" si="83"/>
        <v>0</v>
      </c>
      <c r="S322" s="101">
        <f t="shared" si="84"/>
        <v>0</v>
      </c>
      <c r="T322" s="67">
        <f>IFERROR(SUMIF(超音波画像診断装置!$C$30:$C$74,B322,超音波画像診断装置!$K$30:$K$74)*((超音波画像診断装置!$H$3-超音波画像診断装置!$I$3)/超音波画像診断装置!$H$3),0)</f>
        <v>0</v>
      </c>
      <c r="U322" s="68">
        <f t="shared" si="85"/>
        <v>0</v>
      </c>
      <c r="V322" s="67">
        <f>IFERROR(SUMIF(血液浄化装置!$C$30:$C$74,B322,血液浄化装置!$K$30:$K$74)*((血液浄化装置!$H$3-血液浄化装置!$I$3)/血液浄化装置!$H$3),0)</f>
        <v>0</v>
      </c>
      <c r="W322" s="68">
        <f t="shared" si="86"/>
        <v>0</v>
      </c>
      <c r="X322" s="67">
        <f>IFERROR(SUMIF(気管支鏡!$C$30:$C$74,B322,気管支鏡!$K$30:$K$74)*((気管支鏡!$H$3-気管支鏡!$I$3)/気管支鏡!$H$3),0)</f>
        <v>0</v>
      </c>
      <c r="Y322" s="68">
        <f t="shared" si="72"/>
        <v>0</v>
      </c>
      <c r="Z322" s="67">
        <f>IFERROR(SUMIF(CT撮影装置!$C$30:$C$74,B322,CT撮影装置!$K$30:$K$74)*((CT撮影装置!$H$3-CT撮影装置!$I$3)/CT撮影装置!$H$3),0)</f>
        <v>0</v>
      </c>
      <c r="AA322" s="68">
        <f t="shared" si="87"/>
        <v>0</v>
      </c>
      <c r="AB322" s="67">
        <f>IFERROR(SUMIF(生体情報モニタ!$C$30:$C$74,B322,生体情報モニタ!$K$30:$K$74)*((生体情報モニタ!$H$3-生体情報モニタ!$I$3)/生体情報モニタ!$H$3),0)</f>
        <v>0</v>
      </c>
      <c r="AC322" s="68">
        <f t="shared" si="73"/>
        <v>0</v>
      </c>
      <c r="AD322" s="67">
        <f>IFERROR(SUMIF(分娩監視装置!$C$30:$C$74,B322,分娩監視装置!$K$30:$K$74)*((分娩監視装置!$H$3-分娩監視装置!$I$3)/分娩監視装置!$H$3),0)</f>
        <v>0</v>
      </c>
      <c r="AE322" s="68">
        <f t="shared" si="88"/>
        <v>0</v>
      </c>
      <c r="AF322" s="67">
        <f>IFERROR(SUMIF(新生児モニタ!$C$30:$C$74,B322,新生児モニタ!$K$30:$K$74)*((新生児モニタ!$H$3-新生児モニタ!$I$3)/新生児モニタ!$H$3),0)</f>
        <v>0</v>
      </c>
      <c r="AG322" s="68">
        <f t="shared" si="89"/>
        <v>0</v>
      </c>
    </row>
  </sheetData>
  <mergeCells count="19">
    <mergeCell ref="F21:H21"/>
    <mergeCell ref="R20:S20"/>
    <mergeCell ref="R21:S21"/>
    <mergeCell ref="M20:M21"/>
    <mergeCell ref="N20:P20"/>
    <mergeCell ref="N21:P21"/>
    <mergeCell ref="AF20:AF21"/>
    <mergeCell ref="C20:C21"/>
    <mergeCell ref="I20:I21"/>
    <mergeCell ref="K20:K21"/>
    <mergeCell ref="Q20:Q21"/>
    <mergeCell ref="T20:T21"/>
    <mergeCell ref="V20:V21"/>
    <mergeCell ref="X20:X21"/>
    <mergeCell ref="Z20:Z21"/>
    <mergeCell ref="AB20:AB21"/>
    <mergeCell ref="AD20:AD21"/>
    <mergeCell ref="E20:E21"/>
    <mergeCell ref="F20:H20"/>
  </mergeCells>
  <phoneticPr fontId="9"/>
  <conditionalFormatting sqref="C23:D322 I23:L322 Q23:AG322">
    <cfRule type="cellIs" dxfId="379" priority="3" operator="greaterThan">
      <formula>0</formula>
    </cfRule>
  </conditionalFormatting>
  <conditionalFormatting sqref="E23:H322">
    <cfRule type="cellIs" dxfId="378" priority="2" operator="greaterThan">
      <formula>0</formula>
    </cfRule>
  </conditionalFormatting>
  <conditionalFormatting sqref="M23:P322">
    <cfRule type="cellIs" dxfId="377" priority="1" operator="greaterThan">
      <formula>0</formula>
    </cfRule>
  </conditionalFormatting>
  <pageMargins left="0.7" right="0.7" top="0.75" bottom="0.75" header="0.3" footer="0.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theme="4" tint="0.79998168889431442"/>
    <pageSetUpPr fitToPage="1"/>
  </sheetPr>
  <dimension ref="A1:AF74"/>
  <sheetViews>
    <sheetView showGridLines="0" view="pageBreakPreview" topLeftCell="A25" zoomScale="60" zoomScaleNormal="100" workbookViewId="0">
      <selection activeCell="B26" sqref="B26:L26"/>
    </sheetView>
  </sheetViews>
  <sheetFormatPr defaultColWidth="8.625" defaultRowHeight="18"/>
  <cols>
    <col min="1" max="1" width="3.625" style="12" customWidth="1"/>
    <col min="2" max="4" width="8.625" style="19"/>
    <col min="5" max="5" width="30.625" style="19" customWidth="1"/>
    <col min="6" max="6" width="8.625" style="19"/>
    <col min="7" max="11" width="12.625" style="19" customWidth="1"/>
    <col min="12" max="12" width="8.625" style="19"/>
    <col min="13" max="13" width="3.625" style="19" customWidth="1"/>
    <col min="14" max="23" width="8.625" style="19"/>
    <col min="24" max="24" width="8.625" style="19" customWidth="1"/>
    <col min="25" max="25" width="3.625" style="12" customWidth="1"/>
    <col min="26" max="26" width="8.625" style="19"/>
    <col min="27" max="27" width="40.625" style="19" customWidth="1"/>
    <col min="28" max="28" width="3.625" style="19" customWidth="1"/>
    <col min="29" max="32" width="8.625" style="19"/>
    <col min="33" max="33" width="30.625" style="19" customWidth="1"/>
    <col min="34" max="16384" width="8.625" style="19"/>
  </cols>
  <sheetData>
    <row r="1" spans="1:32" ht="20.100000000000001" customHeight="1">
      <c r="K1" s="1859" t="str">
        <f xml:space="preserve">
IF(表紙!X2="交付申請兼実績報告","（４月１日～５月７日分）",
IF(OR(表紙!X2="事前協議",表紙!X2="交付申請",表紙!X2="変更申請",表紙!X2="実績報告"),"（５月８日～９月30日分）",
))</f>
        <v>（４月１日～５月７日分）</v>
      </c>
      <c r="L1" s="1385"/>
      <c r="M1" s="1385"/>
    </row>
    <row r="2" spans="1:32" ht="20.100000000000001" customHeight="1">
      <c r="B2" s="1847" t="s">
        <v>431</v>
      </c>
      <c r="C2" s="1848"/>
      <c r="D2" s="1849"/>
      <c r="H2" s="5" t="s">
        <v>536</v>
      </c>
      <c r="I2" s="367" t="s">
        <v>537</v>
      </c>
      <c r="J2" s="5" t="s">
        <v>44</v>
      </c>
      <c r="Z2" s="367" t="s">
        <v>417</v>
      </c>
      <c r="AA2" s="367" t="s">
        <v>415</v>
      </c>
      <c r="AC2" s="367" t="str">
        <f>Z9</f>
        <v>×</v>
      </c>
      <c r="AD2" s="367" t="str">
        <f>Z15</f>
        <v>◎</v>
      </c>
      <c r="AE2" s="367" t="str">
        <f>Z22</f>
        <v>◎</v>
      </c>
      <c r="AF2" s="367" t="str">
        <f>Z26</f>
        <v>◎</v>
      </c>
    </row>
    <row r="3" spans="1:32" ht="20.100000000000001" customHeight="1">
      <c r="B3" s="1850"/>
      <c r="C3" s="1851"/>
      <c r="D3" s="1852"/>
      <c r="H3" s="351">
        <f>SUM(I30:I74)</f>
        <v>12136300000</v>
      </c>
      <c r="I3" s="8"/>
      <c r="J3" s="351">
        <f>IFERROR(ROUNDUP(SUM(K30:K74)*((H3-I3)/H3),0),0)</f>
        <v>12124200000</v>
      </c>
      <c r="Z3" s="884" t="str">
        <f xml:space="preserve">
IF(COUNTIF(AD2:AF2,"○")=3,"○",
IF(COUNTIF(AD2:AF2,"◎")=3,"◎","×"
))</f>
        <v>◎</v>
      </c>
      <c r="AA3" s="1842" t="str">
        <f xml:space="preserve">
IF(Z3="○","整備しない場合は入力不要です。",
IF(Z3="×","【要修正】入力が不十分な箇所があります。",
IF(Z3="◎","適切に入力がされました。")))</f>
        <v>適切に入力がされました。</v>
      </c>
    </row>
    <row r="4" spans="1:32" ht="9.9499999999999993" customHeight="1">
      <c r="Z4" s="884"/>
      <c r="AA4" s="1842"/>
    </row>
    <row r="5" spans="1:32" ht="20.100000000000001" customHeight="1">
      <c r="B5" s="386" t="s">
        <v>55</v>
      </c>
      <c r="C5" s="386"/>
      <c r="D5" s="386"/>
      <c r="E5" s="386"/>
      <c r="F5" s="386"/>
      <c r="G5" s="386"/>
      <c r="H5" s="386"/>
      <c r="I5" s="386"/>
      <c r="J5" s="386"/>
      <c r="K5" s="386"/>
      <c r="L5" s="386"/>
      <c r="Z5" s="857"/>
      <c r="AA5" s="858"/>
    </row>
    <row r="6" spans="1:32" ht="9.9499999999999993" customHeight="1"/>
    <row r="7" spans="1:32" ht="20.100000000000001" customHeight="1">
      <c r="B7" s="1863" t="str">
        <f xml:space="preserve">
IF(OR(表紙!X2="事前協議",表紙!X2="交付申請"),"（１）整備を行う対象の新規で指定を受けた確保病床数あるいは、確保病床を有しない場合は整備を行う病床の数",
IF(表紙!X2="交付申請兼実績報告","（１）整備を行う対象の新規で指定を受けた確保病床数"))</f>
        <v>（１）整備を行う対象の新規で指定を受けた確保病床数</v>
      </c>
      <c r="C7" s="953"/>
      <c r="D7" s="953"/>
      <c r="E7" s="953"/>
      <c r="F7" s="953"/>
      <c r="G7" s="953"/>
      <c r="H7" s="953"/>
      <c r="I7" s="953"/>
      <c r="J7" s="953"/>
      <c r="K7" s="953"/>
      <c r="L7" s="953"/>
      <c r="Z7" s="1838" t="s">
        <v>413</v>
      </c>
      <c r="AA7" s="1838" t="s">
        <v>415</v>
      </c>
    </row>
    <row r="8" spans="1:32" ht="9.9499999999999993" customHeight="1">
      <c r="Z8" s="1839"/>
      <c r="AA8" s="1839"/>
    </row>
    <row r="9" spans="1:32" ht="35.1" customHeight="1">
      <c r="B9" s="1864" t="s">
        <v>56</v>
      </c>
      <c r="C9" s="1865"/>
      <c r="D9" s="204" t="str">
        <f>IF(はじめに入力してください!K50="","",はじめに入力してください!K50)</f>
        <v/>
      </c>
      <c r="E9" s="352"/>
      <c r="F9" s="353"/>
      <c r="G9" s="353"/>
      <c r="H9" s="353"/>
      <c r="I9" s="353"/>
      <c r="J9" s="354"/>
      <c r="K9" s="354"/>
      <c r="L9" s="354"/>
      <c r="Z9" s="367" t="str">
        <f xml:space="preserve">
IF(D9="","×",
IF(D9=0,"○",
IF(D9&gt;=1,"◎",
)))</f>
        <v>×</v>
      </c>
      <c r="AA9" s="388" t="str">
        <f xml:space="preserve">
IF(D9="","【要修正】「はじめに入力してください」シートに整備を行う病床の数を入力してください。",
IF(D9=0,"申請しない場合は以下入力不要です。",
IF(D9&gt;=1,"適切に入力されました。",
)))</f>
        <v>【要修正】「はじめに入力してください」シートに整備を行う病床の数を入力してください。</v>
      </c>
    </row>
    <row r="10" spans="1:32" ht="20.100000000000001" customHeight="1">
      <c r="B10" s="1860"/>
      <c r="C10" s="1861"/>
      <c r="D10" s="1862"/>
      <c r="E10" s="1862"/>
      <c r="F10" s="1862"/>
      <c r="G10" s="1862"/>
      <c r="H10" s="1862"/>
      <c r="I10" s="1862"/>
      <c r="J10" s="1862"/>
      <c r="K10" s="1862"/>
      <c r="L10" s="1862"/>
    </row>
    <row r="11" spans="1:32" ht="20.100000000000001" hidden="1" customHeight="1"/>
    <row r="12" spans="1:32" ht="20.100000000000001" customHeight="1">
      <c r="B12" s="1863" t="s">
        <v>57</v>
      </c>
      <c r="C12" s="953"/>
      <c r="D12" s="953"/>
      <c r="E12" s="953"/>
      <c r="F12" s="953"/>
      <c r="G12" s="953"/>
      <c r="H12" s="953"/>
      <c r="I12" s="953"/>
      <c r="J12" s="953"/>
      <c r="K12" s="953"/>
      <c r="L12" s="953"/>
    </row>
    <row r="13" spans="1:32" ht="39.950000000000003" customHeight="1">
      <c r="B13" s="1843" t="s">
        <v>538</v>
      </c>
      <c r="C13" s="952"/>
      <c r="D13" s="952"/>
      <c r="E13" s="952"/>
      <c r="F13" s="952"/>
      <c r="G13" s="952"/>
      <c r="H13" s="952"/>
      <c r="I13" s="952"/>
      <c r="J13" s="952"/>
      <c r="K13" s="952"/>
      <c r="L13" s="952"/>
    </row>
    <row r="14" spans="1:32" s="385" customFormat="1" ht="60" customHeight="1">
      <c r="A14" s="13"/>
      <c r="B14" s="1843" t="str">
        <f>VLOOKUP(B2,テーブル!M37:N51,2,FALSE)</f>
        <v>（例）当院は総合病院として１病棟を重点病床として指定を受けているが、入院患者の肺炎・消化器症状を撮影するためのCT撮影装置は確保病床とは別棟に
　　　ある撮影室までの移動を要した。移動にあたっては隔離搬送用のストレッチャーを使用していたが、別棟への移動の負担及び一般入院患者からの院内
　　　感染への懸念の声が上がっているのも事実としてあるため、CT室を新たに重点病床病棟に新設し、コロナ専用CT撮影機を配備することとしたい。</v>
      </c>
      <c r="C14" s="1675"/>
      <c r="D14" s="1675"/>
      <c r="E14" s="1675"/>
      <c r="F14" s="1675"/>
      <c r="G14" s="1675"/>
      <c r="H14" s="1675"/>
      <c r="I14" s="1675"/>
      <c r="J14" s="1675"/>
      <c r="K14" s="1675"/>
      <c r="L14" s="1675"/>
      <c r="Y14" s="13"/>
      <c r="Z14" s="366" t="s">
        <v>413</v>
      </c>
      <c r="AA14" s="366" t="s">
        <v>414</v>
      </c>
    </row>
    <row r="15" spans="1:32" ht="120" customHeight="1">
      <c r="B15" s="1844" t="s">
        <v>1287</v>
      </c>
      <c r="C15" s="1845"/>
      <c r="D15" s="1845"/>
      <c r="E15" s="1845"/>
      <c r="F15" s="1845"/>
      <c r="G15" s="1845"/>
      <c r="H15" s="1845"/>
      <c r="I15" s="1845"/>
      <c r="J15" s="1845"/>
      <c r="K15" s="1845"/>
      <c r="L15" s="1846"/>
      <c r="Z15" s="367" t="str">
        <f xml:space="preserve">
IF(COUNTA(B15)=0,"○",
IF(COUNTA(B15)=1,"◎"))</f>
        <v>◎</v>
      </c>
      <c r="AA15" s="388" t="str">
        <f xml:space="preserve">
IF(COUNTA(B15)=0,"整備しない場合は入力不要です。",
IF(COUNTA(B15)=1,"入力された状態になりました。"))</f>
        <v>入力された状態になりました。</v>
      </c>
    </row>
    <row r="16" spans="1:32" ht="20.100000000000001" customHeight="1"/>
    <row r="17" spans="1:27" ht="20.100000000000001" customHeight="1">
      <c r="B17" s="386" t="s">
        <v>452</v>
      </c>
      <c r="C17" s="386"/>
      <c r="D17" s="386"/>
      <c r="E17" s="386"/>
      <c r="F17" s="386"/>
      <c r="G17" s="386"/>
      <c r="H17" s="386"/>
      <c r="I17" s="386"/>
      <c r="J17" s="386"/>
      <c r="K17" s="386"/>
      <c r="L17" s="386"/>
    </row>
    <row r="18" spans="1:27" ht="20.100000000000001" customHeight="1">
      <c r="B18" s="1843" t="s">
        <v>480</v>
      </c>
      <c r="C18" s="952"/>
      <c r="D18" s="952"/>
      <c r="E18" s="952"/>
      <c r="F18" s="952"/>
      <c r="G18" s="952"/>
      <c r="H18" s="952"/>
      <c r="I18" s="952"/>
      <c r="J18" s="952"/>
      <c r="K18" s="952"/>
      <c r="L18" s="952"/>
    </row>
    <row r="19" spans="1:27" ht="20.100000000000001" customHeight="1">
      <c r="B19" s="1843"/>
      <c r="C19" s="952"/>
      <c r="D19" s="952"/>
      <c r="E19" s="952"/>
      <c r="F19" s="952"/>
      <c r="G19" s="952"/>
      <c r="H19" s="952"/>
      <c r="I19" s="952"/>
      <c r="J19" s="952"/>
      <c r="K19" s="952"/>
      <c r="L19" s="952"/>
    </row>
    <row r="20" spans="1:27" ht="20.100000000000001" customHeight="1">
      <c r="B20" s="1843"/>
      <c r="C20" s="952"/>
      <c r="D20" s="952"/>
      <c r="E20" s="952"/>
      <c r="F20" s="952"/>
      <c r="G20" s="952"/>
      <c r="H20" s="952"/>
      <c r="I20" s="952"/>
      <c r="J20" s="952"/>
      <c r="K20" s="952"/>
      <c r="L20" s="952"/>
    </row>
    <row r="21" spans="1:27" ht="20.100000000000001" customHeight="1">
      <c r="B21" s="952"/>
      <c r="C21" s="952"/>
      <c r="D21" s="952"/>
      <c r="E21" s="952"/>
      <c r="F21" s="952"/>
      <c r="G21" s="952"/>
      <c r="H21" s="952"/>
      <c r="I21" s="952"/>
      <c r="J21" s="952"/>
      <c r="K21" s="952"/>
      <c r="L21" s="952"/>
    </row>
    <row r="22" spans="1:27" ht="120" customHeight="1">
      <c r="B22" s="1844" t="s">
        <v>1287</v>
      </c>
      <c r="C22" s="1845"/>
      <c r="D22" s="1845"/>
      <c r="E22" s="1845"/>
      <c r="F22" s="1845"/>
      <c r="G22" s="1845"/>
      <c r="H22" s="1845"/>
      <c r="I22" s="1845"/>
      <c r="J22" s="1845"/>
      <c r="K22" s="1845"/>
      <c r="L22" s="1846"/>
      <c r="Z22" s="367" t="str">
        <f xml:space="preserve">
IF(COUNTA(B22)=0,"○",
IF(COUNTA(B22)=1,"◎"))</f>
        <v>◎</v>
      </c>
      <c r="AA22" s="388" t="str">
        <f xml:space="preserve">
IF(COUNTA(B22)=0,"整備しない場合は入力不要です。",
IF(COUNTA(B22)=1,"入力された状態になりました。"))</f>
        <v>入力された状態になりました。</v>
      </c>
    </row>
    <row r="23" spans="1:27" ht="20.100000000000001" customHeight="1"/>
    <row r="24" spans="1:27" ht="20.100000000000001" customHeight="1">
      <c r="B24" s="386" t="s">
        <v>451</v>
      </c>
      <c r="C24" s="386"/>
      <c r="D24" s="386"/>
      <c r="E24" s="386"/>
      <c r="F24" s="386"/>
      <c r="G24" s="386"/>
      <c r="H24" s="386"/>
      <c r="I24" s="386"/>
      <c r="J24" s="386"/>
      <c r="K24" s="386"/>
      <c r="L24" s="386"/>
      <c r="Z24" s="14"/>
    </row>
    <row r="25" spans="1:27" ht="9.9499999999999993" customHeight="1"/>
    <row r="26" spans="1:27" ht="60" customHeight="1">
      <c r="B26" s="1843" t="s">
        <v>559</v>
      </c>
      <c r="C26" s="953"/>
      <c r="D26" s="953"/>
      <c r="E26" s="953"/>
      <c r="F26" s="953"/>
      <c r="G26" s="953"/>
      <c r="H26" s="953"/>
      <c r="I26" s="953"/>
      <c r="J26" s="953"/>
      <c r="K26" s="953"/>
      <c r="L26" s="953"/>
      <c r="Z26" s="367" t="str">
        <f xml:space="preserve">
IF(COUNTIF(Z30:Z74,"○")=45,"○",
IF(COUNTIF(Z30:Z74,"×")&gt;=1,"×",
IF(AND(COUNTIF(Z30:Z74,"◎")&gt;=1,COUNTIF(Z30:Z74,"×")=0),"◎")))</f>
        <v>◎</v>
      </c>
      <c r="AA26" s="388" t="str">
        <f xml:space="preserve">
IF(COUNTIF(Z30:Z74,"○")=45,"整備しない場合は入力不要です。",
IF(COUNTIF(Z30:Z74,"×")&gt;=1,"【要修正】入力が不十分な箇所があります。",
IF(AND(COUNTIF(Z30:Z74,"◎")&gt;=1,COUNTIF(Z30:Z74,"×")=0),"適切に入力がされました。")))</f>
        <v>適切に入力がされました。</v>
      </c>
    </row>
    <row r="27" spans="1:27" ht="9.9499999999999993" customHeight="1">
      <c r="Z27" s="1837" t="s">
        <v>416</v>
      </c>
      <c r="AA27" s="1840" t="s">
        <v>418</v>
      </c>
    </row>
    <row r="28" spans="1:27">
      <c r="B28" s="1853" t="s">
        <v>41</v>
      </c>
      <c r="C28" s="1854"/>
      <c r="D28" s="1855"/>
      <c r="E28" s="1853" t="s">
        <v>42</v>
      </c>
      <c r="F28" s="1855"/>
      <c r="G28" s="1853" t="s">
        <v>43</v>
      </c>
      <c r="H28" s="1854"/>
      <c r="I28" s="1854"/>
      <c r="J28" s="1855"/>
      <c r="K28" s="1856" t="s">
        <v>44</v>
      </c>
      <c r="L28" s="1856" t="s">
        <v>45</v>
      </c>
      <c r="Z28" s="1105"/>
      <c r="AA28" s="1841"/>
    </row>
    <row r="29" spans="1:27">
      <c r="B29" s="3" t="s">
        <v>46</v>
      </c>
      <c r="C29" s="3" t="s">
        <v>47</v>
      </c>
      <c r="D29" s="3" t="s">
        <v>48</v>
      </c>
      <c r="E29" s="3" t="s">
        <v>54</v>
      </c>
      <c r="F29" s="3" t="s">
        <v>49</v>
      </c>
      <c r="G29" s="3" t="s">
        <v>50</v>
      </c>
      <c r="H29" s="3" t="s">
        <v>51</v>
      </c>
      <c r="I29" s="3" t="s">
        <v>52</v>
      </c>
      <c r="J29" s="3" t="s">
        <v>53</v>
      </c>
      <c r="K29" s="1857"/>
      <c r="L29" s="1857"/>
      <c r="Z29" s="367" t="s">
        <v>413</v>
      </c>
      <c r="AA29" s="367" t="s">
        <v>415</v>
      </c>
    </row>
    <row r="30" spans="1:27">
      <c r="A30" s="12">
        <v>1</v>
      </c>
      <c r="B30" s="6"/>
      <c r="C30" s="6"/>
      <c r="D30" s="6"/>
      <c r="E30" s="10"/>
      <c r="F30" s="7"/>
      <c r="G30" s="531"/>
      <c r="H30" s="15">
        <f>ROUNDDOWN(G30*1.1,0)</f>
        <v>0</v>
      </c>
      <c r="I30" s="4">
        <f>F30*H30</f>
        <v>0</v>
      </c>
      <c r="J30" s="9"/>
      <c r="K30" s="4">
        <f>IF(J30="補助対象",I30,IF(J30="補助対象外",0,0))</f>
        <v>0</v>
      </c>
      <c r="L30" s="5" t="str">
        <f>IF(Z30="◎",COUNTIF($Z$30:Z30,"◎"),"")</f>
        <v/>
      </c>
      <c r="W30" s="388" t="str">
        <f>IF(B30="個別病床",はじめに入力してください!$K$50,IF(B30="共通使用",はじめに入力してください!$K$52,""))</f>
        <v/>
      </c>
      <c r="Y30" s="12">
        <v>1</v>
      </c>
      <c r="Z30" s="367" t="str">
        <f xml:space="preserve">
IF(SUM(COUNTA(B30:G30),COUNTA(J30))=0,"○",
IF(AND(SUM(COUNTA(B30:G30),COUNTA(J30))&gt;0,SUM(COUNTA(B30:G30),COUNTA(J30))&lt;7),"×",
IF(SUM(COUNTA(B30:G30),COUNTA(J30))=7,"◎")))</f>
        <v>○</v>
      </c>
      <c r="AA30" s="388" t="str">
        <f xml:space="preserve">
IF(SUM(COUNTA(B30:G30),COUNTA(J30))=0,"整備しない場合は入力不要です。",
IF(AND(SUM(COUNTA(B30:G30),COUNTA(J30))&gt;0,SUM(COUNTA(B30:G30),COUNTA(J30))&lt;7),"【要修正】未入力の箇所があります。",
IF(SUM(COUNTA(B30:G30),COUNTA(J30))=7,"適切に入力がされました。")))</f>
        <v>整備しない場合は入力不要です。</v>
      </c>
    </row>
    <row r="31" spans="1:27">
      <c r="A31" s="12">
        <v>2</v>
      </c>
      <c r="B31" s="6"/>
      <c r="C31" s="6"/>
      <c r="D31" s="6"/>
      <c r="E31" s="10"/>
      <c r="F31" s="7"/>
      <c r="G31" s="531"/>
      <c r="H31" s="15">
        <f t="shared" ref="H31:H74" si="0">ROUNDDOWN(G31*1.1,0)</f>
        <v>0</v>
      </c>
      <c r="I31" s="4">
        <f t="shared" ref="I31:I74" si="1">F31*H31</f>
        <v>0</v>
      </c>
      <c r="J31" s="9"/>
      <c r="K31" s="4">
        <f t="shared" ref="K31:K74" si="2">IF(J31="補助対象",I31,IF(J31="補助対象外",0,0))</f>
        <v>0</v>
      </c>
      <c r="L31" s="5" t="str">
        <f>IF(Z31="◎",COUNTIF($Z$30:Z31,"◎"),"")</f>
        <v/>
      </c>
      <c r="W31" s="388" t="str">
        <f>IF(B31="個別病床",はじめに入力してください!$K$50,IF(B31="共通使用",はじめに入力してください!$K$52,""))</f>
        <v/>
      </c>
      <c r="Y31" s="12">
        <v>2</v>
      </c>
      <c r="Z31" s="367" t="str">
        <f t="shared" ref="Z31:Z74" si="3" xml:space="preserve">
IF(SUM(COUNTA(B31:G31),COUNTA(J31))=0,"○",
IF(AND(SUM(COUNTA(B31:G31),COUNTA(J31))&gt;0,SUM(COUNTA(B31:G31),COUNTA(J31))&lt;7),"×",
IF(SUM(COUNTA(B31:G31),COUNTA(J31))=7,"◎")))</f>
        <v>○</v>
      </c>
      <c r="AA31" s="388" t="str">
        <f t="shared" ref="AA31:AA74" si="4" xml:space="preserve">
IF(SUM(COUNTA(B31:G31),COUNTA(J31))=0,"整備しない場合は入力不要です。",
IF(AND(SUM(COUNTA(B31:G31),COUNTA(J31))&gt;0,SUM(COUNTA(B31:G31),COUNTA(J31))&lt;7),"【要修正】未入力の箇所があります。",
IF(SUM(COUNTA(B31:G31),COUNTA(J31))=7,"適切に入力がされました。")))</f>
        <v>整備しない場合は入力不要です。</v>
      </c>
    </row>
    <row r="32" spans="1:27">
      <c r="A32" s="12">
        <v>3</v>
      </c>
      <c r="B32" s="6"/>
      <c r="C32" s="6"/>
      <c r="D32" s="6"/>
      <c r="E32" s="10"/>
      <c r="F32" s="7"/>
      <c r="G32" s="531"/>
      <c r="H32" s="15">
        <f t="shared" si="0"/>
        <v>0</v>
      </c>
      <c r="I32" s="4">
        <f t="shared" si="1"/>
        <v>0</v>
      </c>
      <c r="J32" s="9"/>
      <c r="K32" s="4">
        <f t="shared" si="2"/>
        <v>0</v>
      </c>
      <c r="L32" s="5" t="str">
        <f>IF(Z32="◎",COUNTIF($Z$30:Z32,"◎"),"")</f>
        <v/>
      </c>
      <c r="W32" s="388" t="str">
        <f>IF(B32="個別病床",はじめに入力してください!$K$50,IF(B32="共通使用",はじめに入力してください!$K$52,""))</f>
        <v/>
      </c>
      <c r="Y32" s="12">
        <v>3</v>
      </c>
      <c r="Z32" s="367" t="str">
        <f t="shared" si="3"/>
        <v>○</v>
      </c>
      <c r="AA32" s="388" t="str">
        <f t="shared" si="4"/>
        <v>整備しない場合は入力不要です。</v>
      </c>
    </row>
    <row r="33" spans="1:27">
      <c r="A33" s="12">
        <v>4</v>
      </c>
      <c r="B33" s="6"/>
      <c r="C33" s="6"/>
      <c r="D33" s="6"/>
      <c r="E33" s="10"/>
      <c r="F33" s="7"/>
      <c r="G33" s="531"/>
      <c r="H33" s="15">
        <f t="shared" si="0"/>
        <v>0</v>
      </c>
      <c r="I33" s="4">
        <f t="shared" si="1"/>
        <v>0</v>
      </c>
      <c r="J33" s="9"/>
      <c r="K33" s="4">
        <f t="shared" si="2"/>
        <v>0</v>
      </c>
      <c r="L33" s="5" t="str">
        <f>IF(Z33="◎",COUNTIF($Z$30:Z33,"◎"),"")</f>
        <v/>
      </c>
      <c r="W33" s="388" t="str">
        <f>IF(B33="個別病床",はじめに入力してください!$K$50,IF(B33="共通使用",はじめに入力してください!$K$52,""))</f>
        <v/>
      </c>
      <c r="Y33" s="12">
        <v>4</v>
      </c>
      <c r="Z33" s="367" t="str">
        <f t="shared" si="3"/>
        <v>○</v>
      </c>
      <c r="AA33" s="388" t="str">
        <f t="shared" si="4"/>
        <v>整備しない場合は入力不要です。</v>
      </c>
    </row>
    <row r="34" spans="1:27">
      <c r="A34" s="12">
        <v>5</v>
      </c>
      <c r="B34" s="6"/>
      <c r="C34" s="6"/>
      <c r="D34" s="6"/>
      <c r="E34" s="10"/>
      <c r="F34" s="7"/>
      <c r="G34" s="531"/>
      <c r="H34" s="15">
        <f t="shared" si="0"/>
        <v>0</v>
      </c>
      <c r="I34" s="4">
        <f t="shared" si="1"/>
        <v>0</v>
      </c>
      <c r="J34" s="9"/>
      <c r="K34" s="4">
        <f t="shared" si="2"/>
        <v>0</v>
      </c>
      <c r="L34" s="5" t="str">
        <f>IF(Z34="◎",COUNTIF($Z$30:Z34,"◎"),"")</f>
        <v/>
      </c>
      <c r="W34" s="388" t="str">
        <f>IF(B34="個別病床",はじめに入力してください!$K$50,IF(B34="共通使用",はじめに入力してください!$K$52,""))</f>
        <v/>
      </c>
      <c r="Y34" s="12">
        <v>5</v>
      </c>
      <c r="Z34" s="367" t="str">
        <f t="shared" si="3"/>
        <v>○</v>
      </c>
      <c r="AA34" s="388" t="str">
        <f t="shared" si="4"/>
        <v>整備しない場合は入力不要です。</v>
      </c>
    </row>
    <row r="35" spans="1:27">
      <c r="A35" s="12">
        <v>6</v>
      </c>
      <c r="B35" s="6"/>
      <c r="C35" s="6"/>
      <c r="D35" s="6"/>
      <c r="E35" s="10"/>
      <c r="F35" s="7"/>
      <c r="G35" s="531"/>
      <c r="H35" s="15">
        <f t="shared" si="0"/>
        <v>0</v>
      </c>
      <c r="I35" s="4">
        <f t="shared" si="1"/>
        <v>0</v>
      </c>
      <c r="J35" s="9"/>
      <c r="K35" s="4">
        <f t="shared" si="2"/>
        <v>0</v>
      </c>
      <c r="L35" s="5" t="str">
        <f>IF(Z35="◎",COUNTIF($Z$30:Z35,"◎"),"")</f>
        <v/>
      </c>
      <c r="W35" s="388" t="str">
        <f>IF(B35="個別病床",はじめに入力してください!$K$50,IF(B35="共通使用",はじめに入力してください!$K$52,""))</f>
        <v/>
      </c>
      <c r="Y35" s="12">
        <v>6</v>
      </c>
      <c r="Z35" s="367" t="str">
        <f t="shared" si="3"/>
        <v>○</v>
      </c>
      <c r="AA35" s="388" t="str">
        <f t="shared" si="4"/>
        <v>整備しない場合は入力不要です。</v>
      </c>
    </row>
    <row r="36" spans="1:27">
      <c r="A36" s="12">
        <v>7</v>
      </c>
      <c r="B36" s="6"/>
      <c r="C36" s="6"/>
      <c r="D36" s="6"/>
      <c r="E36" s="10"/>
      <c r="F36" s="7"/>
      <c r="G36" s="531"/>
      <c r="H36" s="15">
        <f t="shared" si="0"/>
        <v>0</v>
      </c>
      <c r="I36" s="4">
        <f t="shared" si="1"/>
        <v>0</v>
      </c>
      <c r="J36" s="9"/>
      <c r="K36" s="4">
        <f t="shared" si="2"/>
        <v>0</v>
      </c>
      <c r="L36" s="5" t="str">
        <f>IF(Z36="◎",COUNTIF($Z$30:Z36,"◎"),"")</f>
        <v/>
      </c>
      <c r="W36" s="388" t="str">
        <f>IF(B36="個別病床",はじめに入力してください!$K$50,IF(B36="共通使用",はじめに入力してください!$K$52,""))</f>
        <v/>
      </c>
      <c r="Y36" s="12">
        <v>7</v>
      </c>
      <c r="Z36" s="367" t="str">
        <f t="shared" si="3"/>
        <v>○</v>
      </c>
      <c r="AA36" s="388" t="str">
        <f t="shared" si="4"/>
        <v>整備しない場合は入力不要です。</v>
      </c>
    </row>
    <row r="37" spans="1:27">
      <c r="A37" s="12">
        <v>8</v>
      </c>
      <c r="B37" s="6"/>
      <c r="C37" s="6"/>
      <c r="D37" s="6"/>
      <c r="E37" s="10"/>
      <c r="F37" s="7"/>
      <c r="G37" s="531"/>
      <c r="H37" s="15">
        <f t="shared" si="0"/>
        <v>0</v>
      </c>
      <c r="I37" s="4">
        <f t="shared" si="1"/>
        <v>0</v>
      </c>
      <c r="J37" s="9"/>
      <c r="K37" s="4">
        <f t="shared" si="2"/>
        <v>0</v>
      </c>
      <c r="L37" s="5" t="str">
        <f>IF(Z37="◎",COUNTIF($Z$30:Z37,"◎"),"")</f>
        <v/>
      </c>
      <c r="W37" s="388" t="str">
        <f>IF(B37="個別病床",はじめに入力してください!$K$50,IF(B37="共通使用",はじめに入力してください!$K$52,""))</f>
        <v/>
      </c>
      <c r="Y37" s="12">
        <v>8</v>
      </c>
      <c r="Z37" s="367" t="str">
        <f t="shared" si="3"/>
        <v>○</v>
      </c>
      <c r="AA37" s="388" t="str">
        <f t="shared" si="4"/>
        <v>整備しない場合は入力不要です。</v>
      </c>
    </row>
    <row r="38" spans="1:27">
      <c r="A38" s="12">
        <v>9</v>
      </c>
      <c r="B38" s="6"/>
      <c r="C38" s="6"/>
      <c r="D38" s="6"/>
      <c r="E38" s="10"/>
      <c r="F38" s="7"/>
      <c r="G38" s="531"/>
      <c r="H38" s="15">
        <f t="shared" si="0"/>
        <v>0</v>
      </c>
      <c r="I38" s="4">
        <f t="shared" si="1"/>
        <v>0</v>
      </c>
      <c r="J38" s="9"/>
      <c r="K38" s="4">
        <f t="shared" si="2"/>
        <v>0</v>
      </c>
      <c r="L38" s="5" t="str">
        <f>IF(Z38="◎",COUNTIF($Z$30:Z38,"◎"),"")</f>
        <v/>
      </c>
      <c r="W38" s="388" t="str">
        <f>IF(B38="個別病床",はじめに入力してください!$K$50,IF(B38="共通使用",はじめに入力してください!$K$52,""))</f>
        <v/>
      </c>
      <c r="Y38" s="12">
        <v>9</v>
      </c>
      <c r="Z38" s="367" t="str">
        <f t="shared" si="3"/>
        <v>○</v>
      </c>
      <c r="AA38" s="388" t="str">
        <f t="shared" si="4"/>
        <v>整備しない場合は入力不要です。</v>
      </c>
    </row>
    <row r="39" spans="1:27">
      <c r="A39" s="12">
        <v>10</v>
      </c>
      <c r="B39" s="6"/>
      <c r="C39" s="6"/>
      <c r="D39" s="6"/>
      <c r="E39" s="10"/>
      <c r="F39" s="7"/>
      <c r="G39" s="531"/>
      <c r="H39" s="15">
        <f t="shared" si="0"/>
        <v>0</v>
      </c>
      <c r="I39" s="4">
        <f t="shared" si="1"/>
        <v>0</v>
      </c>
      <c r="J39" s="9"/>
      <c r="K39" s="4">
        <f t="shared" si="2"/>
        <v>0</v>
      </c>
      <c r="L39" s="5" t="str">
        <f>IF(Z39="◎",COUNTIF($Z$30:Z39,"◎"),"")</f>
        <v/>
      </c>
      <c r="W39" s="388" t="str">
        <f>IF(B39="個別病床",はじめに入力してください!$K$50,IF(B39="共通使用",はじめに入力してください!$K$52,""))</f>
        <v/>
      </c>
      <c r="Y39" s="12">
        <v>10</v>
      </c>
      <c r="Z39" s="367" t="str">
        <f t="shared" si="3"/>
        <v>○</v>
      </c>
      <c r="AA39" s="388" t="str">
        <f t="shared" si="4"/>
        <v>整備しない場合は入力不要です。</v>
      </c>
    </row>
    <row r="40" spans="1:27">
      <c r="A40" s="12">
        <v>11</v>
      </c>
      <c r="B40" s="6"/>
      <c r="C40" s="6"/>
      <c r="D40" s="6"/>
      <c r="E40" s="10"/>
      <c r="F40" s="7"/>
      <c r="G40" s="531"/>
      <c r="H40" s="15">
        <f t="shared" si="0"/>
        <v>0</v>
      </c>
      <c r="I40" s="4">
        <f t="shared" si="1"/>
        <v>0</v>
      </c>
      <c r="J40" s="9"/>
      <c r="K40" s="4">
        <f t="shared" si="2"/>
        <v>0</v>
      </c>
      <c r="L40" s="5" t="str">
        <f>IF(Z40="◎",COUNTIF($Z$30:Z40,"◎"),"")</f>
        <v/>
      </c>
      <c r="W40" s="388" t="str">
        <f>IF(B40="個別病床",はじめに入力してください!$K$50,IF(B40="共通使用",はじめに入力してください!$K$52,""))</f>
        <v/>
      </c>
      <c r="Y40" s="12">
        <v>11</v>
      </c>
      <c r="Z40" s="367" t="str">
        <f t="shared" si="3"/>
        <v>○</v>
      </c>
      <c r="AA40" s="388" t="str">
        <f t="shared" si="4"/>
        <v>整備しない場合は入力不要です。</v>
      </c>
    </row>
    <row r="41" spans="1:27">
      <c r="A41" s="12">
        <v>12</v>
      </c>
      <c r="B41" s="6"/>
      <c r="C41" s="6"/>
      <c r="D41" s="6"/>
      <c r="E41" s="10"/>
      <c r="F41" s="7"/>
      <c r="G41" s="531"/>
      <c r="H41" s="15">
        <f t="shared" si="0"/>
        <v>0</v>
      </c>
      <c r="I41" s="4">
        <f t="shared" si="1"/>
        <v>0</v>
      </c>
      <c r="J41" s="9"/>
      <c r="K41" s="4">
        <f t="shared" si="2"/>
        <v>0</v>
      </c>
      <c r="L41" s="5" t="str">
        <f>IF(Z41="◎",COUNTIF($Z$30:Z41,"◎"),"")</f>
        <v/>
      </c>
      <c r="W41" s="388" t="str">
        <f>IF(B41="個別病床",はじめに入力してください!$K$50,IF(B41="共通使用",はじめに入力してください!$K$52,""))</f>
        <v/>
      </c>
      <c r="Y41" s="12">
        <v>12</v>
      </c>
      <c r="Z41" s="367" t="str">
        <f t="shared" si="3"/>
        <v>○</v>
      </c>
      <c r="AA41" s="388" t="str">
        <f t="shared" si="4"/>
        <v>整備しない場合は入力不要です。</v>
      </c>
    </row>
    <row r="42" spans="1:27">
      <c r="A42" s="12">
        <v>13</v>
      </c>
      <c r="B42" s="6"/>
      <c r="C42" s="6"/>
      <c r="D42" s="6"/>
      <c r="E42" s="10"/>
      <c r="F42" s="7"/>
      <c r="G42" s="531"/>
      <c r="H42" s="15">
        <f t="shared" si="0"/>
        <v>0</v>
      </c>
      <c r="I42" s="4">
        <f t="shared" si="1"/>
        <v>0</v>
      </c>
      <c r="J42" s="9"/>
      <c r="K42" s="4">
        <f t="shared" si="2"/>
        <v>0</v>
      </c>
      <c r="L42" s="5" t="str">
        <f>IF(Z42="◎",COUNTIF($Z$30:Z42,"◎"),"")</f>
        <v/>
      </c>
      <c r="W42" s="388" t="str">
        <f>IF(B42="個別病床",はじめに入力してください!$K$50,IF(B42="共通使用",はじめに入力してください!$K$52,""))</f>
        <v/>
      </c>
      <c r="Y42" s="12">
        <v>13</v>
      </c>
      <c r="Z42" s="367" t="str">
        <f t="shared" si="3"/>
        <v>○</v>
      </c>
      <c r="AA42" s="388" t="str">
        <f t="shared" si="4"/>
        <v>整備しない場合は入力不要です。</v>
      </c>
    </row>
    <row r="43" spans="1:27">
      <c r="A43" s="12">
        <v>14</v>
      </c>
      <c r="B43" s="6" t="s">
        <v>669</v>
      </c>
      <c r="C43" s="6" t="s">
        <v>670</v>
      </c>
      <c r="D43" s="6" t="s">
        <v>1281</v>
      </c>
      <c r="E43" s="10" t="s">
        <v>1280</v>
      </c>
      <c r="F43" s="7">
        <v>11</v>
      </c>
      <c r="G43" s="531">
        <v>1000000000</v>
      </c>
      <c r="H43" s="15">
        <f t="shared" si="0"/>
        <v>1100000000</v>
      </c>
      <c r="I43" s="4">
        <f t="shared" si="1"/>
        <v>12100000000</v>
      </c>
      <c r="J43" s="9" t="s">
        <v>1285</v>
      </c>
      <c r="K43" s="4">
        <f t="shared" si="2"/>
        <v>12100000000</v>
      </c>
      <c r="L43" s="5">
        <f>IF(Z43="◎",COUNTIF($Z$30:Z43,"◎"),"")</f>
        <v>1</v>
      </c>
      <c r="W43" s="388">
        <f>IF(B43="個別病床",はじめに入力してください!$K$50,IF(B43="共通使用",はじめに入力してください!$K$52,""))</f>
        <v>0</v>
      </c>
      <c r="Y43" s="12">
        <v>14</v>
      </c>
      <c r="Z43" s="367" t="str">
        <f t="shared" si="3"/>
        <v>◎</v>
      </c>
      <c r="AA43" s="388" t="str">
        <f t="shared" si="4"/>
        <v>適切に入力がされました。</v>
      </c>
    </row>
    <row r="44" spans="1:27">
      <c r="A44" s="12">
        <v>15</v>
      </c>
      <c r="B44" s="6" t="s">
        <v>669</v>
      </c>
      <c r="C44" s="6" t="s">
        <v>670</v>
      </c>
      <c r="D44" s="6" t="s">
        <v>1282</v>
      </c>
      <c r="E44" s="10" t="s">
        <v>1283</v>
      </c>
      <c r="F44" s="7">
        <v>11</v>
      </c>
      <c r="G44" s="531">
        <v>1000000</v>
      </c>
      <c r="H44" s="15">
        <f t="shared" si="0"/>
        <v>1100000</v>
      </c>
      <c r="I44" s="4">
        <f t="shared" si="1"/>
        <v>12100000</v>
      </c>
      <c r="J44" s="9" t="s">
        <v>1286</v>
      </c>
      <c r="K44" s="4">
        <f t="shared" si="2"/>
        <v>0</v>
      </c>
      <c r="L44" s="5">
        <f>IF(Z44="◎",COUNTIF($Z$30:Z44,"◎"),"")</f>
        <v>2</v>
      </c>
      <c r="W44" s="388">
        <f>IF(B44="個別病床",はじめに入力してください!$K$50,IF(B44="共通使用",はじめに入力してください!$K$52,""))</f>
        <v>0</v>
      </c>
      <c r="Y44" s="12">
        <v>15</v>
      </c>
      <c r="Z44" s="367" t="str">
        <f t="shared" si="3"/>
        <v>◎</v>
      </c>
      <c r="AA44" s="388" t="str">
        <f t="shared" si="4"/>
        <v>適切に入力がされました。</v>
      </c>
    </row>
    <row r="45" spans="1:27">
      <c r="A45" s="12">
        <v>16</v>
      </c>
      <c r="B45" s="6" t="s">
        <v>100</v>
      </c>
      <c r="C45" s="6" t="s">
        <v>820</v>
      </c>
      <c r="D45" s="6" t="s">
        <v>1282</v>
      </c>
      <c r="E45" s="10" t="s">
        <v>1284</v>
      </c>
      <c r="F45" s="7">
        <v>11</v>
      </c>
      <c r="G45" s="531">
        <v>2000000</v>
      </c>
      <c r="H45" s="15">
        <f t="shared" si="0"/>
        <v>2200000</v>
      </c>
      <c r="I45" s="4">
        <f t="shared" si="1"/>
        <v>24200000</v>
      </c>
      <c r="J45" s="9" t="s">
        <v>1285</v>
      </c>
      <c r="K45" s="4">
        <f t="shared" si="2"/>
        <v>24200000</v>
      </c>
      <c r="L45" s="5">
        <f>IF(Z45="◎",COUNTIF($Z$30:Z45,"◎"),"")</f>
        <v>3</v>
      </c>
      <c r="W45" s="388">
        <f>IF(B45="個別病床",はじめに入力してください!$K$50,IF(B45="共通使用",はじめに入力してください!$K$52,""))</f>
        <v>0</v>
      </c>
      <c r="Y45" s="12">
        <v>16</v>
      </c>
      <c r="Z45" s="367" t="str">
        <f t="shared" si="3"/>
        <v>◎</v>
      </c>
      <c r="AA45" s="388" t="str">
        <f t="shared" si="4"/>
        <v>適切に入力がされました。</v>
      </c>
    </row>
    <row r="46" spans="1:27">
      <c r="A46" s="12">
        <v>17</v>
      </c>
      <c r="B46" s="6"/>
      <c r="C46" s="6"/>
      <c r="D46" s="6"/>
      <c r="E46" s="10"/>
      <c r="F46" s="7"/>
      <c r="G46" s="531"/>
      <c r="H46" s="15">
        <f t="shared" si="0"/>
        <v>0</v>
      </c>
      <c r="I46" s="4">
        <f t="shared" si="1"/>
        <v>0</v>
      </c>
      <c r="J46" s="9"/>
      <c r="K46" s="4">
        <f t="shared" si="2"/>
        <v>0</v>
      </c>
      <c r="L46" s="5" t="str">
        <f>IF(Z46="◎",COUNTIF($Z$30:Z46,"◎"),"")</f>
        <v/>
      </c>
      <c r="W46" s="388" t="str">
        <f>IF(B46="個別病床",はじめに入力してください!$K$50,IF(B46="共通使用",はじめに入力してください!$K$52,""))</f>
        <v/>
      </c>
      <c r="Y46" s="12">
        <v>17</v>
      </c>
      <c r="Z46" s="367" t="str">
        <f t="shared" si="3"/>
        <v>○</v>
      </c>
      <c r="AA46" s="388" t="str">
        <f t="shared" si="4"/>
        <v>整備しない場合は入力不要です。</v>
      </c>
    </row>
    <row r="47" spans="1:27">
      <c r="A47" s="12">
        <v>18</v>
      </c>
      <c r="B47" s="6"/>
      <c r="C47" s="6"/>
      <c r="D47" s="6"/>
      <c r="E47" s="10"/>
      <c r="F47" s="7"/>
      <c r="G47" s="531"/>
      <c r="H47" s="15">
        <f t="shared" si="0"/>
        <v>0</v>
      </c>
      <c r="I47" s="4">
        <f t="shared" si="1"/>
        <v>0</v>
      </c>
      <c r="J47" s="9"/>
      <c r="K47" s="4">
        <f t="shared" si="2"/>
        <v>0</v>
      </c>
      <c r="L47" s="5" t="str">
        <f>IF(Z47="◎",COUNTIF($Z$30:Z47,"◎"),"")</f>
        <v/>
      </c>
      <c r="W47" s="388" t="str">
        <f>IF(B47="個別病床",はじめに入力してください!$K$50,IF(B47="共通使用",はじめに入力してください!$K$52,""))</f>
        <v/>
      </c>
      <c r="Y47" s="12">
        <v>18</v>
      </c>
      <c r="Z47" s="367" t="str">
        <f t="shared" si="3"/>
        <v>○</v>
      </c>
      <c r="AA47" s="388" t="str">
        <f t="shared" si="4"/>
        <v>整備しない場合は入力不要です。</v>
      </c>
    </row>
    <row r="48" spans="1:27">
      <c r="A48" s="12">
        <v>19</v>
      </c>
      <c r="B48" s="6"/>
      <c r="C48" s="6"/>
      <c r="D48" s="6"/>
      <c r="E48" s="10"/>
      <c r="F48" s="7"/>
      <c r="G48" s="531"/>
      <c r="H48" s="15">
        <f t="shared" si="0"/>
        <v>0</v>
      </c>
      <c r="I48" s="4">
        <f t="shared" si="1"/>
        <v>0</v>
      </c>
      <c r="J48" s="9"/>
      <c r="K48" s="4">
        <f t="shared" si="2"/>
        <v>0</v>
      </c>
      <c r="L48" s="5" t="str">
        <f>IF(Z48="◎",COUNTIF($Z$30:Z48,"◎"),"")</f>
        <v/>
      </c>
      <c r="W48" s="388" t="str">
        <f>IF(B48="個別病床",はじめに入力してください!$K$50,IF(B48="共通使用",はじめに入力してください!$K$52,""))</f>
        <v/>
      </c>
      <c r="Y48" s="12">
        <v>19</v>
      </c>
      <c r="Z48" s="367" t="str">
        <f t="shared" si="3"/>
        <v>○</v>
      </c>
      <c r="AA48" s="388" t="str">
        <f t="shared" si="4"/>
        <v>整備しない場合は入力不要です。</v>
      </c>
    </row>
    <row r="49" spans="1:27">
      <c r="A49" s="12">
        <v>20</v>
      </c>
      <c r="B49" s="6"/>
      <c r="C49" s="6"/>
      <c r="D49" s="6"/>
      <c r="E49" s="10"/>
      <c r="F49" s="7"/>
      <c r="G49" s="531"/>
      <c r="H49" s="15">
        <f t="shared" si="0"/>
        <v>0</v>
      </c>
      <c r="I49" s="4">
        <f t="shared" si="1"/>
        <v>0</v>
      </c>
      <c r="J49" s="9"/>
      <c r="K49" s="4">
        <f t="shared" si="2"/>
        <v>0</v>
      </c>
      <c r="L49" s="5" t="str">
        <f>IF(Z49="◎",COUNTIF($Z$30:Z49,"◎"),"")</f>
        <v/>
      </c>
      <c r="W49" s="388" t="str">
        <f>IF(B49="個別病床",はじめに入力してください!$K$50,IF(B49="共通使用",はじめに入力してください!$K$52,""))</f>
        <v/>
      </c>
      <c r="Y49" s="12">
        <v>20</v>
      </c>
      <c r="Z49" s="367" t="str">
        <f t="shared" si="3"/>
        <v>○</v>
      </c>
      <c r="AA49" s="388" t="str">
        <f t="shared" si="4"/>
        <v>整備しない場合は入力不要です。</v>
      </c>
    </row>
    <row r="50" spans="1:27">
      <c r="A50" s="12">
        <v>21</v>
      </c>
      <c r="B50" s="6"/>
      <c r="C50" s="6"/>
      <c r="D50" s="6"/>
      <c r="E50" s="10"/>
      <c r="F50" s="7"/>
      <c r="G50" s="531"/>
      <c r="H50" s="15">
        <f t="shared" si="0"/>
        <v>0</v>
      </c>
      <c r="I50" s="4">
        <f t="shared" si="1"/>
        <v>0</v>
      </c>
      <c r="J50" s="9"/>
      <c r="K50" s="4">
        <f t="shared" si="2"/>
        <v>0</v>
      </c>
      <c r="L50" s="5" t="str">
        <f>IF(Z50="◎",COUNTIF($Z$30:Z50,"◎"),"")</f>
        <v/>
      </c>
      <c r="W50" s="388" t="str">
        <f>IF(B50="個別病床",はじめに入力してください!$K$50,IF(B50="共通使用",はじめに入力してください!$K$52,""))</f>
        <v/>
      </c>
      <c r="Y50" s="12">
        <v>21</v>
      </c>
      <c r="Z50" s="367" t="str">
        <f t="shared" si="3"/>
        <v>○</v>
      </c>
      <c r="AA50" s="388" t="str">
        <f t="shared" si="4"/>
        <v>整備しない場合は入力不要です。</v>
      </c>
    </row>
    <row r="51" spans="1:27">
      <c r="A51" s="12">
        <v>22</v>
      </c>
      <c r="B51" s="6"/>
      <c r="C51" s="6"/>
      <c r="D51" s="6"/>
      <c r="E51" s="10"/>
      <c r="F51" s="7"/>
      <c r="G51" s="531"/>
      <c r="H51" s="15">
        <f t="shared" si="0"/>
        <v>0</v>
      </c>
      <c r="I51" s="4">
        <f t="shared" si="1"/>
        <v>0</v>
      </c>
      <c r="J51" s="9"/>
      <c r="K51" s="4">
        <f t="shared" si="2"/>
        <v>0</v>
      </c>
      <c r="L51" s="5" t="str">
        <f>IF(Z51="◎",COUNTIF($Z$30:Z51,"◎"),"")</f>
        <v/>
      </c>
      <c r="W51" s="388" t="str">
        <f>IF(B51="個別病床",はじめに入力してください!$K$50,IF(B51="共通使用",はじめに入力してください!$K$52,""))</f>
        <v/>
      </c>
      <c r="Y51" s="12">
        <v>22</v>
      </c>
      <c r="Z51" s="367" t="str">
        <f t="shared" si="3"/>
        <v>○</v>
      </c>
      <c r="AA51" s="388" t="str">
        <f t="shared" si="4"/>
        <v>整備しない場合は入力不要です。</v>
      </c>
    </row>
    <row r="52" spans="1:27">
      <c r="A52" s="12">
        <v>23</v>
      </c>
      <c r="B52" s="6"/>
      <c r="C52" s="6"/>
      <c r="D52" s="6"/>
      <c r="E52" s="10"/>
      <c r="F52" s="7"/>
      <c r="G52" s="531"/>
      <c r="H52" s="15">
        <f t="shared" si="0"/>
        <v>0</v>
      </c>
      <c r="I52" s="4">
        <f t="shared" si="1"/>
        <v>0</v>
      </c>
      <c r="J52" s="9"/>
      <c r="K52" s="4">
        <f t="shared" si="2"/>
        <v>0</v>
      </c>
      <c r="L52" s="5" t="str">
        <f>IF(Z52="◎",COUNTIF($Z$30:Z52,"◎"),"")</f>
        <v/>
      </c>
      <c r="W52" s="388" t="str">
        <f>IF(B52="個別病床",はじめに入力してください!$K$50,IF(B52="共通使用",はじめに入力してください!$K$52,""))</f>
        <v/>
      </c>
      <c r="Y52" s="12">
        <v>23</v>
      </c>
      <c r="Z52" s="367" t="str">
        <f t="shared" si="3"/>
        <v>○</v>
      </c>
      <c r="AA52" s="388" t="str">
        <f t="shared" si="4"/>
        <v>整備しない場合は入力不要です。</v>
      </c>
    </row>
    <row r="53" spans="1:27">
      <c r="A53" s="12">
        <v>24</v>
      </c>
      <c r="B53" s="6"/>
      <c r="C53" s="6"/>
      <c r="D53" s="6"/>
      <c r="E53" s="10"/>
      <c r="F53" s="7"/>
      <c r="G53" s="531"/>
      <c r="H53" s="15">
        <f t="shared" si="0"/>
        <v>0</v>
      </c>
      <c r="I53" s="4">
        <f t="shared" si="1"/>
        <v>0</v>
      </c>
      <c r="J53" s="9"/>
      <c r="K53" s="4">
        <f t="shared" si="2"/>
        <v>0</v>
      </c>
      <c r="L53" s="5" t="str">
        <f>IF(Z53="◎",COUNTIF($Z$30:Z53,"◎"),"")</f>
        <v/>
      </c>
      <c r="W53" s="388" t="str">
        <f>IF(B53="個別病床",はじめに入力してください!$K$50,IF(B53="共通使用",はじめに入力してください!$K$52,""))</f>
        <v/>
      </c>
      <c r="Y53" s="12">
        <v>24</v>
      </c>
      <c r="Z53" s="367" t="str">
        <f t="shared" si="3"/>
        <v>○</v>
      </c>
      <c r="AA53" s="388" t="str">
        <f t="shared" si="4"/>
        <v>整備しない場合は入力不要です。</v>
      </c>
    </row>
    <row r="54" spans="1:27">
      <c r="A54" s="12">
        <v>25</v>
      </c>
      <c r="B54" s="6"/>
      <c r="C54" s="6"/>
      <c r="D54" s="6"/>
      <c r="E54" s="10"/>
      <c r="F54" s="7"/>
      <c r="G54" s="531"/>
      <c r="H54" s="15">
        <f t="shared" si="0"/>
        <v>0</v>
      </c>
      <c r="I54" s="4">
        <f t="shared" si="1"/>
        <v>0</v>
      </c>
      <c r="J54" s="9"/>
      <c r="K54" s="4">
        <f t="shared" si="2"/>
        <v>0</v>
      </c>
      <c r="L54" s="5" t="str">
        <f>IF(Z54="◎",COUNTIF($Z$30:Z54,"◎"),"")</f>
        <v/>
      </c>
      <c r="W54" s="388" t="str">
        <f>IF(B54="個別病床",はじめに入力してください!$K$50,IF(B54="共通使用",はじめに入力してください!$K$52,""))</f>
        <v/>
      </c>
      <c r="Y54" s="12">
        <v>25</v>
      </c>
      <c r="Z54" s="367" t="str">
        <f t="shared" si="3"/>
        <v>○</v>
      </c>
      <c r="AA54" s="388" t="str">
        <f t="shared" si="4"/>
        <v>整備しない場合は入力不要です。</v>
      </c>
    </row>
    <row r="55" spans="1:27">
      <c r="A55" s="12">
        <v>26</v>
      </c>
      <c r="B55" s="6"/>
      <c r="C55" s="6"/>
      <c r="D55" s="6"/>
      <c r="E55" s="10"/>
      <c r="F55" s="7"/>
      <c r="G55" s="531"/>
      <c r="H55" s="15">
        <f t="shared" si="0"/>
        <v>0</v>
      </c>
      <c r="I55" s="4">
        <f t="shared" si="1"/>
        <v>0</v>
      </c>
      <c r="J55" s="9"/>
      <c r="K55" s="4">
        <f t="shared" si="2"/>
        <v>0</v>
      </c>
      <c r="L55" s="5" t="str">
        <f>IF(Z55="◎",COUNTIF($Z$30:Z55,"◎"),"")</f>
        <v/>
      </c>
      <c r="W55" s="388" t="str">
        <f>IF(B55="個別病床",はじめに入力してください!$K$50,IF(B55="共通使用",はじめに入力してください!$K$52,""))</f>
        <v/>
      </c>
      <c r="Y55" s="12">
        <v>26</v>
      </c>
      <c r="Z55" s="367" t="str">
        <f t="shared" si="3"/>
        <v>○</v>
      </c>
      <c r="AA55" s="388" t="str">
        <f t="shared" si="4"/>
        <v>整備しない場合は入力不要です。</v>
      </c>
    </row>
    <row r="56" spans="1:27">
      <c r="A56" s="12">
        <v>27</v>
      </c>
      <c r="B56" s="6"/>
      <c r="C56" s="6"/>
      <c r="D56" s="6"/>
      <c r="E56" s="10"/>
      <c r="F56" s="7"/>
      <c r="G56" s="531"/>
      <c r="H56" s="15">
        <f t="shared" si="0"/>
        <v>0</v>
      </c>
      <c r="I56" s="4">
        <f t="shared" si="1"/>
        <v>0</v>
      </c>
      <c r="J56" s="9"/>
      <c r="K56" s="4">
        <f t="shared" si="2"/>
        <v>0</v>
      </c>
      <c r="L56" s="5" t="str">
        <f>IF(Z56="◎",COUNTIF($Z$30:Z56,"◎"),"")</f>
        <v/>
      </c>
      <c r="W56" s="388" t="str">
        <f>IF(B56="個別病床",はじめに入力してください!$K$50,IF(B56="共通使用",はじめに入力してください!$K$52,""))</f>
        <v/>
      </c>
      <c r="Y56" s="12">
        <v>27</v>
      </c>
      <c r="Z56" s="367" t="str">
        <f t="shared" si="3"/>
        <v>○</v>
      </c>
      <c r="AA56" s="388" t="str">
        <f t="shared" si="4"/>
        <v>整備しない場合は入力不要です。</v>
      </c>
    </row>
    <row r="57" spans="1:27">
      <c r="A57" s="12">
        <v>28</v>
      </c>
      <c r="B57" s="6"/>
      <c r="C57" s="6"/>
      <c r="D57" s="6"/>
      <c r="E57" s="10"/>
      <c r="F57" s="7"/>
      <c r="G57" s="531"/>
      <c r="H57" s="15">
        <f t="shared" si="0"/>
        <v>0</v>
      </c>
      <c r="I57" s="4">
        <f t="shared" si="1"/>
        <v>0</v>
      </c>
      <c r="J57" s="9"/>
      <c r="K57" s="4">
        <f t="shared" si="2"/>
        <v>0</v>
      </c>
      <c r="L57" s="5" t="str">
        <f>IF(Z57="◎",COUNTIF($Z$30:Z57,"◎"),"")</f>
        <v/>
      </c>
      <c r="W57" s="388" t="str">
        <f>IF(B57="個別病床",はじめに入力してください!$K$50,IF(B57="共通使用",はじめに入力してください!$K$52,""))</f>
        <v/>
      </c>
      <c r="Y57" s="12">
        <v>28</v>
      </c>
      <c r="Z57" s="367" t="str">
        <f t="shared" si="3"/>
        <v>○</v>
      </c>
      <c r="AA57" s="388" t="str">
        <f t="shared" si="4"/>
        <v>整備しない場合は入力不要です。</v>
      </c>
    </row>
    <row r="58" spans="1:27">
      <c r="A58" s="12">
        <v>29</v>
      </c>
      <c r="B58" s="6"/>
      <c r="C58" s="6"/>
      <c r="D58" s="6"/>
      <c r="E58" s="10"/>
      <c r="F58" s="7"/>
      <c r="G58" s="531"/>
      <c r="H58" s="15">
        <f t="shared" si="0"/>
        <v>0</v>
      </c>
      <c r="I58" s="4">
        <f t="shared" si="1"/>
        <v>0</v>
      </c>
      <c r="J58" s="9"/>
      <c r="K58" s="4">
        <f t="shared" si="2"/>
        <v>0</v>
      </c>
      <c r="L58" s="5" t="str">
        <f>IF(Z58="◎",COUNTIF($Z$30:Z58,"◎"),"")</f>
        <v/>
      </c>
      <c r="W58" s="388" t="str">
        <f>IF(B58="個別病床",はじめに入力してください!$K$50,IF(B58="共通使用",はじめに入力してください!$K$52,""))</f>
        <v/>
      </c>
      <c r="Y58" s="12">
        <v>29</v>
      </c>
      <c r="Z58" s="367" t="str">
        <f t="shared" si="3"/>
        <v>○</v>
      </c>
      <c r="AA58" s="388" t="str">
        <f t="shared" si="4"/>
        <v>整備しない場合は入力不要です。</v>
      </c>
    </row>
    <row r="59" spans="1:27">
      <c r="A59" s="12">
        <v>30</v>
      </c>
      <c r="B59" s="6"/>
      <c r="C59" s="6"/>
      <c r="D59" s="6"/>
      <c r="E59" s="10"/>
      <c r="F59" s="7"/>
      <c r="G59" s="531"/>
      <c r="H59" s="15">
        <f t="shared" si="0"/>
        <v>0</v>
      </c>
      <c r="I59" s="4">
        <f t="shared" si="1"/>
        <v>0</v>
      </c>
      <c r="J59" s="9"/>
      <c r="K59" s="4">
        <f t="shared" si="2"/>
        <v>0</v>
      </c>
      <c r="L59" s="5" t="str">
        <f>IF(Z59="◎",COUNTIF($Z$30:Z59,"◎"),"")</f>
        <v/>
      </c>
      <c r="W59" s="388" t="str">
        <f>IF(B59="個別病床",はじめに入力してください!$K$50,IF(B59="共通使用",はじめに入力してください!$K$52,""))</f>
        <v/>
      </c>
      <c r="Y59" s="12">
        <v>30</v>
      </c>
      <c r="Z59" s="367" t="str">
        <f t="shared" si="3"/>
        <v>○</v>
      </c>
      <c r="AA59" s="388" t="str">
        <f t="shared" si="4"/>
        <v>整備しない場合は入力不要です。</v>
      </c>
    </row>
    <row r="60" spans="1:27">
      <c r="A60" s="12">
        <v>31</v>
      </c>
      <c r="B60" s="6"/>
      <c r="C60" s="6"/>
      <c r="D60" s="6"/>
      <c r="E60" s="10"/>
      <c r="F60" s="7"/>
      <c r="G60" s="531"/>
      <c r="H60" s="15">
        <f t="shared" si="0"/>
        <v>0</v>
      </c>
      <c r="I60" s="4">
        <f t="shared" si="1"/>
        <v>0</v>
      </c>
      <c r="J60" s="9"/>
      <c r="K60" s="4">
        <f t="shared" si="2"/>
        <v>0</v>
      </c>
      <c r="L60" s="5" t="str">
        <f>IF(Z60="◎",COUNTIF($Z$30:Z60,"◎"),"")</f>
        <v/>
      </c>
      <c r="W60" s="388" t="str">
        <f>IF(B60="個別病床",はじめに入力してください!$K$50,IF(B60="共通使用",はじめに入力してください!$K$52,""))</f>
        <v/>
      </c>
      <c r="Y60" s="12">
        <v>31</v>
      </c>
      <c r="Z60" s="367" t="str">
        <f t="shared" si="3"/>
        <v>○</v>
      </c>
      <c r="AA60" s="388" t="str">
        <f t="shared" si="4"/>
        <v>整備しない場合は入力不要です。</v>
      </c>
    </row>
    <row r="61" spans="1:27">
      <c r="A61" s="12">
        <v>32</v>
      </c>
      <c r="B61" s="6"/>
      <c r="C61" s="6"/>
      <c r="D61" s="6"/>
      <c r="E61" s="10"/>
      <c r="F61" s="7"/>
      <c r="G61" s="531"/>
      <c r="H61" s="15">
        <f t="shared" si="0"/>
        <v>0</v>
      </c>
      <c r="I61" s="4">
        <f t="shared" si="1"/>
        <v>0</v>
      </c>
      <c r="J61" s="9"/>
      <c r="K61" s="4">
        <f t="shared" si="2"/>
        <v>0</v>
      </c>
      <c r="L61" s="5" t="str">
        <f>IF(Z61="◎",COUNTIF($Z$30:Z61,"◎"),"")</f>
        <v/>
      </c>
      <c r="W61" s="388" t="str">
        <f>IF(B61="個別病床",はじめに入力してください!$K$50,IF(B61="共通使用",はじめに入力してください!$K$52,""))</f>
        <v/>
      </c>
      <c r="Y61" s="12">
        <v>32</v>
      </c>
      <c r="Z61" s="367" t="str">
        <f t="shared" si="3"/>
        <v>○</v>
      </c>
      <c r="AA61" s="388" t="str">
        <f t="shared" si="4"/>
        <v>整備しない場合は入力不要です。</v>
      </c>
    </row>
    <row r="62" spans="1:27">
      <c r="A62" s="12">
        <v>33</v>
      </c>
      <c r="B62" s="6"/>
      <c r="C62" s="6"/>
      <c r="D62" s="6"/>
      <c r="E62" s="10"/>
      <c r="F62" s="7"/>
      <c r="G62" s="531"/>
      <c r="H62" s="15">
        <f t="shared" si="0"/>
        <v>0</v>
      </c>
      <c r="I62" s="4">
        <f t="shared" si="1"/>
        <v>0</v>
      </c>
      <c r="J62" s="9"/>
      <c r="K62" s="4">
        <f t="shared" si="2"/>
        <v>0</v>
      </c>
      <c r="L62" s="5" t="str">
        <f>IF(Z62="◎",COUNTIF($Z$30:Z62,"◎"),"")</f>
        <v/>
      </c>
      <c r="W62" s="388" t="str">
        <f>IF(B62="個別病床",はじめに入力してください!$K$50,IF(B62="共通使用",はじめに入力してください!$K$52,""))</f>
        <v/>
      </c>
      <c r="Y62" s="12">
        <v>33</v>
      </c>
      <c r="Z62" s="367" t="str">
        <f t="shared" si="3"/>
        <v>○</v>
      </c>
      <c r="AA62" s="388" t="str">
        <f t="shared" si="4"/>
        <v>整備しない場合は入力不要です。</v>
      </c>
    </row>
    <row r="63" spans="1:27">
      <c r="A63" s="12">
        <v>34</v>
      </c>
      <c r="B63" s="6"/>
      <c r="C63" s="6"/>
      <c r="D63" s="6"/>
      <c r="E63" s="10"/>
      <c r="F63" s="7"/>
      <c r="G63" s="531"/>
      <c r="H63" s="15">
        <f t="shared" si="0"/>
        <v>0</v>
      </c>
      <c r="I63" s="4">
        <f t="shared" si="1"/>
        <v>0</v>
      </c>
      <c r="J63" s="9"/>
      <c r="K63" s="4">
        <f t="shared" si="2"/>
        <v>0</v>
      </c>
      <c r="L63" s="5" t="str">
        <f>IF(Z63="◎",COUNTIF($Z$30:Z63,"◎"),"")</f>
        <v/>
      </c>
      <c r="W63" s="388" t="str">
        <f>IF(B63="個別病床",はじめに入力してください!$K$50,IF(B63="共通使用",はじめに入力してください!$K$52,""))</f>
        <v/>
      </c>
      <c r="Y63" s="12">
        <v>34</v>
      </c>
      <c r="Z63" s="367" t="str">
        <f t="shared" si="3"/>
        <v>○</v>
      </c>
      <c r="AA63" s="388" t="str">
        <f t="shared" si="4"/>
        <v>整備しない場合は入力不要です。</v>
      </c>
    </row>
    <row r="64" spans="1:27">
      <c r="A64" s="12">
        <v>35</v>
      </c>
      <c r="B64" s="6"/>
      <c r="C64" s="6"/>
      <c r="D64" s="6"/>
      <c r="E64" s="10"/>
      <c r="F64" s="7"/>
      <c r="G64" s="531"/>
      <c r="H64" s="15">
        <f t="shared" si="0"/>
        <v>0</v>
      </c>
      <c r="I64" s="4">
        <f t="shared" si="1"/>
        <v>0</v>
      </c>
      <c r="J64" s="9"/>
      <c r="K64" s="4">
        <f t="shared" si="2"/>
        <v>0</v>
      </c>
      <c r="L64" s="5" t="str">
        <f>IF(Z64="◎",COUNTIF($Z$30:Z64,"◎"),"")</f>
        <v/>
      </c>
      <c r="W64" s="388" t="str">
        <f>IF(B64="個別病床",はじめに入力してください!$K$50,IF(B64="共通使用",はじめに入力してください!$K$52,""))</f>
        <v/>
      </c>
      <c r="Y64" s="12">
        <v>35</v>
      </c>
      <c r="Z64" s="367" t="str">
        <f t="shared" si="3"/>
        <v>○</v>
      </c>
      <c r="AA64" s="388" t="str">
        <f t="shared" si="4"/>
        <v>整備しない場合は入力不要です。</v>
      </c>
    </row>
    <row r="65" spans="1:27">
      <c r="A65" s="12">
        <v>36</v>
      </c>
      <c r="B65" s="6"/>
      <c r="C65" s="6"/>
      <c r="D65" s="6"/>
      <c r="E65" s="10"/>
      <c r="F65" s="7"/>
      <c r="G65" s="531"/>
      <c r="H65" s="15">
        <f t="shared" si="0"/>
        <v>0</v>
      </c>
      <c r="I65" s="4">
        <f t="shared" si="1"/>
        <v>0</v>
      </c>
      <c r="J65" s="9"/>
      <c r="K65" s="4">
        <f t="shared" si="2"/>
        <v>0</v>
      </c>
      <c r="L65" s="5" t="str">
        <f>IF(Z65="◎",COUNTIF($Z$30:Z65,"◎"),"")</f>
        <v/>
      </c>
      <c r="W65" s="388" t="str">
        <f>IF(B65="個別病床",はじめに入力してください!$K$50,IF(B65="共通使用",はじめに入力してください!$K$52,""))</f>
        <v/>
      </c>
      <c r="Y65" s="12">
        <v>36</v>
      </c>
      <c r="Z65" s="367" t="str">
        <f t="shared" si="3"/>
        <v>○</v>
      </c>
      <c r="AA65" s="388" t="str">
        <f t="shared" si="4"/>
        <v>整備しない場合は入力不要です。</v>
      </c>
    </row>
    <row r="66" spans="1:27">
      <c r="A66" s="12">
        <v>37</v>
      </c>
      <c r="B66" s="6"/>
      <c r="C66" s="6"/>
      <c r="D66" s="6"/>
      <c r="E66" s="10"/>
      <c r="F66" s="7"/>
      <c r="G66" s="531"/>
      <c r="H66" s="15">
        <f t="shared" si="0"/>
        <v>0</v>
      </c>
      <c r="I66" s="4">
        <f t="shared" si="1"/>
        <v>0</v>
      </c>
      <c r="J66" s="9"/>
      <c r="K66" s="4">
        <f t="shared" si="2"/>
        <v>0</v>
      </c>
      <c r="L66" s="5" t="str">
        <f>IF(Z66="◎",COUNTIF($Z$30:Z66,"◎"),"")</f>
        <v/>
      </c>
      <c r="W66" s="388" t="str">
        <f>IF(B66="個別病床",はじめに入力してください!$K$50,IF(B66="共通使用",はじめに入力してください!$K$52,""))</f>
        <v/>
      </c>
      <c r="Y66" s="12">
        <v>37</v>
      </c>
      <c r="Z66" s="367" t="str">
        <f t="shared" si="3"/>
        <v>○</v>
      </c>
      <c r="AA66" s="388" t="str">
        <f t="shared" si="4"/>
        <v>整備しない場合は入力不要です。</v>
      </c>
    </row>
    <row r="67" spans="1:27">
      <c r="A67" s="12">
        <v>38</v>
      </c>
      <c r="B67" s="6"/>
      <c r="C67" s="6"/>
      <c r="D67" s="6"/>
      <c r="E67" s="10"/>
      <c r="F67" s="7"/>
      <c r="G67" s="531"/>
      <c r="H67" s="15">
        <f t="shared" si="0"/>
        <v>0</v>
      </c>
      <c r="I67" s="4">
        <f t="shared" si="1"/>
        <v>0</v>
      </c>
      <c r="J67" s="9"/>
      <c r="K67" s="4">
        <f t="shared" si="2"/>
        <v>0</v>
      </c>
      <c r="L67" s="5" t="str">
        <f>IF(Z67="◎",COUNTIF($Z$30:Z67,"◎"),"")</f>
        <v/>
      </c>
      <c r="W67" s="388" t="str">
        <f>IF(B67="個別病床",はじめに入力してください!$K$50,IF(B67="共通使用",はじめに入力してください!$K$52,""))</f>
        <v/>
      </c>
      <c r="Y67" s="12">
        <v>38</v>
      </c>
      <c r="Z67" s="367" t="str">
        <f t="shared" si="3"/>
        <v>○</v>
      </c>
      <c r="AA67" s="388" t="str">
        <f t="shared" si="4"/>
        <v>整備しない場合は入力不要です。</v>
      </c>
    </row>
    <row r="68" spans="1:27">
      <c r="A68" s="12">
        <v>39</v>
      </c>
      <c r="B68" s="6"/>
      <c r="C68" s="6"/>
      <c r="D68" s="6"/>
      <c r="E68" s="10"/>
      <c r="F68" s="7"/>
      <c r="G68" s="531"/>
      <c r="H68" s="15">
        <f t="shared" si="0"/>
        <v>0</v>
      </c>
      <c r="I68" s="4">
        <f t="shared" si="1"/>
        <v>0</v>
      </c>
      <c r="J68" s="9"/>
      <c r="K68" s="4">
        <f t="shared" si="2"/>
        <v>0</v>
      </c>
      <c r="L68" s="5" t="str">
        <f>IF(Z68="◎",COUNTIF($Z$30:Z68,"◎"),"")</f>
        <v/>
      </c>
      <c r="W68" s="388" t="str">
        <f>IF(B68="個別病床",はじめに入力してください!$K$50,IF(B68="共通使用",はじめに入力してください!$K$52,""))</f>
        <v/>
      </c>
      <c r="Y68" s="12">
        <v>39</v>
      </c>
      <c r="Z68" s="367" t="str">
        <f t="shared" si="3"/>
        <v>○</v>
      </c>
      <c r="AA68" s="388" t="str">
        <f t="shared" si="4"/>
        <v>整備しない場合は入力不要です。</v>
      </c>
    </row>
    <row r="69" spans="1:27">
      <c r="A69" s="12">
        <v>40</v>
      </c>
      <c r="B69" s="6"/>
      <c r="C69" s="6"/>
      <c r="D69" s="6"/>
      <c r="E69" s="10"/>
      <c r="F69" s="7"/>
      <c r="G69" s="531"/>
      <c r="H69" s="15">
        <f t="shared" si="0"/>
        <v>0</v>
      </c>
      <c r="I69" s="4">
        <f t="shared" si="1"/>
        <v>0</v>
      </c>
      <c r="J69" s="9"/>
      <c r="K69" s="4">
        <f t="shared" si="2"/>
        <v>0</v>
      </c>
      <c r="L69" s="5" t="str">
        <f>IF(Z69="◎",COUNTIF($Z$30:Z69,"◎"),"")</f>
        <v/>
      </c>
      <c r="W69" s="388" t="str">
        <f>IF(B69="個別病床",はじめに入力してください!$K$50,IF(B69="共通使用",はじめに入力してください!$K$52,""))</f>
        <v/>
      </c>
      <c r="Y69" s="12">
        <v>40</v>
      </c>
      <c r="Z69" s="367" t="str">
        <f t="shared" si="3"/>
        <v>○</v>
      </c>
      <c r="AA69" s="388" t="str">
        <f t="shared" si="4"/>
        <v>整備しない場合は入力不要です。</v>
      </c>
    </row>
    <row r="70" spans="1:27">
      <c r="A70" s="12">
        <v>41</v>
      </c>
      <c r="B70" s="6"/>
      <c r="C70" s="6"/>
      <c r="D70" s="6"/>
      <c r="E70" s="10"/>
      <c r="F70" s="7"/>
      <c r="G70" s="531"/>
      <c r="H70" s="15">
        <f t="shared" si="0"/>
        <v>0</v>
      </c>
      <c r="I70" s="4">
        <f t="shared" si="1"/>
        <v>0</v>
      </c>
      <c r="J70" s="9"/>
      <c r="K70" s="4">
        <f t="shared" si="2"/>
        <v>0</v>
      </c>
      <c r="L70" s="5" t="str">
        <f>IF(Z70="◎",COUNTIF($Z$30:Z70,"◎"),"")</f>
        <v/>
      </c>
      <c r="W70" s="388" t="str">
        <f>IF(B70="個別病床",はじめに入力してください!$K$50,IF(B70="共通使用",はじめに入力してください!$K$52,""))</f>
        <v/>
      </c>
      <c r="Y70" s="12">
        <v>41</v>
      </c>
      <c r="Z70" s="367" t="str">
        <f t="shared" si="3"/>
        <v>○</v>
      </c>
      <c r="AA70" s="388" t="str">
        <f t="shared" si="4"/>
        <v>整備しない場合は入力不要です。</v>
      </c>
    </row>
    <row r="71" spans="1:27">
      <c r="A71" s="12">
        <v>42</v>
      </c>
      <c r="B71" s="6"/>
      <c r="C71" s="6"/>
      <c r="D71" s="6"/>
      <c r="E71" s="10"/>
      <c r="F71" s="7"/>
      <c r="G71" s="531"/>
      <c r="H71" s="15">
        <f t="shared" si="0"/>
        <v>0</v>
      </c>
      <c r="I71" s="4">
        <f t="shared" si="1"/>
        <v>0</v>
      </c>
      <c r="J71" s="9"/>
      <c r="K71" s="4">
        <f t="shared" si="2"/>
        <v>0</v>
      </c>
      <c r="L71" s="5" t="str">
        <f>IF(Z71="◎",COUNTIF($Z$30:Z71,"◎"),"")</f>
        <v/>
      </c>
      <c r="W71" s="388" t="str">
        <f>IF(B71="個別病床",はじめに入力してください!$K$50,IF(B71="共通使用",はじめに入力してください!$K$52,""))</f>
        <v/>
      </c>
      <c r="Y71" s="12">
        <v>42</v>
      </c>
      <c r="Z71" s="367" t="str">
        <f t="shared" si="3"/>
        <v>○</v>
      </c>
      <c r="AA71" s="388" t="str">
        <f t="shared" si="4"/>
        <v>整備しない場合は入力不要です。</v>
      </c>
    </row>
    <row r="72" spans="1:27">
      <c r="A72" s="12">
        <v>43</v>
      </c>
      <c r="B72" s="6"/>
      <c r="C72" s="6"/>
      <c r="D72" s="6"/>
      <c r="E72" s="10"/>
      <c r="F72" s="7"/>
      <c r="G72" s="531"/>
      <c r="H72" s="15">
        <f t="shared" si="0"/>
        <v>0</v>
      </c>
      <c r="I72" s="4">
        <f t="shared" si="1"/>
        <v>0</v>
      </c>
      <c r="J72" s="9"/>
      <c r="K72" s="4">
        <f t="shared" si="2"/>
        <v>0</v>
      </c>
      <c r="L72" s="5" t="str">
        <f>IF(Z72="◎",COUNTIF($Z$30:Z72,"◎"),"")</f>
        <v/>
      </c>
      <c r="W72" s="388" t="str">
        <f>IF(B72="個別病床",はじめに入力してください!$K$50,IF(B72="共通使用",はじめに入力してください!$K$52,""))</f>
        <v/>
      </c>
      <c r="Y72" s="12">
        <v>43</v>
      </c>
      <c r="Z72" s="367" t="str">
        <f t="shared" si="3"/>
        <v>○</v>
      </c>
      <c r="AA72" s="388" t="str">
        <f t="shared" si="4"/>
        <v>整備しない場合は入力不要です。</v>
      </c>
    </row>
    <row r="73" spans="1:27">
      <c r="A73" s="12">
        <v>44</v>
      </c>
      <c r="B73" s="6"/>
      <c r="C73" s="6"/>
      <c r="D73" s="6"/>
      <c r="E73" s="10"/>
      <c r="F73" s="7"/>
      <c r="G73" s="531"/>
      <c r="H73" s="15">
        <f t="shared" si="0"/>
        <v>0</v>
      </c>
      <c r="I73" s="4">
        <f t="shared" si="1"/>
        <v>0</v>
      </c>
      <c r="J73" s="9"/>
      <c r="K73" s="4">
        <f t="shared" si="2"/>
        <v>0</v>
      </c>
      <c r="L73" s="5" t="str">
        <f>IF(Z73="◎",COUNTIF($Z$30:Z73,"◎"),"")</f>
        <v/>
      </c>
      <c r="W73" s="388" t="str">
        <f>IF(B73="個別病床",はじめに入力してください!$K$50,IF(B73="共通使用",はじめに入力してください!$K$52,""))</f>
        <v/>
      </c>
      <c r="Y73" s="12">
        <v>44</v>
      </c>
      <c r="Z73" s="367" t="str">
        <f t="shared" si="3"/>
        <v>○</v>
      </c>
      <c r="AA73" s="388" t="str">
        <f t="shared" si="4"/>
        <v>整備しない場合は入力不要です。</v>
      </c>
    </row>
    <row r="74" spans="1:27">
      <c r="A74" s="12">
        <v>45</v>
      </c>
      <c r="B74" s="6"/>
      <c r="C74" s="6"/>
      <c r="D74" s="6"/>
      <c r="E74" s="10"/>
      <c r="F74" s="7"/>
      <c r="G74" s="531"/>
      <c r="H74" s="15">
        <f t="shared" si="0"/>
        <v>0</v>
      </c>
      <c r="I74" s="4">
        <f t="shared" si="1"/>
        <v>0</v>
      </c>
      <c r="J74" s="9"/>
      <c r="K74" s="4">
        <f t="shared" si="2"/>
        <v>0</v>
      </c>
      <c r="L74" s="5" t="str">
        <f>IF(Z74="◎",COUNTIF($Z$30:Z74,"◎"),"")</f>
        <v/>
      </c>
      <c r="W74" s="388" t="str">
        <f>IF(B74="個別病床",はじめに入力してください!$K$50,IF(B74="共通使用",はじめに入力してください!$K$52,""))</f>
        <v/>
      </c>
      <c r="Y74" s="12">
        <v>45</v>
      </c>
      <c r="Z74" s="367" t="str">
        <f t="shared" si="3"/>
        <v>○</v>
      </c>
      <c r="AA74" s="388" t="str">
        <f t="shared" si="4"/>
        <v>整備しない場合は入力不要です。</v>
      </c>
    </row>
  </sheetData>
  <mergeCells count="23">
    <mergeCell ref="K1:M1"/>
    <mergeCell ref="B22:L22"/>
    <mergeCell ref="B2:D3"/>
    <mergeCell ref="Z3:Z5"/>
    <mergeCell ref="AA3:AA5"/>
    <mergeCell ref="Z7:Z8"/>
    <mergeCell ref="AA7:AA8"/>
    <mergeCell ref="B10:L10"/>
    <mergeCell ref="B13:L13"/>
    <mergeCell ref="B14:L14"/>
    <mergeCell ref="B15:L15"/>
    <mergeCell ref="B18:L21"/>
    <mergeCell ref="B7:L7"/>
    <mergeCell ref="B9:C9"/>
    <mergeCell ref="B12:L12"/>
    <mergeCell ref="B26:L26"/>
    <mergeCell ref="Z27:Z28"/>
    <mergeCell ref="AA27:AA28"/>
    <mergeCell ref="B28:D28"/>
    <mergeCell ref="E28:F28"/>
    <mergeCell ref="G28:J28"/>
    <mergeCell ref="K28:K29"/>
    <mergeCell ref="L28:L29"/>
  </mergeCells>
  <phoneticPr fontId="9"/>
  <conditionalFormatting sqref="Z29:Z1048576 Z1:Z2 Z11:Z21 Z6 Z23:Z27">
    <cfRule type="containsText" dxfId="29" priority="8" operator="containsText" text="×">
      <formula>NOT(ISERROR(SEARCH("×",Z1)))</formula>
    </cfRule>
  </conditionalFormatting>
  <conditionalFormatting sqref="AA1:AA2 AA11:AA21 AA29:AA1048576 AA6 AA23:AA27">
    <cfRule type="containsText" dxfId="28" priority="7" operator="containsText" text="要修正">
      <formula>NOT(ISERROR(SEARCH("要修正",AA1)))</formula>
    </cfRule>
  </conditionalFormatting>
  <conditionalFormatting sqref="Z22">
    <cfRule type="containsText" dxfId="27" priority="6" operator="containsText" text="×">
      <formula>NOT(ISERROR(SEARCH("×",Z22)))</formula>
    </cfRule>
  </conditionalFormatting>
  <conditionalFormatting sqref="AA22">
    <cfRule type="containsText" dxfId="26" priority="5" operator="containsText" text="要修正">
      <formula>NOT(ISERROR(SEARCH("要修正",AA22)))</formula>
    </cfRule>
  </conditionalFormatting>
  <conditionalFormatting sqref="Z9:Z10 Z7">
    <cfRule type="containsText" dxfId="25" priority="4" operator="containsText" text="×">
      <formula>NOT(ISERROR(SEARCH("×",Z7)))</formula>
    </cfRule>
  </conditionalFormatting>
  <conditionalFormatting sqref="AA9:AA10 AA7">
    <cfRule type="containsText" dxfId="24" priority="3" operator="containsText" text="要修正">
      <formula>NOT(ISERROR(SEARCH("要修正",AA7)))</formula>
    </cfRule>
  </conditionalFormatting>
  <conditionalFormatting sqref="Z3:Z4">
    <cfRule type="containsText" dxfId="23" priority="2" operator="containsText" text="×">
      <formula>NOT(ISERROR(SEARCH("×",Z3)))</formula>
    </cfRule>
  </conditionalFormatting>
  <conditionalFormatting sqref="AA3:AA4">
    <cfRule type="containsText" dxfId="22" priority="1" operator="containsText" text="要修正">
      <formula>NOT(ISERROR(SEARCH("要修正",AA3)))</formula>
    </cfRule>
  </conditionalFormatting>
  <dataValidations count="10">
    <dataValidation allowBlank="1" showInputMessage="1" showErrorMessage="1" promptTitle="割引額がある場合は入力" prompt="割引がない場合は「0円」のままとしてください。" sqref="I3" xr:uid="{00000000-0002-0000-1900-000000000000}"/>
    <dataValidation allowBlank="1" showInputMessage="1" showErrorMessage="1" promptTitle="補助対象金額" prompt="補助対象額×（見積書金額-割引額）/見積書金額_x000a_で算出されます。" sqref="J3" xr:uid="{00000000-0002-0000-1900-000001000000}"/>
    <dataValidation allowBlank="1" showInputMessage="1" showErrorMessage="1" promptTitle="規格及び数量の入力" prompt="補助対象経費を計上する際、いずれも入力してください。" sqref="E30:E74" xr:uid="{17200BE7-F984-4718-9ADD-299E0398D218}"/>
    <dataValidation allowBlank="1" showInputMessage="1" showErrorMessage="1" promptTitle="単価の入力" prompt="税抜額または税込額のいずれかを入力してください。_x000a_入力しない方は「0」は入力せず、空欄としてください。" sqref="H30:H74" xr:uid="{542C1831-076C-4B97-A108-D15F2899EE71}"/>
    <dataValidation allowBlank="1" showInputMessage="1" showErrorMessage="1" promptTitle="添付書類番号" prompt="種類、規格、数量、単価が全て適切に入力され、右の「判定」が「◎」と表示されると自動で番号が表示されます。" sqref="L30:L74" xr:uid="{7271ABEA-A2C5-4987-BD7A-E165B5C9AAF5}"/>
    <dataValidation allowBlank="1" showInputMessage="1" showErrorMessage="1" promptTitle="金額の表示" prompt="数式が入力されているため、自動計算されます。" sqref="K30:K74 I30:I74" xr:uid="{2517E8C7-4A23-48FB-981B-121165C5AB91}"/>
    <dataValidation type="list" allowBlank="1" showInputMessage="1" showErrorMessage="1" promptTitle="補助対象の該当非該当" prompt="コロナ対応病床の初度設備に係る経費が対象となります。_x000a_共用部分の設備、備品や医療用消耗品等は補助対象外なので「対象外」を選択してください。_x000a_審査において確認、対象外と認めたものについては対象外として補正をお願いする場合があります。" sqref="J30:J74" xr:uid="{DFBFFDE9-B78E-48DE-A891-FE36E5192719}">
      <formula1>"補助対象,補助対象外"</formula1>
    </dataValidation>
    <dataValidation type="list" allowBlank="1" showInputMessage="1" showErrorMessage="1" promptTitle="設備、備品、その他の別を選択" prompt="当該行に記載する品目が_x000a_・「設備」（設備本体）_x000a_・備品（本体設備と別の構成をなすもの）_x000a_・その他（上記の該当しないもの）_x000a_の別をプルダウンから選択してください。" sqref="D30:D74" xr:uid="{66F42293-FA7A-4816-AA95-10279862E9CD}">
      <formula1>"設備,備品,その他"</formula1>
    </dataValidation>
    <dataValidation type="decimal" operator="greaterThanOrEqual" allowBlank="1" showInputMessage="1" showErrorMessage="1" promptTitle="単価の入力" prompt="税抜額または税込額のいずれかを入力してください。_x000a_入力しない方は「0」は入力せず、空欄としてください。" sqref="G30:G74" xr:uid="{DBD92EB8-C9AD-4964-B55F-1E9761501557}">
      <formula1>0</formula1>
    </dataValidation>
    <dataValidation type="whole" operator="greaterThanOrEqual" allowBlank="1" showInputMessage="1" showErrorMessage="1" errorTitle="数値のみを入力してください。" error="「個」、「枚」等の単位入力は不要です。" promptTitle="規格及び数量の入力" prompt="補助対象経費を計上する際、いずれも入力してください。" sqref="F30:F74" xr:uid="{842D0DCB-F2A3-487A-B081-B2BB421A4459}">
      <formula1>0</formula1>
    </dataValidation>
  </dataValidations>
  <pageMargins left="0.7" right="0.7" top="0.75" bottom="0.75" header="0.3" footer="0.3"/>
  <pageSetup paperSize="9" scale="55"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promptTitle="「用途先」病床の選択（左の「病床」を選択しないと表示されません。" prompt="ベッドに必ずしも紐付けるものではありませんが、１病床１台で紐付けした場合、整備する病床に番号付けをした場合の番号を選択してください。" xr:uid="{F22E191A-A545-46D2-9F86-68F62FD82BC2}">
          <x14:formula1>
            <xm:f>OFFSET(テーブル!$X$48, 0, MATCH(B30,テーブル!$Y$47:$Z$47,0), COUNTA(OFFSET(テーブル!$X$48,0,MATCH(B30,テーブル!$Y$47:$Z$47,0),$W$30,1)),1)</xm:f>
          </x14:formula1>
          <xm:sqref>C30:C74</xm:sqref>
        </x14:dataValidation>
        <x14:dataValidation type="list" allowBlank="1" showInputMessage="1" showErrorMessage="1" promptTitle="配備先の別を選択" prompt="確保病床の共通使用のものか、個別のベッドに配備するものか選択してください。" xr:uid="{D5639DDA-A6F4-4EC9-890E-B93AE1FF779F}">
          <x14:formula1>
            <xm:f>テーブル!$X$48:$X$49</xm:f>
          </x14:formula1>
          <xm:sqref>B30:B74</xm:sqref>
        </x14:dataValidation>
        <x14:dataValidation type="list" allowBlank="1" showInputMessage="1" showErrorMessage="1" xr:uid="{00000000-0002-0000-1900-000008000000}">
          <x14:formula1>
            <xm:f>テーブル!$M$37:$M$51</xm:f>
          </x14:formula1>
          <xm:sqref>B2:D2</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theme="4" tint="0.79998168889431442"/>
    <pageSetUpPr fitToPage="1"/>
  </sheetPr>
  <dimension ref="A1:AF74"/>
  <sheetViews>
    <sheetView showGridLines="0" view="pageBreakPreview" topLeftCell="A21" zoomScale="60" zoomScaleNormal="100" workbookViewId="0">
      <selection activeCell="B26" sqref="B26:L26"/>
    </sheetView>
  </sheetViews>
  <sheetFormatPr defaultColWidth="8.625" defaultRowHeight="18"/>
  <cols>
    <col min="1" max="1" width="3.625" style="12" customWidth="1"/>
    <col min="2" max="4" width="8.625" style="19"/>
    <col min="5" max="5" width="30.625" style="19" customWidth="1"/>
    <col min="6" max="6" width="8.625" style="19"/>
    <col min="7" max="11" width="12.625" style="19" customWidth="1"/>
    <col min="12" max="12" width="8.625" style="19"/>
    <col min="13" max="13" width="3.625" style="19" customWidth="1"/>
    <col min="14" max="23" width="8.625" style="19"/>
    <col min="24" max="24" width="8.625" style="19" customWidth="1"/>
    <col min="25" max="25" width="3.625" style="12" customWidth="1"/>
    <col min="26" max="26" width="8.625" style="19"/>
    <col min="27" max="27" width="40.625" style="19" customWidth="1"/>
    <col min="28" max="28" width="3.625" style="19" customWidth="1"/>
    <col min="29" max="32" width="8.625" style="19"/>
    <col min="33" max="33" width="30.625" style="19" customWidth="1"/>
    <col min="34" max="16384" width="8.625" style="19"/>
  </cols>
  <sheetData>
    <row r="1" spans="1:32" ht="20.100000000000001" customHeight="1">
      <c r="K1" s="1859" t="str">
        <f xml:space="preserve">
IF(表紙!X2="交付申請兼実績報告","（４月１日～５月７日分）",
IF(OR(表紙!X2="事前協議",表紙!X2="交付申請",表紙!X2="変更申請",表紙!X2="実績報告"),"（５月８日～９月30日分）",
))</f>
        <v>（４月１日～５月７日分）</v>
      </c>
      <c r="L1" s="1385"/>
      <c r="M1" s="1385"/>
    </row>
    <row r="2" spans="1:32" ht="20.100000000000001" customHeight="1">
      <c r="B2" s="1847" t="s">
        <v>432</v>
      </c>
      <c r="C2" s="1848"/>
      <c r="D2" s="1849"/>
      <c r="H2" s="5" t="s">
        <v>536</v>
      </c>
      <c r="I2" s="367" t="s">
        <v>537</v>
      </c>
      <c r="J2" s="5" t="s">
        <v>44</v>
      </c>
      <c r="Z2" s="367" t="s">
        <v>417</v>
      </c>
      <c r="AA2" s="367" t="s">
        <v>415</v>
      </c>
      <c r="AC2" s="367" t="str">
        <f>Z9</f>
        <v>×</v>
      </c>
      <c r="AD2" s="367" t="str">
        <f>Z15</f>
        <v>◎</v>
      </c>
      <c r="AE2" s="367" t="str">
        <f>Z22</f>
        <v>◎</v>
      </c>
      <c r="AF2" s="367" t="str">
        <f>Z26</f>
        <v>◎</v>
      </c>
    </row>
    <row r="3" spans="1:32" ht="20.100000000000001" customHeight="1">
      <c r="B3" s="1850"/>
      <c r="C3" s="1851"/>
      <c r="D3" s="1852"/>
      <c r="H3" s="351">
        <f>SUM(I30:I74)</f>
        <v>52800000</v>
      </c>
      <c r="I3" s="8"/>
      <c r="J3" s="351">
        <f>IFERROR(ROUNDUP(SUM(K30:K74)*((H3-I3)/H3),0),0)</f>
        <v>39600000</v>
      </c>
      <c r="Z3" s="884" t="str">
        <f xml:space="preserve">
IF(COUNTIF(AD2:AF2,"○")=3,"○",
IF(COUNTIF(AD2:AF2,"◎")=3,"◎","×"
))</f>
        <v>◎</v>
      </c>
      <c r="AA3" s="1842" t="str">
        <f xml:space="preserve">
IF(Z3="○","整備しない場合は入力不要です。",
IF(Z3="×","【要修正】入力が不十分な箇所があります。",
IF(Z3="◎","適切に入力がされました。")))</f>
        <v>適切に入力がされました。</v>
      </c>
    </row>
    <row r="4" spans="1:32" ht="9.9499999999999993" customHeight="1">
      <c r="Z4" s="884"/>
      <c r="AA4" s="1842"/>
    </row>
    <row r="5" spans="1:32" ht="20.100000000000001" customHeight="1">
      <c r="B5" s="386" t="s">
        <v>55</v>
      </c>
      <c r="C5" s="386"/>
      <c r="D5" s="386"/>
      <c r="E5" s="386"/>
      <c r="F5" s="386"/>
      <c r="G5" s="386"/>
      <c r="H5" s="386"/>
      <c r="I5" s="386"/>
      <c r="J5" s="386"/>
      <c r="K5" s="386"/>
      <c r="L5" s="386"/>
      <c r="Z5" s="857"/>
      <c r="AA5" s="858"/>
    </row>
    <row r="6" spans="1:32" ht="9.9499999999999993" customHeight="1"/>
    <row r="7" spans="1:32" ht="20.100000000000001" customHeight="1">
      <c r="B7" s="1863" t="str">
        <f xml:space="preserve">
IF(OR(表紙!X2="事前協議",表紙!X2="交付申請"),"（１）整備を行う対象の新規で指定を受けた確保病床数あるいは、確保病床を有しない場合は整備を行う病床の数",
IF(表紙!X2="交付申請兼実績報告","（１）整備を行う対象の新規で指定を受けた確保病床数"))</f>
        <v>（１）整備を行う対象の新規で指定を受けた確保病床数</v>
      </c>
      <c r="C7" s="953"/>
      <c r="D7" s="953"/>
      <c r="E7" s="953"/>
      <c r="F7" s="953"/>
      <c r="G7" s="953"/>
      <c r="H7" s="953"/>
      <c r="I7" s="953"/>
      <c r="J7" s="953"/>
      <c r="K7" s="953"/>
      <c r="L7" s="953"/>
      <c r="Z7" s="1838" t="s">
        <v>413</v>
      </c>
      <c r="AA7" s="1838" t="s">
        <v>415</v>
      </c>
    </row>
    <row r="8" spans="1:32" ht="9.9499999999999993" customHeight="1">
      <c r="Z8" s="1839"/>
      <c r="AA8" s="1839"/>
    </row>
    <row r="9" spans="1:32" ht="35.1" customHeight="1">
      <c r="B9" s="1864" t="s">
        <v>56</v>
      </c>
      <c r="C9" s="1865"/>
      <c r="D9" s="204" t="str">
        <f>IF(はじめに入力してください!K50="","",はじめに入力してください!K50)</f>
        <v/>
      </c>
      <c r="E9" s="352"/>
      <c r="F9" s="353"/>
      <c r="G9" s="353"/>
      <c r="H9" s="353"/>
      <c r="I9" s="353"/>
      <c r="J9" s="354"/>
      <c r="K9" s="354"/>
      <c r="L9" s="354"/>
      <c r="Z9" s="367" t="str">
        <f xml:space="preserve">
IF(D9="","×",
IF(D9=0,"○",
IF(D9&gt;=1,"◎",
)))</f>
        <v>×</v>
      </c>
      <c r="AA9" s="388" t="str">
        <f xml:space="preserve">
IF(D9="","【要修正】「はじめに入力してください」シートに整備を行う病床の数を入力してください。",
IF(D9=0,"申請しない場合は以下入力不要です。",
IF(D9&gt;=1,"適切に入力されました。",
)))</f>
        <v>【要修正】「はじめに入力してください」シートに整備を行う病床の数を入力してください。</v>
      </c>
    </row>
    <row r="10" spans="1:32" ht="20.100000000000001" customHeight="1">
      <c r="B10" s="1860"/>
      <c r="C10" s="1861"/>
      <c r="D10" s="1862"/>
      <c r="E10" s="1862"/>
      <c r="F10" s="1862"/>
      <c r="G10" s="1862"/>
      <c r="H10" s="1862"/>
      <c r="I10" s="1862"/>
      <c r="J10" s="1862"/>
      <c r="K10" s="1862"/>
      <c r="L10" s="1862"/>
    </row>
    <row r="11" spans="1:32" ht="20.100000000000001" hidden="1" customHeight="1"/>
    <row r="12" spans="1:32" ht="20.100000000000001" customHeight="1">
      <c r="B12" s="1863" t="s">
        <v>57</v>
      </c>
      <c r="C12" s="953"/>
      <c r="D12" s="953"/>
      <c r="E12" s="953"/>
      <c r="F12" s="953"/>
      <c r="G12" s="953"/>
      <c r="H12" s="953"/>
      <c r="I12" s="953"/>
      <c r="J12" s="953"/>
      <c r="K12" s="953"/>
      <c r="L12" s="953"/>
    </row>
    <row r="13" spans="1:32" ht="39.950000000000003" customHeight="1">
      <c r="B13" s="1843" t="s">
        <v>538</v>
      </c>
      <c r="C13" s="952"/>
      <c r="D13" s="952"/>
      <c r="E13" s="952"/>
      <c r="F13" s="952"/>
      <c r="G13" s="952"/>
      <c r="H13" s="952"/>
      <c r="I13" s="952"/>
      <c r="J13" s="952"/>
      <c r="K13" s="952"/>
      <c r="L13" s="952"/>
    </row>
    <row r="14" spans="1:32" s="385" customFormat="1" ht="80.099999999999994" customHeight="1">
      <c r="A14" s="13"/>
      <c r="B14" s="1843" t="str">
        <f>VLOOKUP(B2,テーブル!M37:N51,2,FALSE)</f>
        <v>（例）これまで確保病床○床に対し、生体情報モニタ○台で対応してきた。
　　　当院が所在する医療圏は確保病床自体が少なく、高齢者人口が多く一度罹患すると重症化するケースが少なくなく、今年度においてもこれまで受入対応
　　　ができず遠隔の医療機関への搬送を余儀なくされたケースがあった。（詳細別紙）
　　　ついては、今後継続的に不足することが見込まれる○台を本事業を活用し整備することとしたい。</v>
      </c>
      <c r="C14" s="1675"/>
      <c r="D14" s="1675"/>
      <c r="E14" s="1675"/>
      <c r="F14" s="1675"/>
      <c r="G14" s="1675"/>
      <c r="H14" s="1675"/>
      <c r="I14" s="1675"/>
      <c r="J14" s="1675"/>
      <c r="K14" s="1675"/>
      <c r="L14" s="1675"/>
      <c r="Y14" s="13"/>
      <c r="Z14" s="366" t="s">
        <v>413</v>
      </c>
      <c r="AA14" s="366" t="s">
        <v>414</v>
      </c>
    </row>
    <row r="15" spans="1:32" ht="120" customHeight="1">
      <c r="B15" s="1844" t="s">
        <v>1287</v>
      </c>
      <c r="C15" s="1845"/>
      <c r="D15" s="1845"/>
      <c r="E15" s="1845"/>
      <c r="F15" s="1845"/>
      <c r="G15" s="1845"/>
      <c r="H15" s="1845"/>
      <c r="I15" s="1845"/>
      <c r="J15" s="1845"/>
      <c r="K15" s="1845"/>
      <c r="L15" s="1846"/>
      <c r="Z15" s="367" t="str">
        <f xml:space="preserve">
IF(COUNTA(B15)=0,"○",
IF(COUNTA(B15)=1,"◎"))</f>
        <v>◎</v>
      </c>
      <c r="AA15" s="388" t="str">
        <f xml:space="preserve">
IF(COUNTA(B15)=0,"整備しない場合は入力不要です。",
IF(COUNTA(B15)=1,"入力された状態になりました。"))</f>
        <v>入力された状態になりました。</v>
      </c>
    </row>
    <row r="16" spans="1:32" ht="20.100000000000001" customHeight="1"/>
    <row r="17" spans="1:27" ht="20.100000000000001" customHeight="1">
      <c r="B17" s="386" t="s">
        <v>452</v>
      </c>
      <c r="C17" s="386"/>
      <c r="D17" s="386"/>
      <c r="E17" s="386"/>
      <c r="F17" s="386"/>
      <c r="G17" s="386"/>
      <c r="H17" s="386"/>
      <c r="I17" s="386"/>
      <c r="J17" s="386"/>
      <c r="K17" s="386"/>
      <c r="L17" s="386"/>
    </row>
    <row r="18" spans="1:27" ht="20.100000000000001" customHeight="1">
      <c r="B18" s="1843" t="s">
        <v>480</v>
      </c>
      <c r="C18" s="952"/>
      <c r="D18" s="952"/>
      <c r="E18" s="952"/>
      <c r="F18" s="952"/>
      <c r="G18" s="952"/>
      <c r="H18" s="952"/>
      <c r="I18" s="952"/>
      <c r="J18" s="952"/>
      <c r="K18" s="952"/>
      <c r="L18" s="952"/>
    </row>
    <row r="19" spans="1:27" ht="20.100000000000001" customHeight="1">
      <c r="B19" s="1843"/>
      <c r="C19" s="952"/>
      <c r="D19" s="952"/>
      <c r="E19" s="952"/>
      <c r="F19" s="952"/>
      <c r="G19" s="952"/>
      <c r="H19" s="952"/>
      <c r="I19" s="952"/>
      <c r="J19" s="952"/>
      <c r="K19" s="952"/>
      <c r="L19" s="952"/>
    </row>
    <row r="20" spans="1:27" ht="20.100000000000001" customHeight="1">
      <c r="B20" s="1843"/>
      <c r="C20" s="952"/>
      <c r="D20" s="952"/>
      <c r="E20" s="952"/>
      <c r="F20" s="952"/>
      <c r="G20" s="952"/>
      <c r="H20" s="952"/>
      <c r="I20" s="952"/>
      <c r="J20" s="952"/>
      <c r="K20" s="952"/>
      <c r="L20" s="952"/>
    </row>
    <row r="21" spans="1:27" ht="20.100000000000001" customHeight="1">
      <c r="B21" s="952"/>
      <c r="C21" s="952"/>
      <c r="D21" s="952"/>
      <c r="E21" s="952"/>
      <c r="F21" s="952"/>
      <c r="G21" s="952"/>
      <c r="H21" s="952"/>
      <c r="I21" s="952"/>
      <c r="J21" s="952"/>
      <c r="K21" s="952"/>
      <c r="L21" s="952"/>
    </row>
    <row r="22" spans="1:27" ht="120" customHeight="1">
      <c r="B22" s="1844" t="s">
        <v>1287</v>
      </c>
      <c r="C22" s="1845"/>
      <c r="D22" s="1845"/>
      <c r="E22" s="1845"/>
      <c r="F22" s="1845"/>
      <c r="G22" s="1845"/>
      <c r="H22" s="1845"/>
      <c r="I22" s="1845"/>
      <c r="J22" s="1845"/>
      <c r="K22" s="1845"/>
      <c r="L22" s="1846"/>
      <c r="Z22" s="367" t="str">
        <f xml:space="preserve">
IF(COUNTA(B22)=0,"○",
IF(COUNTA(B22)=1,"◎"))</f>
        <v>◎</v>
      </c>
      <c r="AA22" s="388" t="str">
        <f xml:space="preserve">
IF(COUNTA(B22)=0,"整備しない場合は入力不要です。",
IF(COUNTA(B22)=1,"入力された状態になりました。"))</f>
        <v>入力された状態になりました。</v>
      </c>
    </row>
    <row r="23" spans="1:27" ht="20.100000000000001" customHeight="1"/>
    <row r="24" spans="1:27" ht="20.100000000000001" customHeight="1">
      <c r="B24" s="386" t="s">
        <v>451</v>
      </c>
      <c r="C24" s="386"/>
      <c r="D24" s="386"/>
      <c r="E24" s="386"/>
      <c r="F24" s="386"/>
      <c r="G24" s="386"/>
      <c r="H24" s="386"/>
      <c r="I24" s="386"/>
      <c r="J24" s="386"/>
      <c r="K24" s="386"/>
      <c r="L24" s="386"/>
      <c r="Z24" s="14"/>
    </row>
    <row r="25" spans="1:27" ht="9.9499999999999993" customHeight="1"/>
    <row r="26" spans="1:27" ht="60" customHeight="1">
      <c r="B26" s="1843" t="s">
        <v>559</v>
      </c>
      <c r="C26" s="953"/>
      <c r="D26" s="953"/>
      <c r="E26" s="953"/>
      <c r="F26" s="953"/>
      <c r="G26" s="953"/>
      <c r="H26" s="953"/>
      <c r="I26" s="953"/>
      <c r="J26" s="953"/>
      <c r="K26" s="953"/>
      <c r="L26" s="953"/>
      <c r="Z26" s="367" t="str">
        <f xml:space="preserve">
IF(COUNTIF(Z30:Z74,"○")=45,"○",
IF(COUNTIF(Z30:Z74,"×")&gt;=1,"×",
IF(AND(COUNTIF(Z30:Z74,"◎")&gt;=1,COUNTIF(Z30:Z74,"×")=0),"◎")))</f>
        <v>◎</v>
      </c>
      <c r="AA26" s="388" t="str">
        <f xml:space="preserve">
IF(COUNTIF(Z30:Z74,"○")=45,"整備しない場合は入力不要です。",
IF(COUNTIF(Z30:Z74,"×")&gt;=1,"【要修正】入力が不十分な箇所があります。",
IF(AND(COUNTIF(Z30:Z74,"◎")&gt;=1,COUNTIF(Z30:Z74,"×")=0),"適切に入力がされました。")))</f>
        <v>適切に入力がされました。</v>
      </c>
    </row>
    <row r="27" spans="1:27" ht="9.9499999999999993" customHeight="1">
      <c r="Z27" s="1837" t="s">
        <v>416</v>
      </c>
      <c r="AA27" s="1840" t="s">
        <v>418</v>
      </c>
    </row>
    <row r="28" spans="1:27">
      <c r="B28" s="1853" t="s">
        <v>41</v>
      </c>
      <c r="C28" s="1854"/>
      <c r="D28" s="1855"/>
      <c r="E28" s="1853" t="s">
        <v>42</v>
      </c>
      <c r="F28" s="1855"/>
      <c r="G28" s="1853" t="s">
        <v>43</v>
      </c>
      <c r="H28" s="1854"/>
      <c r="I28" s="1854"/>
      <c r="J28" s="1855"/>
      <c r="K28" s="1856" t="s">
        <v>44</v>
      </c>
      <c r="L28" s="1856" t="s">
        <v>45</v>
      </c>
      <c r="Z28" s="1105"/>
      <c r="AA28" s="1841"/>
    </row>
    <row r="29" spans="1:27">
      <c r="B29" s="3" t="s">
        <v>46</v>
      </c>
      <c r="C29" s="3" t="s">
        <v>47</v>
      </c>
      <c r="D29" s="3" t="s">
        <v>48</v>
      </c>
      <c r="E29" s="3" t="s">
        <v>54</v>
      </c>
      <c r="F29" s="3" t="s">
        <v>49</v>
      </c>
      <c r="G29" s="3" t="s">
        <v>50</v>
      </c>
      <c r="H29" s="3" t="s">
        <v>51</v>
      </c>
      <c r="I29" s="3" t="s">
        <v>52</v>
      </c>
      <c r="J29" s="3" t="s">
        <v>53</v>
      </c>
      <c r="K29" s="1857"/>
      <c r="L29" s="1857"/>
      <c r="Z29" s="367" t="s">
        <v>413</v>
      </c>
      <c r="AA29" s="367" t="s">
        <v>415</v>
      </c>
    </row>
    <row r="30" spans="1:27">
      <c r="A30" s="12">
        <v>1</v>
      </c>
      <c r="B30" s="6"/>
      <c r="C30" s="6"/>
      <c r="D30" s="6"/>
      <c r="E30" s="10"/>
      <c r="F30" s="7"/>
      <c r="G30" s="531"/>
      <c r="H30" s="15">
        <f>ROUNDDOWN(G30*1.1,0)</f>
        <v>0</v>
      </c>
      <c r="I30" s="4">
        <f>F30*H30</f>
        <v>0</v>
      </c>
      <c r="J30" s="9"/>
      <c r="K30" s="4">
        <f>IF(J30="補助対象",I30,IF(J30="補助対象外",0,0))</f>
        <v>0</v>
      </c>
      <c r="L30" s="5" t="str">
        <f>IF(Z30="◎",COUNTIF($Z$30:Z30,"◎"),"")</f>
        <v/>
      </c>
      <c r="W30" s="388" t="str">
        <f>IF(B30="個別病床",はじめに入力してください!$K$50,IF(B30="共通使用",はじめに入力してください!$K$52,""))</f>
        <v/>
      </c>
      <c r="Y30" s="12">
        <v>1</v>
      </c>
      <c r="Z30" s="367" t="str">
        <f xml:space="preserve">
IF(SUM(COUNTA(B30:G30),COUNTA(J30))=0,"○",
IF(AND(SUM(COUNTA(B30:G30),COUNTA(J30))&gt;0,SUM(COUNTA(B30:G30),COUNTA(J30))&lt;7),"×",
IF(SUM(COUNTA(B30:G30),COUNTA(J30))=7,"◎")))</f>
        <v>○</v>
      </c>
      <c r="AA30" s="388" t="str">
        <f xml:space="preserve">
IF(SUM(COUNTA(B30:G30),COUNTA(J30))=0,"整備しない場合は入力不要です。",
IF(AND(SUM(COUNTA(B30:G30),COUNTA(J30))&gt;0,SUM(COUNTA(B30:G30),COUNTA(J30))&lt;7),"【要修正】未入力の箇所があります。",
IF(SUM(COUNTA(B30:G30),COUNTA(J30))=7,"適切に入力がされました。")))</f>
        <v>整備しない場合は入力不要です。</v>
      </c>
    </row>
    <row r="31" spans="1:27">
      <c r="A31" s="12">
        <v>2</v>
      </c>
      <c r="B31" s="6"/>
      <c r="C31" s="6"/>
      <c r="D31" s="6"/>
      <c r="E31" s="10"/>
      <c r="F31" s="7"/>
      <c r="G31" s="531"/>
      <c r="H31" s="15">
        <f t="shared" ref="H31:H74" si="0">ROUNDDOWN(G31*1.1,0)</f>
        <v>0</v>
      </c>
      <c r="I31" s="4">
        <f t="shared" ref="I31:I74" si="1">F31*H31</f>
        <v>0</v>
      </c>
      <c r="J31" s="9"/>
      <c r="K31" s="4">
        <f t="shared" ref="K31:K74" si="2">IF(J31="補助対象",I31,IF(J31="補助対象外",0,0))</f>
        <v>0</v>
      </c>
      <c r="L31" s="5" t="str">
        <f>IF(Z31="◎",COUNTIF($Z$30:Z31,"◎"),"")</f>
        <v/>
      </c>
      <c r="W31" s="388" t="str">
        <f>IF(B31="個別病床",はじめに入力してください!$K$50,IF(B31="共通使用",はじめに入力してください!$K$52,""))</f>
        <v/>
      </c>
      <c r="Y31" s="12">
        <v>2</v>
      </c>
      <c r="Z31" s="367" t="str">
        <f t="shared" ref="Z31:Z74" si="3" xml:space="preserve">
IF(SUM(COUNTA(B31:G31),COUNTA(J31))=0,"○",
IF(AND(SUM(COUNTA(B31:G31),COUNTA(J31))&gt;0,SUM(COUNTA(B31:G31),COUNTA(J31))&lt;7),"×",
IF(SUM(COUNTA(B31:G31),COUNTA(J31))=7,"◎")))</f>
        <v>○</v>
      </c>
      <c r="AA31" s="388" t="str">
        <f t="shared" ref="AA31:AA74" si="4" xml:space="preserve">
IF(SUM(COUNTA(B31:G31),COUNTA(J31))=0,"整備しない場合は入力不要です。",
IF(AND(SUM(COUNTA(B31:G31),COUNTA(J31))&gt;0,SUM(COUNTA(B31:G31),COUNTA(J31))&lt;7),"【要修正】未入力の箇所があります。",
IF(SUM(COUNTA(B31:G31),COUNTA(J31))=7,"適切に入力がされました。")))</f>
        <v>整備しない場合は入力不要です。</v>
      </c>
    </row>
    <row r="32" spans="1:27">
      <c r="A32" s="12">
        <v>3</v>
      </c>
      <c r="B32" s="6"/>
      <c r="C32" s="6"/>
      <c r="D32" s="6"/>
      <c r="E32" s="10"/>
      <c r="F32" s="7"/>
      <c r="G32" s="531"/>
      <c r="H32" s="15">
        <f t="shared" si="0"/>
        <v>0</v>
      </c>
      <c r="I32" s="4">
        <f t="shared" si="1"/>
        <v>0</v>
      </c>
      <c r="J32" s="9"/>
      <c r="K32" s="4">
        <f t="shared" si="2"/>
        <v>0</v>
      </c>
      <c r="L32" s="5" t="str">
        <f>IF(Z32="◎",COUNTIF($Z$30:Z32,"◎"),"")</f>
        <v/>
      </c>
      <c r="W32" s="388" t="str">
        <f>IF(B32="個別病床",はじめに入力してください!$K$50,IF(B32="共通使用",はじめに入力してください!$K$52,""))</f>
        <v/>
      </c>
      <c r="Y32" s="12">
        <v>3</v>
      </c>
      <c r="Z32" s="367" t="str">
        <f t="shared" si="3"/>
        <v>○</v>
      </c>
      <c r="AA32" s="388" t="str">
        <f t="shared" si="4"/>
        <v>整備しない場合は入力不要です。</v>
      </c>
    </row>
    <row r="33" spans="1:27">
      <c r="A33" s="12">
        <v>4</v>
      </c>
      <c r="B33" s="6"/>
      <c r="C33" s="6"/>
      <c r="D33" s="6"/>
      <c r="E33" s="10"/>
      <c r="F33" s="7"/>
      <c r="G33" s="531"/>
      <c r="H33" s="15">
        <f t="shared" si="0"/>
        <v>0</v>
      </c>
      <c r="I33" s="4">
        <f t="shared" si="1"/>
        <v>0</v>
      </c>
      <c r="J33" s="9"/>
      <c r="K33" s="4">
        <f t="shared" si="2"/>
        <v>0</v>
      </c>
      <c r="L33" s="5" t="str">
        <f>IF(Z33="◎",COUNTIF($Z$30:Z33,"◎"),"")</f>
        <v/>
      </c>
      <c r="W33" s="388" t="str">
        <f>IF(B33="個別病床",はじめに入力してください!$K$50,IF(B33="共通使用",はじめに入力してください!$K$52,""))</f>
        <v/>
      </c>
      <c r="Y33" s="12">
        <v>4</v>
      </c>
      <c r="Z33" s="367" t="str">
        <f t="shared" si="3"/>
        <v>○</v>
      </c>
      <c r="AA33" s="388" t="str">
        <f t="shared" si="4"/>
        <v>整備しない場合は入力不要です。</v>
      </c>
    </row>
    <row r="34" spans="1:27">
      <c r="A34" s="12">
        <v>5</v>
      </c>
      <c r="B34" s="6" t="s">
        <v>669</v>
      </c>
      <c r="C34" s="6" t="s">
        <v>670</v>
      </c>
      <c r="D34" s="6" t="s">
        <v>1281</v>
      </c>
      <c r="E34" s="10" t="s">
        <v>1280</v>
      </c>
      <c r="F34" s="7">
        <v>12</v>
      </c>
      <c r="G34" s="531">
        <v>1000000</v>
      </c>
      <c r="H34" s="15">
        <f t="shared" si="0"/>
        <v>1100000</v>
      </c>
      <c r="I34" s="4">
        <f t="shared" si="1"/>
        <v>13200000</v>
      </c>
      <c r="J34" s="9" t="s">
        <v>1285</v>
      </c>
      <c r="K34" s="4">
        <f t="shared" si="2"/>
        <v>13200000</v>
      </c>
      <c r="L34" s="5">
        <f>IF(Z34="◎",COUNTIF($Z$30:Z34,"◎"),"")</f>
        <v>1</v>
      </c>
      <c r="W34" s="388">
        <f>IF(B34="個別病床",はじめに入力してください!$K$50,IF(B34="共通使用",はじめに入力してください!$K$52,""))</f>
        <v>0</v>
      </c>
      <c r="Y34" s="12">
        <v>5</v>
      </c>
      <c r="Z34" s="367" t="str">
        <f t="shared" si="3"/>
        <v>◎</v>
      </c>
      <c r="AA34" s="388" t="str">
        <f t="shared" si="4"/>
        <v>適切に入力がされました。</v>
      </c>
    </row>
    <row r="35" spans="1:27">
      <c r="A35" s="12">
        <v>6</v>
      </c>
      <c r="B35" s="6" t="s">
        <v>669</v>
      </c>
      <c r="C35" s="6" t="s">
        <v>670</v>
      </c>
      <c r="D35" s="6" t="s">
        <v>1282</v>
      </c>
      <c r="E35" s="10" t="s">
        <v>1283</v>
      </c>
      <c r="F35" s="7">
        <v>12</v>
      </c>
      <c r="G35" s="531">
        <v>1000000</v>
      </c>
      <c r="H35" s="15">
        <f t="shared" si="0"/>
        <v>1100000</v>
      </c>
      <c r="I35" s="4">
        <f t="shared" si="1"/>
        <v>13200000</v>
      </c>
      <c r="J35" s="9" t="s">
        <v>1286</v>
      </c>
      <c r="K35" s="4">
        <f t="shared" si="2"/>
        <v>0</v>
      </c>
      <c r="L35" s="5">
        <f>IF(Z35="◎",COUNTIF($Z$30:Z35,"◎"),"")</f>
        <v>2</v>
      </c>
      <c r="W35" s="388">
        <f>IF(B35="個別病床",はじめに入力してください!$K$50,IF(B35="共通使用",はじめに入力してください!$K$52,""))</f>
        <v>0</v>
      </c>
      <c r="Y35" s="12">
        <v>6</v>
      </c>
      <c r="Z35" s="367" t="str">
        <f t="shared" si="3"/>
        <v>◎</v>
      </c>
      <c r="AA35" s="388" t="str">
        <f t="shared" si="4"/>
        <v>適切に入力がされました。</v>
      </c>
    </row>
    <row r="36" spans="1:27">
      <c r="A36" s="12">
        <v>7</v>
      </c>
      <c r="B36" s="6" t="s">
        <v>100</v>
      </c>
      <c r="C36" s="6" t="s">
        <v>820</v>
      </c>
      <c r="D36" s="6" t="s">
        <v>1281</v>
      </c>
      <c r="E36" s="10" t="s">
        <v>1284</v>
      </c>
      <c r="F36" s="7">
        <v>12</v>
      </c>
      <c r="G36" s="531">
        <v>2000000</v>
      </c>
      <c r="H36" s="15">
        <f t="shared" si="0"/>
        <v>2200000</v>
      </c>
      <c r="I36" s="4">
        <f t="shared" si="1"/>
        <v>26400000</v>
      </c>
      <c r="J36" s="9" t="s">
        <v>1285</v>
      </c>
      <c r="K36" s="4">
        <f t="shared" si="2"/>
        <v>26400000</v>
      </c>
      <c r="L36" s="5">
        <f>IF(Z36="◎",COUNTIF($Z$30:Z36,"◎"),"")</f>
        <v>3</v>
      </c>
      <c r="W36" s="388">
        <f>IF(B36="個別病床",はじめに入力してください!$K$50,IF(B36="共通使用",はじめに入力してください!$K$52,""))</f>
        <v>0</v>
      </c>
      <c r="Y36" s="12">
        <v>7</v>
      </c>
      <c r="Z36" s="367" t="str">
        <f t="shared" si="3"/>
        <v>◎</v>
      </c>
      <c r="AA36" s="388" t="str">
        <f t="shared" si="4"/>
        <v>適切に入力がされました。</v>
      </c>
    </row>
    <row r="37" spans="1:27">
      <c r="A37" s="12">
        <v>8</v>
      </c>
      <c r="B37" s="6"/>
      <c r="C37" s="6"/>
      <c r="D37" s="6"/>
      <c r="E37" s="10"/>
      <c r="F37" s="7"/>
      <c r="G37" s="531"/>
      <c r="H37" s="15">
        <f t="shared" si="0"/>
        <v>0</v>
      </c>
      <c r="I37" s="4">
        <f t="shared" si="1"/>
        <v>0</v>
      </c>
      <c r="J37" s="9"/>
      <c r="K37" s="4">
        <f t="shared" si="2"/>
        <v>0</v>
      </c>
      <c r="L37" s="5" t="str">
        <f>IF(Z37="◎",COUNTIF($Z$30:Z37,"◎"),"")</f>
        <v/>
      </c>
      <c r="W37" s="388" t="str">
        <f>IF(B37="個別病床",はじめに入力してください!$K$50,IF(B37="共通使用",はじめに入力してください!$K$52,""))</f>
        <v/>
      </c>
      <c r="Y37" s="12">
        <v>8</v>
      </c>
      <c r="Z37" s="367" t="str">
        <f t="shared" si="3"/>
        <v>○</v>
      </c>
      <c r="AA37" s="388" t="str">
        <f t="shared" si="4"/>
        <v>整備しない場合は入力不要です。</v>
      </c>
    </row>
    <row r="38" spans="1:27">
      <c r="A38" s="12">
        <v>9</v>
      </c>
      <c r="B38" s="6"/>
      <c r="C38" s="6"/>
      <c r="D38" s="6"/>
      <c r="E38" s="10"/>
      <c r="F38" s="7"/>
      <c r="G38" s="531"/>
      <c r="H38" s="15">
        <f t="shared" si="0"/>
        <v>0</v>
      </c>
      <c r="I38" s="4">
        <f t="shared" si="1"/>
        <v>0</v>
      </c>
      <c r="J38" s="9"/>
      <c r="K38" s="4">
        <f t="shared" si="2"/>
        <v>0</v>
      </c>
      <c r="L38" s="5" t="str">
        <f>IF(Z38="◎",COUNTIF($Z$30:Z38,"◎"),"")</f>
        <v/>
      </c>
      <c r="W38" s="388" t="str">
        <f>IF(B38="個別病床",はじめに入力してください!$K$50,IF(B38="共通使用",はじめに入力してください!$K$52,""))</f>
        <v/>
      </c>
      <c r="Y38" s="12">
        <v>9</v>
      </c>
      <c r="Z38" s="367" t="str">
        <f t="shared" si="3"/>
        <v>○</v>
      </c>
      <c r="AA38" s="388" t="str">
        <f t="shared" si="4"/>
        <v>整備しない場合は入力不要です。</v>
      </c>
    </row>
    <row r="39" spans="1:27">
      <c r="A39" s="12">
        <v>10</v>
      </c>
      <c r="B39" s="6"/>
      <c r="C39" s="6"/>
      <c r="D39" s="6"/>
      <c r="E39" s="10"/>
      <c r="F39" s="7"/>
      <c r="G39" s="531"/>
      <c r="H39" s="15">
        <f t="shared" si="0"/>
        <v>0</v>
      </c>
      <c r="I39" s="4">
        <f t="shared" si="1"/>
        <v>0</v>
      </c>
      <c r="J39" s="9"/>
      <c r="K39" s="4">
        <f t="shared" si="2"/>
        <v>0</v>
      </c>
      <c r="L39" s="5" t="str">
        <f>IF(Z39="◎",COUNTIF($Z$30:Z39,"◎"),"")</f>
        <v/>
      </c>
      <c r="W39" s="388" t="str">
        <f>IF(B39="個別病床",はじめに入力してください!$K$50,IF(B39="共通使用",はじめに入力してください!$K$52,""))</f>
        <v/>
      </c>
      <c r="Y39" s="12">
        <v>10</v>
      </c>
      <c r="Z39" s="367" t="str">
        <f t="shared" si="3"/>
        <v>○</v>
      </c>
      <c r="AA39" s="388" t="str">
        <f t="shared" si="4"/>
        <v>整備しない場合は入力不要です。</v>
      </c>
    </row>
    <row r="40" spans="1:27">
      <c r="A40" s="12">
        <v>11</v>
      </c>
      <c r="B40" s="6"/>
      <c r="C40" s="6"/>
      <c r="D40" s="6"/>
      <c r="E40" s="10"/>
      <c r="F40" s="7"/>
      <c r="G40" s="531"/>
      <c r="H40" s="15">
        <f t="shared" si="0"/>
        <v>0</v>
      </c>
      <c r="I40" s="4">
        <f t="shared" si="1"/>
        <v>0</v>
      </c>
      <c r="J40" s="9"/>
      <c r="K40" s="4">
        <f t="shared" si="2"/>
        <v>0</v>
      </c>
      <c r="L40" s="5" t="str">
        <f>IF(Z40="◎",COUNTIF($Z$30:Z40,"◎"),"")</f>
        <v/>
      </c>
      <c r="W40" s="388" t="str">
        <f>IF(B40="個別病床",はじめに入力してください!$K$50,IF(B40="共通使用",はじめに入力してください!$K$52,""))</f>
        <v/>
      </c>
      <c r="Y40" s="12">
        <v>11</v>
      </c>
      <c r="Z40" s="367" t="str">
        <f t="shared" si="3"/>
        <v>○</v>
      </c>
      <c r="AA40" s="388" t="str">
        <f t="shared" si="4"/>
        <v>整備しない場合は入力不要です。</v>
      </c>
    </row>
    <row r="41" spans="1:27">
      <c r="A41" s="12">
        <v>12</v>
      </c>
      <c r="B41" s="6"/>
      <c r="C41" s="6"/>
      <c r="D41" s="6"/>
      <c r="E41" s="10"/>
      <c r="F41" s="7"/>
      <c r="G41" s="531"/>
      <c r="H41" s="15">
        <f t="shared" si="0"/>
        <v>0</v>
      </c>
      <c r="I41" s="4">
        <f t="shared" si="1"/>
        <v>0</v>
      </c>
      <c r="J41" s="9"/>
      <c r="K41" s="4">
        <f t="shared" si="2"/>
        <v>0</v>
      </c>
      <c r="L41" s="5" t="str">
        <f>IF(Z41="◎",COUNTIF($Z$30:Z41,"◎"),"")</f>
        <v/>
      </c>
      <c r="W41" s="388" t="str">
        <f>IF(B41="個別病床",はじめに入力してください!$K$50,IF(B41="共通使用",はじめに入力してください!$K$52,""))</f>
        <v/>
      </c>
      <c r="Y41" s="12">
        <v>12</v>
      </c>
      <c r="Z41" s="367" t="str">
        <f t="shared" si="3"/>
        <v>○</v>
      </c>
      <c r="AA41" s="388" t="str">
        <f t="shared" si="4"/>
        <v>整備しない場合は入力不要です。</v>
      </c>
    </row>
    <row r="42" spans="1:27">
      <c r="A42" s="12">
        <v>13</v>
      </c>
      <c r="B42" s="6"/>
      <c r="C42" s="6"/>
      <c r="D42" s="6"/>
      <c r="E42" s="10"/>
      <c r="F42" s="7"/>
      <c r="G42" s="531"/>
      <c r="H42" s="15">
        <f t="shared" si="0"/>
        <v>0</v>
      </c>
      <c r="I42" s="4">
        <f t="shared" si="1"/>
        <v>0</v>
      </c>
      <c r="J42" s="9"/>
      <c r="K42" s="4">
        <f t="shared" si="2"/>
        <v>0</v>
      </c>
      <c r="L42" s="5" t="str">
        <f>IF(Z42="◎",COUNTIF($Z$30:Z42,"◎"),"")</f>
        <v/>
      </c>
      <c r="W42" s="388" t="str">
        <f>IF(B42="個別病床",はじめに入力してください!$K$50,IF(B42="共通使用",はじめに入力してください!$K$52,""))</f>
        <v/>
      </c>
      <c r="Y42" s="12">
        <v>13</v>
      </c>
      <c r="Z42" s="367" t="str">
        <f t="shared" si="3"/>
        <v>○</v>
      </c>
      <c r="AA42" s="388" t="str">
        <f t="shared" si="4"/>
        <v>整備しない場合は入力不要です。</v>
      </c>
    </row>
    <row r="43" spans="1:27">
      <c r="A43" s="12">
        <v>14</v>
      </c>
      <c r="B43" s="6"/>
      <c r="C43" s="6"/>
      <c r="D43" s="6"/>
      <c r="E43" s="10"/>
      <c r="F43" s="7"/>
      <c r="G43" s="531"/>
      <c r="H43" s="15">
        <f t="shared" si="0"/>
        <v>0</v>
      </c>
      <c r="I43" s="4">
        <f t="shared" si="1"/>
        <v>0</v>
      </c>
      <c r="J43" s="9"/>
      <c r="K43" s="4">
        <f t="shared" si="2"/>
        <v>0</v>
      </c>
      <c r="L43" s="5" t="str">
        <f>IF(Z43="◎",COUNTIF($Z$30:Z43,"◎"),"")</f>
        <v/>
      </c>
      <c r="W43" s="388" t="str">
        <f>IF(B43="個別病床",はじめに入力してください!$K$50,IF(B43="共通使用",はじめに入力してください!$K$52,""))</f>
        <v/>
      </c>
      <c r="Y43" s="12">
        <v>14</v>
      </c>
      <c r="Z43" s="367" t="str">
        <f t="shared" si="3"/>
        <v>○</v>
      </c>
      <c r="AA43" s="388" t="str">
        <f t="shared" si="4"/>
        <v>整備しない場合は入力不要です。</v>
      </c>
    </row>
    <row r="44" spans="1:27">
      <c r="A44" s="12">
        <v>15</v>
      </c>
      <c r="B44" s="6"/>
      <c r="C44" s="6"/>
      <c r="D44" s="6"/>
      <c r="E44" s="10"/>
      <c r="F44" s="7"/>
      <c r="G44" s="531"/>
      <c r="H44" s="15">
        <f t="shared" si="0"/>
        <v>0</v>
      </c>
      <c r="I44" s="4">
        <f t="shared" si="1"/>
        <v>0</v>
      </c>
      <c r="J44" s="9"/>
      <c r="K44" s="4">
        <f t="shared" si="2"/>
        <v>0</v>
      </c>
      <c r="L44" s="5" t="str">
        <f>IF(Z44="◎",COUNTIF($Z$30:Z44,"◎"),"")</f>
        <v/>
      </c>
      <c r="W44" s="388" t="str">
        <f>IF(B44="個別病床",はじめに入力してください!$K$50,IF(B44="共通使用",はじめに入力してください!$K$52,""))</f>
        <v/>
      </c>
      <c r="Y44" s="12">
        <v>15</v>
      </c>
      <c r="Z44" s="367" t="str">
        <f t="shared" si="3"/>
        <v>○</v>
      </c>
      <c r="AA44" s="388" t="str">
        <f t="shared" si="4"/>
        <v>整備しない場合は入力不要です。</v>
      </c>
    </row>
    <row r="45" spans="1:27">
      <c r="A45" s="12">
        <v>16</v>
      </c>
      <c r="B45" s="6"/>
      <c r="C45" s="6"/>
      <c r="D45" s="6"/>
      <c r="E45" s="10"/>
      <c r="F45" s="7"/>
      <c r="G45" s="531"/>
      <c r="H45" s="15">
        <f t="shared" si="0"/>
        <v>0</v>
      </c>
      <c r="I45" s="4">
        <f t="shared" si="1"/>
        <v>0</v>
      </c>
      <c r="J45" s="9"/>
      <c r="K45" s="4">
        <f t="shared" si="2"/>
        <v>0</v>
      </c>
      <c r="L45" s="5" t="str">
        <f>IF(Z45="◎",COUNTIF($Z$30:Z45,"◎"),"")</f>
        <v/>
      </c>
      <c r="W45" s="388" t="str">
        <f>IF(B45="個別病床",はじめに入力してください!$K$50,IF(B45="共通使用",はじめに入力してください!$K$52,""))</f>
        <v/>
      </c>
      <c r="Y45" s="12">
        <v>16</v>
      </c>
      <c r="Z45" s="367" t="str">
        <f t="shared" si="3"/>
        <v>○</v>
      </c>
      <c r="AA45" s="388" t="str">
        <f t="shared" si="4"/>
        <v>整備しない場合は入力不要です。</v>
      </c>
    </row>
    <row r="46" spans="1:27">
      <c r="A46" s="12">
        <v>17</v>
      </c>
      <c r="B46" s="6"/>
      <c r="C46" s="6"/>
      <c r="D46" s="6"/>
      <c r="E46" s="10"/>
      <c r="F46" s="7"/>
      <c r="G46" s="531"/>
      <c r="H46" s="15">
        <f t="shared" si="0"/>
        <v>0</v>
      </c>
      <c r="I46" s="4">
        <f t="shared" si="1"/>
        <v>0</v>
      </c>
      <c r="J46" s="9"/>
      <c r="K46" s="4">
        <f t="shared" si="2"/>
        <v>0</v>
      </c>
      <c r="L46" s="5" t="str">
        <f>IF(Z46="◎",COUNTIF($Z$30:Z46,"◎"),"")</f>
        <v/>
      </c>
      <c r="W46" s="388" t="str">
        <f>IF(B46="個別病床",はじめに入力してください!$K$50,IF(B46="共通使用",はじめに入力してください!$K$52,""))</f>
        <v/>
      </c>
      <c r="Y46" s="12">
        <v>17</v>
      </c>
      <c r="Z46" s="367" t="str">
        <f t="shared" si="3"/>
        <v>○</v>
      </c>
      <c r="AA46" s="388" t="str">
        <f t="shared" si="4"/>
        <v>整備しない場合は入力不要です。</v>
      </c>
    </row>
    <row r="47" spans="1:27">
      <c r="A47" s="12">
        <v>18</v>
      </c>
      <c r="B47" s="6"/>
      <c r="C47" s="6"/>
      <c r="D47" s="6"/>
      <c r="E47" s="10"/>
      <c r="F47" s="7"/>
      <c r="G47" s="531"/>
      <c r="H47" s="15">
        <f t="shared" si="0"/>
        <v>0</v>
      </c>
      <c r="I47" s="4">
        <f t="shared" si="1"/>
        <v>0</v>
      </c>
      <c r="J47" s="9"/>
      <c r="K47" s="4">
        <f t="shared" si="2"/>
        <v>0</v>
      </c>
      <c r="L47" s="5" t="str">
        <f>IF(Z47="◎",COUNTIF($Z$30:Z47,"◎"),"")</f>
        <v/>
      </c>
      <c r="W47" s="388" t="str">
        <f>IF(B47="個別病床",はじめに入力してください!$K$50,IF(B47="共通使用",はじめに入力してください!$K$52,""))</f>
        <v/>
      </c>
      <c r="Y47" s="12">
        <v>18</v>
      </c>
      <c r="Z47" s="367" t="str">
        <f t="shared" si="3"/>
        <v>○</v>
      </c>
      <c r="AA47" s="388" t="str">
        <f t="shared" si="4"/>
        <v>整備しない場合は入力不要です。</v>
      </c>
    </row>
    <row r="48" spans="1:27">
      <c r="A48" s="12">
        <v>19</v>
      </c>
      <c r="B48" s="6"/>
      <c r="C48" s="6"/>
      <c r="D48" s="6"/>
      <c r="E48" s="10"/>
      <c r="F48" s="7"/>
      <c r="G48" s="531"/>
      <c r="H48" s="15">
        <f t="shared" si="0"/>
        <v>0</v>
      </c>
      <c r="I48" s="4">
        <f t="shared" si="1"/>
        <v>0</v>
      </c>
      <c r="J48" s="9"/>
      <c r="K48" s="4">
        <f t="shared" si="2"/>
        <v>0</v>
      </c>
      <c r="L48" s="5" t="str">
        <f>IF(Z48="◎",COUNTIF($Z$30:Z48,"◎"),"")</f>
        <v/>
      </c>
      <c r="W48" s="388" t="str">
        <f>IF(B48="個別病床",はじめに入力してください!$K$50,IF(B48="共通使用",はじめに入力してください!$K$52,""))</f>
        <v/>
      </c>
      <c r="Y48" s="12">
        <v>19</v>
      </c>
      <c r="Z48" s="367" t="str">
        <f t="shared" si="3"/>
        <v>○</v>
      </c>
      <c r="AA48" s="388" t="str">
        <f t="shared" si="4"/>
        <v>整備しない場合は入力不要です。</v>
      </c>
    </row>
    <row r="49" spans="1:27">
      <c r="A49" s="12">
        <v>20</v>
      </c>
      <c r="B49" s="6"/>
      <c r="C49" s="6"/>
      <c r="D49" s="6"/>
      <c r="E49" s="10"/>
      <c r="F49" s="7"/>
      <c r="G49" s="531"/>
      <c r="H49" s="15">
        <f t="shared" si="0"/>
        <v>0</v>
      </c>
      <c r="I49" s="4">
        <f t="shared" si="1"/>
        <v>0</v>
      </c>
      <c r="J49" s="9"/>
      <c r="K49" s="4">
        <f t="shared" si="2"/>
        <v>0</v>
      </c>
      <c r="L49" s="5" t="str">
        <f>IF(Z49="◎",COUNTIF($Z$30:Z49,"◎"),"")</f>
        <v/>
      </c>
      <c r="W49" s="388" t="str">
        <f>IF(B49="個別病床",はじめに入力してください!$K$50,IF(B49="共通使用",はじめに入力してください!$K$52,""))</f>
        <v/>
      </c>
      <c r="Y49" s="12">
        <v>20</v>
      </c>
      <c r="Z49" s="367" t="str">
        <f t="shared" si="3"/>
        <v>○</v>
      </c>
      <c r="AA49" s="388" t="str">
        <f t="shared" si="4"/>
        <v>整備しない場合は入力不要です。</v>
      </c>
    </row>
    <row r="50" spans="1:27">
      <c r="A50" s="12">
        <v>21</v>
      </c>
      <c r="B50" s="6"/>
      <c r="C50" s="6"/>
      <c r="D50" s="6"/>
      <c r="E50" s="10"/>
      <c r="F50" s="7"/>
      <c r="G50" s="531"/>
      <c r="H50" s="15">
        <f t="shared" si="0"/>
        <v>0</v>
      </c>
      <c r="I50" s="4">
        <f t="shared" si="1"/>
        <v>0</v>
      </c>
      <c r="J50" s="9"/>
      <c r="K50" s="4">
        <f t="shared" si="2"/>
        <v>0</v>
      </c>
      <c r="L50" s="5" t="str">
        <f>IF(Z50="◎",COUNTIF($Z$30:Z50,"◎"),"")</f>
        <v/>
      </c>
      <c r="W50" s="388" t="str">
        <f>IF(B50="個別病床",はじめに入力してください!$K$50,IF(B50="共通使用",はじめに入力してください!$K$52,""))</f>
        <v/>
      </c>
      <c r="Y50" s="12">
        <v>21</v>
      </c>
      <c r="Z50" s="367" t="str">
        <f t="shared" si="3"/>
        <v>○</v>
      </c>
      <c r="AA50" s="388" t="str">
        <f t="shared" si="4"/>
        <v>整備しない場合は入力不要です。</v>
      </c>
    </row>
    <row r="51" spans="1:27">
      <c r="A51" s="12">
        <v>22</v>
      </c>
      <c r="B51" s="6"/>
      <c r="C51" s="6"/>
      <c r="D51" s="6"/>
      <c r="E51" s="10"/>
      <c r="F51" s="7"/>
      <c r="G51" s="531"/>
      <c r="H51" s="15">
        <f t="shared" si="0"/>
        <v>0</v>
      </c>
      <c r="I51" s="4">
        <f t="shared" si="1"/>
        <v>0</v>
      </c>
      <c r="J51" s="9"/>
      <c r="K51" s="4">
        <f t="shared" si="2"/>
        <v>0</v>
      </c>
      <c r="L51" s="5" t="str">
        <f>IF(Z51="◎",COUNTIF($Z$30:Z51,"◎"),"")</f>
        <v/>
      </c>
      <c r="W51" s="388" t="str">
        <f>IF(B51="個別病床",はじめに入力してください!$K$50,IF(B51="共通使用",はじめに入力してください!$K$52,""))</f>
        <v/>
      </c>
      <c r="Y51" s="12">
        <v>22</v>
      </c>
      <c r="Z51" s="367" t="str">
        <f t="shared" si="3"/>
        <v>○</v>
      </c>
      <c r="AA51" s="388" t="str">
        <f t="shared" si="4"/>
        <v>整備しない場合は入力不要です。</v>
      </c>
    </row>
    <row r="52" spans="1:27">
      <c r="A52" s="12">
        <v>23</v>
      </c>
      <c r="B52" s="6"/>
      <c r="C52" s="6"/>
      <c r="D52" s="6"/>
      <c r="E52" s="10"/>
      <c r="F52" s="7"/>
      <c r="G52" s="531"/>
      <c r="H52" s="15">
        <f t="shared" si="0"/>
        <v>0</v>
      </c>
      <c r="I52" s="4">
        <f t="shared" si="1"/>
        <v>0</v>
      </c>
      <c r="J52" s="9"/>
      <c r="K52" s="4">
        <f t="shared" si="2"/>
        <v>0</v>
      </c>
      <c r="L52" s="5" t="str">
        <f>IF(Z52="◎",COUNTIF($Z$30:Z52,"◎"),"")</f>
        <v/>
      </c>
      <c r="W52" s="388" t="str">
        <f>IF(B52="個別病床",はじめに入力してください!$K$50,IF(B52="共通使用",はじめに入力してください!$K$52,""))</f>
        <v/>
      </c>
      <c r="Y52" s="12">
        <v>23</v>
      </c>
      <c r="Z52" s="367" t="str">
        <f t="shared" si="3"/>
        <v>○</v>
      </c>
      <c r="AA52" s="388" t="str">
        <f t="shared" si="4"/>
        <v>整備しない場合は入力不要です。</v>
      </c>
    </row>
    <row r="53" spans="1:27">
      <c r="A53" s="12">
        <v>24</v>
      </c>
      <c r="B53" s="6"/>
      <c r="C53" s="6"/>
      <c r="D53" s="6"/>
      <c r="E53" s="10"/>
      <c r="F53" s="7"/>
      <c r="G53" s="531"/>
      <c r="H53" s="15">
        <f t="shared" si="0"/>
        <v>0</v>
      </c>
      <c r="I53" s="4">
        <f t="shared" si="1"/>
        <v>0</v>
      </c>
      <c r="J53" s="9"/>
      <c r="K53" s="4">
        <f t="shared" si="2"/>
        <v>0</v>
      </c>
      <c r="L53" s="5" t="str">
        <f>IF(Z53="◎",COUNTIF($Z$30:Z53,"◎"),"")</f>
        <v/>
      </c>
      <c r="W53" s="388" t="str">
        <f>IF(B53="個別病床",はじめに入力してください!$K$50,IF(B53="共通使用",はじめに入力してください!$K$52,""))</f>
        <v/>
      </c>
      <c r="Y53" s="12">
        <v>24</v>
      </c>
      <c r="Z53" s="367" t="str">
        <f t="shared" si="3"/>
        <v>○</v>
      </c>
      <c r="AA53" s="388" t="str">
        <f t="shared" si="4"/>
        <v>整備しない場合は入力不要です。</v>
      </c>
    </row>
    <row r="54" spans="1:27">
      <c r="A54" s="12">
        <v>25</v>
      </c>
      <c r="B54" s="6"/>
      <c r="C54" s="6"/>
      <c r="D54" s="6"/>
      <c r="E54" s="10"/>
      <c r="F54" s="7"/>
      <c r="G54" s="531"/>
      <c r="H54" s="15">
        <f t="shared" si="0"/>
        <v>0</v>
      </c>
      <c r="I54" s="4">
        <f t="shared" si="1"/>
        <v>0</v>
      </c>
      <c r="J54" s="9"/>
      <c r="K54" s="4">
        <f t="shared" si="2"/>
        <v>0</v>
      </c>
      <c r="L54" s="5" t="str">
        <f>IF(Z54="◎",COUNTIF($Z$30:Z54,"◎"),"")</f>
        <v/>
      </c>
      <c r="W54" s="388" t="str">
        <f>IF(B54="個別病床",はじめに入力してください!$K$50,IF(B54="共通使用",はじめに入力してください!$K$52,""))</f>
        <v/>
      </c>
      <c r="Y54" s="12">
        <v>25</v>
      </c>
      <c r="Z54" s="367" t="str">
        <f t="shared" si="3"/>
        <v>○</v>
      </c>
      <c r="AA54" s="388" t="str">
        <f t="shared" si="4"/>
        <v>整備しない場合は入力不要です。</v>
      </c>
    </row>
    <row r="55" spans="1:27">
      <c r="A55" s="12">
        <v>26</v>
      </c>
      <c r="B55" s="6"/>
      <c r="C55" s="6"/>
      <c r="D55" s="6"/>
      <c r="E55" s="10"/>
      <c r="F55" s="7"/>
      <c r="G55" s="531"/>
      <c r="H55" s="15">
        <f t="shared" si="0"/>
        <v>0</v>
      </c>
      <c r="I55" s="4">
        <f t="shared" si="1"/>
        <v>0</v>
      </c>
      <c r="J55" s="9"/>
      <c r="K55" s="4">
        <f t="shared" si="2"/>
        <v>0</v>
      </c>
      <c r="L55" s="5" t="str">
        <f>IF(Z55="◎",COUNTIF($Z$30:Z55,"◎"),"")</f>
        <v/>
      </c>
      <c r="W55" s="388" t="str">
        <f>IF(B55="個別病床",はじめに入力してください!$K$50,IF(B55="共通使用",はじめに入力してください!$K$52,""))</f>
        <v/>
      </c>
      <c r="Y55" s="12">
        <v>26</v>
      </c>
      <c r="Z55" s="367" t="str">
        <f t="shared" si="3"/>
        <v>○</v>
      </c>
      <c r="AA55" s="388" t="str">
        <f t="shared" si="4"/>
        <v>整備しない場合は入力不要です。</v>
      </c>
    </row>
    <row r="56" spans="1:27">
      <c r="A56" s="12">
        <v>27</v>
      </c>
      <c r="B56" s="6"/>
      <c r="C56" s="6"/>
      <c r="D56" s="6"/>
      <c r="E56" s="10"/>
      <c r="F56" s="7"/>
      <c r="G56" s="531"/>
      <c r="H56" s="15">
        <f t="shared" si="0"/>
        <v>0</v>
      </c>
      <c r="I56" s="4">
        <f t="shared" si="1"/>
        <v>0</v>
      </c>
      <c r="J56" s="9"/>
      <c r="K56" s="4">
        <f t="shared" si="2"/>
        <v>0</v>
      </c>
      <c r="L56" s="5" t="str">
        <f>IF(Z56="◎",COUNTIF($Z$30:Z56,"◎"),"")</f>
        <v/>
      </c>
      <c r="W56" s="388" t="str">
        <f>IF(B56="個別病床",はじめに入力してください!$K$50,IF(B56="共通使用",はじめに入力してください!$K$52,""))</f>
        <v/>
      </c>
      <c r="Y56" s="12">
        <v>27</v>
      </c>
      <c r="Z56" s="367" t="str">
        <f t="shared" si="3"/>
        <v>○</v>
      </c>
      <c r="AA56" s="388" t="str">
        <f t="shared" si="4"/>
        <v>整備しない場合は入力不要です。</v>
      </c>
    </row>
    <row r="57" spans="1:27">
      <c r="A57" s="12">
        <v>28</v>
      </c>
      <c r="B57" s="6"/>
      <c r="C57" s="6"/>
      <c r="D57" s="6"/>
      <c r="E57" s="10"/>
      <c r="F57" s="7"/>
      <c r="G57" s="531"/>
      <c r="H57" s="15">
        <f t="shared" si="0"/>
        <v>0</v>
      </c>
      <c r="I57" s="4">
        <f t="shared" si="1"/>
        <v>0</v>
      </c>
      <c r="J57" s="9"/>
      <c r="K57" s="4">
        <f t="shared" si="2"/>
        <v>0</v>
      </c>
      <c r="L57" s="5" t="str">
        <f>IF(Z57="◎",COUNTIF($Z$30:Z57,"◎"),"")</f>
        <v/>
      </c>
      <c r="W57" s="388" t="str">
        <f>IF(B57="個別病床",はじめに入力してください!$K$50,IF(B57="共通使用",はじめに入力してください!$K$52,""))</f>
        <v/>
      </c>
      <c r="Y57" s="12">
        <v>28</v>
      </c>
      <c r="Z57" s="367" t="str">
        <f t="shared" si="3"/>
        <v>○</v>
      </c>
      <c r="AA57" s="388" t="str">
        <f t="shared" si="4"/>
        <v>整備しない場合は入力不要です。</v>
      </c>
    </row>
    <row r="58" spans="1:27">
      <c r="A58" s="12">
        <v>29</v>
      </c>
      <c r="B58" s="6"/>
      <c r="C58" s="6"/>
      <c r="D58" s="6"/>
      <c r="E58" s="10"/>
      <c r="F58" s="7"/>
      <c r="G58" s="531"/>
      <c r="H58" s="15">
        <f t="shared" si="0"/>
        <v>0</v>
      </c>
      <c r="I58" s="4">
        <f t="shared" si="1"/>
        <v>0</v>
      </c>
      <c r="J58" s="9"/>
      <c r="K58" s="4">
        <f t="shared" si="2"/>
        <v>0</v>
      </c>
      <c r="L58" s="5" t="str">
        <f>IF(Z58="◎",COUNTIF($Z$30:Z58,"◎"),"")</f>
        <v/>
      </c>
      <c r="W58" s="388" t="str">
        <f>IF(B58="個別病床",はじめに入力してください!$K$50,IF(B58="共通使用",はじめに入力してください!$K$52,""))</f>
        <v/>
      </c>
      <c r="Y58" s="12">
        <v>29</v>
      </c>
      <c r="Z58" s="367" t="str">
        <f t="shared" si="3"/>
        <v>○</v>
      </c>
      <c r="AA58" s="388" t="str">
        <f t="shared" si="4"/>
        <v>整備しない場合は入力不要です。</v>
      </c>
    </row>
    <row r="59" spans="1:27">
      <c r="A59" s="12">
        <v>30</v>
      </c>
      <c r="B59" s="6"/>
      <c r="C59" s="6"/>
      <c r="D59" s="6"/>
      <c r="E59" s="10"/>
      <c r="F59" s="7"/>
      <c r="G59" s="531"/>
      <c r="H59" s="15">
        <f t="shared" si="0"/>
        <v>0</v>
      </c>
      <c r="I59" s="4">
        <f t="shared" si="1"/>
        <v>0</v>
      </c>
      <c r="J59" s="9"/>
      <c r="K59" s="4">
        <f t="shared" si="2"/>
        <v>0</v>
      </c>
      <c r="L59" s="5" t="str">
        <f>IF(Z59="◎",COUNTIF($Z$30:Z59,"◎"),"")</f>
        <v/>
      </c>
      <c r="W59" s="388" t="str">
        <f>IF(B59="個別病床",はじめに入力してください!$K$50,IF(B59="共通使用",はじめに入力してください!$K$52,""))</f>
        <v/>
      </c>
      <c r="Y59" s="12">
        <v>30</v>
      </c>
      <c r="Z59" s="367" t="str">
        <f t="shared" si="3"/>
        <v>○</v>
      </c>
      <c r="AA59" s="388" t="str">
        <f t="shared" si="4"/>
        <v>整備しない場合は入力不要です。</v>
      </c>
    </row>
    <row r="60" spans="1:27">
      <c r="A60" s="12">
        <v>31</v>
      </c>
      <c r="B60" s="6"/>
      <c r="C60" s="6"/>
      <c r="D60" s="6"/>
      <c r="E60" s="10"/>
      <c r="F60" s="7"/>
      <c r="G60" s="531"/>
      <c r="H60" s="15">
        <f t="shared" si="0"/>
        <v>0</v>
      </c>
      <c r="I60" s="4">
        <f t="shared" si="1"/>
        <v>0</v>
      </c>
      <c r="J60" s="9"/>
      <c r="K60" s="4">
        <f t="shared" si="2"/>
        <v>0</v>
      </c>
      <c r="L60" s="5" t="str">
        <f>IF(Z60="◎",COUNTIF($Z$30:Z60,"◎"),"")</f>
        <v/>
      </c>
      <c r="W60" s="388" t="str">
        <f>IF(B60="個別病床",はじめに入力してください!$K$50,IF(B60="共通使用",はじめに入力してください!$K$52,""))</f>
        <v/>
      </c>
      <c r="Y60" s="12">
        <v>31</v>
      </c>
      <c r="Z60" s="367" t="str">
        <f t="shared" si="3"/>
        <v>○</v>
      </c>
      <c r="AA60" s="388" t="str">
        <f t="shared" si="4"/>
        <v>整備しない場合は入力不要です。</v>
      </c>
    </row>
    <row r="61" spans="1:27">
      <c r="A61" s="12">
        <v>32</v>
      </c>
      <c r="B61" s="6"/>
      <c r="C61" s="6"/>
      <c r="D61" s="6"/>
      <c r="E61" s="10"/>
      <c r="F61" s="7"/>
      <c r="G61" s="531"/>
      <c r="H61" s="15">
        <f t="shared" si="0"/>
        <v>0</v>
      </c>
      <c r="I61" s="4">
        <f t="shared" si="1"/>
        <v>0</v>
      </c>
      <c r="J61" s="9"/>
      <c r="K61" s="4">
        <f t="shared" si="2"/>
        <v>0</v>
      </c>
      <c r="L61" s="5" t="str">
        <f>IF(Z61="◎",COUNTIF($Z$30:Z61,"◎"),"")</f>
        <v/>
      </c>
      <c r="W61" s="388" t="str">
        <f>IF(B61="個別病床",はじめに入力してください!$K$50,IF(B61="共通使用",はじめに入力してください!$K$52,""))</f>
        <v/>
      </c>
      <c r="Y61" s="12">
        <v>32</v>
      </c>
      <c r="Z61" s="367" t="str">
        <f t="shared" si="3"/>
        <v>○</v>
      </c>
      <c r="AA61" s="388" t="str">
        <f t="shared" si="4"/>
        <v>整備しない場合は入力不要です。</v>
      </c>
    </row>
    <row r="62" spans="1:27">
      <c r="A62" s="12">
        <v>33</v>
      </c>
      <c r="B62" s="6"/>
      <c r="C62" s="6"/>
      <c r="D62" s="6"/>
      <c r="E62" s="10"/>
      <c r="F62" s="7"/>
      <c r="G62" s="531"/>
      <c r="H62" s="15">
        <f t="shared" si="0"/>
        <v>0</v>
      </c>
      <c r="I62" s="4">
        <f t="shared" si="1"/>
        <v>0</v>
      </c>
      <c r="J62" s="9"/>
      <c r="K62" s="4">
        <f t="shared" si="2"/>
        <v>0</v>
      </c>
      <c r="L62" s="5" t="str">
        <f>IF(Z62="◎",COUNTIF($Z$30:Z62,"◎"),"")</f>
        <v/>
      </c>
      <c r="W62" s="388" t="str">
        <f>IF(B62="個別病床",はじめに入力してください!$K$50,IF(B62="共通使用",はじめに入力してください!$K$52,""))</f>
        <v/>
      </c>
      <c r="Y62" s="12">
        <v>33</v>
      </c>
      <c r="Z62" s="367" t="str">
        <f t="shared" si="3"/>
        <v>○</v>
      </c>
      <c r="AA62" s="388" t="str">
        <f t="shared" si="4"/>
        <v>整備しない場合は入力不要です。</v>
      </c>
    </row>
    <row r="63" spans="1:27">
      <c r="A63" s="12">
        <v>34</v>
      </c>
      <c r="B63" s="6"/>
      <c r="C63" s="6"/>
      <c r="D63" s="6"/>
      <c r="E63" s="10"/>
      <c r="F63" s="7"/>
      <c r="G63" s="531"/>
      <c r="H63" s="15">
        <f t="shared" si="0"/>
        <v>0</v>
      </c>
      <c r="I63" s="4">
        <f t="shared" si="1"/>
        <v>0</v>
      </c>
      <c r="J63" s="9"/>
      <c r="K63" s="4">
        <f t="shared" si="2"/>
        <v>0</v>
      </c>
      <c r="L63" s="5" t="str">
        <f>IF(Z63="◎",COUNTIF($Z$30:Z63,"◎"),"")</f>
        <v/>
      </c>
      <c r="W63" s="388" t="str">
        <f>IF(B63="個別病床",はじめに入力してください!$K$50,IF(B63="共通使用",はじめに入力してください!$K$52,""))</f>
        <v/>
      </c>
      <c r="Y63" s="12">
        <v>34</v>
      </c>
      <c r="Z63" s="367" t="str">
        <f t="shared" si="3"/>
        <v>○</v>
      </c>
      <c r="AA63" s="388" t="str">
        <f t="shared" si="4"/>
        <v>整備しない場合は入力不要です。</v>
      </c>
    </row>
    <row r="64" spans="1:27">
      <c r="A64" s="12">
        <v>35</v>
      </c>
      <c r="B64" s="6"/>
      <c r="C64" s="6"/>
      <c r="D64" s="6"/>
      <c r="E64" s="10"/>
      <c r="F64" s="7"/>
      <c r="G64" s="531"/>
      <c r="H64" s="15">
        <f t="shared" si="0"/>
        <v>0</v>
      </c>
      <c r="I64" s="4">
        <f t="shared" si="1"/>
        <v>0</v>
      </c>
      <c r="J64" s="9"/>
      <c r="K64" s="4">
        <f t="shared" si="2"/>
        <v>0</v>
      </c>
      <c r="L64" s="5" t="str">
        <f>IF(Z64="◎",COUNTIF($Z$30:Z64,"◎"),"")</f>
        <v/>
      </c>
      <c r="W64" s="388" t="str">
        <f>IF(B64="個別病床",はじめに入力してください!$K$50,IF(B64="共通使用",はじめに入力してください!$K$52,""))</f>
        <v/>
      </c>
      <c r="Y64" s="12">
        <v>35</v>
      </c>
      <c r="Z64" s="367" t="str">
        <f t="shared" si="3"/>
        <v>○</v>
      </c>
      <c r="AA64" s="388" t="str">
        <f t="shared" si="4"/>
        <v>整備しない場合は入力不要です。</v>
      </c>
    </row>
    <row r="65" spans="1:27">
      <c r="A65" s="12">
        <v>36</v>
      </c>
      <c r="B65" s="6"/>
      <c r="C65" s="6"/>
      <c r="D65" s="6"/>
      <c r="E65" s="10"/>
      <c r="F65" s="7"/>
      <c r="G65" s="531"/>
      <c r="H65" s="15">
        <f t="shared" si="0"/>
        <v>0</v>
      </c>
      <c r="I65" s="4">
        <f t="shared" si="1"/>
        <v>0</v>
      </c>
      <c r="J65" s="9"/>
      <c r="K65" s="4">
        <f t="shared" si="2"/>
        <v>0</v>
      </c>
      <c r="L65" s="5" t="str">
        <f>IF(Z65="◎",COUNTIF($Z$30:Z65,"◎"),"")</f>
        <v/>
      </c>
      <c r="W65" s="388" t="str">
        <f>IF(B65="個別病床",はじめに入力してください!$K$50,IF(B65="共通使用",はじめに入力してください!$K$52,""))</f>
        <v/>
      </c>
      <c r="Y65" s="12">
        <v>36</v>
      </c>
      <c r="Z65" s="367" t="str">
        <f t="shared" si="3"/>
        <v>○</v>
      </c>
      <c r="AA65" s="388" t="str">
        <f t="shared" si="4"/>
        <v>整備しない場合は入力不要です。</v>
      </c>
    </row>
    <row r="66" spans="1:27">
      <c r="A66" s="12">
        <v>37</v>
      </c>
      <c r="B66" s="6"/>
      <c r="C66" s="6"/>
      <c r="D66" s="6"/>
      <c r="E66" s="10"/>
      <c r="F66" s="7"/>
      <c r="G66" s="531"/>
      <c r="H66" s="15">
        <f t="shared" si="0"/>
        <v>0</v>
      </c>
      <c r="I66" s="4">
        <f t="shared" si="1"/>
        <v>0</v>
      </c>
      <c r="J66" s="9"/>
      <c r="K66" s="4">
        <f t="shared" si="2"/>
        <v>0</v>
      </c>
      <c r="L66" s="5" t="str">
        <f>IF(Z66="◎",COUNTIF($Z$30:Z66,"◎"),"")</f>
        <v/>
      </c>
      <c r="W66" s="388" t="str">
        <f>IF(B66="個別病床",はじめに入力してください!$K$50,IF(B66="共通使用",はじめに入力してください!$K$52,""))</f>
        <v/>
      </c>
      <c r="Y66" s="12">
        <v>37</v>
      </c>
      <c r="Z66" s="367" t="str">
        <f t="shared" si="3"/>
        <v>○</v>
      </c>
      <c r="AA66" s="388" t="str">
        <f t="shared" si="4"/>
        <v>整備しない場合は入力不要です。</v>
      </c>
    </row>
    <row r="67" spans="1:27">
      <c r="A67" s="12">
        <v>38</v>
      </c>
      <c r="B67" s="6"/>
      <c r="C67" s="6"/>
      <c r="D67" s="6"/>
      <c r="E67" s="10"/>
      <c r="F67" s="7"/>
      <c r="G67" s="531"/>
      <c r="H67" s="15">
        <f t="shared" si="0"/>
        <v>0</v>
      </c>
      <c r="I67" s="4">
        <f t="shared" si="1"/>
        <v>0</v>
      </c>
      <c r="J67" s="9"/>
      <c r="K67" s="4">
        <f t="shared" si="2"/>
        <v>0</v>
      </c>
      <c r="L67" s="5" t="str">
        <f>IF(Z67="◎",COUNTIF($Z$30:Z67,"◎"),"")</f>
        <v/>
      </c>
      <c r="W67" s="388" t="str">
        <f>IF(B67="個別病床",はじめに入力してください!$K$50,IF(B67="共通使用",はじめに入力してください!$K$52,""))</f>
        <v/>
      </c>
      <c r="Y67" s="12">
        <v>38</v>
      </c>
      <c r="Z67" s="367" t="str">
        <f t="shared" si="3"/>
        <v>○</v>
      </c>
      <c r="AA67" s="388" t="str">
        <f t="shared" si="4"/>
        <v>整備しない場合は入力不要です。</v>
      </c>
    </row>
    <row r="68" spans="1:27">
      <c r="A68" s="12">
        <v>39</v>
      </c>
      <c r="B68" s="6"/>
      <c r="C68" s="6"/>
      <c r="D68" s="6"/>
      <c r="E68" s="10"/>
      <c r="F68" s="7"/>
      <c r="G68" s="531"/>
      <c r="H68" s="15">
        <f t="shared" si="0"/>
        <v>0</v>
      </c>
      <c r="I68" s="4">
        <f t="shared" si="1"/>
        <v>0</v>
      </c>
      <c r="J68" s="9"/>
      <c r="K68" s="4">
        <f t="shared" si="2"/>
        <v>0</v>
      </c>
      <c r="L68" s="5" t="str">
        <f>IF(Z68="◎",COUNTIF($Z$30:Z68,"◎"),"")</f>
        <v/>
      </c>
      <c r="W68" s="388" t="str">
        <f>IF(B68="個別病床",はじめに入力してください!$K$50,IF(B68="共通使用",はじめに入力してください!$K$52,""))</f>
        <v/>
      </c>
      <c r="Y68" s="12">
        <v>39</v>
      </c>
      <c r="Z68" s="367" t="str">
        <f t="shared" si="3"/>
        <v>○</v>
      </c>
      <c r="AA68" s="388" t="str">
        <f t="shared" si="4"/>
        <v>整備しない場合は入力不要です。</v>
      </c>
    </row>
    <row r="69" spans="1:27">
      <c r="A69" s="12">
        <v>40</v>
      </c>
      <c r="B69" s="6"/>
      <c r="C69" s="6"/>
      <c r="D69" s="6"/>
      <c r="E69" s="10"/>
      <c r="F69" s="7"/>
      <c r="G69" s="531"/>
      <c r="H69" s="15">
        <f t="shared" si="0"/>
        <v>0</v>
      </c>
      <c r="I69" s="4">
        <f t="shared" si="1"/>
        <v>0</v>
      </c>
      <c r="J69" s="9"/>
      <c r="K69" s="4">
        <f t="shared" si="2"/>
        <v>0</v>
      </c>
      <c r="L69" s="5" t="str">
        <f>IF(Z69="◎",COUNTIF($Z$30:Z69,"◎"),"")</f>
        <v/>
      </c>
      <c r="W69" s="388" t="str">
        <f>IF(B69="個別病床",はじめに入力してください!$K$50,IF(B69="共通使用",はじめに入力してください!$K$52,""))</f>
        <v/>
      </c>
      <c r="Y69" s="12">
        <v>40</v>
      </c>
      <c r="Z69" s="367" t="str">
        <f t="shared" si="3"/>
        <v>○</v>
      </c>
      <c r="AA69" s="388" t="str">
        <f t="shared" si="4"/>
        <v>整備しない場合は入力不要です。</v>
      </c>
    </row>
    <row r="70" spans="1:27">
      <c r="A70" s="12">
        <v>41</v>
      </c>
      <c r="B70" s="6"/>
      <c r="C70" s="6"/>
      <c r="D70" s="6"/>
      <c r="E70" s="10"/>
      <c r="F70" s="7"/>
      <c r="G70" s="531"/>
      <c r="H70" s="15">
        <f t="shared" si="0"/>
        <v>0</v>
      </c>
      <c r="I70" s="4">
        <f t="shared" si="1"/>
        <v>0</v>
      </c>
      <c r="J70" s="9"/>
      <c r="K70" s="4">
        <f t="shared" si="2"/>
        <v>0</v>
      </c>
      <c r="L70" s="5" t="str">
        <f>IF(Z70="◎",COUNTIF($Z$30:Z70,"◎"),"")</f>
        <v/>
      </c>
      <c r="W70" s="388" t="str">
        <f>IF(B70="個別病床",はじめに入力してください!$K$50,IF(B70="共通使用",はじめに入力してください!$K$52,""))</f>
        <v/>
      </c>
      <c r="Y70" s="12">
        <v>41</v>
      </c>
      <c r="Z70" s="367" t="str">
        <f t="shared" si="3"/>
        <v>○</v>
      </c>
      <c r="AA70" s="388" t="str">
        <f t="shared" si="4"/>
        <v>整備しない場合は入力不要です。</v>
      </c>
    </row>
    <row r="71" spans="1:27">
      <c r="A71" s="12">
        <v>42</v>
      </c>
      <c r="B71" s="6"/>
      <c r="C71" s="6"/>
      <c r="D71" s="6"/>
      <c r="E71" s="10"/>
      <c r="F71" s="7"/>
      <c r="G71" s="531"/>
      <c r="H71" s="15">
        <f t="shared" si="0"/>
        <v>0</v>
      </c>
      <c r="I71" s="4">
        <f t="shared" si="1"/>
        <v>0</v>
      </c>
      <c r="J71" s="9"/>
      <c r="K71" s="4">
        <f t="shared" si="2"/>
        <v>0</v>
      </c>
      <c r="L71" s="5" t="str">
        <f>IF(Z71="◎",COUNTIF($Z$30:Z71,"◎"),"")</f>
        <v/>
      </c>
      <c r="W71" s="388" t="str">
        <f>IF(B71="個別病床",はじめに入力してください!$K$50,IF(B71="共通使用",はじめに入力してください!$K$52,""))</f>
        <v/>
      </c>
      <c r="Y71" s="12">
        <v>42</v>
      </c>
      <c r="Z71" s="367" t="str">
        <f t="shared" si="3"/>
        <v>○</v>
      </c>
      <c r="AA71" s="388" t="str">
        <f t="shared" si="4"/>
        <v>整備しない場合は入力不要です。</v>
      </c>
    </row>
    <row r="72" spans="1:27">
      <c r="A72" s="12">
        <v>43</v>
      </c>
      <c r="B72" s="6"/>
      <c r="C72" s="6"/>
      <c r="D72" s="6"/>
      <c r="E72" s="10"/>
      <c r="F72" s="7"/>
      <c r="G72" s="531"/>
      <c r="H72" s="15">
        <f t="shared" si="0"/>
        <v>0</v>
      </c>
      <c r="I72" s="4">
        <f t="shared" si="1"/>
        <v>0</v>
      </c>
      <c r="J72" s="9"/>
      <c r="K72" s="4">
        <f t="shared" si="2"/>
        <v>0</v>
      </c>
      <c r="L72" s="5" t="str">
        <f>IF(Z72="◎",COUNTIF($Z$30:Z72,"◎"),"")</f>
        <v/>
      </c>
      <c r="W72" s="388" t="str">
        <f>IF(B72="個別病床",はじめに入力してください!$K$50,IF(B72="共通使用",はじめに入力してください!$K$52,""))</f>
        <v/>
      </c>
      <c r="Y72" s="12">
        <v>43</v>
      </c>
      <c r="Z72" s="367" t="str">
        <f t="shared" si="3"/>
        <v>○</v>
      </c>
      <c r="AA72" s="388" t="str">
        <f t="shared" si="4"/>
        <v>整備しない場合は入力不要です。</v>
      </c>
    </row>
    <row r="73" spans="1:27">
      <c r="A73" s="12">
        <v>44</v>
      </c>
      <c r="B73" s="6"/>
      <c r="C73" s="6"/>
      <c r="D73" s="6"/>
      <c r="E73" s="10"/>
      <c r="F73" s="7"/>
      <c r="G73" s="531"/>
      <c r="H73" s="15">
        <f t="shared" si="0"/>
        <v>0</v>
      </c>
      <c r="I73" s="4">
        <f t="shared" si="1"/>
        <v>0</v>
      </c>
      <c r="J73" s="9"/>
      <c r="K73" s="4">
        <f t="shared" si="2"/>
        <v>0</v>
      </c>
      <c r="L73" s="5" t="str">
        <f>IF(Z73="◎",COUNTIF($Z$30:Z73,"◎"),"")</f>
        <v/>
      </c>
      <c r="W73" s="388" t="str">
        <f>IF(B73="個別病床",はじめに入力してください!$K$50,IF(B73="共通使用",はじめに入力してください!$K$52,""))</f>
        <v/>
      </c>
      <c r="Y73" s="12">
        <v>44</v>
      </c>
      <c r="Z73" s="367" t="str">
        <f t="shared" si="3"/>
        <v>○</v>
      </c>
      <c r="AA73" s="388" t="str">
        <f t="shared" si="4"/>
        <v>整備しない場合は入力不要です。</v>
      </c>
    </row>
    <row r="74" spans="1:27">
      <c r="A74" s="12">
        <v>45</v>
      </c>
      <c r="B74" s="6"/>
      <c r="C74" s="6"/>
      <c r="D74" s="6"/>
      <c r="E74" s="10"/>
      <c r="F74" s="7"/>
      <c r="G74" s="531"/>
      <c r="H74" s="15">
        <f t="shared" si="0"/>
        <v>0</v>
      </c>
      <c r="I74" s="4">
        <f t="shared" si="1"/>
        <v>0</v>
      </c>
      <c r="J74" s="9"/>
      <c r="K74" s="4">
        <f t="shared" si="2"/>
        <v>0</v>
      </c>
      <c r="L74" s="5" t="str">
        <f>IF(Z74="◎",COUNTIF($Z$30:Z74,"◎"),"")</f>
        <v/>
      </c>
      <c r="W74" s="388" t="str">
        <f>IF(B74="個別病床",はじめに入力してください!$K$50,IF(B74="共通使用",はじめに入力してください!$K$52,""))</f>
        <v/>
      </c>
      <c r="Y74" s="12">
        <v>45</v>
      </c>
      <c r="Z74" s="367" t="str">
        <f t="shared" si="3"/>
        <v>○</v>
      </c>
      <c r="AA74" s="388" t="str">
        <f t="shared" si="4"/>
        <v>整備しない場合は入力不要です。</v>
      </c>
    </row>
  </sheetData>
  <mergeCells count="23">
    <mergeCell ref="K1:M1"/>
    <mergeCell ref="B22:L22"/>
    <mergeCell ref="B2:D3"/>
    <mergeCell ref="Z3:Z5"/>
    <mergeCell ref="AA3:AA5"/>
    <mergeCell ref="Z7:Z8"/>
    <mergeCell ref="AA7:AA8"/>
    <mergeCell ref="B10:L10"/>
    <mergeCell ref="B13:L13"/>
    <mergeCell ref="B14:L14"/>
    <mergeCell ref="B15:L15"/>
    <mergeCell ref="B18:L21"/>
    <mergeCell ref="B12:L12"/>
    <mergeCell ref="B7:L7"/>
    <mergeCell ref="B9:C9"/>
    <mergeCell ref="B26:L26"/>
    <mergeCell ref="Z27:Z28"/>
    <mergeCell ref="AA27:AA28"/>
    <mergeCell ref="B28:D28"/>
    <mergeCell ref="E28:F28"/>
    <mergeCell ref="G28:J28"/>
    <mergeCell ref="K28:K29"/>
    <mergeCell ref="L28:L29"/>
  </mergeCells>
  <phoneticPr fontId="9"/>
  <conditionalFormatting sqref="Z29:Z1048576 Z1:Z2 Z11:Z21 Z6 Z23:Z27">
    <cfRule type="containsText" dxfId="21" priority="8" operator="containsText" text="×">
      <formula>NOT(ISERROR(SEARCH("×",Z1)))</formula>
    </cfRule>
  </conditionalFormatting>
  <conditionalFormatting sqref="AA1:AA2 AA11:AA21 AA29:AA1048576 AA6 AA23:AA27">
    <cfRule type="containsText" dxfId="20" priority="7" operator="containsText" text="要修正">
      <formula>NOT(ISERROR(SEARCH("要修正",AA1)))</formula>
    </cfRule>
  </conditionalFormatting>
  <conditionalFormatting sqref="Z22">
    <cfRule type="containsText" dxfId="19" priority="6" operator="containsText" text="×">
      <formula>NOT(ISERROR(SEARCH("×",Z22)))</formula>
    </cfRule>
  </conditionalFormatting>
  <conditionalFormatting sqref="AA22">
    <cfRule type="containsText" dxfId="18" priority="5" operator="containsText" text="要修正">
      <formula>NOT(ISERROR(SEARCH("要修正",AA22)))</formula>
    </cfRule>
  </conditionalFormatting>
  <conditionalFormatting sqref="Z9:Z10 Z7">
    <cfRule type="containsText" dxfId="17" priority="4" operator="containsText" text="×">
      <formula>NOT(ISERROR(SEARCH("×",Z7)))</formula>
    </cfRule>
  </conditionalFormatting>
  <conditionalFormatting sqref="AA9:AA10 AA7">
    <cfRule type="containsText" dxfId="16" priority="3" operator="containsText" text="要修正">
      <formula>NOT(ISERROR(SEARCH("要修正",AA7)))</formula>
    </cfRule>
  </conditionalFormatting>
  <conditionalFormatting sqref="Z3:Z4">
    <cfRule type="containsText" dxfId="15" priority="2" operator="containsText" text="×">
      <formula>NOT(ISERROR(SEARCH("×",Z3)))</formula>
    </cfRule>
  </conditionalFormatting>
  <conditionalFormatting sqref="AA3:AA4">
    <cfRule type="containsText" dxfId="14" priority="1" operator="containsText" text="要修正">
      <formula>NOT(ISERROR(SEARCH("要修正",AA3)))</formula>
    </cfRule>
  </conditionalFormatting>
  <dataValidations count="10">
    <dataValidation type="list" allowBlank="1" showInputMessage="1" showErrorMessage="1" promptTitle="補助対象の該当非該当" prompt="コロナ対応病床の初度設備に係る経費が対象となります。_x000a_共用部分の設備、備品や医療用消耗品等は補助対象外なので「対象外」を選択してください。_x000a_審査において確認、対象外と認めたものについては対象外として補正をお願いする場合があります。" sqref="J30:J74" xr:uid="{475FB5DE-4381-417F-A9FB-04F8C921F79A}">
      <formula1>"補助対象,補助対象外"</formula1>
    </dataValidation>
    <dataValidation allowBlank="1" showInputMessage="1" showErrorMessage="1" promptTitle="金額の表示" prompt="数式が入力されているため、自動計算されます。" sqref="K30:K74 I30:I74" xr:uid="{A9AC95D9-2E2C-4F90-BACD-0FDF50147A34}"/>
    <dataValidation allowBlank="1" showInputMessage="1" showErrorMessage="1" promptTitle="添付書類番号" prompt="種類、規格、数量、単価が全て適切に入力され、右の「判定」が「◎」と表示されると自動で番号が表示されます。" sqref="L30:L74" xr:uid="{9617D5E6-AEC8-4D64-B377-AD4DF490DE68}"/>
    <dataValidation allowBlank="1" showInputMessage="1" showErrorMessage="1" promptTitle="単価の入力" prompt="税抜額または税込額のいずれかを入力してください。_x000a_入力しない方は「0」は入力せず、空欄としてください。" sqref="H30:H74" xr:uid="{1479E5E3-BC2F-46A6-9001-69B4A07AF9C0}"/>
    <dataValidation allowBlank="1" showInputMessage="1" showErrorMessage="1" promptTitle="規格及び数量の入力" prompt="補助対象経費を計上する際、いずれも入力してください。" sqref="E30:E74" xr:uid="{EE439D29-DBED-407A-86AD-3A66A97C3D72}"/>
    <dataValidation allowBlank="1" showInputMessage="1" showErrorMessage="1" promptTitle="補助対象金額" prompt="補助対象額×（見積書金額-割引額）/見積書金額_x000a_で算出されます。" sqref="J3" xr:uid="{00000000-0002-0000-1A00-000005000000}"/>
    <dataValidation allowBlank="1" showInputMessage="1" showErrorMessage="1" promptTitle="割引額がある場合は入力" prompt="割引がない場合は「0円」のままとしてください。" sqref="I3" xr:uid="{00000000-0002-0000-1A00-000006000000}"/>
    <dataValidation type="list" allowBlank="1" showInputMessage="1" showErrorMessage="1" promptTitle="設備、備品、その他の別を選択" prompt="当該行に記載する品目が_x000a_・「設備」（設備本体）_x000a_・備品（本体設備と別の構成をなすもの）_x000a_・その他（上記の該当しないもの）_x000a_の別をプルダウンから選択してください。" sqref="D30:D74" xr:uid="{7DD2B8C3-FE7C-46B6-BBBB-E7980E4ECCBF}">
      <formula1>"設備,備品,その他"</formula1>
    </dataValidation>
    <dataValidation type="decimal" operator="greaterThanOrEqual" allowBlank="1" showInputMessage="1" showErrorMessage="1" promptTitle="単価の入力" prompt="税抜額または税込額のいずれかを入力してください。_x000a_入力しない方は「0」は入力せず、空欄としてください。" sqref="G30:G74" xr:uid="{A4D3CFFD-DBEC-4C97-B516-F8EF052D691A}">
      <formula1>0</formula1>
    </dataValidation>
    <dataValidation type="whole" operator="greaterThanOrEqual" allowBlank="1" showInputMessage="1" showErrorMessage="1" errorTitle="数値のみを入力してください。" error="「個」、「枚」等の単位入力は不要です。" promptTitle="規格及び数量の入力" prompt="補助対象経費を計上する際、いずれも入力してください。" sqref="F30:F74" xr:uid="{F699C8E5-F544-4B34-853B-7EAF5FFA0194}">
      <formula1>0</formula1>
    </dataValidation>
  </dataValidations>
  <pageMargins left="0.7" right="0.7" top="0.75" bottom="0.75" header="0.3" footer="0.3"/>
  <pageSetup paperSize="9" scale="55"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promptTitle="配備先の別を選択" prompt="確保病床の共通使用のものか、個別のベッドに配備するものか選択してください。" xr:uid="{CA3B234A-1F26-42C4-82FC-6C026541D8ED}">
          <x14:formula1>
            <xm:f>テーブル!$X$48:$X$49</xm:f>
          </x14:formula1>
          <xm:sqref>B30:B74</xm:sqref>
        </x14:dataValidation>
        <x14:dataValidation type="list" allowBlank="1" showInputMessage="1" showErrorMessage="1" promptTitle="「用途先」病床の選択（左の「病床」を選択しないと表示されません。" prompt="ベッドに必ずしも紐付けるものではありませんが、１病床１台で紐付けした場合、整備する病床に番号付けをした場合の番号を選択してください。" xr:uid="{B6C3C964-7850-4C00-9ABE-71E31D7473E0}">
          <x14:formula1>
            <xm:f>OFFSET(テーブル!$X$48, 0, MATCH(B30,テーブル!$Y$47:$Z$47,0), COUNTA(OFFSET(テーブル!$X$48,0,MATCH(B30,テーブル!$Y$47:$Z$47,0),$W$30,1)),1)</xm:f>
          </x14:formula1>
          <xm:sqref>C30:C74</xm:sqref>
        </x14:dataValidation>
        <x14:dataValidation type="list" allowBlank="1" showInputMessage="1" showErrorMessage="1" xr:uid="{00000000-0002-0000-1A00-000008000000}">
          <x14:formula1>
            <xm:f>テーブル!$M$37:$M$51</xm:f>
          </x14:formula1>
          <xm:sqref>B2:D2</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theme="4" tint="0.79998168889431442"/>
    <pageSetUpPr fitToPage="1"/>
  </sheetPr>
  <dimension ref="A1:AF74"/>
  <sheetViews>
    <sheetView showGridLines="0" view="pageBreakPreview" topLeftCell="A16" zoomScale="60" zoomScaleNormal="100" workbookViewId="0">
      <selection activeCell="B26" sqref="B26:L26"/>
    </sheetView>
  </sheetViews>
  <sheetFormatPr defaultColWidth="8.625" defaultRowHeight="18"/>
  <cols>
    <col min="1" max="1" width="3.625" style="12" customWidth="1"/>
    <col min="2" max="4" width="8.625" style="19"/>
    <col min="5" max="5" width="30.625" style="19" customWidth="1"/>
    <col min="6" max="6" width="8.625" style="19"/>
    <col min="7" max="11" width="12.625" style="19" customWidth="1"/>
    <col min="12" max="12" width="8.625" style="19"/>
    <col min="13" max="13" width="3.625" style="19" customWidth="1"/>
    <col min="14" max="23" width="8.625" style="19"/>
    <col min="24" max="24" width="8.625" style="19" customWidth="1"/>
    <col min="25" max="25" width="3.625" style="12" customWidth="1"/>
    <col min="26" max="26" width="8.625" style="19"/>
    <col min="27" max="27" width="40.625" style="19" customWidth="1"/>
    <col min="28" max="28" width="3.625" style="19" customWidth="1"/>
    <col min="29" max="32" width="8.625" style="19"/>
    <col min="33" max="33" width="30.625" style="19" customWidth="1"/>
    <col min="34" max="16384" width="8.625" style="19"/>
  </cols>
  <sheetData>
    <row r="1" spans="1:32" ht="20.100000000000001" customHeight="1">
      <c r="K1" s="1859" t="str">
        <f xml:space="preserve">
IF(表紙!X2="交付申請兼実績報告","（４月１日～５月７日分）",
IF(OR(表紙!X2="事前協議",表紙!X2="交付申請",表紙!X2="変更申請",表紙!X2="実績報告"),"（５月８日～９月30日分）",
))</f>
        <v>（４月１日～５月７日分）</v>
      </c>
      <c r="L1" s="1385"/>
      <c r="M1" s="1385"/>
    </row>
    <row r="2" spans="1:32" ht="20.100000000000001" customHeight="1">
      <c r="B2" s="1847" t="s">
        <v>433</v>
      </c>
      <c r="C2" s="1848"/>
      <c r="D2" s="1849"/>
      <c r="H2" s="5" t="s">
        <v>536</v>
      </c>
      <c r="I2" s="367" t="s">
        <v>537</v>
      </c>
      <c r="J2" s="5" t="s">
        <v>44</v>
      </c>
      <c r="Z2" s="367" t="s">
        <v>417</v>
      </c>
      <c r="AA2" s="367" t="s">
        <v>415</v>
      </c>
      <c r="AC2" s="367" t="str">
        <f>Z9</f>
        <v>×</v>
      </c>
      <c r="AD2" s="367" t="str">
        <f>Z15</f>
        <v>◎</v>
      </c>
      <c r="AE2" s="367" t="str">
        <f>Z22</f>
        <v>◎</v>
      </c>
      <c r="AF2" s="367" t="str">
        <f>Z26</f>
        <v>◎</v>
      </c>
    </row>
    <row r="3" spans="1:32" ht="20.100000000000001" customHeight="1">
      <c r="B3" s="1850"/>
      <c r="C3" s="1851"/>
      <c r="D3" s="1852"/>
      <c r="H3" s="351">
        <f>SUM(I30:I74)</f>
        <v>57200000</v>
      </c>
      <c r="I3" s="8"/>
      <c r="J3" s="351">
        <f>IFERROR(ROUNDUP(SUM(K30:K74)*((H3-I3)/H3),0),0)</f>
        <v>42900000</v>
      </c>
      <c r="Z3" s="884" t="str">
        <f xml:space="preserve">
IF(COUNTIF(AD2:AF2,"○")=3,"○",
IF(COUNTIF(AD2:AF2,"◎")=3,"◎","×"
))</f>
        <v>◎</v>
      </c>
      <c r="AA3" s="1842" t="str">
        <f xml:space="preserve">
IF(Z3="○","整備しない場合は入力不要です。",
IF(Z3="×","【要修正】入力が不十分な箇所があります。",
IF(Z3="◎","適切に入力がされました。")))</f>
        <v>適切に入力がされました。</v>
      </c>
    </row>
    <row r="4" spans="1:32" ht="9.9499999999999993" customHeight="1">
      <c r="Z4" s="884"/>
      <c r="AA4" s="1842"/>
    </row>
    <row r="5" spans="1:32" ht="20.100000000000001" customHeight="1">
      <c r="B5" s="386" t="s">
        <v>55</v>
      </c>
      <c r="C5" s="386"/>
      <c r="D5" s="386"/>
      <c r="E5" s="386"/>
      <c r="F5" s="386"/>
      <c r="G5" s="386"/>
      <c r="H5" s="386"/>
      <c r="I5" s="386"/>
      <c r="J5" s="386"/>
      <c r="K5" s="386"/>
      <c r="L5" s="386"/>
      <c r="Z5" s="857"/>
      <c r="AA5" s="858"/>
    </row>
    <row r="6" spans="1:32" ht="9.9499999999999993" customHeight="1"/>
    <row r="7" spans="1:32" ht="20.100000000000001" customHeight="1">
      <c r="B7" s="1863" t="str">
        <f xml:space="preserve">
IF(OR(表紙!X2="事前協議",表紙!X2="交付申請"),"（１）整備を行う対象の新規で指定を受けた確保病床数あるいは、確保病床を有しない場合は整備を行う病床の数",
IF(表紙!X2="交付申請兼実績報告","（１）整備を行う対象の新規で指定を受けた確保病床数"))</f>
        <v>（１）整備を行う対象の新規で指定を受けた確保病床数</v>
      </c>
      <c r="C7" s="953"/>
      <c r="D7" s="953"/>
      <c r="E7" s="953"/>
      <c r="F7" s="953"/>
      <c r="G7" s="953"/>
      <c r="H7" s="953"/>
      <c r="I7" s="953"/>
      <c r="J7" s="953"/>
      <c r="K7" s="953"/>
      <c r="L7" s="953"/>
      <c r="Z7" s="1838" t="s">
        <v>413</v>
      </c>
      <c r="AA7" s="1838" t="s">
        <v>415</v>
      </c>
    </row>
    <row r="8" spans="1:32" ht="9.9499999999999993" customHeight="1">
      <c r="Z8" s="1839"/>
      <c r="AA8" s="1839"/>
    </row>
    <row r="9" spans="1:32" ht="35.1" customHeight="1">
      <c r="B9" s="1864" t="s">
        <v>56</v>
      </c>
      <c r="C9" s="1865"/>
      <c r="D9" s="204" t="str">
        <f>IF(はじめに入力してください!K50="","",はじめに入力してください!K50)</f>
        <v/>
      </c>
      <c r="E9" s="352"/>
      <c r="F9" s="353"/>
      <c r="G9" s="353"/>
      <c r="H9" s="353"/>
      <c r="I9" s="353"/>
      <c r="J9" s="354"/>
      <c r="K9" s="354"/>
      <c r="L9" s="354"/>
      <c r="Z9" s="367" t="str">
        <f xml:space="preserve">
IF(D9="","×",
IF(D9=0,"○",
IF(D9&gt;=1,"◎",
)))</f>
        <v>×</v>
      </c>
      <c r="AA9" s="388" t="str">
        <f xml:space="preserve">
IF(D9="","【要修正】「はじめに入力してください」シートに整備を行う病床の数を入力してください。",
IF(D9=0,"申請しない場合は以下入力不要です。",
IF(D9&gt;=1,"適切に入力されました。",
)))</f>
        <v>【要修正】「はじめに入力してください」シートに整備を行う病床の数を入力してください。</v>
      </c>
    </row>
    <row r="10" spans="1:32" ht="20.100000000000001" customHeight="1">
      <c r="B10" s="1860"/>
      <c r="C10" s="1861"/>
      <c r="D10" s="1862"/>
      <c r="E10" s="1862"/>
      <c r="F10" s="1862"/>
      <c r="G10" s="1862"/>
      <c r="H10" s="1862"/>
      <c r="I10" s="1862"/>
      <c r="J10" s="1862"/>
      <c r="K10" s="1862"/>
      <c r="L10" s="1862"/>
    </row>
    <row r="11" spans="1:32" ht="20.100000000000001" hidden="1" customHeight="1"/>
    <row r="12" spans="1:32" ht="20.100000000000001" customHeight="1">
      <c r="B12" s="1863" t="s">
        <v>57</v>
      </c>
      <c r="C12" s="953"/>
      <c r="D12" s="953"/>
      <c r="E12" s="953"/>
      <c r="F12" s="953"/>
      <c r="G12" s="953"/>
      <c r="H12" s="953"/>
      <c r="I12" s="953"/>
      <c r="J12" s="953"/>
      <c r="K12" s="953"/>
      <c r="L12" s="953"/>
    </row>
    <row r="13" spans="1:32" ht="39.950000000000003" customHeight="1">
      <c r="B13" s="1843" t="s">
        <v>538</v>
      </c>
      <c r="C13" s="952"/>
      <c r="D13" s="952"/>
      <c r="E13" s="952"/>
      <c r="F13" s="952"/>
      <c r="G13" s="952"/>
      <c r="H13" s="952"/>
      <c r="I13" s="952"/>
      <c r="J13" s="952"/>
      <c r="K13" s="952"/>
      <c r="L13" s="952"/>
    </row>
    <row r="14" spans="1:32" s="385" customFormat="1" ht="120" customHeight="1">
      <c r="A14" s="13"/>
      <c r="B14" s="1843" t="str">
        <f>VLOOKUP(B2,テーブル!M37:N51,2,FALSE)</f>
        <v>（例）当院は重点医療機関として周産期妊婦の入院受け入れを行ってきたが、直近の感染再拡大により、当院が陽性妊婦の受け入れのため確保している
　　　病床数を超える入院受け入れ要請が生じ、近隣の医療機関に受け入れ協力をせざるを得ない状況が生じた。圏域内の一般病床を有する病院及び有床診療所
　　　に陽性妊婦の受入協力を打診したが、そもそも医療機関が少ないことも相まり、調整は不調に終わったケースが生じている。
　　　目下の感染拡大を前に、遠隔の医療機関への搬送及び容態悪化を避けるためにも自院での受け入れ体制の強化が喫緊の課題となっており、新たに○台の
　　　追加整備を行うこととしたい。
　　　（整備台数の検討にあたってのピーク時の陽性患者数の推移及び受け入れ要請を断らざるを得なかったケースの詳細については別紙のとおり。）</v>
      </c>
      <c r="C14" s="1675"/>
      <c r="D14" s="1675"/>
      <c r="E14" s="1675"/>
      <c r="F14" s="1675"/>
      <c r="G14" s="1675"/>
      <c r="H14" s="1675"/>
      <c r="I14" s="1675"/>
      <c r="J14" s="1675"/>
      <c r="K14" s="1675"/>
      <c r="L14" s="1675"/>
      <c r="Y14" s="13"/>
      <c r="Z14" s="366" t="s">
        <v>413</v>
      </c>
      <c r="AA14" s="366" t="s">
        <v>414</v>
      </c>
    </row>
    <row r="15" spans="1:32" ht="120" customHeight="1">
      <c r="B15" s="1844" t="s">
        <v>1288</v>
      </c>
      <c r="C15" s="1845"/>
      <c r="D15" s="1845"/>
      <c r="E15" s="1845"/>
      <c r="F15" s="1845"/>
      <c r="G15" s="1845"/>
      <c r="H15" s="1845"/>
      <c r="I15" s="1845"/>
      <c r="J15" s="1845"/>
      <c r="K15" s="1845"/>
      <c r="L15" s="1846"/>
      <c r="Z15" s="367" t="str">
        <f xml:space="preserve">
IF(COUNTA(B15)=0,"○",
IF(COUNTA(B15)=1,"◎"))</f>
        <v>◎</v>
      </c>
      <c r="AA15" s="388" t="str">
        <f xml:space="preserve">
IF(COUNTA(B15)=0,"整備しない場合は入力不要です。",
IF(COUNTA(B15)=1,"入力された状態になりました。"))</f>
        <v>入力された状態になりました。</v>
      </c>
    </row>
    <row r="16" spans="1:32" ht="20.100000000000001" customHeight="1"/>
    <row r="17" spans="1:27" ht="20.100000000000001" customHeight="1">
      <c r="B17" s="386" t="s">
        <v>452</v>
      </c>
      <c r="C17" s="386"/>
      <c r="D17" s="386"/>
      <c r="E17" s="386"/>
      <c r="F17" s="386"/>
      <c r="G17" s="386"/>
      <c r="H17" s="386"/>
      <c r="I17" s="386"/>
      <c r="J17" s="386"/>
      <c r="K17" s="386"/>
      <c r="L17" s="386"/>
    </row>
    <row r="18" spans="1:27" ht="20.100000000000001" customHeight="1">
      <c r="B18" s="1843" t="s">
        <v>480</v>
      </c>
      <c r="C18" s="952"/>
      <c r="D18" s="952"/>
      <c r="E18" s="952"/>
      <c r="F18" s="952"/>
      <c r="G18" s="952"/>
      <c r="H18" s="952"/>
      <c r="I18" s="952"/>
      <c r="J18" s="952"/>
      <c r="K18" s="952"/>
      <c r="L18" s="952"/>
    </row>
    <row r="19" spans="1:27" ht="20.100000000000001" customHeight="1">
      <c r="B19" s="1843"/>
      <c r="C19" s="952"/>
      <c r="D19" s="952"/>
      <c r="E19" s="952"/>
      <c r="F19" s="952"/>
      <c r="G19" s="952"/>
      <c r="H19" s="952"/>
      <c r="I19" s="952"/>
      <c r="J19" s="952"/>
      <c r="K19" s="952"/>
      <c r="L19" s="952"/>
    </row>
    <row r="20" spans="1:27" ht="20.100000000000001" customHeight="1">
      <c r="B20" s="1843"/>
      <c r="C20" s="952"/>
      <c r="D20" s="952"/>
      <c r="E20" s="952"/>
      <c r="F20" s="952"/>
      <c r="G20" s="952"/>
      <c r="H20" s="952"/>
      <c r="I20" s="952"/>
      <c r="J20" s="952"/>
      <c r="K20" s="952"/>
      <c r="L20" s="952"/>
    </row>
    <row r="21" spans="1:27" ht="20.100000000000001" customHeight="1">
      <c r="B21" s="952"/>
      <c r="C21" s="952"/>
      <c r="D21" s="952"/>
      <c r="E21" s="952"/>
      <c r="F21" s="952"/>
      <c r="G21" s="952"/>
      <c r="H21" s="952"/>
      <c r="I21" s="952"/>
      <c r="J21" s="952"/>
      <c r="K21" s="952"/>
      <c r="L21" s="952"/>
    </row>
    <row r="22" spans="1:27" ht="120" customHeight="1">
      <c r="B22" s="1844" t="s">
        <v>1288</v>
      </c>
      <c r="C22" s="1845"/>
      <c r="D22" s="1845"/>
      <c r="E22" s="1845"/>
      <c r="F22" s="1845"/>
      <c r="G22" s="1845"/>
      <c r="H22" s="1845"/>
      <c r="I22" s="1845"/>
      <c r="J22" s="1845"/>
      <c r="K22" s="1845"/>
      <c r="L22" s="1846"/>
      <c r="Z22" s="367" t="str">
        <f xml:space="preserve">
IF(COUNTA(B22)=0,"○",
IF(COUNTA(B22)=1,"◎"))</f>
        <v>◎</v>
      </c>
      <c r="AA22" s="388" t="str">
        <f xml:space="preserve">
IF(COUNTA(B22)=0,"整備しない場合は入力不要です。",
IF(COUNTA(B22)=1,"入力された状態になりました。"))</f>
        <v>入力された状態になりました。</v>
      </c>
    </row>
    <row r="23" spans="1:27" ht="20.100000000000001" customHeight="1"/>
    <row r="24" spans="1:27" ht="20.100000000000001" customHeight="1">
      <c r="B24" s="386" t="s">
        <v>451</v>
      </c>
      <c r="C24" s="386"/>
      <c r="D24" s="386"/>
      <c r="E24" s="386"/>
      <c r="F24" s="386"/>
      <c r="G24" s="386"/>
      <c r="H24" s="386"/>
      <c r="I24" s="386"/>
      <c r="J24" s="386"/>
      <c r="K24" s="386"/>
      <c r="L24" s="386"/>
      <c r="Z24" s="14"/>
    </row>
    <row r="25" spans="1:27" ht="9.9499999999999993" customHeight="1"/>
    <row r="26" spans="1:27" ht="60" customHeight="1">
      <c r="B26" s="1843" t="s">
        <v>559</v>
      </c>
      <c r="C26" s="953"/>
      <c r="D26" s="953"/>
      <c r="E26" s="953"/>
      <c r="F26" s="953"/>
      <c r="G26" s="953"/>
      <c r="H26" s="953"/>
      <c r="I26" s="953"/>
      <c r="J26" s="953"/>
      <c r="K26" s="953"/>
      <c r="L26" s="953"/>
      <c r="Z26" s="367" t="str">
        <f xml:space="preserve">
IF(COUNTIF(Z30:Z74,"○")=45,"○",
IF(COUNTIF(Z30:Z74,"×")&gt;=1,"×",
IF(AND(COUNTIF(Z30:Z74,"◎")&gt;=1,COUNTIF(Z30:Z74,"×")=0),"◎")))</f>
        <v>◎</v>
      </c>
      <c r="AA26" s="388" t="str">
        <f xml:space="preserve">
IF(COUNTIF(Z30:Z74,"○")=45,"整備しない場合は入力不要です。",
IF(COUNTIF(Z30:Z74,"×")&gt;=1,"【要修正】入力が不十分な箇所があります。",
IF(AND(COUNTIF(Z30:Z74,"◎")&gt;=1,COUNTIF(Z30:Z74,"×")=0),"適切に入力がされました。")))</f>
        <v>適切に入力がされました。</v>
      </c>
    </row>
    <row r="27" spans="1:27" ht="9.9499999999999993" customHeight="1">
      <c r="Z27" s="1837" t="s">
        <v>416</v>
      </c>
      <c r="AA27" s="1840" t="s">
        <v>418</v>
      </c>
    </row>
    <row r="28" spans="1:27">
      <c r="B28" s="1853" t="s">
        <v>41</v>
      </c>
      <c r="C28" s="1854"/>
      <c r="D28" s="1855"/>
      <c r="E28" s="1853" t="s">
        <v>42</v>
      </c>
      <c r="F28" s="1855"/>
      <c r="G28" s="1853" t="s">
        <v>43</v>
      </c>
      <c r="H28" s="1854"/>
      <c r="I28" s="1854"/>
      <c r="J28" s="1855"/>
      <c r="K28" s="1856" t="s">
        <v>44</v>
      </c>
      <c r="L28" s="1856" t="s">
        <v>45</v>
      </c>
      <c r="Z28" s="1105"/>
      <c r="AA28" s="1841"/>
    </row>
    <row r="29" spans="1:27">
      <c r="B29" s="3" t="s">
        <v>46</v>
      </c>
      <c r="C29" s="3" t="s">
        <v>47</v>
      </c>
      <c r="D29" s="3" t="s">
        <v>48</v>
      </c>
      <c r="E29" s="3" t="s">
        <v>54</v>
      </c>
      <c r="F29" s="3" t="s">
        <v>49</v>
      </c>
      <c r="G29" s="3" t="s">
        <v>50</v>
      </c>
      <c r="H29" s="3" t="s">
        <v>51</v>
      </c>
      <c r="I29" s="3" t="s">
        <v>52</v>
      </c>
      <c r="J29" s="3" t="s">
        <v>53</v>
      </c>
      <c r="K29" s="1857"/>
      <c r="L29" s="1857"/>
      <c r="Z29" s="367" t="s">
        <v>413</v>
      </c>
      <c r="AA29" s="367" t="s">
        <v>415</v>
      </c>
    </row>
    <row r="30" spans="1:27">
      <c r="A30" s="12">
        <v>1</v>
      </c>
      <c r="B30" s="6"/>
      <c r="C30" s="6"/>
      <c r="D30" s="6"/>
      <c r="E30" s="10"/>
      <c r="F30" s="7"/>
      <c r="G30" s="531"/>
      <c r="H30" s="15">
        <f>ROUNDDOWN(G30*1.1,0)</f>
        <v>0</v>
      </c>
      <c r="I30" s="4">
        <f>F30*H30</f>
        <v>0</v>
      </c>
      <c r="J30" s="9"/>
      <c r="K30" s="4">
        <f>IF(J30="補助対象",I30,IF(J30="補助対象外",0,0))</f>
        <v>0</v>
      </c>
      <c r="L30" s="5" t="str">
        <f>IF(Z30="◎",COUNTIF($Z$30:Z30,"◎"),"")</f>
        <v/>
      </c>
      <c r="W30" s="388" t="str">
        <f>IF(B30="個別病床",はじめに入力してください!$K$50,IF(B30="共通使用",はじめに入力してください!$K$52,""))</f>
        <v/>
      </c>
      <c r="Y30" s="12">
        <v>1</v>
      </c>
      <c r="Z30" s="367" t="str">
        <f xml:space="preserve">
IF(SUM(COUNTA(B30:G30),COUNTA(J30))=0,"○",
IF(AND(SUM(COUNTA(B30:G30),COUNTA(J30))&gt;0,SUM(COUNTA(B30:G30),COUNTA(J30))&lt;7),"×",
IF(SUM(COUNTA(B30:G30),COUNTA(J30))=7,"◎")))</f>
        <v>○</v>
      </c>
      <c r="AA30" s="388" t="str">
        <f xml:space="preserve">
IF(SUM(COUNTA(B30:G30),COUNTA(J30))=0,"整備しない場合は入力不要です。",
IF(AND(SUM(COUNTA(B30:G30),COUNTA(J30))&gt;0,SUM(COUNTA(B30:G30),COUNTA(J30))&lt;7),"【要修正】未入力の箇所があります。",
IF(SUM(COUNTA(B30:G30),COUNTA(J30))=7,"適切に入力がされました。")))</f>
        <v>整備しない場合は入力不要です。</v>
      </c>
    </row>
    <row r="31" spans="1:27">
      <c r="A31" s="12">
        <v>2</v>
      </c>
      <c r="B31" s="6"/>
      <c r="C31" s="6"/>
      <c r="D31" s="6"/>
      <c r="E31" s="10"/>
      <c r="F31" s="7"/>
      <c r="G31" s="531"/>
      <c r="H31" s="15">
        <f t="shared" ref="H31:H74" si="0">ROUNDDOWN(G31*1.1,0)</f>
        <v>0</v>
      </c>
      <c r="I31" s="4">
        <f t="shared" ref="I31:I74" si="1">F31*H31</f>
        <v>0</v>
      </c>
      <c r="J31" s="9"/>
      <c r="K31" s="4">
        <f t="shared" ref="K31:K74" si="2">IF(J31="補助対象",I31,IF(J31="補助対象外",0,0))</f>
        <v>0</v>
      </c>
      <c r="L31" s="5" t="str">
        <f>IF(Z31="◎",COUNTIF($Z$30:Z31,"◎"),"")</f>
        <v/>
      </c>
      <c r="W31" s="388" t="str">
        <f>IF(B31="個別病床",はじめに入力してください!$K$50,IF(B31="共通使用",はじめに入力してください!$K$52,""))</f>
        <v/>
      </c>
      <c r="Y31" s="12">
        <v>2</v>
      </c>
      <c r="Z31" s="367" t="str">
        <f t="shared" ref="Z31:Z74" si="3" xml:space="preserve">
IF(SUM(COUNTA(B31:G31),COUNTA(J31))=0,"○",
IF(AND(SUM(COUNTA(B31:G31),COUNTA(J31))&gt;0,SUM(COUNTA(B31:G31),COUNTA(J31))&lt;7),"×",
IF(SUM(COUNTA(B31:G31),COUNTA(J31))=7,"◎")))</f>
        <v>○</v>
      </c>
      <c r="AA31" s="388" t="str">
        <f t="shared" ref="AA31:AA74" si="4" xml:space="preserve">
IF(SUM(COUNTA(B31:G31),COUNTA(J31))=0,"整備しない場合は入力不要です。",
IF(AND(SUM(COUNTA(B31:G31),COUNTA(J31))&gt;0,SUM(COUNTA(B31:G31),COUNTA(J31))&lt;7),"【要修正】未入力の箇所があります。",
IF(SUM(COUNTA(B31:G31),COUNTA(J31))=7,"適切に入力がされました。")))</f>
        <v>整備しない場合は入力不要です。</v>
      </c>
    </row>
    <row r="32" spans="1:27">
      <c r="A32" s="12">
        <v>3</v>
      </c>
      <c r="B32" s="6"/>
      <c r="C32" s="6"/>
      <c r="D32" s="6"/>
      <c r="E32" s="10"/>
      <c r="F32" s="7"/>
      <c r="G32" s="531"/>
      <c r="H32" s="15">
        <f t="shared" si="0"/>
        <v>0</v>
      </c>
      <c r="I32" s="4">
        <f t="shared" si="1"/>
        <v>0</v>
      </c>
      <c r="J32" s="9"/>
      <c r="K32" s="4">
        <f t="shared" si="2"/>
        <v>0</v>
      </c>
      <c r="L32" s="5" t="str">
        <f>IF(Z32="◎",COUNTIF($Z$30:Z32,"◎"),"")</f>
        <v/>
      </c>
      <c r="W32" s="388" t="str">
        <f>IF(B32="個別病床",はじめに入力してください!$K$50,IF(B32="共通使用",はじめに入力してください!$K$52,""))</f>
        <v/>
      </c>
      <c r="Y32" s="12">
        <v>3</v>
      </c>
      <c r="Z32" s="367" t="str">
        <f t="shared" si="3"/>
        <v>○</v>
      </c>
      <c r="AA32" s="388" t="str">
        <f t="shared" si="4"/>
        <v>整備しない場合は入力不要です。</v>
      </c>
    </row>
    <row r="33" spans="1:27">
      <c r="A33" s="12">
        <v>4</v>
      </c>
      <c r="B33" s="6"/>
      <c r="C33" s="6"/>
      <c r="D33" s="6"/>
      <c r="E33" s="10"/>
      <c r="F33" s="7"/>
      <c r="G33" s="531"/>
      <c r="H33" s="15">
        <f t="shared" si="0"/>
        <v>0</v>
      </c>
      <c r="I33" s="4">
        <f t="shared" si="1"/>
        <v>0</v>
      </c>
      <c r="J33" s="9"/>
      <c r="K33" s="4">
        <f t="shared" si="2"/>
        <v>0</v>
      </c>
      <c r="L33" s="5" t="str">
        <f>IF(Z33="◎",COUNTIF($Z$30:Z33,"◎"),"")</f>
        <v/>
      </c>
      <c r="W33" s="388" t="str">
        <f>IF(B33="個別病床",はじめに入力してください!$K$50,IF(B33="共通使用",はじめに入力してください!$K$52,""))</f>
        <v/>
      </c>
      <c r="Y33" s="12">
        <v>4</v>
      </c>
      <c r="Z33" s="367" t="str">
        <f t="shared" si="3"/>
        <v>○</v>
      </c>
      <c r="AA33" s="388" t="str">
        <f t="shared" si="4"/>
        <v>整備しない場合は入力不要です。</v>
      </c>
    </row>
    <row r="34" spans="1:27">
      <c r="A34" s="12">
        <v>5</v>
      </c>
      <c r="B34" s="6" t="s">
        <v>669</v>
      </c>
      <c r="C34" s="6" t="s">
        <v>670</v>
      </c>
      <c r="D34" s="6" t="s">
        <v>1281</v>
      </c>
      <c r="E34" s="10" t="s">
        <v>1280</v>
      </c>
      <c r="F34" s="7">
        <v>13</v>
      </c>
      <c r="G34" s="531">
        <v>1000000</v>
      </c>
      <c r="H34" s="15">
        <f t="shared" si="0"/>
        <v>1100000</v>
      </c>
      <c r="I34" s="4">
        <f t="shared" si="1"/>
        <v>14300000</v>
      </c>
      <c r="J34" s="9" t="s">
        <v>1285</v>
      </c>
      <c r="K34" s="4">
        <f t="shared" si="2"/>
        <v>14300000</v>
      </c>
      <c r="L34" s="5">
        <f>IF(Z34="◎",COUNTIF($Z$30:Z34,"◎"),"")</f>
        <v>1</v>
      </c>
      <c r="W34" s="388">
        <f>IF(B34="個別病床",はじめに入力してください!$K$50,IF(B34="共通使用",はじめに入力してください!$K$52,""))</f>
        <v>0</v>
      </c>
      <c r="Y34" s="12">
        <v>5</v>
      </c>
      <c r="Z34" s="367" t="str">
        <f t="shared" si="3"/>
        <v>◎</v>
      </c>
      <c r="AA34" s="388" t="str">
        <f t="shared" si="4"/>
        <v>適切に入力がされました。</v>
      </c>
    </row>
    <row r="35" spans="1:27">
      <c r="A35" s="12">
        <v>6</v>
      </c>
      <c r="B35" s="6" t="s">
        <v>669</v>
      </c>
      <c r="C35" s="6" t="s">
        <v>670</v>
      </c>
      <c r="D35" s="6" t="s">
        <v>1282</v>
      </c>
      <c r="E35" s="10" t="s">
        <v>1283</v>
      </c>
      <c r="F35" s="7">
        <v>13</v>
      </c>
      <c r="G35" s="531">
        <v>1000000</v>
      </c>
      <c r="H35" s="15">
        <f t="shared" si="0"/>
        <v>1100000</v>
      </c>
      <c r="I35" s="4">
        <f t="shared" si="1"/>
        <v>14300000</v>
      </c>
      <c r="J35" s="9" t="s">
        <v>1286</v>
      </c>
      <c r="K35" s="4">
        <f t="shared" si="2"/>
        <v>0</v>
      </c>
      <c r="L35" s="5">
        <f>IF(Z35="◎",COUNTIF($Z$30:Z35,"◎"),"")</f>
        <v>2</v>
      </c>
      <c r="W35" s="388">
        <f>IF(B35="個別病床",はじめに入力してください!$K$50,IF(B35="共通使用",はじめに入力してください!$K$52,""))</f>
        <v>0</v>
      </c>
      <c r="Y35" s="12">
        <v>6</v>
      </c>
      <c r="Z35" s="367" t="str">
        <f t="shared" si="3"/>
        <v>◎</v>
      </c>
      <c r="AA35" s="388" t="str">
        <f t="shared" si="4"/>
        <v>適切に入力がされました。</v>
      </c>
    </row>
    <row r="36" spans="1:27">
      <c r="A36" s="12">
        <v>7</v>
      </c>
      <c r="B36" s="6" t="s">
        <v>100</v>
      </c>
      <c r="C36" s="6" t="s">
        <v>820</v>
      </c>
      <c r="D36" s="6" t="s">
        <v>1281</v>
      </c>
      <c r="E36" s="10" t="s">
        <v>1284</v>
      </c>
      <c r="F36" s="7">
        <v>13</v>
      </c>
      <c r="G36" s="531">
        <v>2000000</v>
      </c>
      <c r="H36" s="15">
        <f t="shared" si="0"/>
        <v>2200000</v>
      </c>
      <c r="I36" s="4">
        <f t="shared" si="1"/>
        <v>28600000</v>
      </c>
      <c r="J36" s="9" t="s">
        <v>1285</v>
      </c>
      <c r="K36" s="4">
        <f t="shared" si="2"/>
        <v>28600000</v>
      </c>
      <c r="L36" s="5">
        <f>IF(Z36="◎",COUNTIF($Z$30:Z36,"◎"),"")</f>
        <v>3</v>
      </c>
      <c r="W36" s="388">
        <f>IF(B36="個別病床",はじめに入力してください!$K$50,IF(B36="共通使用",はじめに入力してください!$K$52,""))</f>
        <v>0</v>
      </c>
      <c r="Y36" s="12">
        <v>7</v>
      </c>
      <c r="Z36" s="367" t="str">
        <f t="shared" si="3"/>
        <v>◎</v>
      </c>
      <c r="AA36" s="388" t="str">
        <f t="shared" si="4"/>
        <v>適切に入力がされました。</v>
      </c>
    </row>
    <row r="37" spans="1:27">
      <c r="A37" s="12">
        <v>8</v>
      </c>
      <c r="B37" s="6"/>
      <c r="C37" s="6"/>
      <c r="D37" s="6"/>
      <c r="E37" s="10"/>
      <c r="F37" s="7"/>
      <c r="G37" s="531"/>
      <c r="H37" s="15">
        <f t="shared" si="0"/>
        <v>0</v>
      </c>
      <c r="I37" s="4">
        <f t="shared" si="1"/>
        <v>0</v>
      </c>
      <c r="J37" s="9"/>
      <c r="K37" s="4">
        <f t="shared" si="2"/>
        <v>0</v>
      </c>
      <c r="L37" s="5" t="str">
        <f>IF(Z37="◎",COUNTIF($Z$30:Z37,"◎"),"")</f>
        <v/>
      </c>
      <c r="W37" s="388" t="str">
        <f>IF(B37="個別病床",はじめに入力してください!$K$50,IF(B37="共通使用",はじめに入力してください!$K$52,""))</f>
        <v/>
      </c>
      <c r="Y37" s="12">
        <v>8</v>
      </c>
      <c r="Z37" s="367" t="str">
        <f t="shared" si="3"/>
        <v>○</v>
      </c>
      <c r="AA37" s="388" t="str">
        <f t="shared" si="4"/>
        <v>整備しない場合は入力不要です。</v>
      </c>
    </row>
    <row r="38" spans="1:27">
      <c r="A38" s="12">
        <v>9</v>
      </c>
      <c r="B38" s="6"/>
      <c r="C38" s="6"/>
      <c r="D38" s="6"/>
      <c r="E38" s="10"/>
      <c r="F38" s="7"/>
      <c r="G38" s="531"/>
      <c r="H38" s="15">
        <f t="shared" si="0"/>
        <v>0</v>
      </c>
      <c r="I38" s="4">
        <f t="shared" si="1"/>
        <v>0</v>
      </c>
      <c r="J38" s="9"/>
      <c r="K38" s="4">
        <f t="shared" si="2"/>
        <v>0</v>
      </c>
      <c r="L38" s="5" t="str">
        <f>IF(Z38="◎",COUNTIF($Z$30:Z38,"◎"),"")</f>
        <v/>
      </c>
      <c r="W38" s="388" t="str">
        <f>IF(B38="個別病床",はじめに入力してください!$K$50,IF(B38="共通使用",はじめに入力してください!$K$52,""))</f>
        <v/>
      </c>
      <c r="Y38" s="12">
        <v>9</v>
      </c>
      <c r="Z38" s="367" t="str">
        <f t="shared" si="3"/>
        <v>○</v>
      </c>
      <c r="AA38" s="388" t="str">
        <f t="shared" si="4"/>
        <v>整備しない場合は入力不要です。</v>
      </c>
    </row>
    <row r="39" spans="1:27">
      <c r="A39" s="12">
        <v>10</v>
      </c>
      <c r="B39" s="6"/>
      <c r="C39" s="6"/>
      <c r="D39" s="6"/>
      <c r="E39" s="10"/>
      <c r="F39" s="7"/>
      <c r="G39" s="531"/>
      <c r="H39" s="15">
        <f t="shared" si="0"/>
        <v>0</v>
      </c>
      <c r="I39" s="4">
        <f t="shared" si="1"/>
        <v>0</v>
      </c>
      <c r="J39" s="9"/>
      <c r="K39" s="4">
        <f t="shared" si="2"/>
        <v>0</v>
      </c>
      <c r="L39" s="5" t="str">
        <f>IF(Z39="◎",COUNTIF($Z$30:Z39,"◎"),"")</f>
        <v/>
      </c>
      <c r="W39" s="388" t="str">
        <f>IF(B39="個別病床",はじめに入力してください!$K$50,IF(B39="共通使用",はじめに入力してください!$K$52,""))</f>
        <v/>
      </c>
      <c r="Y39" s="12">
        <v>10</v>
      </c>
      <c r="Z39" s="367" t="str">
        <f t="shared" si="3"/>
        <v>○</v>
      </c>
      <c r="AA39" s="388" t="str">
        <f t="shared" si="4"/>
        <v>整備しない場合は入力不要です。</v>
      </c>
    </row>
    <row r="40" spans="1:27">
      <c r="A40" s="12">
        <v>11</v>
      </c>
      <c r="B40" s="6"/>
      <c r="C40" s="6"/>
      <c r="D40" s="6"/>
      <c r="E40" s="10"/>
      <c r="F40" s="7"/>
      <c r="G40" s="531"/>
      <c r="H40" s="15">
        <f t="shared" si="0"/>
        <v>0</v>
      </c>
      <c r="I40" s="4">
        <f t="shared" si="1"/>
        <v>0</v>
      </c>
      <c r="J40" s="9"/>
      <c r="K40" s="4">
        <f t="shared" si="2"/>
        <v>0</v>
      </c>
      <c r="L40" s="5" t="str">
        <f>IF(Z40="◎",COUNTIF($Z$30:Z40,"◎"),"")</f>
        <v/>
      </c>
      <c r="W40" s="388" t="str">
        <f>IF(B40="個別病床",はじめに入力してください!$K$50,IF(B40="共通使用",はじめに入力してください!$K$52,""))</f>
        <v/>
      </c>
      <c r="Y40" s="12">
        <v>11</v>
      </c>
      <c r="Z40" s="367" t="str">
        <f t="shared" si="3"/>
        <v>○</v>
      </c>
      <c r="AA40" s="388" t="str">
        <f t="shared" si="4"/>
        <v>整備しない場合は入力不要です。</v>
      </c>
    </row>
    <row r="41" spans="1:27">
      <c r="A41" s="12">
        <v>12</v>
      </c>
      <c r="B41" s="6"/>
      <c r="C41" s="6"/>
      <c r="D41" s="6"/>
      <c r="E41" s="10"/>
      <c r="F41" s="7"/>
      <c r="G41" s="531"/>
      <c r="H41" s="15">
        <f t="shared" si="0"/>
        <v>0</v>
      </c>
      <c r="I41" s="4">
        <f t="shared" si="1"/>
        <v>0</v>
      </c>
      <c r="J41" s="9"/>
      <c r="K41" s="4">
        <f t="shared" si="2"/>
        <v>0</v>
      </c>
      <c r="L41" s="5" t="str">
        <f>IF(Z41="◎",COUNTIF($Z$30:Z41,"◎"),"")</f>
        <v/>
      </c>
      <c r="W41" s="388" t="str">
        <f>IF(B41="個別病床",はじめに入力してください!$K$50,IF(B41="共通使用",はじめに入力してください!$K$52,""))</f>
        <v/>
      </c>
      <c r="Y41" s="12">
        <v>12</v>
      </c>
      <c r="Z41" s="367" t="str">
        <f t="shared" si="3"/>
        <v>○</v>
      </c>
      <c r="AA41" s="388" t="str">
        <f t="shared" si="4"/>
        <v>整備しない場合は入力不要です。</v>
      </c>
    </row>
    <row r="42" spans="1:27">
      <c r="A42" s="12">
        <v>13</v>
      </c>
      <c r="B42" s="6"/>
      <c r="C42" s="6"/>
      <c r="D42" s="6"/>
      <c r="E42" s="10"/>
      <c r="F42" s="7"/>
      <c r="G42" s="531"/>
      <c r="H42" s="15">
        <f t="shared" si="0"/>
        <v>0</v>
      </c>
      <c r="I42" s="4">
        <f t="shared" si="1"/>
        <v>0</v>
      </c>
      <c r="J42" s="9"/>
      <c r="K42" s="4">
        <f t="shared" si="2"/>
        <v>0</v>
      </c>
      <c r="L42" s="5" t="str">
        <f>IF(Z42="◎",COUNTIF($Z$30:Z42,"◎"),"")</f>
        <v/>
      </c>
      <c r="W42" s="388" t="str">
        <f>IF(B42="個別病床",はじめに入力してください!$K$50,IF(B42="共通使用",はじめに入力してください!$K$52,""))</f>
        <v/>
      </c>
      <c r="Y42" s="12">
        <v>13</v>
      </c>
      <c r="Z42" s="367" t="str">
        <f t="shared" si="3"/>
        <v>○</v>
      </c>
      <c r="AA42" s="388" t="str">
        <f t="shared" si="4"/>
        <v>整備しない場合は入力不要です。</v>
      </c>
    </row>
    <row r="43" spans="1:27">
      <c r="A43" s="12">
        <v>14</v>
      </c>
      <c r="B43" s="6"/>
      <c r="C43" s="6"/>
      <c r="D43" s="6"/>
      <c r="E43" s="10"/>
      <c r="F43" s="7"/>
      <c r="G43" s="531"/>
      <c r="H43" s="15">
        <f t="shared" si="0"/>
        <v>0</v>
      </c>
      <c r="I43" s="4">
        <f t="shared" si="1"/>
        <v>0</v>
      </c>
      <c r="J43" s="9"/>
      <c r="K43" s="4">
        <f t="shared" si="2"/>
        <v>0</v>
      </c>
      <c r="L43" s="5" t="str">
        <f>IF(Z43="◎",COUNTIF($Z$30:Z43,"◎"),"")</f>
        <v/>
      </c>
      <c r="W43" s="388" t="str">
        <f>IF(B43="個別病床",はじめに入力してください!$K$50,IF(B43="共通使用",はじめに入力してください!$K$52,""))</f>
        <v/>
      </c>
      <c r="Y43" s="12">
        <v>14</v>
      </c>
      <c r="Z43" s="367" t="str">
        <f t="shared" si="3"/>
        <v>○</v>
      </c>
      <c r="AA43" s="388" t="str">
        <f t="shared" si="4"/>
        <v>整備しない場合は入力不要です。</v>
      </c>
    </row>
    <row r="44" spans="1:27">
      <c r="A44" s="12">
        <v>15</v>
      </c>
      <c r="B44" s="6"/>
      <c r="C44" s="6"/>
      <c r="D44" s="6"/>
      <c r="E44" s="10"/>
      <c r="F44" s="7"/>
      <c r="G44" s="531"/>
      <c r="H44" s="15">
        <f t="shared" si="0"/>
        <v>0</v>
      </c>
      <c r="I44" s="4">
        <f t="shared" si="1"/>
        <v>0</v>
      </c>
      <c r="J44" s="9"/>
      <c r="K44" s="4">
        <f t="shared" si="2"/>
        <v>0</v>
      </c>
      <c r="L44" s="5" t="str">
        <f>IF(Z44="◎",COUNTIF($Z$30:Z44,"◎"),"")</f>
        <v/>
      </c>
      <c r="W44" s="388" t="str">
        <f>IF(B44="個別病床",はじめに入力してください!$K$50,IF(B44="共通使用",はじめに入力してください!$K$52,""))</f>
        <v/>
      </c>
      <c r="Y44" s="12">
        <v>15</v>
      </c>
      <c r="Z44" s="367" t="str">
        <f t="shared" si="3"/>
        <v>○</v>
      </c>
      <c r="AA44" s="388" t="str">
        <f t="shared" si="4"/>
        <v>整備しない場合は入力不要です。</v>
      </c>
    </row>
    <row r="45" spans="1:27">
      <c r="A45" s="12">
        <v>16</v>
      </c>
      <c r="B45" s="6"/>
      <c r="C45" s="6"/>
      <c r="D45" s="6"/>
      <c r="E45" s="10"/>
      <c r="F45" s="7"/>
      <c r="G45" s="531"/>
      <c r="H45" s="15">
        <f t="shared" si="0"/>
        <v>0</v>
      </c>
      <c r="I45" s="4">
        <f t="shared" si="1"/>
        <v>0</v>
      </c>
      <c r="J45" s="9"/>
      <c r="K45" s="4">
        <f t="shared" si="2"/>
        <v>0</v>
      </c>
      <c r="L45" s="5" t="str">
        <f>IF(Z45="◎",COUNTIF($Z$30:Z45,"◎"),"")</f>
        <v/>
      </c>
      <c r="W45" s="388" t="str">
        <f>IF(B45="個別病床",はじめに入力してください!$K$50,IF(B45="共通使用",はじめに入力してください!$K$52,""))</f>
        <v/>
      </c>
      <c r="Y45" s="12">
        <v>16</v>
      </c>
      <c r="Z45" s="367" t="str">
        <f t="shared" si="3"/>
        <v>○</v>
      </c>
      <c r="AA45" s="388" t="str">
        <f t="shared" si="4"/>
        <v>整備しない場合は入力不要です。</v>
      </c>
    </row>
    <row r="46" spans="1:27">
      <c r="A46" s="12">
        <v>17</v>
      </c>
      <c r="B46" s="6"/>
      <c r="C46" s="6"/>
      <c r="D46" s="6"/>
      <c r="E46" s="10"/>
      <c r="F46" s="7"/>
      <c r="G46" s="531"/>
      <c r="H46" s="15">
        <f t="shared" si="0"/>
        <v>0</v>
      </c>
      <c r="I46" s="4">
        <f t="shared" si="1"/>
        <v>0</v>
      </c>
      <c r="J46" s="9"/>
      <c r="K46" s="4">
        <f t="shared" si="2"/>
        <v>0</v>
      </c>
      <c r="L46" s="5" t="str">
        <f>IF(Z46="◎",COUNTIF($Z$30:Z46,"◎"),"")</f>
        <v/>
      </c>
      <c r="W46" s="388" t="str">
        <f>IF(B46="個別病床",はじめに入力してください!$K$50,IF(B46="共通使用",はじめに入力してください!$K$52,""))</f>
        <v/>
      </c>
      <c r="Y46" s="12">
        <v>17</v>
      </c>
      <c r="Z46" s="367" t="str">
        <f t="shared" si="3"/>
        <v>○</v>
      </c>
      <c r="AA46" s="388" t="str">
        <f t="shared" si="4"/>
        <v>整備しない場合は入力不要です。</v>
      </c>
    </row>
    <row r="47" spans="1:27">
      <c r="A47" s="12">
        <v>18</v>
      </c>
      <c r="B47" s="6"/>
      <c r="C47" s="6"/>
      <c r="D47" s="6"/>
      <c r="E47" s="10"/>
      <c r="F47" s="7"/>
      <c r="G47" s="531"/>
      <c r="H47" s="15">
        <f t="shared" si="0"/>
        <v>0</v>
      </c>
      <c r="I47" s="4">
        <f t="shared" si="1"/>
        <v>0</v>
      </c>
      <c r="J47" s="9"/>
      <c r="K47" s="4">
        <f t="shared" si="2"/>
        <v>0</v>
      </c>
      <c r="L47" s="5" t="str">
        <f>IF(Z47="◎",COUNTIF($Z$30:Z47,"◎"),"")</f>
        <v/>
      </c>
      <c r="W47" s="388" t="str">
        <f>IF(B47="個別病床",はじめに入力してください!$K$50,IF(B47="共通使用",はじめに入力してください!$K$52,""))</f>
        <v/>
      </c>
      <c r="Y47" s="12">
        <v>18</v>
      </c>
      <c r="Z47" s="367" t="str">
        <f t="shared" si="3"/>
        <v>○</v>
      </c>
      <c r="AA47" s="388" t="str">
        <f t="shared" si="4"/>
        <v>整備しない場合は入力不要です。</v>
      </c>
    </row>
    <row r="48" spans="1:27">
      <c r="A48" s="12">
        <v>19</v>
      </c>
      <c r="B48" s="6"/>
      <c r="C48" s="6"/>
      <c r="D48" s="6"/>
      <c r="E48" s="10"/>
      <c r="F48" s="7"/>
      <c r="G48" s="531"/>
      <c r="H48" s="15">
        <f t="shared" si="0"/>
        <v>0</v>
      </c>
      <c r="I48" s="4">
        <f t="shared" si="1"/>
        <v>0</v>
      </c>
      <c r="J48" s="9"/>
      <c r="K48" s="4">
        <f t="shared" si="2"/>
        <v>0</v>
      </c>
      <c r="L48" s="5" t="str">
        <f>IF(Z48="◎",COUNTIF($Z$30:Z48,"◎"),"")</f>
        <v/>
      </c>
      <c r="W48" s="388" t="str">
        <f>IF(B48="個別病床",はじめに入力してください!$K$50,IF(B48="共通使用",はじめに入力してください!$K$52,""))</f>
        <v/>
      </c>
      <c r="Y48" s="12">
        <v>19</v>
      </c>
      <c r="Z48" s="367" t="str">
        <f t="shared" si="3"/>
        <v>○</v>
      </c>
      <c r="AA48" s="388" t="str">
        <f t="shared" si="4"/>
        <v>整備しない場合は入力不要です。</v>
      </c>
    </row>
    <row r="49" spans="1:27">
      <c r="A49" s="12">
        <v>20</v>
      </c>
      <c r="B49" s="6"/>
      <c r="C49" s="6"/>
      <c r="D49" s="6"/>
      <c r="E49" s="10"/>
      <c r="F49" s="7"/>
      <c r="G49" s="531"/>
      <c r="H49" s="15">
        <f t="shared" si="0"/>
        <v>0</v>
      </c>
      <c r="I49" s="4">
        <f t="shared" si="1"/>
        <v>0</v>
      </c>
      <c r="J49" s="9"/>
      <c r="K49" s="4">
        <f t="shared" si="2"/>
        <v>0</v>
      </c>
      <c r="L49" s="5" t="str">
        <f>IF(Z49="◎",COUNTIF($Z$30:Z49,"◎"),"")</f>
        <v/>
      </c>
      <c r="W49" s="388" t="str">
        <f>IF(B49="個別病床",はじめに入力してください!$K$50,IF(B49="共通使用",はじめに入力してください!$K$52,""))</f>
        <v/>
      </c>
      <c r="Y49" s="12">
        <v>20</v>
      </c>
      <c r="Z49" s="367" t="str">
        <f t="shared" si="3"/>
        <v>○</v>
      </c>
      <c r="AA49" s="388" t="str">
        <f t="shared" si="4"/>
        <v>整備しない場合は入力不要です。</v>
      </c>
    </row>
    <row r="50" spans="1:27">
      <c r="A50" s="12">
        <v>21</v>
      </c>
      <c r="B50" s="6"/>
      <c r="C50" s="6"/>
      <c r="D50" s="6"/>
      <c r="E50" s="10"/>
      <c r="F50" s="7"/>
      <c r="G50" s="531"/>
      <c r="H50" s="15">
        <f t="shared" si="0"/>
        <v>0</v>
      </c>
      <c r="I50" s="4">
        <f t="shared" si="1"/>
        <v>0</v>
      </c>
      <c r="J50" s="9"/>
      <c r="K50" s="4">
        <f t="shared" si="2"/>
        <v>0</v>
      </c>
      <c r="L50" s="5" t="str">
        <f>IF(Z50="◎",COUNTIF($Z$30:Z50,"◎"),"")</f>
        <v/>
      </c>
      <c r="W50" s="388" t="str">
        <f>IF(B50="個別病床",はじめに入力してください!$K$50,IF(B50="共通使用",はじめに入力してください!$K$52,""))</f>
        <v/>
      </c>
      <c r="Y50" s="12">
        <v>21</v>
      </c>
      <c r="Z50" s="367" t="str">
        <f t="shared" si="3"/>
        <v>○</v>
      </c>
      <c r="AA50" s="388" t="str">
        <f t="shared" si="4"/>
        <v>整備しない場合は入力不要です。</v>
      </c>
    </row>
    <row r="51" spans="1:27">
      <c r="A51" s="12">
        <v>22</v>
      </c>
      <c r="B51" s="6"/>
      <c r="C51" s="6"/>
      <c r="D51" s="6"/>
      <c r="E51" s="10"/>
      <c r="F51" s="7"/>
      <c r="G51" s="531"/>
      <c r="H51" s="15">
        <f t="shared" si="0"/>
        <v>0</v>
      </c>
      <c r="I51" s="4">
        <f t="shared" si="1"/>
        <v>0</v>
      </c>
      <c r="J51" s="9"/>
      <c r="K51" s="4">
        <f t="shared" si="2"/>
        <v>0</v>
      </c>
      <c r="L51" s="5" t="str">
        <f>IF(Z51="◎",COUNTIF($Z$30:Z51,"◎"),"")</f>
        <v/>
      </c>
      <c r="W51" s="388" t="str">
        <f>IF(B51="個別病床",はじめに入力してください!$K$50,IF(B51="共通使用",はじめに入力してください!$K$52,""))</f>
        <v/>
      </c>
      <c r="Y51" s="12">
        <v>22</v>
      </c>
      <c r="Z51" s="367" t="str">
        <f t="shared" si="3"/>
        <v>○</v>
      </c>
      <c r="AA51" s="388" t="str">
        <f t="shared" si="4"/>
        <v>整備しない場合は入力不要です。</v>
      </c>
    </row>
    <row r="52" spans="1:27">
      <c r="A52" s="12">
        <v>23</v>
      </c>
      <c r="B52" s="6"/>
      <c r="C52" s="6"/>
      <c r="D52" s="6"/>
      <c r="E52" s="10"/>
      <c r="F52" s="7"/>
      <c r="G52" s="531"/>
      <c r="H52" s="15">
        <f t="shared" si="0"/>
        <v>0</v>
      </c>
      <c r="I52" s="4">
        <f t="shared" si="1"/>
        <v>0</v>
      </c>
      <c r="J52" s="9"/>
      <c r="K52" s="4">
        <f t="shared" si="2"/>
        <v>0</v>
      </c>
      <c r="L52" s="5" t="str">
        <f>IF(Z52="◎",COUNTIF($Z$30:Z52,"◎"),"")</f>
        <v/>
      </c>
      <c r="W52" s="388" t="str">
        <f>IF(B52="個別病床",はじめに入力してください!$K$50,IF(B52="共通使用",はじめに入力してください!$K$52,""))</f>
        <v/>
      </c>
      <c r="Y52" s="12">
        <v>23</v>
      </c>
      <c r="Z52" s="367" t="str">
        <f t="shared" si="3"/>
        <v>○</v>
      </c>
      <c r="AA52" s="388" t="str">
        <f t="shared" si="4"/>
        <v>整備しない場合は入力不要です。</v>
      </c>
    </row>
    <row r="53" spans="1:27">
      <c r="A53" s="12">
        <v>24</v>
      </c>
      <c r="B53" s="6"/>
      <c r="C53" s="6"/>
      <c r="D53" s="6"/>
      <c r="E53" s="10"/>
      <c r="F53" s="7"/>
      <c r="G53" s="531"/>
      <c r="H53" s="15">
        <f t="shared" si="0"/>
        <v>0</v>
      </c>
      <c r="I53" s="4">
        <f t="shared" si="1"/>
        <v>0</v>
      </c>
      <c r="J53" s="9"/>
      <c r="K53" s="4">
        <f t="shared" si="2"/>
        <v>0</v>
      </c>
      <c r="L53" s="5" t="str">
        <f>IF(Z53="◎",COUNTIF($Z$30:Z53,"◎"),"")</f>
        <v/>
      </c>
      <c r="W53" s="388" t="str">
        <f>IF(B53="個別病床",はじめに入力してください!$K$50,IF(B53="共通使用",はじめに入力してください!$K$52,""))</f>
        <v/>
      </c>
      <c r="Y53" s="12">
        <v>24</v>
      </c>
      <c r="Z53" s="367" t="str">
        <f t="shared" si="3"/>
        <v>○</v>
      </c>
      <c r="AA53" s="388" t="str">
        <f t="shared" si="4"/>
        <v>整備しない場合は入力不要です。</v>
      </c>
    </row>
    <row r="54" spans="1:27">
      <c r="A54" s="12">
        <v>25</v>
      </c>
      <c r="B54" s="6"/>
      <c r="C54" s="6"/>
      <c r="D54" s="6"/>
      <c r="E54" s="10"/>
      <c r="F54" s="7"/>
      <c r="G54" s="531"/>
      <c r="H54" s="15">
        <f t="shared" si="0"/>
        <v>0</v>
      </c>
      <c r="I54" s="4">
        <f t="shared" si="1"/>
        <v>0</v>
      </c>
      <c r="J54" s="9"/>
      <c r="K54" s="4">
        <f t="shared" si="2"/>
        <v>0</v>
      </c>
      <c r="L54" s="5" t="str">
        <f>IF(Z54="◎",COUNTIF($Z$30:Z54,"◎"),"")</f>
        <v/>
      </c>
      <c r="W54" s="388" t="str">
        <f>IF(B54="個別病床",はじめに入力してください!$K$50,IF(B54="共通使用",はじめに入力してください!$K$52,""))</f>
        <v/>
      </c>
      <c r="Y54" s="12">
        <v>25</v>
      </c>
      <c r="Z54" s="367" t="str">
        <f t="shared" si="3"/>
        <v>○</v>
      </c>
      <c r="AA54" s="388" t="str">
        <f t="shared" si="4"/>
        <v>整備しない場合は入力不要です。</v>
      </c>
    </row>
    <row r="55" spans="1:27">
      <c r="A55" s="12">
        <v>26</v>
      </c>
      <c r="B55" s="6"/>
      <c r="C55" s="6"/>
      <c r="D55" s="6"/>
      <c r="E55" s="10"/>
      <c r="F55" s="7"/>
      <c r="G55" s="531"/>
      <c r="H55" s="15">
        <f t="shared" si="0"/>
        <v>0</v>
      </c>
      <c r="I55" s="4">
        <f t="shared" si="1"/>
        <v>0</v>
      </c>
      <c r="J55" s="9"/>
      <c r="K55" s="4">
        <f t="shared" si="2"/>
        <v>0</v>
      </c>
      <c r="L55" s="5" t="str">
        <f>IF(Z55="◎",COUNTIF($Z$30:Z55,"◎"),"")</f>
        <v/>
      </c>
      <c r="W55" s="388" t="str">
        <f>IF(B55="個別病床",はじめに入力してください!$K$50,IF(B55="共通使用",はじめに入力してください!$K$52,""))</f>
        <v/>
      </c>
      <c r="Y55" s="12">
        <v>26</v>
      </c>
      <c r="Z55" s="367" t="str">
        <f t="shared" si="3"/>
        <v>○</v>
      </c>
      <c r="AA55" s="388" t="str">
        <f t="shared" si="4"/>
        <v>整備しない場合は入力不要です。</v>
      </c>
    </row>
    <row r="56" spans="1:27">
      <c r="A56" s="12">
        <v>27</v>
      </c>
      <c r="B56" s="6"/>
      <c r="C56" s="6"/>
      <c r="D56" s="6"/>
      <c r="E56" s="10"/>
      <c r="F56" s="7"/>
      <c r="G56" s="531"/>
      <c r="H56" s="15">
        <f t="shared" si="0"/>
        <v>0</v>
      </c>
      <c r="I56" s="4">
        <f t="shared" si="1"/>
        <v>0</v>
      </c>
      <c r="J56" s="9"/>
      <c r="K56" s="4">
        <f t="shared" si="2"/>
        <v>0</v>
      </c>
      <c r="L56" s="5" t="str">
        <f>IF(Z56="◎",COUNTIF($Z$30:Z56,"◎"),"")</f>
        <v/>
      </c>
      <c r="W56" s="388" t="str">
        <f>IF(B56="個別病床",はじめに入力してください!$K$50,IF(B56="共通使用",はじめに入力してください!$K$52,""))</f>
        <v/>
      </c>
      <c r="Y56" s="12">
        <v>27</v>
      </c>
      <c r="Z56" s="367" t="str">
        <f t="shared" si="3"/>
        <v>○</v>
      </c>
      <c r="AA56" s="388" t="str">
        <f t="shared" si="4"/>
        <v>整備しない場合は入力不要です。</v>
      </c>
    </row>
    <row r="57" spans="1:27">
      <c r="A57" s="12">
        <v>28</v>
      </c>
      <c r="B57" s="6"/>
      <c r="C57" s="6"/>
      <c r="D57" s="6"/>
      <c r="E57" s="10"/>
      <c r="F57" s="7"/>
      <c r="G57" s="531"/>
      <c r="H57" s="15">
        <f t="shared" si="0"/>
        <v>0</v>
      </c>
      <c r="I57" s="4">
        <f t="shared" si="1"/>
        <v>0</v>
      </c>
      <c r="J57" s="9"/>
      <c r="K57" s="4">
        <f t="shared" si="2"/>
        <v>0</v>
      </c>
      <c r="L57" s="5" t="str">
        <f>IF(Z57="◎",COUNTIF($Z$30:Z57,"◎"),"")</f>
        <v/>
      </c>
      <c r="W57" s="388" t="str">
        <f>IF(B57="個別病床",はじめに入力してください!$K$50,IF(B57="共通使用",はじめに入力してください!$K$52,""))</f>
        <v/>
      </c>
      <c r="Y57" s="12">
        <v>28</v>
      </c>
      <c r="Z57" s="367" t="str">
        <f t="shared" si="3"/>
        <v>○</v>
      </c>
      <c r="AA57" s="388" t="str">
        <f t="shared" si="4"/>
        <v>整備しない場合は入力不要です。</v>
      </c>
    </row>
    <row r="58" spans="1:27">
      <c r="A58" s="12">
        <v>29</v>
      </c>
      <c r="B58" s="6"/>
      <c r="C58" s="6"/>
      <c r="D58" s="6"/>
      <c r="E58" s="10"/>
      <c r="F58" s="7"/>
      <c r="G58" s="531"/>
      <c r="H58" s="15">
        <f t="shared" si="0"/>
        <v>0</v>
      </c>
      <c r="I58" s="4">
        <f t="shared" si="1"/>
        <v>0</v>
      </c>
      <c r="J58" s="9"/>
      <c r="K58" s="4">
        <f t="shared" si="2"/>
        <v>0</v>
      </c>
      <c r="L58" s="5" t="str">
        <f>IF(Z58="◎",COUNTIF($Z$30:Z58,"◎"),"")</f>
        <v/>
      </c>
      <c r="W58" s="388" t="str">
        <f>IF(B58="個別病床",はじめに入力してください!$K$50,IF(B58="共通使用",はじめに入力してください!$K$52,""))</f>
        <v/>
      </c>
      <c r="Y58" s="12">
        <v>29</v>
      </c>
      <c r="Z58" s="367" t="str">
        <f t="shared" si="3"/>
        <v>○</v>
      </c>
      <c r="AA58" s="388" t="str">
        <f t="shared" si="4"/>
        <v>整備しない場合は入力不要です。</v>
      </c>
    </row>
    <row r="59" spans="1:27">
      <c r="A59" s="12">
        <v>30</v>
      </c>
      <c r="B59" s="6"/>
      <c r="C59" s="6"/>
      <c r="D59" s="6"/>
      <c r="E59" s="10"/>
      <c r="F59" s="7"/>
      <c r="G59" s="531"/>
      <c r="H59" s="15">
        <f t="shared" si="0"/>
        <v>0</v>
      </c>
      <c r="I59" s="4">
        <f t="shared" si="1"/>
        <v>0</v>
      </c>
      <c r="J59" s="9"/>
      <c r="K59" s="4">
        <f t="shared" si="2"/>
        <v>0</v>
      </c>
      <c r="L59" s="5" t="str">
        <f>IF(Z59="◎",COUNTIF($Z$30:Z59,"◎"),"")</f>
        <v/>
      </c>
      <c r="W59" s="388" t="str">
        <f>IF(B59="個別病床",はじめに入力してください!$K$50,IF(B59="共通使用",はじめに入力してください!$K$52,""))</f>
        <v/>
      </c>
      <c r="Y59" s="12">
        <v>30</v>
      </c>
      <c r="Z59" s="367" t="str">
        <f t="shared" si="3"/>
        <v>○</v>
      </c>
      <c r="AA59" s="388" t="str">
        <f t="shared" si="4"/>
        <v>整備しない場合は入力不要です。</v>
      </c>
    </row>
    <row r="60" spans="1:27">
      <c r="A60" s="12">
        <v>31</v>
      </c>
      <c r="B60" s="6"/>
      <c r="C60" s="6"/>
      <c r="D60" s="6"/>
      <c r="E60" s="10"/>
      <c r="F60" s="7"/>
      <c r="G60" s="531"/>
      <c r="H60" s="15">
        <f t="shared" si="0"/>
        <v>0</v>
      </c>
      <c r="I60" s="4">
        <f t="shared" si="1"/>
        <v>0</v>
      </c>
      <c r="J60" s="9"/>
      <c r="K60" s="4">
        <f t="shared" si="2"/>
        <v>0</v>
      </c>
      <c r="L60" s="5" t="str">
        <f>IF(Z60="◎",COUNTIF($Z$30:Z60,"◎"),"")</f>
        <v/>
      </c>
      <c r="W60" s="388" t="str">
        <f>IF(B60="個別病床",はじめに入力してください!$K$50,IF(B60="共通使用",はじめに入力してください!$K$52,""))</f>
        <v/>
      </c>
      <c r="Y60" s="12">
        <v>31</v>
      </c>
      <c r="Z60" s="367" t="str">
        <f t="shared" si="3"/>
        <v>○</v>
      </c>
      <c r="AA60" s="388" t="str">
        <f t="shared" si="4"/>
        <v>整備しない場合は入力不要です。</v>
      </c>
    </row>
    <row r="61" spans="1:27">
      <c r="A61" s="12">
        <v>32</v>
      </c>
      <c r="B61" s="6"/>
      <c r="C61" s="6"/>
      <c r="D61" s="6"/>
      <c r="E61" s="10"/>
      <c r="F61" s="7"/>
      <c r="G61" s="531"/>
      <c r="H61" s="15">
        <f t="shared" si="0"/>
        <v>0</v>
      </c>
      <c r="I61" s="4">
        <f t="shared" si="1"/>
        <v>0</v>
      </c>
      <c r="J61" s="9"/>
      <c r="K61" s="4">
        <f t="shared" si="2"/>
        <v>0</v>
      </c>
      <c r="L61" s="5" t="str">
        <f>IF(Z61="◎",COUNTIF($Z$30:Z61,"◎"),"")</f>
        <v/>
      </c>
      <c r="W61" s="388" t="str">
        <f>IF(B61="個別病床",はじめに入力してください!$K$50,IF(B61="共通使用",はじめに入力してください!$K$52,""))</f>
        <v/>
      </c>
      <c r="Y61" s="12">
        <v>32</v>
      </c>
      <c r="Z61" s="367" t="str">
        <f t="shared" si="3"/>
        <v>○</v>
      </c>
      <c r="AA61" s="388" t="str">
        <f t="shared" si="4"/>
        <v>整備しない場合は入力不要です。</v>
      </c>
    </row>
    <row r="62" spans="1:27">
      <c r="A62" s="12">
        <v>33</v>
      </c>
      <c r="B62" s="6"/>
      <c r="C62" s="6"/>
      <c r="D62" s="6"/>
      <c r="E62" s="10"/>
      <c r="F62" s="7"/>
      <c r="G62" s="531"/>
      <c r="H62" s="15">
        <f t="shared" si="0"/>
        <v>0</v>
      </c>
      <c r="I62" s="4">
        <f t="shared" si="1"/>
        <v>0</v>
      </c>
      <c r="J62" s="9"/>
      <c r="K62" s="4">
        <f t="shared" si="2"/>
        <v>0</v>
      </c>
      <c r="L62" s="5" t="str">
        <f>IF(Z62="◎",COUNTIF($Z$30:Z62,"◎"),"")</f>
        <v/>
      </c>
      <c r="W62" s="388" t="str">
        <f>IF(B62="個別病床",はじめに入力してください!$K$50,IF(B62="共通使用",はじめに入力してください!$K$52,""))</f>
        <v/>
      </c>
      <c r="Y62" s="12">
        <v>33</v>
      </c>
      <c r="Z62" s="367" t="str">
        <f t="shared" si="3"/>
        <v>○</v>
      </c>
      <c r="AA62" s="388" t="str">
        <f t="shared" si="4"/>
        <v>整備しない場合は入力不要です。</v>
      </c>
    </row>
    <row r="63" spans="1:27">
      <c r="A63" s="12">
        <v>34</v>
      </c>
      <c r="B63" s="6"/>
      <c r="C63" s="6"/>
      <c r="D63" s="6"/>
      <c r="E63" s="10"/>
      <c r="F63" s="7"/>
      <c r="G63" s="531"/>
      <c r="H63" s="15">
        <f t="shared" si="0"/>
        <v>0</v>
      </c>
      <c r="I63" s="4">
        <f t="shared" si="1"/>
        <v>0</v>
      </c>
      <c r="J63" s="9"/>
      <c r="K63" s="4">
        <f t="shared" si="2"/>
        <v>0</v>
      </c>
      <c r="L63" s="5" t="str">
        <f>IF(Z63="◎",COUNTIF($Z$30:Z63,"◎"),"")</f>
        <v/>
      </c>
      <c r="W63" s="388" t="str">
        <f>IF(B63="個別病床",はじめに入力してください!$K$50,IF(B63="共通使用",はじめに入力してください!$K$52,""))</f>
        <v/>
      </c>
      <c r="Y63" s="12">
        <v>34</v>
      </c>
      <c r="Z63" s="367" t="str">
        <f t="shared" si="3"/>
        <v>○</v>
      </c>
      <c r="AA63" s="388" t="str">
        <f t="shared" si="4"/>
        <v>整備しない場合は入力不要です。</v>
      </c>
    </row>
    <row r="64" spans="1:27">
      <c r="A64" s="12">
        <v>35</v>
      </c>
      <c r="B64" s="6"/>
      <c r="C64" s="6"/>
      <c r="D64" s="6"/>
      <c r="E64" s="10"/>
      <c r="F64" s="7"/>
      <c r="G64" s="531"/>
      <c r="H64" s="15">
        <f t="shared" si="0"/>
        <v>0</v>
      </c>
      <c r="I64" s="4">
        <f t="shared" si="1"/>
        <v>0</v>
      </c>
      <c r="J64" s="9"/>
      <c r="K64" s="4">
        <f t="shared" si="2"/>
        <v>0</v>
      </c>
      <c r="L64" s="5" t="str">
        <f>IF(Z64="◎",COUNTIF($Z$30:Z64,"◎"),"")</f>
        <v/>
      </c>
      <c r="W64" s="388" t="str">
        <f>IF(B64="個別病床",はじめに入力してください!$K$50,IF(B64="共通使用",はじめに入力してください!$K$52,""))</f>
        <v/>
      </c>
      <c r="Y64" s="12">
        <v>35</v>
      </c>
      <c r="Z64" s="367" t="str">
        <f t="shared" si="3"/>
        <v>○</v>
      </c>
      <c r="AA64" s="388" t="str">
        <f t="shared" si="4"/>
        <v>整備しない場合は入力不要です。</v>
      </c>
    </row>
    <row r="65" spans="1:27">
      <c r="A65" s="12">
        <v>36</v>
      </c>
      <c r="B65" s="6"/>
      <c r="C65" s="6"/>
      <c r="D65" s="6"/>
      <c r="E65" s="10"/>
      <c r="F65" s="7"/>
      <c r="G65" s="531"/>
      <c r="H65" s="15">
        <f t="shared" si="0"/>
        <v>0</v>
      </c>
      <c r="I65" s="4">
        <f t="shared" si="1"/>
        <v>0</v>
      </c>
      <c r="J65" s="9"/>
      <c r="K65" s="4">
        <f t="shared" si="2"/>
        <v>0</v>
      </c>
      <c r="L65" s="5" t="str">
        <f>IF(Z65="◎",COUNTIF($Z$30:Z65,"◎"),"")</f>
        <v/>
      </c>
      <c r="W65" s="388" t="str">
        <f>IF(B65="個別病床",はじめに入力してください!$K$50,IF(B65="共通使用",はじめに入力してください!$K$52,""))</f>
        <v/>
      </c>
      <c r="Y65" s="12">
        <v>36</v>
      </c>
      <c r="Z65" s="367" t="str">
        <f t="shared" si="3"/>
        <v>○</v>
      </c>
      <c r="AA65" s="388" t="str">
        <f t="shared" si="4"/>
        <v>整備しない場合は入力不要です。</v>
      </c>
    </row>
    <row r="66" spans="1:27">
      <c r="A66" s="12">
        <v>37</v>
      </c>
      <c r="B66" s="6"/>
      <c r="C66" s="6"/>
      <c r="D66" s="6"/>
      <c r="E66" s="10"/>
      <c r="F66" s="7"/>
      <c r="G66" s="531"/>
      <c r="H66" s="15">
        <f t="shared" si="0"/>
        <v>0</v>
      </c>
      <c r="I66" s="4">
        <f t="shared" si="1"/>
        <v>0</v>
      </c>
      <c r="J66" s="9"/>
      <c r="K66" s="4">
        <f t="shared" si="2"/>
        <v>0</v>
      </c>
      <c r="L66" s="5" t="str">
        <f>IF(Z66="◎",COUNTIF($Z$30:Z66,"◎"),"")</f>
        <v/>
      </c>
      <c r="W66" s="388" t="str">
        <f>IF(B66="個別病床",はじめに入力してください!$K$50,IF(B66="共通使用",はじめに入力してください!$K$52,""))</f>
        <v/>
      </c>
      <c r="Y66" s="12">
        <v>37</v>
      </c>
      <c r="Z66" s="367" t="str">
        <f t="shared" si="3"/>
        <v>○</v>
      </c>
      <c r="AA66" s="388" t="str">
        <f t="shared" si="4"/>
        <v>整備しない場合は入力不要です。</v>
      </c>
    </row>
    <row r="67" spans="1:27">
      <c r="A67" s="12">
        <v>38</v>
      </c>
      <c r="B67" s="6"/>
      <c r="C67" s="6"/>
      <c r="D67" s="6"/>
      <c r="E67" s="10"/>
      <c r="F67" s="7"/>
      <c r="G67" s="531"/>
      <c r="H67" s="15">
        <f t="shared" si="0"/>
        <v>0</v>
      </c>
      <c r="I67" s="4">
        <f t="shared" si="1"/>
        <v>0</v>
      </c>
      <c r="J67" s="9"/>
      <c r="K67" s="4">
        <f t="shared" si="2"/>
        <v>0</v>
      </c>
      <c r="L67" s="5" t="str">
        <f>IF(Z67="◎",COUNTIF($Z$30:Z67,"◎"),"")</f>
        <v/>
      </c>
      <c r="W67" s="388" t="str">
        <f>IF(B67="個別病床",はじめに入力してください!$K$50,IF(B67="共通使用",はじめに入力してください!$K$52,""))</f>
        <v/>
      </c>
      <c r="Y67" s="12">
        <v>38</v>
      </c>
      <c r="Z67" s="367" t="str">
        <f t="shared" si="3"/>
        <v>○</v>
      </c>
      <c r="AA67" s="388" t="str">
        <f t="shared" si="4"/>
        <v>整備しない場合は入力不要です。</v>
      </c>
    </row>
    <row r="68" spans="1:27">
      <c r="A68" s="12">
        <v>39</v>
      </c>
      <c r="B68" s="6"/>
      <c r="C68" s="6"/>
      <c r="D68" s="6"/>
      <c r="E68" s="10"/>
      <c r="F68" s="7"/>
      <c r="G68" s="531"/>
      <c r="H68" s="15">
        <f t="shared" si="0"/>
        <v>0</v>
      </c>
      <c r="I68" s="4">
        <f t="shared" si="1"/>
        <v>0</v>
      </c>
      <c r="J68" s="9"/>
      <c r="K68" s="4">
        <f t="shared" si="2"/>
        <v>0</v>
      </c>
      <c r="L68" s="5" t="str">
        <f>IF(Z68="◎",COUNTIF($Z$30:Z68,"◎"),"")</f>
        <v/>
      </c>
      <c r="W68" s="388" t="str">
        <f>IF(B68="個別病床",はじめに入力してください!$K$50,IF(B68="共通使用",はじめに入力してください!$K$52,""))</f>
        <v/>
      </c>
      <c r="Y68" s="12">
        <v>39</v>
      </c>
      <c r="Z68" s="367" t="str">
        <f t="shared" si="3"/>
        <v>○</v>
      </c>
      <c r="AA68" s="388" t="str">
        <f t="shared" si="4"/>
        <v>整備しない場合は入力不要です。</v>
      </c>
    </row>
    <row r="69" spans="1:27">
      <c r="A69" s="12">
        <v>40</v>
      </c>
      <c r="B69" s="6"/>
      <c r="C69" s="6"/>
      <c r="D69" s="6"/>
      <c r="E69" s="10"/>
      <c r="F69" s="7"/>
      <c r="G69" s="531"/>
      <c r="H69" s="15">
        <f t="shared" si="0"/>
        <v>0</v>
      </c>
      <c r="I69" s="4">
        <f t="shared" si="1"/>
        <v>0</v>
      </c>
      <c r="J69" s="9"/>
      <c r="K69" s="4">
        <f t="shared" si="2"/>
        <v>0</v>
      </c>
      <c r="L69" s="5" t="str">
        <f>IF(Z69="◎",COUNTIF($Z$30:Z69,"◎"),"")</f>
        <v/>
      </c>
      <c r="W69" s="388" t="str">
        <f>IF(B69="個別病床",はじめに入力してください!$K$50,IF(B69="共通使用",はじめに入力してください!$K$52,""))</f>
        <v/>
      </c>
      <c r="Y69" s="12">
        <v>40</v>
      </c>
      <c r="Z69" s="367" t="str">
        <f t="shared" si="3"/>
        <v>○</v>
      </c>
      <c r="AA69" s="388" t="str">
        <f t="shared" si="4"/>
        <v>整備しない場合は入力不要です。</v>
      </c>
    </row>
    <row r="70" spans="1:27">
      <c r="A70" s="12">
        <v>41</v>
      </c>
      <c r="B70" s="6"/>
      <c r="C70" s="6"/>
      <c r="D70" s="6"/>
      <c r="E70" s="10"/>
      <c r="F70" s="7"/>
      <c r="G70" s="531"/>
      <c r="H70" s="15">
        <f t="shared" si="0"/>
        <v>0</v>
      </c>
      <c r="I70" s="4">
        <f t="shared" si="1"/>
        <v>0</v>
      </c>
      <c r="J70" s="9"/>
      <c r="K70" s="4">
        <f t="shared" si="2"/>
        <v>0</v>
      </c>
      <c r="L70" s="5" t="str">
        <f>IF(Z70="◎",COUNTIF($Z$30:Z70,"◎"),"")</f>
        <v/>
      </c>
      <c r="W70" s="388" t="str">
        <f>IF(B70="個別病床",はじめに入力してください!$K$50,IF(B70="共通使用",はじめに入力してください!$K$52,""))</f>
        <v/>
      </c>
      <c r="Y70" s="12">
        <v>41</v>
      </c>
      <c r="Z70" s="367" t="str">
        <f t="shared" si="3"/>
        <v>○</v>
      </c>
      <c r="AA70" s="388" t="str">
        <f t="shared" si="4"/>
        <v>整備しない場合は入力不要です。</v>
      </c>
    </row>
    <row r="71" spans="1:27">
      <c r="A71" s="12">
        <v>42</v>
      </c>
      <c r="B71" s="6"/>
      <c r="C71" s="6"/>
      <c r="D71" s="6"/>
      <c r="E71" s="10"/>
      <c r="F71" s="7"/>
      <c r="G71" s="531"/>
      <c r="H71" s="15">
        <f t="shared" si="0"/>
        <v>0</v>
      </c>
      <c r="I71" s="4">
        <f t="shared" si="1"/>
        <v>0</v>
      </c>
      <c r="J71" s="9"/>
      <c r="K71" s="4">
        <f t="shared" si="2"/>
        <v>0</v>
      </c>
      <c r="L71" s="5" t="str">
        <f>IF(Z71="◎",COUNTIF($Z$30:Z71,"◎"),"")</f>
        <v/>
      </c>
      <c r="W71" s="388" t="str">
        <f>IF(B71="個別病床",はじめに入力してください!$K$50,IF(B71="共通使用",はじめに入力してください!$K$52,""))</f>
        <v/>
      </c>
      <c r="Y71" s="12">
        <v>42</v>
      </c>
      <c r="Z71" s="367" t="str">
        <f t="shared" si="3"/>
        <v>○</v>
      </c>
      <c r="AA71" s="388" t="str">
        <f t="shared" si="4"/>
        <v>整備しない場合は入力不要です。</v>
      </c>
    </row>
    <row r="72" spans="1:27">
      <c r="A72" s="12">
        <v>43</v>
      </c>
      <c r="B72" s="6"/>
      <c r="C72" s="6"/>
      <c r="D72" s="6"/>
      <c r="E72" s="10"/>
      <c r="F72" s="7"/>
      <c r="G72" s="531"/>
      <c r="H72" s="15">
        <f t="shared" si="0"/>
        <v>0</v>
      </c>
      <c r="I72" s="4">
        <f t="shared" si="1"/>
        <v>0</v>
      </c>
      <c r="J72" s="9"/>
      <c r="K72" s="4">
        <f t="shared" si="2"/>
        <v>0</v>
      </c>
      <c r="L72" s="5" t="str">
        <f>IF(Z72="◎",COUNTIF($Z$30:Z72,"◎"),"")</f>
        <v/>
      </c>
      <c r="W72" s="388" t="str">
        <f>IF(B72="個別病床",はじめに入力してください!$K$50,IF(B72="共通使用",はじめに入力してください!$K$52,""))</f>
        <v/>
      </c>
      <c r="Y72" s="12">
        <v>43</v>
      </c>
      <c r="Z72" s="367" t="str">
        <f t="shared" si="3"/>
        <v>○</v>
      </c>
      <c r="AA72" s="388" t="str">
        <f t="shared" si="4"/>
        <v>整備しない場合は入力不要です。</v>
      </c>
    </row>
    <row r="73" spans="1:27">
      <c r="A73" s="12">
        <v>44</v>
      </c>
      <c r="B73" s="6"/>
      <c r="C73" s="6"/>
      <c r="D73" s="6"/>
      <c r="E73" s="10"/>
      <c r="F73" s="7"/>
      <c r="G73" s="531"/>
      <c r="H73" s="15">
        <f t="shared" si="0"/>
        <v>0</v>
      </c>
      <c r="I73" s="4">
        <f t="shared" si="1"/>
        <v>0</v>
      </c>
      <c r="J73" s="9"/>
      <c r="K73" s="4">
        <f t="shared" si="2"/>
        <v>0</v>
      </c>
      <c r="L73" s="5" t="str">
        <f>IF(Z73="◎",COUNTIF($Z$30:Z73,"◎"),"")</f>
        <v/>
      </c>
      <c r="W73" s="388" t="str">
        <f>IF(B73="個別病床",はじめに入力してください!$K$50,IF(B73="共通使用",はじめに入力してください!$K$52,""))</f>
        <v/>
      </c>
      <c r="Y73" s="12">
        <v>44</v>
      </c>
      <c r="Z73" s="367" t="str">
        <f t="shared" si="3"/>
        <v>○</v>
      </c>
      <c r="AA73" s="388" t="str">
        <f t="shared" si="4"/>
        <v>整備しない場合は入力不要です。</v>
      </c>
    </row>
    <row r="74" spans="1:27">
      <c r="A74" s="12">
        <v>45</v>
      </c>
      <c r="B74" s="6"/>
      <c r="C74" s="6"/>
      <c r="D74" s="6"/>
      <c r="E74" s="10"/>
      <c r="F74" s="7"/>
      <c r="G74" s="531"/>
      <c r="H74" s="15">
        <f t="shared" si="0"/>
        <v>0</v>
      </c>
      <c r="I74" s="4">
        <f t="shared" si="1"/>
        <v>0</v>
      </c>
      <c r="J74" s="9"/>
      <c r="K74" s="4">
        <f t="shared" si="2"/>
        <v>0</v>
      </c>
      <c r="L74" s="5" t="str">
        <f>IF(Z74="◎",COUNTIF($Z$30:Z74,"◎"),"")</f>
        <v/>
      </c>
      <c r="W74" s="388" t="str">
        <f>IF(B74="個別病床",はじめに入力してください!$K$50,IF(B74="共通使用",はじめに入力してください!$K$52,""))</f>
        <v/>
      </c>
      <c r="Y74" s="12">
        <v>45</v>
      </c>
      <c r="Z74" s="367" t="str">
        <f t="shared" si="3"/>
        <v>○</v>
      </c>
      <c r="AA74" s="388" t="str">
        <f t="shared" si="4"/>
        <v>整備しない場合は入力不要です。</v>
      </c>
    </row>
  </sheetData>
  <mergeCells count="23">
    <mergeCell ref="K1:M1"/>
    <mergeCell ref="B22:L22"/>
    <mergeCell ref="B2:D3"/>
    <mergeCell ref="Z3:Z5"/>
    <mergeCell ref="AA3:AA5"/>
    <mergeCell ref="Z7:Z8"/>
    <mergeCell ref="AA7:AA8"/>
    <mergeCell ref="B10:L10"/>
    <mergeCell ref="B13:L13"/>
    <mergeCell ref="B14:L14"/>
    <mergeCell ref="B15:L15"/>
    <mergeCell ref="B18:L21"/>
    <mergeCell ref="B7:L7"/>
    <mergeCell ref="B9:C9"/>
    <mergeCell ref="B12:L12"/>
    <mergeCell ref="B26:L26"/>
    <mergeCell ref="Z27:Z28"/>
    <mergeCell ref="AA27:AA28"/>
    <mergeCell ref="B28:D28"/>
    <mergeCell ref="E28:F28"/>
    <mergeCell ref="G28:J28"/>
    <mergeCell ref="K28:K29"/>
    <mergeCell ref="L28:L29"/>
  </mergeCells>
  <phoneticPr fontId="9"/>
  <conditionalFormatting sqref="Z29:Z1048576 Z1:Z2 Z11:Z21 Z6 Z23:Z27">
    <cfRule type="containsText" dxfId="13" priority="10" operator="containsText" text="×">
      <formula>NOT(ISERROR(SEARCH("×",Z1)))</formula>
    </cfRule>
  </conditionalFormatting>
  <conditionalFormatting sqref="AA1:AA2 AA11:AA21 AA29:AA1048576 AA6 AA23:AA27">
    <cfRule type="containsText" dxfId="12" priority="9" operator="containsText" text="要修正">
      <formula>NOT(ISERROR(SEARCH("要修正",AA1)))</formula>
    </cfRule>
  </conditionalFormatting>
  <conditionalFormatting sqref="Z22">
    <cfRule type="containsText" dxfId="11" priority="8" operator="containsText" text="×">
      <formula>NOT(ISERROR(SEARCH("×",Z22)))</formula>
    </cfRule>
  </conditionalFormatting>
  <conditionalFormatting sqref="AA22">
    <cfRule type="containsText" dxfId="10" priority="7" operator="containsText" text="要修正">
      <formula>NOT(ISERROR(SEARCH("要修正",AA22)))</formula>
    </cfRule>
  </conditionalFormatting>
  <conditionalFormatting sqref="Z9:Z10 Z7">
    <cfRule type="containsText" dxfId="9" priority="4" operator="containsText" text="×">
      <formula>NOT(ISERROR(SEARCH("×",Z7)))</formula>
    </cfRule>
  </conditionalFormatting>
  <conditionalFormatting sqref="AA9:AA10 AA7">
    <cfRule type="containsText" dxfId="8" priority="3" operator="containsText" text="要修正">
      <formula>NOT(ISERROR(SEARCH("要修正",AA7)))</formula>
    </cfRule>
  </conditionalFormatting>
  <conditionalFormatting sqref="Z3:Z4">
    <cfRule type="containsText" dxfId="7" priority="2" operator="containsText" text="×">
      <formula>NOT(ISERROR(SEARCH("×",Z3)))</formula>
    </cfRule>
  </conditionalFormatting>
  <conditionalFormatting sqref="AA3:AA4">
    <cfRule type="containsText" dxfId="6" priority="1" operator="containsText" text="要修正">
      <formula>NOT(ISERROR(SEARCH("要修正",AA3)))</formula>
    </cfRule>
  </conditionalFormatting>
  <dataValidations count="10">
    <dataValidation allowBlank="1" showInputMessage="1" showErrorMessage="1" promptTitle="割引額がある場合は入力" prompt="割引がない場合は「0円」のままとしてください。" sqref="I3" xr:uid="{00000000-0002-0000-1B00-000000000000}"/>
    <dataValidation allowBlank="1" showInputMessage="1" showErrorMessage="1" promptTitle="補助対象金額" prompt="補助対象額×（見積書金額-割引額）/見積書金額_x000a_で算出されます。" sqref="J3" xr:uid="{00000000-0002-0000-1B00-000001000000}"/>
    <dataValidation allowBlank="1" showInputMessage="1" showErrorMessage="1" promptTitle="規格及び数量の入力" prompt="補助対象経費を計上する際、いずれも入力してください。" sqref="E30:E74" xr:uid="{884960C7-D452-4B6C-9535-D04ED1E1CB24}"/>
    <dataValidation allowBlank="1" showInputMessage="1" showErrorMessage="1" promptTitle="単価の入力" prompt="税抜額または税込額のいずれかを入力してください。_x000a_入力しない方は「0」は入力せず、空欄としてください。" sqref="H30:H74" xr:uid="{76C1A860-7B15-484D-809C-11AB4A203731}"/>
    <dataValidation allowBlank="1" showInputMessage="1" showErrorMessage="1" promptTitle="添付書類番号" prompt="種類、規格、数量、単価が全て適切に入力され、右の「判定」が「◎」と表示されると自動で番号が表示されます。" sqref="L30:L74" xr:uid="{AEBACB65-2B8F-4019-86B3-90A65EE45F55}"/>
    <dataValidation allowBlank="1" showInputMessage="1" showErrorMessage="1" promptTitle="金額の表示" prompt="数式が入力されているため、自動計算されます。" sqref="K30:K74 I30:I74" xr:uid="{4AB9B2F8-43D0-4601-866D-43AF52F3BEDE}"/>
    <dataValidation type="list" allowBlank="1" showInputMessage="1" showErrorMessage="1" promptTitle="補助対象の該当非該当" prompt="コロナ対応病床の初度設備に係る経費が対象となります。_x000a_共用部分の設備、備品や医療用消耗品等は補助対象外なので「対象外」を選択してください。_x000a_審査において確認、対象外と認めたものについては対象外として補正をお願いする場合があります。" sqref="J30:J74" xr:uid="{DA7610F1-5A08-47A0-8DFF-251EDCEC6DA6}">
      <formula1>"補助対象,補助対象外"</formula1>
    </dataValidation>
    <dataValidation type="list" allowBlank="1" showInputMessage="1" showErrorMessage="1" promptTitle="設備、備品、その他の別を選択" prompt="当該行に記載する品目が_x000a_・「設備」（設備本体）_x000a_・備品（本体設備と別の構成をなすもの）_x000a_・その他（上記の該当しないもの）_x000a_の別をプルダウンから選択してください。" sqref="D30:D74" xr:uid="{9432110B-8AB0-494C-B380-4CE478FD41C1}">
      <formula1>"設備,備品,その他"</formula1>
    </dataValidation>
    <dataValidation type="decimal" operator="greaterThanOrEqual" allowBlank="1" showInputMessage="1" showErrorMessage="1" promptTitle="単価の入力" prompt="税抜額または税込額のいずれかを入力してください。_x000a_入力しない方は「0」は入力せず、空欄としてください。" sqref="G30:G74" xr:uid="{8805668A-DEB7-4717-8E05-1548C2497D88}">
      <formula1>0</formula1>
    </dataValidation>
    <dataValidation type="whole" operator="greaterThanOrEqual" allowBlank="1" showInputMessage="1" showErrorMessage="1" errorTitle="数値のみを入力してください。" error="「個」、「枚」等の単位入力は不要です。" promptTitle="規格及び数量の入力" prompt="補助対象経費を計上する際、いずれも入力してください。" sqref="F30:F74" xr:uid="{F695BD7A-8AD0-41D8-A2F2-7C3B5961163B}">
      <formula1>0</formula1>
    </dataValidation>
  </dataValidations>
  <pageMargins left="0.7" right="0.7" top="0.75" bottom="0.75" header="0.3" footer="0.3"/>
  <pageSetup paperSize="9" scale="55"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promptTitle="「用途先」病床の選択（左の「病床」を選択しないと表示されません。" prompt="ベッドに必ずしも紐付けるものではありませんが、１病床１台で紐付けした場合、整備する病床に番号付けをした場合の番号を選択してください。" xr:uid="{F9761EF7-6F1D-459E-BE15-3D3C22D1262A}">
          <x14:formula1>
            <xm:f>OFFSET(テーブル!$X$48, 0, MATCH(B30,テーブル!$Y$47:$Z$47,0), COUNTA(OFFSET(テーブル!$X$48,0,MATCH(B30,テーブル!$Y$47:$Z$47,0),$W$30,1)),1)</xm:f>
          </x14:formula1>
          <xm:sqref>C30:C74</xm:sqref>
        </x14:dataValidation>
        <x14:dataValidation type="list" allowBlank="1" showInputMessage="1" showErrorMessage="1" promptTitle="配備先の別を選択" prompt="確保病床の共通使用のものか、個別のベッドに配備するものか選択してください。" xr:uid="{6CDFA665-8D00-4DDC-8096-C303F6165146}">
          <x14:formula1>
            <xm:f>テーブル!$X$48:$X$49</xm:f>
          </x14:formula1>
          <xm:sqref>B30:B74</xm:sqref>
        </x14:dataValidation>
        <x14:dataValidation type="list" allowBlank="1" showInputMessage="1" showErrorMessage="1" xr:uid="{00000000-0002-0000-1B00-000008000000}">
          <x14:formula1>
            <xm:f>テーブル!$M$37:$M$51</xm:f>
          </x14:formula1>
          <xm:sqref>B2:D2</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tabColor theme="4" tint="0.79998168889431442"/>
    <pageSetUpPr fitToPage="1"/>
  </sheetPr>
  <dimension ref="A1:AF74"/>
  <sheetViews>
    <sheetView showGridLines="0" view="pageBreakPreview" zoomScale="70" zoomScaleNormal="100" zoomScaleSheetLayoutView="70" workbookViewId="0">
      <selection activeCell="B26" sqref="B26:L26"/>
    </sheetView>
  </sheetViews>
  <sheetFormatPr defaultColWidth="8.625" defaultRowHeight="18"/>
  <cols>
    <col min="1" max="1" width="3.625" style="12" customWidth="1"/>
    <col min="2" max="4" width="8.625" style="19"/>
    <col min="5" max="5" width="30.625" style="19" customWidth="1"/>
    <col min="6" max="6" width="8.625" style="19"/>
    <col min="7" max="11" width="12.625" style="19" customWidth="1"/>
    <col min="12" max="12" width="8.625" style="19"/>
    <col min="13" max="13" width="3.625" style="19" customWidth="1"/>
    <col min="14" max="23" width="8.625" style="19"/>
    <col min="24" max="24" width="8.625" style="19" customWidth="1"/>
    <col min="25" max="25" width="3.625" style="12" customWidth="1"/>
    <col min="26" max="26" width="8.625" style="19"/>
    <col min="27" max="27" width="40.625" style="19" customWidth="1"/>
    <col min="28" max="28" width="3.625" style="19" customWidth="1"/>
    <col min="29" max="32" width="8.625" style="19"/>
    <col min="33" max="33" width="30.625" style="19" customWidth="1"/>
    <col min="34" max="16384" width="8.625" style="19"/>
  </cols>
  <sheetData>
    <row r="1" spans="1:32" ht="20.100000000000001" customHeight="1">
      <c r="K1" s="1859" t="str">
        <f xml:space="preserve">
IF(表紙!X2="交付申請兼実績報告","（４月１日～５月７日分）",
IF(OR(表紙!X2="事前協議",表紙!X2="交付申請",表紙!X2="変更申請",表紙!X2="実績報告"),"（５月８日～９月30日分）",
))</f>
        <v>（４月１日～５月７日分）</v>
      </c>
      <c r="L1" s="1385"/>
      <c r="M1" s="1385"/>
    </row>
    <row r="2" spans="1:32" ht="20.100000000000001" customHeight="1">
      <c r="B2" s="1847" t="s">
        <v>434</v>
      </c>
      <c r="C2" s="1848"/>
      <c r="D2" s="1849"/>
      <c r="H2" s="5" t="s">
        <v>536</v>
      </c>
      <c r="I2" s="367" t="s">
        <v>537</v>
      </c>
      <c r="J2" s="5" t="s">
        <v>44</v>
      </c>
      <c r="Z2" s="367" t="s">
        <v>417</v>
      </c>
      <c r="AA2" s="367" t="s">
        <v>415</v>
      </c>
      <c r="AC2" s="367" t="str">
        <f>Z9</f>
        <v>×</v>
      </c>
      <c r="AD2" s="367" t="str">
        <f>Z15</f>
        <v>◎</v>
      </c>
      <c r="AE2" s="367" t="str">
        <f>Z22</f>
        <v>◎</v>
      </c>
      <c r="AF2" s="367" t="str">
        <f>Z26</f>
        <v>◎</v>
      </c>
    </row>
    <row r="3" spans="1:32" ht="20.100000000000001" customHeight="1">
      <c r="B3" s="1850"/>
      <c r="C3" s="1851"/>
      <c r="D3" s="1852"/>
      <c r="H3" s="351">
        <f>SUM(I30:I74)</f>
        <v>61600000</v>
      </c>
      <c r="I3" s="8"/>
      <c r="J3" s="351">
        <f>IFERROR(ROUNDUP(SUM(K30:K74)*((H3-I3)/H3),0),0)</f>
        <v>46200000</v>
      </c>
      <c r="Z3" s="884" t="str">
        <f xml:space="preserve">
IF(COUNTIF(AD2:AF2,"○")=3,"○",
IF(COUNTIF(AD2:AF2,"◎")=3,"◎","×"
))</f>
        <v>◎</v>
      </c>
      <c r="AA3" s="1842" t="str">
        <f xml:space="preserve">
IF(Z3="○","整備しない場合は入力不要です。",
IF(Z3="×","【要修正】入力が不十分な箇所があります。",
IF(Z3="◎","適切に入力がされました。")))</f>
        <v>適切に入力がされました。</v>
      </c>
    </row>
    <row r="4" spans="1:32" ht="9.9499999999999993" customHeight="1">
      <c r="Z4" s="884"/>
      <c r="AA4" s="1842"/>
    </row>
    <row r="5" spans="1:32" ht="20.100000000000001" customHeight="1">
      <c r="B5" s="386" t="s">
        <v>55</v>
      </c>
      <c r="C5" s="386"/>
      <c r="D5" s="386"/>
      <c r="E5" s="386"/>
      <c r="F5" s="386"/>
      <c r="G5" s="386"/>
      <c r="H5" s="386"/>
      <c r="I5" s="386"/>
      <c r="J5" s="386"/>
      <c r="K5" s="386"/>
      <c r="L5" s="386"/>
      <c r="Z5" s="857"/>
      <c r="AA5" s="858"/>
    </row>
    <row r="6" spans="1:32" ht="9.9499999999999993" customHeight="1"/>
    <row r="7" spans="1:32" ht="20.100000000000001" customHeight="1">
      <c r="B7" s="1863" t="str">
        <f xml:space="preserve">
IF(OR(表紙!X2="事前協議",表紙!X2="交付申請"),"（１）整備を行う対象の新規で指定を受けた確保病床数あるいは、確保病床を有しない場合は整備を行う病床の数",
IF(表紙!X2="交付申請兼実績報告","（１）整備を行う対象の新規で指定を受けた確保病床数"))</f>
        <v>（１）整備を行う対象の新規で指定を受けた確保病床数</v>
      </c>
      <c r="C7" s="953"/>
      <c r="D7" s="953"/>
      <c r="E7" s="953"/>
      <c r="F7" s="953"/>
      <c r="G7" s="953"/>
      <c r="H7" s="953"/>
      <c r="I7" s="953"/>
      <c r="J7" s="953"/>
      <c r="K7" s="953"/>
      <c r="L7" s="953"/>
      <c r="Z7" s="1838" t="s">
        <v>413</v>
      </c>
      <c r="AA7" s="1838" t="s">
        <v>415</v>
      </c>
    </row>
    <row r="8" spans="1:32" ht="9.9499999999999993" customHeight="1">
      <c r="Z8" s="1839"/>
      <c r="AA8" s="1839"/>
    </row>
    <row r="9" spans="1:32" ht="35.1" customHeight="1">
      <c r="B9" s="1864" t="s">
        <v>56</v>
      </c>
      <c r="C9" s="1865"/>
      <c r="D9" s="204" t="str">
        <f>IF(はじめに入力してください!K50="","",はじめに入力してください!K50)</f>
        <v/>
      </c>
      <c r="E9" s="352"/>
      <c r="F9" s="353"/>
      <c r="G9" s="353"/>
      <c r="H9" s="353"/>
      <c r="I9" s="353"/>
      <c r="J9" s="354"/>
      <c r="K9" s="354"/>
      <c r="L9" s="354"/>
      <c r="Z9" s="367" t="str">
        <f xml:space="preserve">
IF(D9="","×",
IF(D9=0,"○",
IF(D9&gt;=1,"◎",
)))</f>
        <v>×</v>
      </c>
      <c r="AA9" s="388" t="str">
        <f xml:space="preserve">
IF(D9="","【要修正】「はじめに入力してください」シートに整備を行う病床の数を入力してください。",
IF(D9=0,"申請しない場合は以下入力不要です。",
IF(D9&gt;=1,"適切に入力されました。",
)))</f>
        <v>【要修正】「はじめに入力してください」シートに整備を行う病床の数を入力してください。</v>
      </c>
    </row>
    <row r="10" spans="1:32" ht="20.100000000000001" customHeight="1">
      <c r="B10" s="1860"/>
      <c r="C10" s="1861"/>
      <c r="D10" s="1862"/>
      <c r="E10" s="1862"/>
      <c r="F10" s="1862"/>
      <c r="G10" s="1862"/>
      <c r="H10" s="1862"/>
      <c r="I10" s="1862"/>
      <c r="J10" s="1862"/>
      <c r="K10" s="1862"/>
      <c r="L10" s="1862"/>
    </row>
    <row r="11" spans="1:32" ht="20.100000000000001" hidden="1" customHeight="1">
      <c r="B11" s="2169"/>
      <c r="C11" s="1862"/>
      <c r="D11" s="1862"/>
      <c r="E11" s="1862"/>
      <c r="F11" s="1862"/>
      <c r="G11" s="1862"/>
      <c r="H11" s="1862"/>
      <c r="I11" s="1862"/>
      <c r="J11" s="1862"/>
      <c r="K11" s="1862"/>
      <c r="L11" s="1862"/>
    </row>
    <row r="12" spans="1:32" ht="20.100000000000001" customHeight="1">
      <c r="B12" s="1863" t="s">
        <v>57</v>
      </c>
      <c r="C12" s="953"/>
      <c r="D12" s="953"/>
      <c r="E12" s="953"/>
      <c r="F12" s="953"/>
      <c r="G12" s="953"/>
      <c r="H12" s="953"/>
      <c r="I12" s="953"/>
      <c r="J12" s="953"/>
      <c r="K12" s="953"/>
      <c r="L12" s="953"/>
    </row>
    <row r="13" spans="1:32" ht="39.950000000000003" customHeight="1">
      <c r="B13" s="1843" t="s">
        <v>538</v>
      </c>
      <c r="C13" s="952"/>
      <c r="D13" s="952"/>
      <c r="E13" s="952"/>
      <c r="F13" s="952"/>
      <c r="G13" s="952"/>
      <c r="H13" s="952"/>
      <c r="I13" s="952"/>
      <c r="J13" s="952"/>
      <c r="K13" s="952"/>
      <c r="L13" s="952"/>
    </row>
    <row r="14" spans="1:32" s="385" customFormat="1" ht="99.95" customHeight="1">
      <c r="A14" s="13"/>
      <c r="B14" s="2167" t="str">
        <f>VLOOKUP(B2,テーブル!M37:N51,2,FALSE)</f>
        <v>（例）当院は重点医療機関として周産期妊婦の入院受け入れを行ってきたが、この度の第７波の感染拡大により、当院が陽性妊婦の受け入れのため確保している
　　　病床数を超える入院受け入れ要請が生じ、近隣の医療機関に受け入れ協力をせざるを得ない状況が生じた。圏域内の一般病床を有する病院及び有床診療所
　　　に陽性妊婦の受入協力を打診したが、そもそも医療機関が少ないことも相まり、調整は不調に終わったケースが生じている。
　　　目下の感染拡大を前に、遠隔の医療機関への搬送及び容態悪化を避けるためにも自院での受け入れ体制の強化が喫緊の課題となっており、分娩監視装置
　　　の追加とともに新生児用のモニタ設備を新たに○台の追加整備を行うこととしたい。（整備台数の検討にあたってのピーク時の陽性患者数の推移及び
　　　受け入れ要請を断らざるを得なかったケースの詳細については別紙のとおり。）</v>
      </c>
      <c r="C14" s="2168"/>
      <c r="D14" s="2168"/>
      <c r="E14" s="2168"/>
      <c r="F14" s="2168"/>
      <c r="G14" s="2168"/>
      <c r="H14" s="2168"/>
      <c r="I14" s="2168"/>
      <c r="J14" s="2168"/>
      <c r="K14" s="2168"/>
      <c r="L14" s="2168"/>
      <c r="Y14" s="13"/>
      <c r="Z14" s="366" t="s">
        <v>413</v>
      </c>
      <c r="AA14" s="366" t="s">
        <v>414</v>
      </c>
    </row>
    <row r="15" spans="1:32" ht="120" customHeight="1">
      <c r="B15" s="1844" t="s">
        <v>1288</v>
      </c>
      <c r="C15" s="1845"/>
      <c r="D15" s="1845"/>
      <c r="E15" s="1845"/>
      <c r="F15" s="1845"/>
      <c r="G15" s="1845"/>
      <c r="H15" s="1845"/>
      <c r="I15" s="1845"/>
      <c r="J15" s="1845"/>
      <c r="K15" s="1845"/>
      <c r="L15" s="1846"/>
      <c r="Z15" s="367" t="str">
        <f xml:space="preserve">
IF(COUNTA(B15)=0,"○",
IF(COUNTA(B15)=1,"◎"))</f>
        <v>◎</v>
      </c>
      <c r="AA15" s="388" t="str">
        <f xml:space="preserve">
IF(COUNTA(B15)=0,"整備しない場合は入力不要です。",
IF(COUNTA(B15)=1,"入力された状態になりました。"))</f>
        <v>入力された状態になりました。</v>
      </c>
    </row>
    <row r="16" spans="1:32" ht="20.100000000000001" customHeight="1"/>
    <row r="17" spans="1:27" ht="20.100000000000001" customHeight="1">
      <c r="B17" s="386" t="s">
        <v>452</v>
      </c>
      <c r="C17" s="386"/>
      <c r="D17" s="386"/>
      <c r="E17" s="386"/>
      <c r="F17" s="386"/>
      <c r="G17" s="386"/>
      <c r="H17" s="386"/>
      <c r="I17" s="386"/>
      <c r="J17" s="386"/>
      <c r="K17" s="386"/>
      <c r="L17" s="386"/>
    </row>
    <row r="18" spans="1:27" ht="20.100000000000001" customHeight="1">
      <c r="B18" s="1843" t="s">
        <v>480</v>
      </c>
      <c r="C18" s="952"/>
      <c r="D18" s="952"/>
      <c r="E18" s="952"/>
      <c r="F18" s="952"/>
      <c r="G18" s="952"/>
      <c r="H18" s="952"/>
      <c r="I18" s="952"/>
      <c r="J18" s="952"/>
      <c r="K18" s="952"/>
      <c r="L18" s="952"/>
    </row>
    <row r="19" spans="1:27" ht="20.100000000000001" customHeight="1">
      <c r="B19" s="1843"/>
      <c r="C19" s="952"/>
      <c r="D19" s="952"/>
      <c r="E19" s="952"/>
      <c r="F19" s="952"/>
      <c r="G19" s="952"/>
      <c r="H19" s="952"/>
      <c r="I19" s="952"/>
      <c r="J19" s="952"/>
      <c r="K19" s="952"/>
      <c r="L19" s="952"/>
    </row>
    <row r="20" spans="1:27" ht="20.100000000000001" customHeight="1">
      <c r="B20" s="1843"/>
      <c r="C20" s="952"/>
      <c r="D20" s="952"/>
      <c r="E20" s="952"/>
      <c r="F20" s="952"/>
      <c r="G20" s="952"/>
      <c r="H20" s="952"/>
      <c r="I20" s="952"/>
      <c r="J20" s="952"/>
      <c r="K20" s="952"/>
      <c r="L20" s="952"/>
    </row>
    <row r="21" spans="1:27" ht="20.100000000000001" customHeight="1">
      <c r="B21" s="952"/>
      <c r="C21" s="952"/>
      <c r="D21" s="952"/>
      <c r="E21" s="952"/>
      <c r="F21" s="952"/>
      <c r="G21" s="952"/>
      <c r="H21" s="952"/>
      <c r="I21" s="952"/>
      <c r="J21" s="952"/>
      <c r="K21" s="952"/>
      <c r="L21" s="952"/>
    </row>
    <row r="22" spans="1:27" ht="120" customHeight="1">
      <c r="B22" s="1844" t="s">
        <v>1288</v>
      </c>
      <c r="C22" s="1845"/>
      <c r="D22" s="1845"/>
      <c r="E22" s="1845"/>
      <c r="F22" s="1845"/>
      <c r="G22" s="1845"/>
      <c r="H22" s="1845"/>
      <c r="I22" s="1845"/>
      <c r="J22" s="1845"/>
      <c r="K22" s="1845"/>
      <c r="L22" s="1846"/>
      <c r="Z22" s="367" t="str">
        <f xml:space="preserve">
IF(COUNTA(B22)=0,"○",
IF(COUNTA(B22)=1,"◎"))</f>
        <v>◎</v>
      </c>
      <c r="AA22" s="388" t="str">
        <f xml:space="preserve">
IF(COUNTA(B22)=0,"整備しない場合は入力不要です。",
IF(COUNTA(B22)=1,"入力された状態になりました。"))</f>
        <v>入力された状態になりました。</v>
      </c>
    </row>
    <row r="23" spans="1:27" ht="20.100000000000001" customHeight="1"/>
    <row r="24" spans="1:27" ht="20.100000000000001" customHeight="1">
      <c r="B24" s="386" t="s">
        <v>451</v>
      </c>
      <c r="C24" s="386"/>
      <c r="D24" s="386"/>
      <c r="E24" s="386"/>
      <c r="F24" s="386"/>
      <c r="G24" s="386"/>
      <c r="H24" s="386"/>
      <c r="I24" s="386"/>
      <c r="J24" s="386"/>
      <c r="K24" s="386"/>
      <c r="L24" s="386"/>
      <c r="Z24" s="14"/>
    </row>
    <row r="25" spans="1:27" ht="9.9499999999999993" customHeight="1"/>
    <row r="26" spans="1:27" ht="60" customHeight="1">
      <c r="B26" s="1843" t="s">
        <v>559</v>
      </c>
      <c r="C26" s="953"/>
      <c r="D26" s="953"/>
      <c r="E26" s="953"/>
      <c r="F26" s="953"/>
      <c r="G26" s="953"/>
      <c r="H26" s="953"/>
      <c r="I26" s="953"/>
      <c r="J26" s="953"/>
      <c r="K26" s="953"/>
      <c r="L26" s="953"/>
      <c r="Z26" s="367" t="str">
        <f xml:space="preserve">
IF(COUNTIF(Z30:Z74,"○")=45,"○",
IF(COUNTIF(Z30:Z74,"×")&gt;=1,"×",
IF(AND(COUNTIF(Z30:Z74,"◎")&gt;=1,COUNTIF(Z30:Z74,"×")=0),"◎")))</f>
        <v>◎</v>
      </c>
      <c r="AA26" s="388" t="str">
        <f xml:space="preserve">
IF(COUNTIF(Z30:Z74,"○")=45,"整備しない場合は入力不要です。",
IF(COUNTIF(Z30:Z74,"×")&gt;=1,"【要修正】入力が不十分な箇所があります。",
IF(AND(COUNTIF(Z30:Z74,"◎")&gt;=1,COUNTIF(Z30:Z74,"×")=0),"適切に入力がされました。")))</f>
        <v>適切に入力がされました。</v>
      </c>
    </row>
    <row r="27" spans="1:27" ht="9.9499999999999993" customHeight="1">
      <c r="Z27" s="1837" t="s">
        <v>416</v>
      </c>
      <c r="AA27" s="1840" t="s">
        <v>418</v>
      </c>
    </row>
    <row r="28" spans="1:27">
      <c r="B28" s="1853" t="s">
        <v>41</v>
      </c>
      <c r="C28" s="1854"/>
      <c r="D28" s="1855"/>
      <c r="E28" s="1853" t="s">
        <v>42</v>
      </c>
      <c r="F28" s="1855"/>
      <c r="G28" s="1853" t="s">
        <v>43</v>
      </c>
      <c r="H28" s="1854"/>
      <c r="I28" s="1854"/>
      <c r="J28" s="1855"/>
      <c r="K28" s="1856" t="s">
        <v>44</v>
      </c>
      <c r="L28" s="1856" t="s">
        <v>45</v>
      </c>
      <c r="Z28" s="1105"/>
      <c r="AA28" s="1841"/>
    </row>
    <row r="29" spans="1:27">
      <c r="B29" s="3" t="s">
        <v>46</v>
      </c>
      <c r="C29" s="3" t="s">
        <v>47</v>
      </c>
      <c r="D29" s="3" t="s">
        <v>48</v>
      </c>
      <c r="E29" s="3" t="s">
        <v>54</v>
      </c>
      <c r="F29" s="3" t="s">
        <v>49</v>
      </c>
      <c r="G29" s="3" t="s">
        <v>50</v>
      </c>
      <c r="H29" s="3" t="s">
        <v>51</v>
      </c>
      <c r="I29" s="3" t="s">
        <v>52</v>
      </c>
      <c r="J29" s="3" t="s">
        <v>53</v>
      </c>
      <c r="K29" s="1857"/>
      <c r="L29" s="1857"/>
      <c r="Z29" s="367" t="s">
        <v>413</v>
      </c>
      <c r="AA29" s="367" t="s">
        <v>415</v>
      </c>
    </row>
    <row r="30" spans="1:27">
      <c r="A30" s="12">
        <v>1</v>
      </c>
      <c r="B30" s="6"/>
      <c r="C30" s="6"/>
      <c r="D30" s="6"/>
      <c r="E30" s="10"/>
      <c r="F30" s="7"/>
      <c r="G30" s="531"/>
      <c r="H30" s="15">
        <f>ROUNDDOWN(G30*1.1,0)</f>
        <v>0</v>
      </c>
      <c r="I30" s="4">
        <f>F30*H30</f>
        <v>0</v>
      </c>
      <c r="J30" s="9"/>
      <c r="K30" s="4">
        <f>IF(J30="補助対象",I30,IF(J30="補助対象外",0,0))</f>
        <v>0</v>
      </c>
      <c r="L30" s="5" t="str">
        <f>IF(Z30="◎",COUNTIF($Z$30:Z30,"◎"),"")</f>
        <v/>
      </c>
      <c r="W30" s="388" t="str">
        <f>IF(B30="個別病床",はじめに入力してください!$K$50,IF(B30="共通使用",はじめに入力してください!$K$52,""))</f>
        <v/>
      </c>
      <c r="Y30" s="12">
        <v>1</v>
      </c>
      <c r="Z30" s="367" t="str">
        <f xml:space="preserve">
IF(SUM(COUNTA(B30:G30),COUNTA(J30))=0,"○",
IF(AND(SUM(COUNTA(B30:G30),COUNTA(J30))&gt;0,SUM(COUNTA(B30:G30),COUNTA(J30))&lt;7),"×",
IF(SUM(COUNTA(B30:G30),COUNTA(J30))=7,"◎")))</f>
        <v>○</v>
      </c>
      <c r="AA30" s="388" t="str">
        <f xml:space="preserve">
IF(SUM(COUNTA(B30:G30),COUNTA(J30))=0,"整備しない場合は入力不要です。",
IF(AND(SUM(COUNTA(B30:G30),COUNTA(J30))&gt;0,SUM(COUNTA(B30:G30),COUNTA(J30))&lt;7),"【要修正】未入力の箇所があります。",
IF(SUM(COUNTA(B30:G30),COUNTA(J30))=7,"適切に入力がされました。")))</f>
        <v>整備しない場合は入力不要です。</v>
      </c>
    </row>
    <row r="31" spans="1:27">
      <c r="A31" s="12">
        <v>2</v>
      </c>
      <c r="B31" s="6"/>
      <c r="C31" s="6"/>
      <c r="D31" s="6"/>
      <c r="E31" s="10"/>
      <c r="F31" s="7"/>
      <c r="G31" s="531"/>
      <c r="H31" s="15">
        <f t="shared" ref="H31:H74" si="0">ROUNDDOWN(G31*1.1,0)</f>
        <v>0</v>
      </c>
      <c r="I31" s="4">
        <f t="shared" ref="I31:I74" si="1">F31*H31</f>
        <v>0</v>
      </c>
      <c r="J31" s="9"/>
      <c r="K31" s="4">
        <f t="shared" ref="K31:K74" si="2">IF(J31="補助対象",I31,IF(J31="補助対象外",0,0))</f>
        <v>0</v>
      </c>
      <c r="L31" s="5" t="str">
        <f>IF(Z31="◎",COUNTIF($Z$30:Z31,"◎"),"")</f>
        <v/>
      </c>
      <c r="W31" s="388" t="str">
        <f>IF(B31="個別病床",はじめに入力してください!$K$50,IF(B31="共通使用",はじめに入力してください!$K$52,""))</f>
        <v/>
      </c>
      <c r="Y31" s="12">
        <v>2</v>
      </c>
      <c r="Z31" s="367" t="str">
        <f t="shared" ref="Z31:Z74" si="3" xml:space="preserve">
IF(SUM(COUNTA(B31:G31),COUNTA(J31))=0,"○",
IF(AND(SUM(COUNTA(B31:G31),COUNTA(J31))&gt;0,SUM(COUNTA(B31:G31),COUNTA(J31))&lt;7),"×",
IF(SUM(COUNTA(B31:G31),COUNTA(J31))=7,"◎")))</f>
        <v>○</v>
      </c>
      <c r="AA31" s="388" t="str">
        <f t="shared" ref="AA31:AA74" si="4" xml:space="preserve">
IF(SUM(COUNTA(B31:G31),COUNTA(J31))=0,"整備しない場合は入力不要です。",
IF(AND(SUM(COUNTA(B31:G31),COUNTA(J31))&gt;0,SUM(COUNTA(B31:G31),COUNTA(J31))&lt;7),"【要修正】未入力の箇所があります。",
IF(SUM(COUNTA(B31:G31),COUNTA(J31))=7,"適切に入力がされました。")))</f>
        <v>整備しない場合は入力不要です。</v>
      </c>
    </row>
    <row r="32" spans="1:27">
      <c r="A32" s="12">
        <v>3</v>
      </c>
      <c r="B32" s="6"/>
      <c r="C32" s="6"/>
      <c r="D32" s="6"/>
      <c r="E32" s="10"/>
      <c r="F32" s="7"/>
      <c r="G32" s="531"/>
      <c r="H32" s="15">
        <f t="shared" si="0"/>
        <v>0</v>
      </c>
      <c r="I32" s="4">
        <f t="shared" si="1"/>
        <v>0</v>
      </c>
      <c r="J32" s="9"/>
      <c r="K32" s="4">
        <f t="shared" si="2"/>
        <v>0</v>
      </c>
      <c r="L32" s="5" t="str">
        <f>IF(Z32="◎",COUNTIF($Z$30:Z32,"◎"),"")</f>
        <v/>
      </c>
      <c r="W32" s="388" t="str">
        <f>IF(B32="個別病床",はじめに入力してください!$K$50,IF(B32="共通使用",はじめに入力してください!$K$52,""))</f>
        <v/>
      </c>
      <c r="Y32" s="12">
        <v>3</v>
      </c>
      <c r="Z32" s="367" t="str">
        <f t="shared" si="3"/>
        <v>○</v>
      </c>
      <c r="AA32" s="388" t="str">
        <f t="shared" si="4"/>
        <v>整備しない場合は入力不要です。</v>
      </c>
    </row>
    <row r="33" spans="1:27">
      <c r="A33" s="12">
        <v>4</v>
      </c>
      <c r="B33" s="6" t="s">
        <v>669</v>
      </c>
      <c r="C33" s="6" t="s">
        <v>670</v>
      </c>
      <c r="D33" s="6" t="s">
        <v>1281</v>
      </c>
      <c r="E33" s="10" t="s">
        <v>1280</v>
      </c>
      <c r="F33" s="7">
        <v>14</v>
      </c>
      <c r="G33" s="531">
        <v>1000000</v>
      </c>
      <c r="H33" s="15">
        <f t="shared" si="0"/>
        <v>1100000</v>
      </c>
      <c r="I33" s="4">
        <f t="shared" si="1"/>
        <v>15400000</v>
      </c>
      <c r="J33" s="9" t="s">
        <v>1285</v>
      </c>
      <c r="K33" s="4">
        <f t="shared" si="2"/>
        <v>15400000</v>
      </c>
      <c r="L33" s="5">
        <f>IF(Z33="◎",COUNTIF($Z$30:Z33,"◎"),"")</f>
        <v>1</v>
      </c>
      <c r="W33" s="388">
        <f>IF(B33="個別病床",はじめに入力してください!$K$50,IF(B33="共通使用",はじめに入力してください!$K$52,""))</f>
        <v>0</v>
      </c>
      <c r="Y33" s="12">
        <v>4</v>
      </c>
      <c r="Z33" s="367" t="str">
        <f t="shared" si="3"/>
        <v>◎</v>
      </c>
      <c r="AA33" s="388" t="str">
        <f t="shared" si="4"/>
        <v>適切に入力がされました。</v>
      </c>
    </row>
    <row r="34" spans="1:27">
      <c r="A34" s="12">
        <v>5</v>
      </c>
      <c r="B34" s="6" t="s">
        <v>669</v>
      </c>
      <c r="C34" s="6" t="s">
        <v>670</v>
      </c>
      <c r="D34" s="6" t="s">
        <v>1282</v>
      </c>
      <c r="E34" s="10" t="s">
        <v>1283</v>
      </c>
      <c r="F34" s="7">
        <v>14</v>
      </c>
      <c r="G34" s="531">
        <v>1000000</v>
      </c>
      <c r="H34" s="15">
        <f t="shared" si="0"/>
        <v>1100000</v>
      </c>
      <c r="I34" s="4">
        <f t="shared" si="1"/>
        <v>15400000</v>
      </c>
      <c r="J34" s="9" t="s">
        <v>1286</v>
      </c>
      <c r="K34" s="4">
        <f t="shared" si="2"/>
        <v>0</v>
      </c>
      <c r="L34" s="5">
        <f>IF(Z34="◎",COUNTIF($Z$30:Z34,"◎"),"")</f>
        <v>2</v>
      </c>
      <c r="W34" s="388">
        <f>IF(B34="個別病床",はじめに入力してください!$K$50,IF(B34="共通使用",はじめに入力してください!$K$52,""))</f>
        <v>0</v>
      </c>
      <c r="Y34" s="12">
        <v>5</v>
      </c>
      <c r="Z34" s="367" t="str">
        <f t="shared" si="3"/>
        <v>◎</v>
      </c>
      <c r="AA34" s="388" t="str">
        <f t="shared" si="4"/>
        <v>適切に入力がされました。</v>
      </c>
    </row>
    <row r="35" spans="1:27">
      <c r="A35" s="12">
        <v>6</v>
      </c>
      <c r="B35" s="6" t="s">
        <v>100</v>
      </c>
      <c r="C35" s="6" t="s">
        <v>820</v>
      </c>
      <c r="D35" s="6" t="s">
        <v>1281</v>
      </c>
      <c r="E35" s="10" t="s">
        <v>1284</v>
      </c>
      <c r="F35" s="7">
        <v>14</v>
      </c>
      <c r="G35" s="531">
        <v>2000000</v>
      </c>
      <c r="H35" s="15">
        <f t="shared" si="0"/>
        <v>2200000</v>
      </c>
      <c r="I35" s="4">
        <f t="shared" si="1"/>
        <v>30800000</v>
      </c>
      <c r="J35" s="9" t="s">
        <v>1285</v>
      </c>
      <c r="K35" s="4">
        <f t="shared" si="2"/>
        <v>30800000</v>
      </c>
      <c r="L35" s="5">
        <f>IF(Z35="◎",COUNTIF($Z$30:Z35,"◎"),"")</f>
        <v>3</v>
      </c>
      <c r="W35" s="388">
        <f>IF(B35="個別病床",はじめに入力してください!$K$50,IF(B35="共通使用",はじめに入力してください!$K$52,""))</f>
        <v>0</v>
      </c>
      <c r="Y35" s="12">
        <v>6</v>
      </c>
      <c r="Z35" s="367" t="str">
        <f t="shared" si="3"/>
        <v>◎</v>
      </c>
      <c r="AA35" s="388" t="str">
        <f t="shared" si="4"/>
        <v>適切に入力がされました。</v>
      </c>
    </row>
    <row r="36" spans="1:27">
      <c r="A36" s="12">
        <v>7</v>
      </c>
      <c r="B36" s="6"/>
      <c r="C36" s="6"/>
      <c r="D36" s="6"/>
      <c r="E36" s="10"/>
      <c r="F36" s="7"/>
      <c r="G36" s="531"/>
      <c r="H36" s="15">
        <f t="shared" si="0"/>
        <v>0</v>
      </c>
      <c r="I36" s="4">
        <f t="shared" si="1"/>
        <v>0</v>
      </c>
      <c r="J36" s="9"/>
      <c r="K36" s="4">
        <f t="shared" si="2"/>
        <v>0</v>
      </c>
      <c r="L36" s="5" t="str">
        <f>IF(Z36="◎",COUNTIF($Z$30:Z36,"◎"),"")</f>
        <v/>
      </c>
      <c r="W36" s="388" t="str">
        <f>IF(B36="個別病床",はじめに入力してください!$K$50,IF(B36="共通使用",はじめに入力してください!$K$52,""))</f>
        <v/>
      </c>
      <c r="Y36" s="12">
        <v>7</v>
      </c>
      <c r="Z36" s="367" t="str">
        <f t="shared" si="3"/>
        <v>○</v>
      </c>
      <c r="AA36" s="388" t="str">
        <f t="shared" si="4"/>
        <v>整備しない場合は入力不要です。</v>
      </c>
    </row>
    <row r="37" spans="1:27">
      <c r="A37" s="12">
        <v>8</v>
      </c>
      <c r="B37" s="6"/>
      <c r="C37" s="6"/>
      <c r="D37" s="6"/>
      <c r="E37" s="10"/>
      <c r="F37" s="7"/>
      <c r="G37" s="531"/>
      <c r="H37" s="15">
        <f t="shared" si="0"/>
        <v>0</v>
      </c>
      <c r="I37" s="4">
        <f t="shared" si="1"/>
        <v>0</v>
      </c>
      <c r="J37" s="9"/>
      <c r="K37" s="4">
        <f t="shared" si="2"/>
        <v>0</v>
      </c>
      <c r="L37" s="5" t="str">
        <f>IF(Z37="◎",COUNTIF($Z$30:Z37,"◎"),"")</f>
        <v/>
      </c>
      <c r="W37" s="388" t="str">
        <f>IF(B37="個別病床",はじめに入力してください!$K$50,IF(B37="共通使用",はじめに入力してください!$K$52,""))</f>
        <v/>
      </c>
      <c r="Y37" s="12">
        <v>8</v>
      </c>
      <c r="Z37" s="367" t="str">
        <f t="shared" si="3"/>
        <v>○</v>
      </c>
      <c r="AA37" s="388" t="str">
        <f t="shared" si="4"/>
        <v>整備しない場合は入力不要です。</v>
      </c>
    </row>
    <row r="38" spans="1:27">
      <c r="A38" s="12">
        <v>9</v>
      </c>
      <c r="B38" s="6"/>
      <c r="C38" s="6"/>
      <c r="D38" s="6"/>
      <c r="E38" s="10"/>
      <c r="F38" s="7"/>
      <c r="G38" s="531"/>
      <c r="H38" s="15">
        <f t="shared" si="0"/>
        <v>0</v>
      </c>
      <c r="I38" s="4">
        <f t="shared" si="1"/>
        <v>0</v>
      </c>
      <c r="J38" s="9"/>
      <c r="K38" s="4">
        <f t="shared" si="2"/>
        <v>0</v>
      </c>
      <c r="L38" s="5" t="str">
        <f>IF(Z38="◎",COUNTIF($Z$30:Z38,"◎"),"")</f>
        <v/>
      </c>
      <c r="W38" s="388" t="str">
        <f>IF(B38="個別病床",はじめに入力してください!$K$50,IF(B38="共通使用",はじめに入力してください!$K$52,""))</f>
        <v/>
      </c>
      <c r="Y38" s="12">
        <v>9</v>
      </c>
      <c r="Z38" s="367" t="str">
        <f t="shared" si="3"/>
        <v>○</v>
      </c>
      <c r="AA38" s="388" t="str">
        <f t="shared" si="4"/>
        <v>整備しない場合は入力不要です。</v>
      </c>
    </row>
    <row r="39" spans="1:27">
      <c r="A39" s="12">
        <v>10</v>
      </c>
      <c r="B39" s="6"/>
      <c r="C39" s="6"/>
      <c r="D39" s="6"/>
      <c r="E39" s="10"/>
      <c r="F39" s="7"/>
      <c r="G39" s="531"/>
      <c r="H39" s="15">
        <f t="shared" si="0"/>
        <v>0</v>
      </c>
      <c r="I39" s="4">
        <f t="shared" si="1"/>
        <v>0</v>
      </c>
      <c r="J39" s="9"/>
      <c r="K39" s="4">
        <f t="shared" si="2"/>
        <v>0</v>
      </c>
      <c r="L39" s="5" t="str">
        <f>IF(Z39="◎",COUNTIF($Z$30:Z39,"◎"),"")</f>
        <v/>
      </c>
      <c r="W39" s="388" t="str">
        <f>IF(B39="個別病床",はじめに入力してください!$K$50,IF(B39="共通使用",はじめに入力してください!$K$52,""))</f>
        <v/>
      </c>
      <c r="Y39" s="12">
        <v>10</v>
      </c>
      <c r="Z39" s="367" t="str">
        <f t="shared" si="3"/>
        <v>○</v>
      </c>
      <c r="AA39" s="388" t="str">
        <f t="shared" si="4"/>
        <v>整備しない場合は入力不要です。</v>
      </c>
    </row>
    <row r="40" spans="1:27">
      <c r="A40" s="12">
        <v>11</v>
      </c>
      <c r="B40" s="6"/>
      <c r="C40" s="6"/>
      <c r="D40" s="6"/>
      <c r="E40" s="10"/>
      <c r="F40" s="7"/>
      <c r="G40" s="531"/>
      <c r="H40" s="15">
        <f t="shared" si="0"/>
        <v>0</v>
      </c>
      <c r="I40" s="4">
        <f t="shared" si="1"/>
        <v>0</v>
      </c>
      <c r="J40" s="9"/>
      <c r="K40" s="4">
        <f t="shared" si="2"/>
        <v>0</v>
      </c>
      <c r="L40" s="5" t="str">
        <f>IF(Z40="◎",COUNTIF($Z$30:Z40,"◎"),"")</f>
        <v/>
      </c>
      <c r="W40" s="388" t="str">
        <f>IF(B40="個別病床",はじめに入力してください!$K$50,IF(B40="共通使用",はじめに入力してください!$K$52,""))</f>
        <v/>
      </c>
      <c r="Y40" s="12">
        <v>11</v>
      </c>
      <c r="Z40" s="367" t="str">
        <f t="shared" si="3"/>
        <v>○</v>
      </c>
      <c r="AA40" s="388" t="str">
        <f t="shared" si="4"/>
        <v>整備しない場合は入力不要です。</v>
      </c>
    </row>
    <row r="41" spans="1:27">
      <c r="A41" s="12">
        <v>12</v>
      </c>
      <c r="B41" s="6"/>
      <c r="C41" s="6"/>
      <c r="D41" s="6"/>
      <c r="E41" s="10"/>
      <c r="F41" s="7"/>
      <c r="G41" s="531"/>
      <c r="H41" s="15">
        <f t="shared" si="0"/>
        <v>0</v>
      </c>
      <c r="I41" s="4">
        <f t="shared" si="1"/>
        <v>0</v>
      </c>
      <c r="J41" s="9"/>
      <c r="K41" s="4">
        <f t="shared" si="2"/>
        <v>0</v>
      </c>
      <c r="L41" s="5" t="str">
        <f>IF(Z41="◎",COUNTIF($Z$30:Z41,"◎"),"")</f>
        <v/>
      </c>
      <c r="W41" s="388" t="str">
        <f>IF(B41="個別病床",はじめに入力してください!$K$50,IF(B41="共通使用",はじめに入力してください!$K$52,""))</f>
        <v/>
      </c>
      <c r="Y41" s="12">
        <v>12</v>
      </c>
      <c r="Z41" s="367" t="str">
        <f t="shared" si="3"/>
        <v>○</v>
      </c>
      <c r="AA41" s="388" t="str">
        <f t="shared" si="4"/>
        <v>整備しない場合は入力不要です。</v>
      </c>
    </row>
    <row r="42" spans="1:27">
      <c r="A42" s="12">
        <v>13</v>
      </c>
      <c r="B42" s="6"/>
      <c r="C42" s="6"/>
      <c r="D42" s="6"/>
      <c r="E42" s="10"/>
      <c r="F42" s="7"/>
      <c r="G42" s="531"/>
      <c r="H42" s="15">
        <f t="shared" si="0"/>
        <v>0</v>
      </c>
      <c r="I42" s="4">
        <f t="shared" si="1"/>
        <v>0</v>
      </c>
      <c r="J42" s="9"/>
      <c r="K42" s="4">
        <f t="shared" si="2"/>
        <v>0</v>
      </c>
      <c r="L42" s="5" t="str">
        <f>IF(Z42="◎",COUNTIF($Z$30:Z42,"◎"),"")</f>
        <v/>
      </c>
      <c r="W42" s="388" t="str">
        <f>IF(B42="個別病床",はじめに入力してください!$K$50,IF(B42="共通使用",はじめに入力してください!$K$52,""))</f>
        <v/>
      </c>
      <c r="Y42" s="12">
        <v>13</v>
      </c>
      <c r="Z42" s="367" t="str">
        <f t="shared" si="3"/>
        <v>○</v>
      </c>
      <c r="AA42" s="388" t="str">
        <f t="shared" si="4"/>
        <v>整備しない場合は入力不要です。</v>
      </c>
    </row>
    <row r="43" spans="1:27">
      <c r="A43" s="12">
        <v>14</v>
      </c>
      <c r="B43" s="6"/>
      <c r="C43" s="6"/>
      <c r="D43" s="6"/>
      <c r="E43" s="10"/>
      <c r="F43" s="7"/>
      <c r="G43" s="531"/>
      <c r="H43" s="15">
        <f t="shared" si="0"/>
        <v>0</v>
      </c>
      <c r="I43" s="4">
        <f t="shared" si="1"/>
        <v>0</v>
      </c>
      <c r="J43" s="9"/>
      <c r="K43" s="4">
        <f t="shared" si="2"/>
        <v>0</v>
      </c>
      <c r="L43" s="5" t="str">
        <f>IF(Z43="◎",COUNTIF($Z$30:Z43,"◎"),"")</f>
        <v/>
      </c>
      <c r="W43" s="388" t="str">
        <f>IF(B43="個別病床",はじめに入力してください!$K$50,IF(B43="共通使用",はじめに入力してください!$K$52,""))</f>
        <v/>
      </c>
      <c r="Y43" s="12">
        <v>14</v>
      </c>
      <c r="Z43" s="367" t="str">
        <f t="shared" si="3"/>
        <v>○</v>
      </c>
      <c r="AA43" s="388" t="str">
        <f t="shared" si="4"/>
        <v>整備しない場合は入力不要です。</v>
      </c>
    </row>
    <row r="44" spans="1:27">
      <c r="A44" s="12">
        <v>15</v>
      </c>
      <c r="B44" s="6"/>
      <c r="C44" s="6"/>
      <c r="D44" s="6"/>
      <c r="E44" s="10"/>
      <c r="F44" s="7"/>
      <c r="G44" s="531"/>
      <c r="H44" s="15">
        <f t="shared" si="0"/>
        <v>0</v>
      </c>
      <c r="I44" s="4">
        <f t="shared" si="1"/>
        <v>0</v>
      </c>
      <c r="J44" s="9"/>
      <c r="K44" s="4">
        <f t="shared" si="2"/>
        <v>0</v>
      </c>
      <c r="L44" s="5" t="str">
        <f>IF(Z44="◎",COUNTIF($Z$30:Z44,"◎"),"")</f>
        <v/>
      </c>
      <c r="W44" s="388" t="str">
        <f>IF(B44="個別病床",はじめに入力してください!$K$50,IF(B44="共通使用",はじめに入力してください!$K$52,""))</f>
        <v/>
      </c>
      <c r="Y44" s="12">
        <v>15</v>
      </c>
      <c r="Z44" s="367" t="str">
        <f t="shared" si="3"/>
        <v>○</v>
      </c>
      <c r="AA44" s="388" t="str">
        <f t="shared" si="4"/>
        <v>整備しない場合は入力不要です。</v>
      </c>
    </row>
    <row r="45" spans="1:27">
      <c r="A45" s="12">
        <v>16</v>
      </c>
      <c r="B45" s="6"/>
      <c r="C45" s="6"/>
      <c r="D45" s="6"/>
      <c r="E45" s="10"/>
      <c r="F45" s="7"/>
      <c r="G45" s="531"/>
      <c r="H45" s="15">
        <f t="shared" si="0"/>
        <v>0</v>
      </c>
      <c r="I45" s="4">
        <f t="shared" si="1"/>
        <v>0</v>
      </c>
      <c r="J45" s="9"/>
      <c r="K45" s="4">
        <f t="shared" si="2"/>
        <v>0</v>
      </c>
      <c r="L45" s="5" t="str">
        <f>IF(Z45="◎",COUNTIF($Z$30:Z45,"◎"),"")</f>
        <v/>
      </c>
      <c r="W45" s="388" t="str">
        <f>IF(B45="個別病床",はじめに入力してください!$K$50,IF(B45="共通使用",はじめに入力してください!$K$52,""))</f>
        <v/>
      </c>
      <c r="Y45" s="12">
        <v>16</v>
      </c>
      <c r="Z45" s="367" t="str">
        <f t="shared" si="3"/>
        <v>○</v>
      </c>
      <c r="AA45" s="388" t="str">
        <f t="shared" si="4"/>
        <v>整備しない場合は入力不要です。</v>
      </c>
    </row>
    <row r="46" spans="1:27">
      <c r="A46" s="12">
        <v>17</v>
      </c>
      <c r="B46" s="6"/>
      <c r="C46" s="6"/>
      <c r="D46" s="6"/>
      <c r="E46" s="10"/>
      <c r="F46" s="7"/>
      <c r="G46" s="531"/>
      <c r="H46" s="15">
        <f t="shared" si="0"/>
        <v>0</v>
      </c>
      <c r="I46" s="4">
        <f t="shared" si="1"/>
        <v>0</v>
      </c>
      <c r="J46" s="9"/>
      <c r="K46" s="4">
        <f t="shared" si="2"/>
        <v>0</v>
      </c>
      <c r="L46" s="5" t="str">
        <f>IF(Z46="◎",COUNTIF($Z$30:Z46,"◎"),"")</f>
        <v/>
      </c>
      <c r="W46" s="388" t="str">
        <f>IF(B46="個別病床",はじめに入力してください!$K$50,IF(B46="共通使用",はじめに入力してください!$K$52,""))</f>
        <v/>
      </c>
      <c r="Y46" s="12">
        <v>17</v>
      </c>
      <c r="Z46" s="367" t="str">
        <f t="shared" si="3"/>
        <v>○</v>
      </c>
      <c r="AA46" s="388" t="str">
        <f t="shared" si="4"/>
        <v>整備しない場合は入力不要です。</v>
      </c>
    </row>
    <row r="47" spans="1:27">
      <c r="A47" s="12">
        <v>18</v>
      </c>
      <c r="B47" s="6"/>
      <c r="C47" s="6"/>
      <c r="D47" s="6"/>
      <c r="E47" s="10"/>
      <c r="F47" s="7"/>
      <c r="G47" s="531"/>
      <c r="H47" s="15">
        <f t="shared" si="0"/>
        <v>0</v>
      </c>
      <c r="I47" s="4">
        <f t="shared" si="1"/>
        <v>0</v>
      </c>
      <c r="J47" s="9"/>
      <c r="K47" s="4">
        <f t="shared" si="2"/>
        <v>0</v>
      </c>
      <c r="L47" s="5" t="str">
        <f>IF(Z47="◎",COUNTIF($Z$30:Z47,"◎"),"")</f>
        <v/>
      </c>
      <c r="W47" s="388" t="str">
        <f>IF(B47="個別病床",はじめに入力してください!$K$50,IF(B47="共通使用",はじめに入力してください!$K$52,""))</f>
        <v/>
      </c>
      <c r="Y47" s="12">
        <v>18</v>
      </c>
      <c r="Z47" s="367" t="str">
        <f t="shared" si="3"/>
        <v>○</v>
      </c>
      <c r="AA47" s="388" t="str">
        <f t="shared" si="4"/>
        <v>整備しない場合は入力不要です。</v>
      </c>
    </row>
    <row r="48" spans="1:27">
      <c r="A48" s="12">
        <v>19</v>
      </c>
      <c r="B48" s="6"/>
      <c r="C48" s="6"/>
      <c r="D48" s="6"/>
      <c r="E48" s="10"/>
      <c r="F48" s="7"/>
      <c r="G48" s="531"/>
      <c r="H48" s="15">
        <f t="shared" si="0"/>
        <v>0</v>
      </c>
      <c r="I48" s="4">
        <f t="shared" si="1"/>
        <v>0</v>
      </c>
      <c r="J48" s="9"/>
      <c r="K48" s="4">
        <f t="shared" si="2"/>
        <v>0</v>
      </c>
      <c r="L48" s="5" t="str">
        <f>IF(Z48="◎",COUNTIF($Z$30:Z48,"◎"),"")</f>
        <v/>
      </c>
      <c r="W48" s="388" t="str">
        <f>IF(B48="個別病床",はじめに入力してください!$K$50,IF(B48="共通使用",はじめに入力してください!$K$52,""))</f>
        <v/>
      </c>
      <c r="Y48" s="12">
        <v>19</v>
      </c>
      <c r="Z48" s="367" t="str">
        <f t="shared" si="3"/>
        <v>○</v>
      </c>
      <c r="AA48" s="388" t="str">
        <f t="shared" si="4"/>
        <v>整備しない場合は入力不要です。</v>
      </c>
    </row>
    <row r="49" spans="1:27">
      <c r="A49" s="12">
        <v>20</v>
      </c>
      <c r="B49" s="6"/>
      <c r="C49" s="6"/>
      <c r="D49" s="6"/>
      <c r="E49" s="10"/>
      <c r="F49" s="7"/>
      <c r="G49" s="531"/>
      <c r="H49" s="15">
        <f t="shared" si="0"/>
        <v>0</v>
      </c>
      <c r="I49" s="4">
        <f t="shared" si="1"/>
        <v>0</v>
      </c>
      <c r="J49" s="9"/>
      <c r="K49" s="4">
        <f t="shared" si="2"/>
        <v>0</v>
      </c>
      <c r="L49" s="5" t="str">
        <f>IF(Z49="◎",COUNTIF($Z$30:Z49,"◎"),"")</f>
        <v/>
      </c>
      <c r="W49" s="388" t="str">
        <f>IF(B49="個別病床",はじめに入力してください!$K$50,IF(B49="共通使用",はじめに入力してください!$K$52,""))</f>
        <v/>
      </c>
      <c r="Y49" s="12">
        <v>20</v>
      </c>
      <c r="Z49" s="367" t="str">
        <f t="shared" si="3"/>
        <v>○</v>
      </c>
      <c r="AA49" s="388" t="str">
        <f t="shared" si="4"/>
        <v>整備しない場合は入力不要です。</v>
      </c>
    </row>
    <row r="50" spans="1:27">
      <c r="A50" s="12">
        <v>21</v>
      </c>
      <c r="B50" s="6"/>
      <c r="C50" s="6"/>
      <c r="D50" s="6"/>
      <c r="E50" s="10"/>
      <c r="F50" s="7"/>
      <c r="G50" s="531"/>
      <c r="H50" s="15">
        <f t="shared" si="0"/>
        <v>0</v>
      </c>
      <c r="I50" s="4">
        <f t="shared" si="1"/>
        <v>0</v>
      </c>
      <c r="J50" s="9"/>
      <c r="K50" s="4">
        <f t="shared" si="2"/>
        <v>0</v>
      </c>
      <c r="L50" s="5" t="str">
        <f>IF(Z50="◎",COUNTIF($Z$30:Z50,"◎"),"")</f>
        <v/>
      </c>
      <c r="W50" s="388" t="str">
        <f>IF(B50="個別病床",はじめに入力してください!$K$50,IF(B50="共通使用",はじめに入力してください!$K$52,""))</f>
        <v/>
      </c>
      <c r="Y50" s="12">
        <v>21</v>
      </c>
      <c r="Z50" s="367" t="str">
        <f t="shared" si="3"/>
        <v>○</v>
      </c>
      <c r="AA50" s="388" t="str">
        <f t="shared" si="4"/>
        <v>整備しない場合は入力不要です。</v>
      </c>
    </row>
    <row r="51" spans="1:27">
      <c r="A51" s="12">
        <v>22</v>
      </c>
      <c r="B51" s="6"/>
      <c r="C51" s="6"/>
      <c r="D51" s="6"/>
      <c r="E51" s="10"/>
      <c r="F51" s="7"/>
      <c r="G51" s="531"/>
      <c r="H51" s="15">
        <f t="shared" si="0"/>
        <v>0</v>
      </c>
      <c r="I51" s="4">
        <f t="shared" si="1"/>
        <v>0</v>
      </c>
      <c r="J51" s="9"/>
      <c r="K51" s="4">
        <f t="shared" si="2"/>
        <v>0</v>
      </c>
      <c r="L51" s="5" t="str">
        <f>IF(Z51="◎",COUNTIF($Z$30:Z51,"◎"),"")</f>
        <v/>
      </c>
      <c r="W51" s="388" t="str">
        <f>IF(B51="個別病床",はじめに入力してください!$K$50,IF(B51="共通使用",はじめに入力してください!$K$52,""))</f>
        <v/>
      </c>
      <c r="Y51" s="12">
        <v>22</v>
      </c>
      <c r="Z51" s="367" t="str">
        <f t="shared" si="3"/>
        <v>○</v>
      </c>
      <c r="AA51" s="388" t="str">
        <f t="shared" si="4"/>
        <v>整備しない場合は入力不要です。</v>
      </c>
    </row>
    <row r="52" spans="1:27">
      <c r="A52" s="12">
        <v>23</v>
      </c>
      <c r="B52" s="6"/>
      <c r="C52" s="6"/>
      <c r="D52" s="6"/>
      <c r="E52" s="10"/>
      <c r="F52" s="7"/>
      <c r="G52" s="531"/>
      <c r="H52" s="15">
        <f t="shared" si="0"/>
        <v>0</v>
      </c>
      <c r="I52" s="4">
        <f t="shared" si="1"/>
        <v>0</v>
      </c>
      <c r="J52" s="9"/>
      <c r="K52" s="4">
        <f t="shared" si="2"/>
        <v>0</v>
      </c>
      <c r="L52" s="5" t="str">
        <f>IF(Z52="◎",COUNTIF($Z$30:Z52,"◎"),"")</f>
        <v/>
      </c>
      <c r="W52" s="388" t="str">
        <f>IF(B52="個別病床",はじめに入力してください!$K$50,IF(B52="共通使用",はじめに入力してください!$K$52,""))</f>
        <v/>
      </c>
      <c r="Y52" s="12">
        <v>23</v>
      </c>
      <c r="Z52" s="367" t="str">
        <f t="shared" si="3"/>
        <v>○</v>
      </c>
      <c r="AA52" s="388" t="str">
        <f t="shared" si="4"/>
        <v>整備しない場合は入力不要です。</v>
      </c>
    </row>
    <row r="53" spans="1:27">
      <c r="A53" s="12">
        <v>24</v>
      </c>
      <c r="B53" s="6"/>
      <c r="C53" s="6"/>
      <c r="D53" s="6"/>
      <c r="E53" s="10"/>
      <c r="F53" s="7"/>
      <c r="G53" s="531"/>
      <c r="H53" s="15">
        <f t="shared" si="0"/>
        <v>0</v>
      </c>
      <c r="I53" s="4">
        <f t="shared" si="1"/>
        <v>0</v>
      </c>
      <c r="J53" s="9"/>
      <c r="K53" s="4">
        <f t="shared" si="2"/>
        <v>0</v>
      </c>
      <c r="L53" s="5" t="str">
        <f>IF(Z53="◎",COUNTIF($Z$30:Z53,"◎"),"")</f>
        <v/>
      </c>
      <c r="W53" s="388" t="str">
        <f>IF(B53="個別病床",はじめに入力してください!$K$50,IF(B53="共通使用",はじめに入力してください!$K$52,""))</f>
        <v/>
      </c>
      <c r="Y53" s="12">
        <v>24</v>
      </c>
      <c r="Z53" s="367" t="str">
        <f t="shared" si="3"/>
        <v>○</v>
      </c>
      <c r="AA53" s="388" t="str">
        <f t="shared" si="4"/>
        <v>整備しない場合は入力不要です。</v>
      </c>
    </row>
    <row r="54" spans="1:27">
      <c r="A54" s="12">
        <v>25</v>
      </c>
      <c r="B54" s="6"/>
      <c r="C54" s="6"/>
      <c r="D54" s="6"/>
      <c r="E54" s="10"/>
      <c r="F54" s="7"/>
      <c r="G54" s="531"/>
      <c r="H54" s="15">
        <f t="shared" si="0"/>
        <v>0</v>
      </c>
      <c r="I54" s="4">
        <f t="shared" si="1"/>
        <v>0</v>
      </c>
      <c r="J54" s="9"/>
      <c r="K54" s="4">
        <f t="shared" si="2"/>
        <v>0</v>
      </c>
      <c r="L54" s="5" t="str">
        <f>IF(Z54="◎",COUNTIF($Z$30:Z54,"◎"),"")</f>
        <v/>
      </c>
      <c r="W54" s="388" t="str">
        <f>IF(B54="個別病床",はじめに入力してください!$K$50,IF(B54="共通使用",はじめに入力してください!$K$52,""))</f>
        <v/>
      </c>
      <c r="Y54" s="12">
        <v>25</v>
      </c>
      <c r="Z54" s="367" t="str">
        <f t="shared" si="3"/>
        <v>○</v>
      </c>
      <c r="AA54" s="388" t="str">
        <f t="shared" si="4"/>
        <v>整備しない場合は入力不要です。</v>
      </c>
    </row>
    <row r="55" spans="1:27">
      <c r="A55" s="12">
        <v>26</v>
      </c>
      <c r="B55" s="6"/>
      <c r="C55" s="6"/>
      <c r="D55" s="6"/>
      <c r="E55" s="10"/>
      <c r="F55" s="7"/>
      <c r="G55" s="531"/>
      <c r="H55" s="15">
        <f t="shared" si="0"/>
        <v>0</v>
      </c>
      <c r="I55" s="4">
        <f t="shared" si="1"/>
        <v>0</v>
      </c>
      <c r="J55" s="9"/>
      <c r="K55" s="4">
        <f t="shared" si="2"/>
        <v>0</v>
      </c>
      <c r="L55" s="5" t="str">
        <f>IF(Z55="◎",COUNTIF($Z$30:Z55,"◎"),"")</f>
        <v/>
      </c>
      <c r="W55" s="388" t="str">
        <f>IF(B55="個別病床",はじめに入力してください!$K$50,IF(B55="共通使用",はじめに入力してください!$K$52,""))</f>
        <v/>
      </c>
      <c r="Y55" s="12">
        <v>26</v>
      </c>
      <c r="Z55" s="367" t="str">
        <f t="shared" si="3"/>
        <v>○</v>
      </c>
      <c r="AA55" s="388" t="str">
        <f t="shared" si="4"/>
        <v>整備しない場合は入力不要です。</v>
      </c>
    </row>
    <row r="56" spans="1:27">
      <c r="A56" s="12">
        <v>27</v>
      </c>
      <c r="B56" s="6"/>
      <c r="C56" s="6"/>
      <c r="D56" s="6"/>
      <c r="E56" s="10"/>
      <c r="F56" s="7"/>
      <c r="G56" s="531"/>
      <c r="H56" s="15">
        <f t="shared" si="0"/>
        <v>0</v>
      </c>
      <c r="I56" s="4">
        <f t="shared" si="1"/>
        <v>0</v>
      </c>
      <c r="J56" s="9"/>
      <c r="K56" s="4">
        <f t="shared" si="2"/>
        <v>0</v>
      </c>
      <c r="L56" s="5" t="str">
        <f>IF(Z56="◎",COUNTIF($Z$30:Z56,"◎"),"")</f>
        <v/>
      </c>
      <c r="W56" s="388" t="str">
        <f>IF(B56="個別病床",はじめに入力してください!$K$50,IF(B56="共通使用",はじめに入力してください!$K$52,""))</f>
        <v/>
      </c>
      <c r="Y56" s="12">
        <v>27</v>
      </c>
      <c r="Z56" s="367" t="str">
        <f t="shared" si="3"/>
        <v>○</v>
      </c>
      <c r="AA56" s="388" t="str">
        <f t="shared" si="4"/>
        <v>整備しない場合は入力不要です。</v>
      </c>
    </row>
    <row r="57" spans="1:27">
      <c r="A57" s="12">
        <v>28</v>
      </c>
      <c r="B57" s="6"/>
      <c r="C57" s="6"/>
      <c r="D57" s="6"/>
      <c r="E57" s="10"/>
      <c r="F57" s="7"/>
      <c r="G57" s="531"/>
      <c r="H57" s="15">
        <f t="shared" si="0"/>
        <v>0</v>
      </c>
      <c r="I57" s="4">
        <f t="shared" si="1"/>
        <v>0</v>
      </c>
      <c r="J57" s="9"/>
      <c r="K57" s="4">
        <f t="shared" si="2"/>
        <v>0</v>
      </c>
      <c r="L57" s="5" t="str">
        <f>IF(Z57="◎",COUNTIF($Z$30:Z57,"◎"),"")</f>
        <v/>
      </c>
      <c r="W57" s="388" t="str">
        <f>IF(B57="個別病床",はじめに入力してください!$K$50,IF(B57="共通使用",はじめに入力してください!$K$52,""))</f>
        <v/>
      </c>
      <c r="Y57" s="12">
        <v>28</v>
      </c>
      <c r="Z57" s="367" t="str">
        <f t="shared" si="3"/>
        <v>○</v>
      </c>
      <c r="AA57" s="388" t="str">
        <f t="shared" si="4"/>
        <v>整備しない場合は入力不要です。</v>
      </c>
    </row>
    <row r="58" spans="1:27">
      <c r="A58" s="12">
        <v>29</v>
      </c>
      <c r="B58" s="6"/>
      <c r="C58" s="6"/>
      <c r="D58" s="6"/>
      <c r="E58" s="10"/>
      <c r="F58" s="7"/>
      <c r="G58" s="531"/>
      <c r="H58" s="15">
        <f t="shared" si="0"/>
        <v>0</v>
      </c>
      <c r="I58" s="4">
        <f t="shared" si="1"/>
        <v>0</v>
      </c>
      <c r="J58" s="9"/>
      <c r="K58" s="4">
        <f t="shared" si="2"/>
        <v>0</v>
      </c>
      <c r="L58" s="5" t="str">
        <f>IF(Z58="◎",COUNTIF($Z$30:Z58,"◎"),"")</f>
        <v/>
      </c>
      <c r="W58" s="388" t="str">
        <f>IF(B58="個別病床",はじめに入力してください!$K$50,IF(B58="共通使用",はじめに入力してください!$K$52,""))</f>
        <v/>
      </c>
      <c r="Y58" s="12">
        <v>29</v>
      </c>
      <c r="Z58" s="367" t="str">
        <f t="shared" si="3"/>
        <v>○</v>
      </c>
      <c r="AA58" s="388" t="str">
        <f t="shared" si="4"/>
        <v>整備しない場合は入力不要です。</v>
      </c>
    </row>
    <row r="59" spans="1:27">
      <c r="A59" s="12">
        <v>30</v>
      </c>
      <c r="B59" s="6"/>
      <c r="C59" s="6"/>
      <c r="D59" s="6"/>
      <c r="E59" s="10"/>
      <c r="F59" s="7"/>
      <c r="G59" s="531"/>
      <c r="H59" s="15">
        <f t="shared" si="0"/>
        <v>0</v>
      </c>
      <c r="I59" s="4">
        <f t="shared" si="1"/>
        <v>0</v>
      </c>
      <c r="J59" s="9"/>
      <c r="K59" s="4">
        <f t="shared" si="2"/>
        <v>0</v>
      </c>
      <c r="L59" s="5" t="str">
        <f>IF(Z59="◎",COUNTIF($Z$30:Z59,"◎"),"")</f>
        <v/>
      </c>
      <c r="W59" s="388" t="str">
        <f>IF(B59="個別病床",はじめに入力してください!$K$50,IF(B59="共通使用",はじめに入力してください!$K$52,""))</f>
        <v/>
      </c>
      <c r="Y59" s="12">
        <v>30</v>
      </c>
      <c r="Z59" s="367" t="str">
        <f t="shared" si="3"/>
        <v>○</v>
      </c>
      <c r="AA59" s="388" t="str">
        <f t="shared" si="4"/>
        <v>整備しない場合は入力不要です。</v>
      </c>
    </row>
    <row r="60" spans="1:27">
      <c r="A60" s="12">
        <v>31</v>
      </c>
      <c r="B60" s="6"/>
      <c r="C60" s="6"/>
      <c r="D60" s="6"/>
      <c r="E60" s="10"/>
      <c r="F60" s="7"/>
      <c r="G60" s="531"/>
      <c r="H60" s="15">
        <f t="shared" si="0"/>
        <v>0</v>
      </c>
      <c r="I60" s="4">
        <f t="shared" si="1"/>
        <v>0</v>
      </c>
      <c r="J60" s="9"/>
      <c r="K60" s="4">
        <f t="shared" si="2"/>
        <v>0</v>
      </c>
      <c r="L60" s="5" t="str">
        <f>IF(Z60="◎",COUNTIF($Z$30:Z60,"◎"),"")</f>
        <v/>
      </c>
      <c r="W60" s="388" t="str">
        <f>IF(B60="個別病床",はじめに入力してください!$K$50,IF(B60="共通使用",はじめに入力してください!$K$52,""))</f>
        <v/>
      </c>
      <c r="Y60" s="12">
        <v>31</v>
      </c>
      <c r="Z60" s="367" t="str">
        <f t="shared" si="3"/>
        <v>○</v>
      </c>
      <c r="AA60" s="388" t="str">
        <f t="shared" si="4"/>
        <v>整備しない場合は入力不要です。</v>
      </c>
    </row>
    <row r="61" spans="1:27">
      <c r="A61" s="12">
        <v>32</v>
      </c>
      <c r="B61" s="6"/>
      <c r="C61" s="6"/>
      <c r="D61" s="6"/>
      <c r="E61" s="10"/>
      <c r="F61" s="7"/>
      <c r="G61" s="531"/>
      <c r="H61" s="15">
        <f t="shared" si="0"/>
        <v>0</v>
      </c>
      <c r="I61" s="4">
        <f t="shared" si="1"/>
        <v>0</v>
      </c>
      <c r="J61" s="9"/>
      <c r="K61" s="4">
        <f t="shared" si="2"/>
        <v>0</v>
      </c>
      <c r="L61" s="5" t="str">
        <f>IF(Z61="◎",COUNTIF($Z$30:Z61,"◎"),"")</f>
        <v/>
      </c>
      <c r="W61" s="388" t="str">
        <f>IF(B61="個別病床",はじめに入力してください!$K$50,IF(B61="共通使用",はじめに入力してください!$K$52,""))</f>
        <v/>
      </c>
      <c r="Y61" s="12">
        <v>32</v>
      </c>
      <c r="Z61" s="367" t="str">
        <f t="shared" si="3"/>
        <v>○</v>
      </c>
      <c r="AA61" s="388" t="str">
        <f t="shared" si="4"/>
        <v>整備しない場合は入力不要です。</v>
      </c>
    </row>
    <row r="62" spans="1:27">
      <c r="A62" s="12">
        <v>33</v>
      </c>
      <c r="B62" s="6"/>
      <c r="C62" s="6"/>
      <c r="D62" s="6"/>
      <c r="E62" s="10"/>
      <c r="F62" s="7"/>
      <c r="G62" s="531"/>
      <c r="H62" s="15">
        <f t="shared" si="0"/>
        <v>0</v>
      </c>
      <c r="I62" s="4">
        <f t="shared" si="1"/>
        <v>0</v>
      </c>
      <c r="J62" s="9"/>
      <c r="K62" s="4">
        <f t="shared" si="2"/>
        <v>0</v>
      </c>
      <c r="L62" s="5" t="str">
        <f>IF(Z62="◎",COUNTIF($Z$30:Z62,"◎"),"")</f>
        <v/>
      </c>
      <c r="W62" s="388" t="str">
        <f>IF(B62="個別病床",はじめに入力してください!$K$50,IF(B62="共通使用",はじめに入力してください!$K$52,""))</f>
        <v/>
      </c>
      <c r="Y62" s="12">
        <v>33</v>
      </c>
      <c r="Z62" s="367" t="str">
        <f t="shared" si="3"/>
        <v>○</v>
      </c>
      <c r="AA62" s="388" t="str">
        <f t="shared" si="4"/>
        <v>整備しない場合は入力不要です。</v>
      </c>
    </row>
    <row r="63" spans="1:27">
      <c r="A63" s="12">
        <v>34</v>
      </c>
      <c r="B63" s="6"/>
      <c r="C63" s="6"/>
      <c r="D63" s="6"/>
      <c r="E63" s="10"/>
      <c r="F63" s="7"/>
      <c r="G63" s="531"/>
      <c r="H63" s="15">
        <f t="shared" si="0"/>
        <v>0</v>
      </c>
      <c r="I63" s="4">
        <f t="shared" si="1"/>
        <v>0</v>
      </c>
      <c r="J63" s="9"/>
      <c r="K63" s="4">
        <f t="shared" si="2"/>
        <v>0</v>
      </c>
      <c r="L63" s="5" t="str">
        <f>IF(Z63="◎",COUNTIF($Z$30:Z63,"◎"),"")</f>
        <v/>
      </c>
      <c r="W63" s="388" t="str">
        <f>IF(B63="個別病床",はじめに入力してください!$K$50,IF(B63="共通使用",はじめに入力してください!$K$52,""))</f>
        <v/>
      </c>
      <c r="Y63" s="12">
        <v>34</v>
      </c>
      <c r="Z63" s="367" t="str">
        <f t="shared" si="3"/>
        <v>○</v>
      </c>
      <c r="AA63" s="388" t="str">
        <f t="shared" si="4"/>
        <v>整備しない場合は入力不要です。</v>
      </c>
    </row>
    <row r="64" spans="1:27">
      <c r="A64" s="12">
        <v>35</v>
      </c>
      <c r="B64" s="6"/>
      <c r="C64" s="6"/>
      <c r="D64" s="6"/>
      <c r="E64" s="10"/>
      <c r="F64" s="7"/>
      <c r="G64" s="531"/>
      <c r="H64" s="15">
        <f t="shared" si="0"/>
        <v>0</v>
      </c>
      <c r="I64" s="4">
        <f t="shared" si="1"/>
        <v>0</v>
      </c>
      <c r="J64" s="9"/>
      <c r="K64" s="4">
        <f t="shared" si="2"/>
        <v>0</v>
      </c>
      <c r="L64" s="5" t="str">
        <f>IF(Z64="◎",COUNTIF($Z$30:Z64,"◎"),"")</f>
        <v/>
      </c>
      <c r="W64" s="388" t="str">
        <f>IF(B64="個別病床",はじめに入力してください!$K$50,IF(B64="共通使用",はじめに入力してください!$K$52,""))</f>
        <v/>
      </c>
      <c r="Y64" s="12">
        <v>35</v>
      </c>
      <c r="Z64" s="367" t="str">
        <f t="shared" si="3"/>
        <v>○</v>
      </c>
      <c r="AA64" s="388" t="str">
        <f t="shared" si="4"/>
        <v>整備しない場合は入力不要です。</v>
      </c>
    </row>
    <row r="65" spans="1:27">
      <c r="A65" s="12">
        <v>36</v>
      </c>
      <c r="B65" s="6"/>
      <c r="C65" s="6"/>
      <c r="D65" s="6"/>
      <c r="E65" s="10"/>
      <c r="F65" s="7"/>
      <c r="G65" s="531"/>
      <c r="H65" s="15">
        <f t="shared" si="0"/>
        <v>0</v>
      </c>
      <c r="I65" s="4">
        <f t="shared" si="1"/>
        <v>0</v>
      </c>
      <c r="J65" s="9"/>
      <c r="K65" s="4">
        <f t="shared" si="2"/>
        <v>0</v>
      </c>
      <c r="L65" s="5" t="str">
        <f>IF(Z65="◎",COUNTIF($Z$30:Z65,"◎"),"")</f>
        <v/>
      </c>
      <c r="W65" s="388" t="str">
        <f>IF(B65="個別病床",はじめに入力してください!$K$50,IF(B65="共通使用",はじめに入力してください!$K$52,""))</f>
        <v/>
      </c>
      <c r="Y65" s="12">
        <v>36</v>
      </c>
      <c r="Z65" s="367" t="str">
        <f t="shared" si="3"/>
        <v>○</v>
      </c>
      <c r="AA65" s="388" t="str">
        <f t="shared" si="4"/>
        <v>整備しない場合は入力不要です。</v>
      </c>
    </row>
    <row r="66" spans="1:27">
      <c r="A66" s="12">
        <v>37</v>
      </c>
      <c r="B66" s="6"/>
      <c r="C66" s="6"/>
      <c r="D66" s="6"/>
      <c r="E66" s="10"/>
      <c r="F66" s="7"/>
      <c r="G66" s="531"/>
      <c r="H66" s="15">
        <f t="shared" si="0"/>
        <v>0</v>
      </c>
      <c r="I66" s="4">
        <f t="shared" si="1"/>
        <v>0</v>
      </c>
      <c r="J66" s="9"/>
      <c r="K66" s="4">
        <f t="shared" si="2"/>
        <v>0</v>
      </c>
      <c r="L66" s="5" t="str">
        <f>IF(Z66="◎",COUNTIF($Z$30:Z66,"◎"),"")</f>
        <v/>
      </c>
      <c r="W66" s="388" t="str">
        <f>IF(B66="個別病床",はじめに入力してください!$K$50,IF(B66="共通使用",はじめに入力してください!$K$52,""))</f>
        <v/>
      </c>
      <c r="Y66" s="12">
        <v>37</v>
      </c>
      <c r="Z66" s="367" t="str">
        <f t="shared" si="3"/>
        <v>○</v>
      </c>
      <c r="AA66" s="388" t="str">
        <f t="shared" si="4"/>
        <v>整備しない場合は入力不要です。</v>
      </c>
    </row>
    <row r="67" spans="1:27">
      <c r="A67" s="12">
        <v>38</v>
      </c>
      <c r="B67" s="6"/>
      <c r="C67" s="6"/>
      <c r="D67" s="6"/>
      <c r="E67" s="10"/>
      <c r="F67" s="7"/>
      <c r="G67" s="531"/>
      <c r="H67" s="15">
        <f t="shared" si="0"/>
        <v>0</v>
      </c>
      <c r="I67" s="4">
        <f t="shared" si="1"/>
        <v>0</v>
      </c>
      <c r="J67" s="9"/>
      <c r="K67" s="4">
        <f t="shared" si="2"/>
        <v>0</v>
      </c>
      <c r="L67" s="5" t="str">
        <f>IF(Z67="◎",COUNTIF($Z$30:Z67,"◎"),"")</f>
        <v/>
      </c>
      <c r="W67" s="388" t="str">
        <f>IF(B67="個別病床",はじめに入力してください!$K$50,IF(B67="共通使用",はじめに入力してください!$K$52,""))</f>
        <v/>
      </c>
      <c r="Y67" s="12">
        <v>38</v>
      </c>
      <c r="Z67" s="367" t="str">
        <f t="shared" si="3"/>
        <v>○</v>
      </c>
      <c r="AA67" s="388" t="str">
        <f t="shared" si="4"/>
        <v>整備しない場合は入力不要です。</v>
      </c>
    </row>
    <row r="68" spans="1:27">
      <c r="A68" s="12">
        <v>39</v>
      </c>
      <c r="B68" s="6"/>
      <c r="C68" s="6"/>
      <c r="D68" s="6"/>
      <c r="E68" s="10"/>
      <c r="F68" s="7"/>
      <c r="G68" s="531"/>
      <c r="H68" s="15">
        <f t="shared" si="0"/>
        <v>0</v>
      </c>
      <c r="I68" s="4">
        <f t="shared" si="1"/>
        <v>0</v>
      </c>
      <c r="J68" s="9"/>
      <c r="K68" s="4">
        <f t="shared" si="2"/>
        <v>0</v>
      </c>
      <c r="L68" s="5" t="str">
        <f>IF(Z68="◎",COUNTIF($Z$30:Z68,"◎"),"")</f>
        <v/>
      </c>
      <c r="W68" s="388" t="str">
        <f>IF(B68="個別病床",はじめに入力してください!$K$50,IF(B68="共通使用",はじめに入力してください!$K$52,""))</f>
        <v/>
      </c>
      <c r="Y68" s="12">
        <v>39</v>
      </c>
      <c r="Z68" s="367" t="str">
        <f t="shared" si="3"/>
        <v>○</v>
      </c>
      <c r="AA68" s="388" t="str">
        <f t="shared" si="4"/>
        <v>整備しない場合は入力不要です。</v>
      </c>
    </row>
    <row r="69" spans="1:27">
      <c r="A69" s="12">
        <v>40</v>
      </c>
      <c r="B69" s="6"/>
      <c r="C69" s="6"/>
      <c r="D69" s="6"/>
      <c r="E69" s="10"/>
      <c r="F69" s="7"/>
      <c r="G69" s="531"/>
      <c r="H69" s="15">
        <f t="shared" si="0"/>
        <v>0</v>
      </c>
      <c r="I69" s="4">
        <f t="shared" si="1"/>
        <v>0</v>
      </c>
      <c r="J69" s="9"/>
      <c r="K69" s="4">
        <f t="shared" si="2"/>
        <v>0</v>
      </c>
      <c r="L69" s="5" t="str">
        <f>IF(Z69="◎",COUNTIF($Z$30:Z69,"◎"),"")</f>
        <v/>
      </c>
      <c r="W69" s="388" t="str">
        <f>IF(B69="個別病床",はじめに入力してください!$K$50,IF(B69="共通使用",はじめに入力してください!$K$52,""))</f>
        <v/>
      </c>
      <c r="Y69" s="12">
        <v>40</v>
      </c>
      <c r="Z69" s="367" t="str">
        <f t="shared" si="3"/>
        <v>○</v>
      </c>
      <c r="AA69" s="388" t="str">
        <f t="shared" si="4"/>
        <v>整備しない場合は入力不要です。</v>
      </c>
    </row>
    <row r="70" spans="1:27">
      <c r="A70" s="12">
        <v>41</v>
      </c>
      <c r="B70" s="6"/>
      <c r="C70" s="6"/>
      <c r="D70" s="6"/>
      <c r="E70" s="10"/>
      <c r="F70" s="7"/>
      <c r="G70" s="531"/>
      <c r="H70" s="15">
        <f t="shared" si="0"/>
        <v>0</v>
      </c>
      <c r="I70" s="4">
        <f t="shared" si="1"/>
        <v>0</v>
      </c>
      <c r="J70" s="9"/>
      <c r="K70" s="4">
        <f t="shared" si="2"/>
        <v>0</v>
      </c>
      <c r="L70" s="5" t="str">
        <f>IF(Z70="◎",COUNTIF($Z$30:Z70,"◎"),"")</f>
        <v/>
      </c>
      <c r="W70" s="388" t="str">
        <f>IF(B70="個別病床",はじめに入力してください!$K$50,IF(B70="共通使用",はじめに入力してください!$K$52,""))</f>
        <v/>
      </c>
      <c r="Y70" s="12">
        <v>41</v>
      </c>
      <c r="Z70" s="367" t="str">
        <f t="shared" si="3"/>
        <v>○</v>
      </c>
      <c r="AA70" s="388" t="str">
        <f t="shared" si="4"/>
        <v>整備しない場合は入力不要です。</v>
      </c>
    </row>
    <row r="71" spans="1:27">
      <c r="A71" s="12">
        <v>42</v>
      </c>
      <c r="B71" s="6"/>
      <c r="C71" s="6"/>
      <c r="D71" s="6"/>
      <c r="E71" s="10"/>
      <c r="F71" s="7"/>
      <c r="G71" s="531"/>
      <c r="H71" s="15">
        <f t="shared" si="0"/>
        <v>0</v>
      </c>
      <c r="I71" s="4">
        <f t="shared" si="1"/>
        <v>0</v>
      </c>
      <c r="J71" s="9"/>
      <c r="K71" s="4">
        <f t="shared" si="2"/>
        <v>0</v>
      </c>
      <c r="L71" s="5" t="str">
        <f>IF(Z71="◎",COUNTIF($Z$30:Z71,"◎"),"")</f>
        <v/>
      </c>
      <c r="W71" s="388" t="str">
        <f>IF(B71="個別病床",はじめに入力してください!$K$50,IF(B71="共通使用",はじめに入力してください!$K$52,""))</f>
        <v/>
      </c>
      <c r="Y71" s="12">
        <v>42</v>
      </c>
      <c r="Z71" s="367" t="str">
        <f t="shared" si="3"/>
        <v>○</v>
      </c>
      <c r="AA71" s="388" t="str">
        <f t="shared" si="4"/>
        <v>整備しない場合は入力不要です。</v>
      </c>
    </row>
    <row r="72" spans="1:27">
      <c r="A72" s="12">
        <v>43</v>
      </c>
      <c r="B72" s="6"/>
      <c r="C72" s="6"/>
      <c r="D72" s="6"/>
      <c r="E72" s="10"/>
      <c r="F72" s="7"/>
      <c r="G72" s="531"/>
      <c r="H72" s="15">
        <f t="shared" si="0"/>
        <v>0</v>
      </c>
      <c r="I72" s="4">
        <f t="shared" si="1"/>
        <v>0</v>
      </c>
      <c r="J72" s="9"/>
      <c r="K72" s="4">
        <f t="shared" si="2"/>
        <v>0</v>
      </c>
      <c r="L72" s="5" t="str">
        <f>IF(Z72="◎",COUNTIF($Z$30:Z72,"◎"),"")</f>
        <v/>
      </c>
      <c r="W72" s="388" t="str">
        <f>IF(B72="個別病床",はじめに入力してください!$K$50,IF(B72="共通使用",はじめに入力してください!$K$52,""))</f>
        <v/>
      </c>
      <c r="Y72" s="12">
        <v>43</v>
      </c>
      <c r="Z72" s="367" t="str">
        <f t="shared" si="3"/>
        <v>○</v>
      </c>
      <c r="AA72" s="388" t="str">
        <f t="shared" si="4"/>
        <v>整備しない場合は入力不要です。</v>
      </c>
    </row>
    <row r="73" spans="1:27">
      <c r="A73" s="12">
        <v>44</v>
      </c>
      <c r="B73" s="6"/>
      <c r="C73" s="6"/>
      <c r="D73" s="6"/>
      <c r="E73" s="10"/>
      <c r="F73" s="7"/>
      <c r="G73" s="531"/>
      <c r="H73" s="15">
        <f t="shared" si="0"/>
        <v>0</v>
      </c>
      <c r="I73" s="4">
        <f t="shared" si="1"/>
        <v>0</v>
      </c>
      <c r="J73" s="9"/>
      <c r="K73" s="4">
        <f t="shared" si="2"/>
        <v>0</v>
      </c>
      <c r="L73" s="5" t="str">
        <f>IF(Z73="◎",COUNTIF($Z$30:Z73,"◎"),"")</f>
        <v/>
      </c>
      <c r="W73" s="388" t="str">
        <f>IF(B73="個別病床",はじめに入力してください!$K$50,IF(B73="共通使用",はじめに入力してください!$K$52,""))</f>
        <v/>
      </c>
      <c r="Y73" s="12">
        <v>44</v>
      </c>
      <c r="Z73" s="367" t="str">
        <f t="shared" si="3"/>
        <v>○</v>
      </c>
      <c r="AA73" s="388" t="str">
        <f t="shared" si="4"/>
        <v>整備しない場合は入力不要です。</v>
      </c>
    </row>
    <row r="74" spans="1:27">
      <c r="A74" s="12">
        <v>45</v>
      </c>
      <c r="B74" s="6"/>
      <c r="C74" s="6"/>
      <c r="D74" s="6"/>
      <c r="E74" s="10"/>
      <c r="F74" s="7"/>
      <c r="G74" s="531"/>
      <c r="H74" s="15">
        <f t="shared" si="0"/>
        <v>0</v>
      </c>
      <c r="I74" s="4">
        <f t="shared" si="1"/>
        <v>0</v>
      </c>
      <c r="J74" s="9"/>
      <c r="K74" s="4">
        <f t="shared" si="2"/>
        <v>0</v>
      </c>
      <c r="L74" s="5" t="str">
        <f>IF(Z74="◎",COUNTIF($Z$30:Z74,"◎"),"")</f>
        <v/>
      </c>
      <c r="W74" s="388" t="str">
        <f>IF(B74="個別病床",はじめに入力してください!$K$50,IF(B74="共通使用",はじめに入力してください!$K$52,""))</f>
        <v/>
      </c>
      <c r="Y74" s="12">
        <v>45</v>
      </c>
      <c r="Z74" s="367" t="str">
        <f t="shared" si="3"/>
        <v>○</v>
      </c>
      <c r="AA74" s="388" t="str">
        <f t="shared" si="4"/>
        <v>整備しない場合は入力不要です。</v>
      </c>
    </row>
  </sheetData>
  <mergeCells count="24">
    <mergeCell ref="K1:M1"/>
    <mergeCell ref="B22:L22"/>
    <mergeCell ref="B2:D3"/>
    <mergeCell ref="Z3:Z5"/>
    <mergeCell ref="AA3:AA5"/>
    <mergeCell ref="Z7:Z8"/>
    <mergeCell ref="AA7:AA8"/>
    <mergeCell ref="B10:L10"/>
    <mergeCell ref="B13:L13"/>
    <mergeCell ref="B14:L14"/>
    <mergeCell ref="B15:L15"/>
    <mergeCell ref="B18:L21"/>
    <mergeCell ref="B7:L7"/>
    <mergeCell ref="B9:C9"/>
    <mergeCell ref="B12:L12"/>
    <mergeCell ref="B11:L11"/>
    <mergeCell ref="B26:L26"/>
    <mergeCell ref="Z27:Z28"/>
    <mergeCell ref="AA27:AA28"/>
    <mergeCell ref="B28:D28"/>
    <mergeCell ref="E28:F28"/>
    <mergeCell ref="G28:J28"/>
    <mergeCell ref="K28:K29"/>
    <mergeCell ref="L28:L29"/>
  </mergeCells>
  <phoneticPr fontId="9"/>
  <conditionalFormatting sqref="Z29:Z1048576 Z1:Z2 Z9:Z21 Z6:Z7 Z23:Z27">
    <cfRule type="containsText" dxfId="5" priority="8" operator="containsText" text="×">
      <formula>NOT(ISERROR(SEARCH("×",Z1)))</formula>
    </cfRule>
  </conditionalFormatting>
  <conditionalFormatting sqref="AA1:AA2 AA9:AA21 AA29:AA1048576 AA6:AA7 AA23:AA27">
    <cfRule type="containsText" dxfId="4" priority="7" operator="containsText" text="要修正">
      <formula>NOT(ISERROR(SEARCH("要修正",AA1)))</formula>
    </cfRule>
  </conditionalFormatting>
  <conditionalFormatting sqref="Z22">
    <cfRule type="containsText" dxfId="3" priority="6" operator="containsText" text="×">
      <formula>NOT(ISERROR(SEARCH("×",Z22)))</formula>
    </cfRule>
  </conditionalFormatting>
  <conditionalFormatting sqref="AA22">
    <cfRule type="containsText" dxfId="2" priority="5" operator="containsText" text="要修正">
      <formula>NOT(ISERROR(SEARCH("要修正",AA22)))</formula>
    </cfRule>
  </conditionalFormatting>
  <conditionalFormatting sqref="Z3:Z4">
    <cfRule type="containsText" dxfId="1" priority="2" operator="containsText" text="×">
      <formula>NOT(ISERROR(SEARCH("×",Z3)))</formula>
    </cfRule>
  </conditionalFormatting>
  <conditionalFormatting sqref="AA3:AA4">
    <cfRule type="containsText" dxfId="0" priority="1" operator="containsText" text="要修正">
      <formula>NOT(ISERROR(SEARCH("要修正",AA3)))</formula>
    </cfRule>
  </conditionalFormatting>
  <dataValidations xWindow="1045" yWindow="798" count="10">
    <dataValidation type="list" allowBlank="1" showInputMessage="1" showErrorMessage="1" promptTitle="補助対象の該当非該当" prompt="コロナ対応病床の初度設備に係る経費が対象となります。_x000a_共用部分の設備、備品や医療用消耗品等は補助対象外なので「対象外」を選択してください。_x000a_審査において確認、対象外と認めたものについては対象外として補正をお願いする場合があります。" sqref="J30:J74" xr:uid="{3FF92992-577F-410E-B0FD-498668A3E72D}">
      <formula1>"補助対象,補助対象外"</formula1>
    </dataValidation>
    <dataValidation allowBlank="1" showInputMessage="1" showErrorMessage="1" promptTitle="金額の表示" prompt="数式が入力されているため、自動計算されます。" sqref="K30:K74 I30:I74" xr:uid="{4F4DBC9B-1F92-472C-97B6-14F74D0C422C}"/>
    <dataValidation allowBlank="1" showInputMessage="1" showErrorMessage="1" promptTitle="添付書類番号" prompt="種類、規格、数量、単価が全て適切に入力され、右の「判定」が「◎」と表示されると自動で番号が表示されます。" sqref="L30:L74" xr:uid="{3F23D8F6-3B5E-48C9-8BC1-189E9B5A1F2F}"/>
    <dataValidation allowBlank="1" showInputMessage="1" showErrorMessage="1" promptTitle="単価の入力" prompt="税抜額または税込額のいずれかを入力してください。_x000a_入力しない方は「0」は入力せず、空欄としてください。" sqref="H30:H74" xr:uid="{BC019538-F348-476F-A528-11A41C736939}"/>
    <dataValidation allowBlank="1" showInputMessage="1" showErrorMessage="1" promptTitle="規格及び数量の入力" prompt="補助対象経費を計上する際、いずれも入力してください。" sqref="E30:E74" xr:uid="{A9BB7D50-5CCB-4278-8046-519557EC4506}"/>
    <dataValidation allowBlank="1" showInputMessage="1" showErrorMessage="1" promptTitle="補助対象金額" prompt="補助対象額×（見積書金額-割引額）/見積書金額_x000a_で算出されます。" sqref="J3" xr:uid="{00000000-0002-0000-1C00-000005000000}"/>
    <dataValidation type="whole" operator="greaterThanOrEqual" allowBlank="1" showInputMessage="1" showErrorMessage="1" promptTitle="割引額がある場合は入力" prompt="割引がない場合は「0円」のままとしてください。" sqref="I3" xr:uid="{00000000-0002-0000-1C00-000006000000}">
      <formula1>0</formula1>
    </dataValidation>
    <dataValidation type="list" allowBlank="1" showInputMessage="1" showErrorMessage="1" promptTitle="設備、備品、その他の別を選択" prompt="当該行に記載する品目が_x000a_・「設備」（設備本体）_x000a_・備品（本体設備と別の構成をなすもの）_x000a_・その他（上記の該当しないもの）_x000a_の別をプルダウンから選択してください。" sqref="D30:D74" xr:uid="{255EF3EC-B761-41DD-BEE5-85E4DFF308E6}">
      <formula1>"設備,備品,その他"</formula1>
    </dataValidation>
    <dataValidation type="decimal" operator="greaterThanOrEqual" allowBlank="1" showInputMessage="1" showErrorMessage="1" promptTitle="単価の入力" prompt="税抜額または税込額のいずれかを入力してください。_x000a_入力しない方は「0」は入力せず、空欄としてください。" sqref="G30:G74" xr:uid="{DEBF60E7-7623-487E-BC3A-61A664270D05}">
      <formula1>0</formula1>
    </dataValidation>
    <dataValidation type="whole" operator="greaterThanOrEqual" allowBlank="1" showInputMessage="1" showErrorMessage="1" errorTitle="数値のみを入力してください。" error="「個」、「枚」等の単位入力は不要です。" promptTitle="規格及び数量の入力" prompt="補助対象経費を計上する際、いずれも入力してください。" sqref="F30:F74" xr:uid="{ADABAFB7-3F19-4AAB-A472-D5968BF482EB}">
      <formula1>0</formula1>
    </dataValidation>
  </dataValidations>
  <pageMargins left="0.7" right="0.7" top="0.75" bottom="0.75" header="0.3" footer="0.3"/>
  <pageSetup paperSize="9" scale="55" orientation="portrait" r:id="rId1"/>
  <drawing r:id="rId2"/>
  <legacyDrawing r:id="rId3"/>
  <extLst>
    <ext xmlns:x14="http://schemas.microsoft.com/office/spreadsheetml/2009/9/main" uri="{CCE6A557-97BC-4b89-ADB6-D9C93CAAB3DF}">
      <x14:dataValidations xmlns:xm="http://schemas.microsoft.com/office/excel/2006/main" xWindow="1045" yWindow="798" count="3">
        <x14:dataValidation type="list" allowBlank="1" showInputMessage="1" showErrorMessage="1" promptTitle="配備先の別を選択" prompt="確保病床の共通使用のものか、個別のベッドに配備するものか選択してください。" xr:uid="{5CE13CB9-1059-4F32-9F73-C80FC2E77BDA}">
          <x14:formula1>
            <xm:f>テーブル!$X$48:$X$49</xm:f>
          </x14:formula1>
          <xm:sqref>B30:B74</xm:sqref>
        </x14:dataValidation>
        <x14:dataValidation type="list" allowBlank="1" showInputMessage="1" showErrorMessage="1" promptTitle="「用途先」病床の選択（左の「病床」を選択しないと表示されません。" prompt="ベッドに必ずしも紐付けるものではありませんが、１病床１台で紐付けした場合、整備する病床に番号付けをした場合の番号を選択してください。" xr:uid="{4ECBB9EE-1DA8-4974-8A27-9EE33973CA33}">
          <x14:formula1>
            <xm:f>OFFSET(テーブル!$X$48, 0, MATCH(B30,テーブル!$Y$47:$Z$47,0), COUNTA(OFFSET(テーブル!$X$48,0,MATCH(B30,テーブル!$Y$47:$Z$47,0),$W$30,1)),1)</xm:f>
          </x14:formula1>
          <xm:sqref>C30:C74</xm:sqref>
        </x14:dataValidation>
        <x14:dataValidation type="list" allowBlank="1" showInputMessage="1" showErrorMessage="1" xr:uid="{00000000-0002-0000-1C00-000008000000}">
          <x14:formula1>
            <xm:f>テーブル!$M$37:$M$51</xm:f>
          </x14:formula1>
          <xm:sqref>B2:D2</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29D81-6B6E-4DC1-8A94-FF9E56023991}">
  <sheetPr>
    <tabColor rgb="FFFF0000"/>
  </sheetPr>
  <dimension ref="A1:E11"/>
  <sheetViews>
    <sheetView showGridLines="0" view="pageBreakPreview" zoomScale="60" zoomScaleNormal="100" workbookViewId="0">
      <selection activeCell="C24" sqref="C24"/>
    </sheetView>
  </sheetViews>
  <sheetFormatPr defaultColWidth="9" defaultRowHeight="16.5"/>
  <cols>
    <col min="1" max="1" width="9" style="355"/>
    <col min="2" max="3" width="50.625" style="356" customWidth="1"/>
    <col min="4" max="5" width="50.625" style="355" customWidth="1"/>
    <col min="6" max="16384" width="9" style="355"/>
  </cols>
  <sheetData>
    <row r="1" spans="1:5">
      <c r="E1" s="357" t="str">
        <f>IF(OR(はじめに入力してください!H6="",はじめに入力してください!H10=""),"",はじめに入力してください!H6&amp;"（"&amp;はじめに入力してください!H10&amp;"）")</f>
        <v/>
      </c>
    </row>
    <row r="2" spans="1:5" ht="25.5">
      <c r="A2" s="2170" t="str">
        <f>"令和５年度入院医療機関設備整備費補助金（"&amp;表紙!X2&amp;"）に係る審査意見書"</f>
        <v>令和５年度入院医療機関設備整備費補助金（交付申請兼実績報告）に係る審査意見書</v>
      </c>
      <c r="B2" s="2170"/>
      <c r="C2" s="2170"/>
      <c r="D2" s="2170"/>
      <c r="E2" s="2170"/>
    </row>
    <row r="4" spans="1:5" ht="120" customHeight="1">
      <c r="A4" s="2171" t="str">
        <f>"【御担当者様へ】
○標記補助金に係る（"&amp;表紙!X2&amp;"）をご提出いただきありがとうございました。
○本補助金は全額、公金である国庫を原資としており、これを用いての設備整備は低廉かつ必要最小限であること及び、本県として当該原資により補助金を交付するにあたっては左記の妥当性について確認した上で、国に対し説明する責任を負います。
○上記に伴う形で補助金を活用して整備を行う医療機関（補助事業者）におかれても、実施しようとする整備の内容及び妥当性について説明する義務がありますことを御確認いただいた上で、以下の確認事項についてご回答をいただきますようお願いします。"</f>
        <v>【御担当者様へ】
○標記補助金に係る（交付申請兼実績報告）をご提出いただきありがとうございました。
○本補助金は全額、公金である国庫を原資としており、これを用いての設備整備は低廉かつ必要最小限であること及び、本県として当該原資により補助金を交付するにあたっては左記の妥当性について確認した上で、国に対し説明する責任を負います。
○上記に伴う形で補助金を活用して整備を行う医療機関（補助事業者）におかれても、実施しようとする整備の内容及び妥当性について説明する義務がありますことを御確認いただいた上で、以下の確認事項についてご回答をいただきますようお願いします。</v>
      </c>
      <c r="B4" s="2171"/>
      <c r="C4" s="2171"/>
      <c r="D4" s="2171"/>
      <c r="E4" s="2171"/>
    </row>
    <row r="6" spans="1:5" s="360" customFormat="1" ht="19.5">
      <c r="A6" s="358" t="s">
        <v>1263</v>
      </c>
      <c r="B6" s="359" t="s">
        <v>1264</v>
      </c>
      <c r="C6" s="359" t="s">
        <v>1265</v>
      </c>
      <c r="D6" s="358" t="s">
        <v>1266</v>
      </c>
      <c r="E6" s="358" t="s">
        <v>1267</v>
      </c>
    </row>
    <row r="7" spans="1:5" s="363" customFormat="1" ht="19.5">
      <c r="A7" s="361">
        <v>1</v>
      </c>
      <c r="B7" s="362"/>
      <c r="C7" s="362"/>
      <c r="D7" s="362"/>
      <c r="E7" s="362"/>
    </row>
    <row r="8" spans="1:5" ht="19.5">
      <c r="A8" s="359">
        <v>2</v>
      </c>
      <c r="B8" s="362"/>
      <c r="C8" s="362"/>
      <c r="D8" s="362"/>
      <c r="E8" s="364"/>
    </row>
    <row r="9" spans="1:5" ht="19.5">
      <c r="A9" s="359">
        <v>3</v>
      </c>
      <c r="B9" s="362"/>
      <c r="C9" s="362"/>
      <c r="D9" s="362"/>
      <c r="E9" s="365"/>
    </row>
    <row r="10" spans="1:5" ht="19.5">
      <c r="A10" s="359">
        <v>4</v>
      </c>
      <c r="B10" s="362"/>
      <c r="C10" s="362"/>
      <c r="D10" s="362"/>
      <c r="E10" s="365"/>
    </row>
    <row r="11" spans="1:5" ht="19.5">
      <c r="A11" s="359">
        <v>5</v>
      </c>
      <c r="B11" s="362"/>
      <c r="C11" s="362"/>
      <c r="D11" s="362"/>
      <c r="E11" s="365"/>
    </row>
  </sheetData>
  <mergeCells count="2">
    <mergeCell ref="A2:E2"/>
    <mergeCell ref="A4:E4"/>
  </mergeCells>
  <phoneticPr fontId="9"/>
  <pageMargins left="0.7" right="0.7" top="0.75" bottom="0.75" header="0.3" footer="0.3"/>
  <pageSetup paperSize="9" scale="38" orientation="portrait" copies="0"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rgb="FFFFC000"/>
    <pageSetUpPr fitToPage="1"/>
  </sheetPr>
  <dimension ref="A1:AR227"/>
  <sheetViews>
    <sheetView showGridLines="0" tabSelected="1" view="pageBreakPreview" zoomScale="60" zoomScaleNormal="100" workbookViewId="0">
      <selection activeCell="H48" sqref="H48:N48"/>
    </sheetView>
  </sheetViews>
  <sheetFormatPr defaultColWidth="9" defaultRowHeight="16.5"/>
  <cols>
    <col min="1" max="1" width="8.625" style="105" customWidth="1"/>
    <col min="2" max="2" width="3.625" style="818" customWidth="1"/>
    <col min="3" max="7" width="6.125" style="818" customWidth="1"/>
    <col min="8" max="14" width="6.125" style="112" customWidth="1"/>
    <col min="15" max="15" width="10.625" style="109" customWidth="1"/>
    <col min="16" max="16" width="6.125" style="817" customWidth="1"/>
    <col min="17" max="28" width="6.125" style="818" customWidth="1"/>
    <col min="29" max="29" width="10.625" style="818" customWidth="1"/>
    <col min="30" max="30" width="3.625" style="818" customWidth="1"/>
    <col min="31" max="31" width="15.625" style="129" customWidth="1"/>
    <col min="32" max="32" width="15.625" style="818" customWidth="1"/>
    <col min="33" max="35" width="10.25" style="818" customWidth="1"/>
    <col min="36" max="36" width="40.625" style="817" customWidth="1"/>
    <col min="37" max="37" width="9" style="818"/>
    <col min="38" max="38" width="9" style="818" customWidth="1"/>
    <col min="39" max="16384" width="9" style="818"/>
  </cols>
  <sheetData>
    <row r="1" spans="2:40" ht="90" customHeight="1">
      <c r="B1" s="784"/>
      <c r="C1" s="907" t="s">
        <v>412</v>
      </c>
      <c r="D1" s="907"/>
      <c r="E1" s="907"/>
      <c r="F1" s="907"/>
      <c r="G1" s="907"/>
      <c r="H1" s="907"/>
      <c r="I1" s="907"/>
      <c r="J1" s="907"/>
      <c r="K1" s="907"/>
      <c r="L1" s="907"/>
      <c r="M1" s="907"/>
      <c r="N1" s="907"/>
      <c r="O1" s="907"/>
      <c r="P1" s="907"/>
      <c r="Q1" s="907"/>
      <c r="R1" s="907"/>
      <c r="S1" s="907"/>
      <c r="T1" s="907"/>
      <c r="U1" s="907"/>
      <c r="V1" s="907"/>
      <c r="W1" s="907"/>
      <c r="X1" s="907"/>
      <c r="Y1" s="907"/>
      <c r="Z1" s="907"/>
      <c r="AA1" s="907"/>
      <c r="AB1" s="907"/>
      <c r="AC1" s="784"/>
      <c r="AD1" s="784"/>
      <c r="AE1" s="125"/>
    </row>
    <row r="2" spans="2:40" ht="30" customHeight="1">
      <c r="B2" s="777"/>
      <c r="C2" s="908" t="s">
        <v>58</v>
      </c>
      <c r="D2" s="909"/>
      <c r="E2" s="909"/>
      <c r="F2" s="909"/>
      <c r="G2" s="910"/>
      <c r="H2" s="908" t="s">
        <v>59</v>
      </c>
      <c r="I2" s="909"/>
      <c r="J2" s="909"/>
      <c r="K2" s="909"/>
      <c r="L2" s="909"/>
      <c r="M2" s="909"/>
      <c r="N2" s="910"/>
      <c r="O2" s="121" t="s">
        <v>60</v>
      </c>
      <c r="P2" s="911" t="s">
        <v>61</v>
      </c>
      <c r="Q2" s="912"/>
      <c r="R2" s="912"/>
      <c r="S2" s="912"/>
      <c r="T2" s="912"/>
      <c r="U2" s="912"/>
      <c r="V2" s="912"/>
      <c r="W2" s="912"/>
      <c r="X2" s="912"/>
      <c r="Y2" s="912"/>
      <c r="Z2" s="912"/>
      <c r="AA2" s="912"/>
      <c r="AB2" s="913"/>
      <c r="AC2" s="784"/>
      <c r="AD2" s="784"/>
      <c r="AE2" s="126"/>
    </row>
    <row r="3" spans="2:40" ht="30" customHeight="1">
      <c r="B3" s="838" t="s">
        <v>1002</v>
      </c>
      <c r="C3" s="852" t="s">
        <v>62</v>
      </c>
      <c r="D3" s="853"/>
      <c r="E3" s="853"/>
      <c r="F3" s="853"/>
      <c r="G3" s="853"/>
      <c r="H3" s="903" t="s">
        <v>63</v>
      </c>
      <c r="I3" s="914"/>
      <c r="J3" s="914"/>
      <c r="K3" s="914"/>
      <c r="L3" s="914"/>
      <c r="M3" s="914"/>
      <c r="N3" s="914"/>
      <c r="O3" s="874" t="str">
        <f xml:space="preserve">
IF(AND(AM3="×",AM4="×",AM5="×"),"×",
IF(AND(AM3="×",AM4="×",AM5="○"),"○"&amp;CHAR(10)&amp;"（公立）",
IF(AND(AM3="×",AM4="○",AM5="×"),"○"&amp;CHAR(10)&amp;"（個人）",
IF(AND(AM3="×",AM4="○",AM5="○"),"×",
IF(AND(AM3="○",AM4="×",AM5="×"),"○"&amp;CHAR(10)&amp;"（法人）",
IF(AND(AM3="○",AM4="×",AM5="○"),"×",
IF(AND(AM3="○",AM4="○",AM5="×"),"×",
IF(AND(AM3="○",AM4="○",AM5="○"),"×",
))))))))</f>
        <v>×</v>
      </c>
      <c r="P3" s="870" t="str">
        <f xml:space="preserve">
IF(AND(AM3="×",AM4="×",AM5="×"),"【要修正】いずれかのボックスにチェックしてください。",
IF(AND(AM3="×",AM4="×",AM5="○"),"適切に入力がされました。",
IF(AND(AM3="×",AM4="○",AM5="×"),"適切に入力がされました。",
IF(AND(AM3="×",AM4="○",AM5="○"),"【要修正】複数のボックスにチェックされています。（いずれか１つのみチェックしてください。）",
IF(AND(AM3="○",AM4="×",AM5="×"),"適切に入力がされました。",
IF(AND(AM3="○",AM4="×",AM5="○"),"【要修正】複数のボックスにチェックされています。（いずれか１つのみチェックしてください。）",
IF(AND(AM3="○",AM4="○",AM5="×"),"【要修正】複数のボックスにチェックされています。（いずれか１つのみチェックしてください。）",
IF(AND(AM3="○",AM4="○",AM5="○"),"【要修正】全てのボックスにチェックされています。（いずれか１つのみチェックしてください。）",
))))))))</f>
        <v>【要修正】いずれかのボックスにチェックしてください。</v>
      </c>
      <c r="Q3" s="875"/>
      <c r="R3" s="875"/>
      <c r="S3" s="875"/>
      <c r="T3" s="875"/>
      <c r="U3" s="875"/>
      <c r="V3" s="875"/>
      <c r="W3" s="875"/>
      <c r="X3" s="851"/>
      <c r="Y3" s="851"/>
      <c r="Z3" s="851"/>
      <c r="AA3" s="851"/>
      <c r="AB3" s="851"/>
      <c r="AC3" s="784"/>
      <c r="AD3" s="784"/>
      <c r="AE3" s="916" t="str">
        <f>IF(OR(O3="○"&amp;CHAR(10)&amp;"（法人）",O3="○"&amp;CHAR(10)&amp;"（個人）"),"",C3&amp;"/")</f>
        <v>法人・個人事業主の別/</v>
      </c>
      <c r="AF3" s="829" t="s">
        <v>1112</v>
      </c>
      <c r="AM3" s="123" t="str">
        <f>IF(AN3=TRUE,"○","×")</f>
        <v>×</v>
      </c>
      <c r="AN3" s="124" t="b">
        <v>0</v>
      </c>
    </row>
    <row r="4" spans="2:40" ht="30" customHeight="1">
      <c r="B4" s="838"/>
      <c r="C4" s="852"/>
      <c r="D4" s="853"/>
      <c r="E4" s="853"/>
      <c r="F4" s="853"/>
      <c r="G4" s="853"/>
      <c r="H4" s="892" t="s">
        <v>64</v>
      </c>
      <c r="I4" s="917"/>
      <c r="J4" s="917"/>
      <c r="K4" s="917"/>
      <c r="L4" s="917"/>
      <c r="M4" s="917"/>
      <c r="N4" s="917"/>
      <c r="O4" s="874"/>
      <c r="P4" s="870"/>
      <c r="Q4" s="875"/>
      <c r="R4" s="875"/>
      <c r="S4" s="875"/>
      <c r="T4" s="875"/>
      <c r="U4" s="875"/>
      <c r="V4" s="875"/>
      <c r="W4" s="875"/>
      <c r="X4" s="851"/>
      <c r="Y4" s="851"/>
      <c r="Z4" s="851"/>
      <c r="AA4" s="851"/>
      <c r="AB4" s="851"/>
      <c r="AC4" s="784"/>
      <c r="AD4" s="784"/>
      <c r="AE4" s="916"/>
      <c r="AF4" s="830"/>
      <c r="AM4" s="123" t="str">
        <f>IF(AN4=TRUE,"○","×")</f>
        <v>×</v>
      </c>
      <c r="AN4" s="124" t="b">
        <v>0</v>
      </c>
    </row>
    <row r="5" spans="2:40" ht="30" customHeight="1">
      <c r="B5" s="838"/>
      <c r="C5" s="852"/>
      <c r="D5" s="853"/>
      <c r="E5" s="853"/>
      <c r="F5" s="853"/>
      <c r="G5" s="853"/>
      <c r="H5" s="893" t="s">
        <v>65</v>
      </c>
      <c r="I5" s="918"/>
      <c r="J5" s="918"/>
      <c r="K5" s="918"/>
      <c r="L5" s="918"/>
      <c r="M5" s="918"/>
      <c r="N5" s="918"/>
      <c r="O5" s="874"/>
      <c r="P5" s="875"/>
      <c r="Q5" s="875"/>
      <c r="R5" s="875"/>
      <c r="S5" s="875"/>
      <c r="T5" s="875"/>
      <c r="U5" s="875"/>
      <c r="V5" s="875"/>
      <c r="W5" s="875"/>
      <c r="X5" s="851"/>
      <c r="Y5" s="851"/>
      <c r="Z5" s="851"/>
      <c r="AA5" s="851"/>
      <c r="AB5" s="851"/>
      <c r="AC5" s="784"/>
      <c r="AD5" s="784"/>
      <c r="AE5" s="916"/>
      <c r="AF5" s="831"/>
      <c r="AM5" s="123" t="str">
        <f>IF(AN5=TRUE,"○","×")</f>
        <v>×</v>
      </c>
      <c r="AN5" s="124" t="b">
        <v>0</v>
      </c>
    </row>
    <row r="6" spans="2:40" ht="30" customHeight="1">
      <c r="B6" s="838"/>
      <c r="C6" s="852" t="s">
        <v>66</v>
      </c>
      <c r="D6" s="853"/>
      <c r="E6" s="853"/>
      <c r="F6" s="853"/>
      <c r="G6" s="853"/>
      <c r="H6" s="849"/>
      <c r="I6" s="906"/>
      <c r="J6" s="906"/>
      <c r="K6" s="906"/>
      <c r="L6" s="906"/>
      <c r="M6" s="906"/>
      <c r="N6" s="906"/>
      <c r="O6" s="106" t="str">
        <f>IF(COUNTA(H6)=0,"×","○")</f>
        <v>×</v>
      </c>
      <c r="P6" s="835" t="str">
        <f>IF(O6="×","【要修正】法人の場合は法人名、個人事業主の場合は屋号を入力してください。","適切に入力がされました。")</f>
        <v>【要修正】法人の場合は法人名、個人事業主の場合は屋号を入力してください。</v>
      </c>
      <c r="Q6" s="850"/>
      <c r="R6" s="850"/>
      <c r="S6" s="850"/>
      <c r="T6" s="850"/>
      <c r="U6" s="850"/>
      <c r="V6" s="850"/>
      <c r="W6" s="850"/>
      <c r="X6" s="851"/>
      <c r="Y6" s="851"/>
      <c r="Z6" s="851"/>
      <c r="AA6" s="851"/>
      <c r="AB6" s="851"/>
      <c r="AC6" s="784"/>
      <c r="AD6" s="784"/>
      <c r="AE6" s="127" t="str">
        <f>IF(O6="○","",C6&amp;"/")</f>
        <v>事業者名（法人名または屋号）/</v>
      </c>
      <c r="AF6" s="776" t="str">
        <f t="shared" ref="AF6:AF11" si="0">DBCS(H6)</f>
        <v/>
      </c>
      <c r="AG6" s="109" t="str">
        <f>IF(AF12&lt;VLOOKUP(表紙!$X$2,テーブル!$E$25:$G$31,2,FALSE),"○","×")</f>
        <v>×</v>
      </c>
    </row>
    <row r="7" spans="2:40" ht="30" customHeight="1">
      <c r="B7" s="838"/>
      <c r="C7" s="852" t="s">
        <v>67</v>
      </c>
      <c r="D7" s="853"/>
      <c r="E7" s="853"/>
      <c r="F7" s="853"/>
      <c r="G7" s="853"/>
      <c r="H7" s="849"/>
      <c r="I7" s="906"/>
      <c r="J7" s="906"/>
      <c r="K7" s="906"/>
      <c r="L7" s="906"/>
      <c r="M7" s="906"/>
      <c r="N7" s="906"/>
      <c r="O7" s="106" t="str">
        <f>IF(COUNTA(H7)=0,"×","○")</f>
        <v>×</v>
      </c>
      <c r="P7" s="835" t="str">
        <f>IF(O7="×","【要修正】代表者の職名（「理事長」等）を入力してください。","適切に入力がされました。")</f>
        <v>【要修正】代表者の職名（「理事長」等）を入力してください。</v>
      </c>
      <c r="Q7" s="850"/>
      <c r="R7" s="850"/>
      <c r="S7" s="850"/>
      <c r="T7" s="850"/>
      <c r="U7" s="850"/>
      <c r="V7" s="850"/>
      <c r="W7" s="850"/>
      <c r="X7" s="851"/>
      <c r="Y7" s="851"/>
      <c r="Z7" s="851"/>
      <c r="AA7" s="851"/>
      <c r="AB7" s="851"/>
      <c r="AC7" s="784"/>
      <c r="AE7" s="127" t="str">
        <f>IF(O7="○","",C7&amp;"/")</f>
        <v>代表者役職/</v>
      </c>
      <c r="AF7" s="776" t="str">
        <f t="shared" si="0"/>
        <v/>
      </c>
    </row>
    <row r="8" spans="2:40" ht="30" customHeight="1">
      <c r="B8" s="838"/>
      <c r="C8" s="852" t="s">
        <v>71</v>
      </c>
      <c r="D8" s="853"/>
      <c r="E8" s="853"/>
      <c r="F8" s="853"/>
      <c r="G8" s="853"/>
      <c r="H8" s="849"/>
      <c r="I8" s="906"/>
      <c r="J8" s="906"/>
      <c r="K8" s="906"/>
      <c r="L8" s="906"/>
      <c r="M8" s="906"/>
      <c r="N8" s="906"/>
      <c r="O8" s="106" t="str">
        <f>IF(COUNTA(H8)=0,"×","○")</f>
        <v>×</v>
      </c>
      <c r="P8" s="835" t="str">
        <f>IF(O8="×","【要修正】代表者の氏名（例：「愛知　太郎」）を入力してください。","適切に入力がされました。")</f>
        <v>【要修正】代表者の氏名（例：「愛知　太郎」）を入力してください。</v>
      </c>
      <c r="Q8" s="850"/>
      <c r="R8" s="850"/>
      <c r="S8" s="850"/>
      <c r="T8" s="850"/>
      <c r="U8" s="850"/>
      <c r="V8" s="850"/>
      <c r="W8" s="850"/>
      <c r="X8" s="851"/>
      <c r="Y8" s="851"/>
      <c r="Z8" s="851"/>
      <c r="AA8" s="851"/>
      <c r="AB8" s="851"/>
      <c r="AC8" s="784"/>
      <c r="AE8" s="127" t="str">
        <f>IF(O8="○","",C8&amp;"/")</f>
        <v>代表者氏名/</v>
      </c>
      <c r="AF8" s="776" t="str">
        <f t="shared" si="0"/>
        <v/>
      </c>
    </row>
    <row r="9" spans="2:40" ht="30" customHeight="1">
      <c r="B9" s="838"/>
      <c r="C9" s="852" t="s">
        <v>1453</v>
      </c>
      <c r="D9" s="853"/>
      <c r="E9" s="853"/>
      <c r="F9" s="853"/>
      <c r="G9" s="853"/>
      <c r="H9" s="849"/>
      <c r="I9" s="906"/>
      <c r="J9" s="906"/>
      <c r="K9" s="906"/>
      <c r="L9" s="906"/>
      <c r="M9" s="906"/>
      <c r="N9" s="906"/>
      <c r="O9" s="106" t="str">
        <f>IF(COUNTA(H9)=0,"×","○")</f>
        <v>×</v>
      </c>
      <c r="P9" s="835" t="str">
        <f>IF(O9="×","【要修正】法人の場合は法人所在地、個人事業主の場合は貴医療機関の所在地を入力してください","適切に入力がされました。")</f>
        <v>【要修正】法人の場合は法人所在地、個人事業主の場合は貴医療機関の所在地を入力してください</v>
      </c>
      <c r="Q9" s="850"/>
      <c r="R9" s="850"/>
      <c r="S9" s="850"/>
      <c r="T9" s="850"/>
      <c r="U9" s="850"/>
      <c r="V9" s="850"/>
      <c r="W9" s="850"/>
      <c r="X9" s="851"/>
      <c r="Y9" s="851"/>
      <c r="Z9" s="851"/>
      <c r="AA9" s="851"/>
      <c r="AB9" s="851"/>
      <c r="AC9" s="784"/>
      <c r="AE9" s="127" t="str">
        <f>IF(O9="○","",C9&amp;"/")</f>
        <v>所在地（愛知県以下を入力）/</v>
      </c>
      <c r="AF9" s="776" t="str">
        <f t="shared" si="0"/>
        <v/>
      </c>
    </row>
    <row r="10" spans="2:40" ht="30" customHeight="1">
      <c r="B10" s="838"/>
      <c r="C10" s="852" t="s">
        <v>72</v>
      </c>
      <c r="D10" s="853"/>
      <c r="E10" s="853"/>
      <c r="F10" s="853"/>
      <c r="G10" s="853"/>
      <c r="H10" s="849"/>
      <c r="I10" s="906"/>
      <c r="J10" s="906"/>
      <c r="K10" s="906"/>
      <c r="L10" s="906"/>
      <c r="M10" s="906"/>
      <c r="N10" s="906"/>
      <c r="O10" s="106" t="str">
        <f xml:space="preserve">
IF(O3="×","×",
IF(AND(OR(O3="○"&amp;CHAR(10)&amp;"（個人）",O3="○"&amp;CHAR(10)&amp;"（法人）"),H10=""),"×",
IF(AND(O3="○"&amp;CHAR(10)&amp;"（法人）",H6=H10),"×",
IF(AND(O3="○"&amp;CHAR(10)&amp;"（法人）",H6&lt;&gt;H10),"○",
IF(AND(O3="○"&amp;CHAR(10)&amp;"（個人）",H6=H10),"○",
IF(AND(O3="○"&amp;CHAR(10)&amp;"（個人）",H6&lt;&gt;H10),"×",
IF(AND(O3="○"&amp;CHAR(10)&amp;"（公立）",H6=H10),"×",
IF(AND(O3="○"&amp;CHAR(10)&amp;"（公立）",H6&lt;&gt;H10),"○"
))))))))</f>
        <v>×</v>
      </c>
      <c r="P10" s="870" t="str">
        <f xml:space="preserve">
IF(O3="×","【要修正】「法人・個人事業主の別」の入力に問題があります。",
IF(AND(OR(O3="○"&amp;CHAR(10)&amp;"（個人）",O3="○"&amp;CHAR(10)&amp;"（法人）",O3="○"&amp;CHAR(10)&amp;"（公立）"),H10=""),"【要修正】医療機関の施設名称を入力してください。",
IF(AND(O3="○"&amp;CHAR(10)&amp;"（法人）",H6=H10),"【要修正】法人名ではなく、施設名を入力してください。（「医療法人」等は記載不要）",
IF(AND(O3="○"&amp;CHAR(10)&amp;"（法人）",H6&lt;&gt;H10),"適切に入力がされました。",
IF(AND(O3="○"&amp;CHAR(10)&amp;"（個人）",H6=H10),"適切に入力がされました。",
IF(AND(O3="○"&amp;CHAR(10)&amp;"（個人）",H6&lt;&gt;H10),"【要修正】個人事業主の場合は「事業者名」欄と一致するように入力してください。（コピー＆貼り付け入力推奨）",
IF(AND(O3="○"&amp;CHAR(10)&amp;"（公立）",H6=H10),"【要修正】自治体名ではなく、施設名を入力してください。（自治体名の記載は不要）",
IF(AND(O3="○"&amp;CHAR(10)&amp;"（公立）",H6&lt;&gt;H10),"適切に入力がされました。"
))))))))</f>
        <v>【要修正】「法人・個人事業主の別」の入力に問題があります。</v>
      </c>
      <c r="Q10" s="875"/>
      <c r="R10" s="875"/>
      <c r="S10" s="875"/>
      <c r="T10" s="875"/>
      <c r="U10" s="875"/>
      <c r="V10" s="875"/>
      <c r="W10" s="875"/>
      <c r="X10" s="851"/>
      <c r="Y10" s="851"/>
      <c r="Z10" s="851"/>
      <c r="AA10" s="851"/>
      <c r="AB10" s="851"/>
      <c r="AC10" s="784"/>
      <c r="AE10" s="127" t="str">
        <f xml:space="preserve">
IF(O3="×",C10,
IF(AND(OR(O3="○"&amp;CHAR(10)&amp;"（個人）",O3="○"&amp;CHAR(10)&amp;"（法人）",O3="○"&amp;CHAR(10)&amp;"（公立）"),H10=""),C10,
IF(AND(O3="○"&amp;CHAR(10)&amp;"（法人）",H6=H10),C10,
IF(AND(O3="○"&amp;CHAR(10)&amp;"（法人）",H6&lt;&gt;H10),"",
IF(AND(O3="○"&amp;CHAR(10)&amp;"（個人）",H6=H10),"",
IF(AND(O3="○"&amp;CHAR(10)&amp;"（個人）",H6&lt;&gt;H10),C10,
IF(AND(O3="○"&amp;CHAR(10)&amp;"（公立）",H6=H10),C10,
IF(AND(O3="○"&amp;CHAR(10)&amp;"（公立）",H6&lt;&gt;H10),""
))))))))</f>
        <v>施設の名称</v>
      </c>
      <c r="AF10" s="776" t="str">
        <f t="shared" si="0"/>
        <v/>
      </c>
    </row>
    <row r="11" spans="2:40" ht="30" customHeight="1">
      <c r="B11" s="838"/>
      <c r="C11" s="852" t="s">
        <v>1454</v>
      </c>
      <c r="D11" s="853"/>
      <c r="E11" s="853"/>
      <c r="F11" s="853"/>
      <c r="G11" s="853"/>
      <c r="H11" s="849"/>
      <c r="I11" s="906"/>
      <c r="J11" s="906"/>
      <c r="K11" s="906"/>
      <c r="L11" s="906"/>
      <c r="M11" s="906"/>
      <c r="N11" s="906"/>
      <c r="O11" s="106" t="str">
        <f>IF(COUNTA(H11)=0,"×","○")</f>
        <v>×</v>
      </c>
      <c r="P11" s="870" t="str">
        <f>IF(COUNTA(H11)=0,"【要修正】「施設の名称」欄に入力した施設の所在地を入力してください。","適切に入力がされました。")</f>
        <v>【要修正】「施設の名称」欄に入力した施設の所在地を入力してください。</v>
      </c>
      <c r="Q11" s="875"/>
      <c r="R11" s="875"/>
      <c r="S11" s="875"/>
      <c r="T11" s="875"/>
      <c r="U11" s="875"/>
      <c r="V11" s="875"/>
      <c r="W11" s="875"/>
      <c r="X11" s="875"/>
      <c r="Y11" s="875"/>
      <c r="Z11" s="875"/>
      <c r="AA11" s="875"/>
      <c r="AB11" s="875"/>
      <c r="AC11" s="107"/>
      <c r="AE11" s="127" t="str">
        <f t="shared" ref="AE11:AE17" si="1">IF(O11="○","",C11&amp;"/")</f>
        <v>施設所在地（愛知県以下を入力）/</v>
      </c>
      <c r="AF11" s="776" t="str">
        <f t="shared" si="0"/>
        <v/>
      </c>
    </row>
    <row r="12" spans="2:40" ht="30" customHeight="1">
      <c r="B12" s="838"/>
      <c r="C12" s="852" t="s">
        <v>75</v>
      </c>
      <c r="D12" s="853"/>
      <c r="E12" s="853"/>
      <c r="F12" s="853"/>
      <c r="G12" s="853"/>
      <c r="H12" s="767" t="s">
        <v>76</v>
      </c>
      <c r="I12" s="768">
        <f xml:space="preserve">
IF(表紙!$X$2="実績報告（１次）",5,
IF(OR(表紙!$X$2="交付申請兼実績報告",表紙!$X$2="実績報告（２次）"),6,))</f>
        <v>6</v>
      </c>
      <c r="J12" s="769" t="s">
        <v>77</v>
      </c>
      <c r="K12" s="768">
        <f xml:space="preserve">
IF(表紙!$X$2="実績報告（１次）",10,
IF(OR(表紙!$X$2="交付申請兼実績報告",表紙!$X$2="実績報告（２次）"),3,))</f>
        <v>3</v>
      </c>
      <c r="L12" s="769" t="s">
        <v>78</v>
      </c>
      <c r="M12" s="768">
        <v>31</v>
      </c>
      <c r="N12" s="770" t="s">
        <v>79</v>
      </c>
      <c r="O12" s="106" t="str">
        <f xml:space="preserve">
IF(OR(表紙!$X$2="事前協議",表紙!$X$2="交付申請（２次）",表紙!$X$2="変更申請",表紙!$X$2="交付申請兼実績報告"),
IF(OR(COUNTA(I12,K12,M12)&lt;&gt;3,AF12&lt;VLOOKUP(表紙!$X$2,テーブル!$E$25:$G$31,2,FALSE),AF12&gt;VLOOKUP(表紙!$X$2,テーブル!$E$25:$G$31,3,FALSE)),
"×",
IF(OR(COUNTA(I12,K12,M12)=3,AND(AF12&gt;=VLOOKUP(表紙!$X$2,テーブル!$E$25:$G$31,2,FALSE),AF12&lt;=VLOOKUP(表紙!$X$2,テーブル!$E$25:$G$31,3,FALSE))),
"○")),"")
&amp;
IF(OR(表紙!$X$2="実績報告（１次）",表紙!$X$2="実績報告（２次）"),
IF(はじめに入力してください!L18="","×",
IF(OR(COUNTIF(O30:O40,"×")&gt;=1,COUNTIF(P30:AB40,"適切に入力がされました。")=0),"×",
IF(OR(COUNTA(I12,K12,M12)&lt;&gt;3,AF12&lt;VLOOKUP(表紙!$X$2,テーブル!$E$25:$G$31,2,FALSE),AF12&gt;VLOOKUP(表紙!$X$2,テーブル!$E$25:$G$31,3,FALSE)),
"×",
IF(OR(COUNTA(I12,K12,M12)=3,AND(AF12&gt;=VLOOKUP(表紙!$X$2,テーブル!$E$25:$G$31,2,FALSE),AF12&lt;=VLOOKUP(表紙!$X$2,テーブル!$E$25:$G$31,3,FALSE))),
"○")))),"")</f>
        <v>○</v>
      </c>
      <c r="P12" s="915" t="str">
        <f xml:space="preserve">
IF(OR(表紙!$X$2="事前協議",表紙!$X$2="交付申請（２次）",表紙!$X$2="変更申請",表紙!$X$2="交付申請兼実績報告"),
IF(OR(COUNTA(I12,K12,M12)&lt;&gt;3,AF12&lt;VLOOKUP(表紙!$X$2,テーブル!$E$25:$G$31,2,FALSE),AF12&gt;VLOOKUP(表紙!$X$2,テーブル!$E$25:$G$31,3,FALSE)),
"【要修正】"&amp;TEXT(VLOOKUP(表紙!$X$2,テーブル!$E$25:$G$31,2,FALSE),"m月d日")&amp;"から"&amp;TEXT(VLOOKUP(表紙!$X$2,テーブル!$E$25:$G$31,3,FALSE),"m月d日")&amp;"までの日付を入力してください。",
IF(OR(COUNTA(I12,K12,M12)=3,AND(AF12&gt;=VLOOKUP(表紙!$X$2,テーブル!$E$25:$G$31,2,FALSE),AF12&lt;=VLOOKUP(表紙!$X$2,テーブル!$E$25:$G$31,3,FALSE))),
"適切に入力がされました。")),"")&amp;
IF(OR(表紙!$X$2="実績報告（１次）",表紙!$X$2="実績報告（２次）"),
IF(はじめに入力してください!L18="","【要修正】下段の「既交付決定通知番号」を入力してください。（入力すると、記入すべき日付の期間が本欄に表示されます。）",
IF(OR(COUNTIF(O30:O40,"×")&gt;=1,COUNTIF(P30:AB40,"適切に入力がされました。")=0),"【要修正】実績報告を行う品目に係る明細シートを全て完成させてください。",
IF(OR(COUNTA(I12,K12,M12)&lt;&gt;3,AF12&lt;VLOOKUP(表紙!$X$2,テーブル!$E$25:$G$31,2,FALSE),AF12&gt;VLOOKUP(表紙!$X$2,テーブル!$E$25:$G$31,3,FALSE)),
"【要修正】"&amp;TEXT(VLOOKUP(表紙!$X$2,テーブル!$E$25:$G$31,2,FALSE),"m月d日")&amp;"から"&amp;TEXT(VLOOKUP(表紙!$X$2,テーブル!$E$25:$G$31,3,FALSE),"m月d日")&amp;"までの日付を入力してください。",
IF(OR(COUNTA(I12,K12,M12)=3,AND(AF12&gt;=VLOOKUP(表紙!$X$2,テーブル!$E$25:$G$31,2,FALSE),AF12&lt;=VLOOKUP(表紙!$X$2,テーブル!$E$25:$G$31,3,FALSE))),
"適切に入力がされました。")))),"")</f>
        <v>適切に入力がされました。</v>
      </c>
      <c r="Q12" s="875"/>
      <c r="R12" s="875"/>
      <c r="S12" s="875"/>
      <c r="T12" s="875"/>
      <c r="U12" s="875"/>
      <c r="V12" s="875"/>
      <c r="W12" s="875"/>
      <c r="X12" s="875"/>
      <c r="Y12" s="875"/>
      <c r="Z12" s="875"/>
      <c r="AA12" s="875"/>
      <c r="AB12" s="875"/>
      <c r="AC12" s="107"/>
      <c r="AE12" s="127" t="str">
        <f t="shared" si="1"/>
        <v/>
      </c>
      <c r="AF12" s="675">
        <f>IF(COUNTA(I12,K12,M12)&lt;&gt;3,"",DATE(IF(I12=5,2023,IF(I12=6,2024)),K12,M12))</f>
        <v>45382</v>
      </c>
    </row>
    <row r="13" spans="2:40" ht="30" customHeight="1">
      <c r="B13" s="838"/>
      <c r="C13" s="852" t="s">
        <v>80</v>
      </c>
      <c r="D13" s="853"/>
      <c r="E13" s="853"/>
      <c r="F13" s="853"/>
      <c r="G13" s="853"/>
      <c r="H13" s="849"/>
      <c r="I13" s="906"/>
      <c r="J13" s="906"/>
      <c r="K13" s="906"/>
      <c r="L13" s="906"/>
      <c r="M13" s="906"/>
      <c r="N13" s="906"/>
      <c r="O13" s="106" t="s">
        <v>1400</v>
      </c>
      <c r="P13" s="870" t="s">
        <v>82</v>
      </c>
      <c r="Q13" s="875"/>
      <c r="R13" s="875"/>
      <c r="S13" s="875"/>
      <c r="T13" s="875"/>
      <c r="U13" s="875"/>
      <c r="V13" s="875"/>
      <c r="W13" s="875"/>
      <c r="X13" s="875"/>
      <c r="Y13" s="875"/>
      <c r="Z13" s="875"/>
      <c r="AA13" s="875"/>
      <c r="AB13" s="875"/>
      <c r="AC13" s="107"/>
      <c r="AE13" s="127" t="str">
        <f t="shared" si="1"/>
        <v/>
      </c>
      <c r="AF13" s="788" t="s">
        <v>1112</v>
      </c>
    </row>
    <row r="14" spans="2:40" ht="30" customHeight="1">
      <c r="B14" s="838"/>
      <c r="C14" s="852" t="s">
        <v>83</v>
      </c>
      <c r="D14" s="853"/>
      <c r="E14" s="853"/>
      <c r="F14" s="853"/>
      <c r="G14" s="853"/>
      <c r="H14" s="849"/>
      <c r="I14" s="906"/>
      <c r="J14" s="906"/>
      <c r="K14" s="906"/>
      <c r="L14" s="906"/>
      <c r="M14" s="906"/>
      <c r="N14" s="906"/>
      <c r="O14" s="106" t="str">
        <f>IF(COUNTA(H14)=0,"×","○")</f>
        <v>×</v>
      </c>
      <c r="P14" s="835" t="str">
        <f>IF(COUNTA(H14)=0,"【要修正】この申請をご担当される方が所属する部署名、部署を置いていない場合は職務（例：医師、事務等）を入力してください。","適切に入力がされました。")</f>
        <v>【要修正】この申請をご担当される方が所属する部署名、部署を置いていない場合は職務（例：医師、事務等）を入力してください。</v>
      </c>
      <c r="Q14" s="850"/>
      <c r="R14" s="850"/>
      <c r="S14" s="850"/>
      <c r="T14" s="850"/>
      <c r="U14" s="850"/>
      <c r="V14" s="850"/>
      <c r="W14" s="850"/>
      <c r="X14" s="851"/>
      <c r="Y14" s="851"/>
      <c r="Z14" s="851"/>
      <c r="AA14" s="851"/>
      <c r="AB14" s="851"/>
      <c r="AC14" s="784"/>
      <c r="AE14" s="127" t="str">
        <f t="shared" si="1"/>
        <v>担当部署/</v>
      </c>
      <c r="AF14" s="776" t="str">
        <f>DBCS(H14)</f>
        <v/>
      </c>
    </row>
    <row r="15" spans="2:40" ht="30" customHeight="1">
      <c r="B15" s="838"/>
      <c r="C15" s="852" t="s">
        <v>84</v>
      </c>
      <c r="D15" s="853"/>
      <c r="E15" s="853"/>
      <c r="F15" s="853"/>
      <c r="G15" s="853"/>
      <c r="H15" s="849"/>
      <c r="I15" s="906"/>
      <c r="J15" s="906"/>
      <c r="K15" s="906"/>
      <c r="L15" s="906"/>
      <c r="M15" s="906"/>
      <c r="N15" s="906"/>
      <c r="O15" s="106" t="str">
        <f>IF(COUNTA(H15)=0,"×","○")</f>
        <v>×</v>
      </c>
      <c r="P15" s="835" t="str">
        <f>IF(COUNTA(H15)=0,"【要修正】この申請をご担当される方の氏名（フルネーム）を入力してください。（例：愛知　太郎）","適切に入力がされました。")</f>
        <v>【要修正】この申請をご担当される方の氏名（フルネーム）を入力してください。（例：愛知　太郎）</v>
      </c>
      <c r="Q15" s="850"/>
      <c r="R15" s="850"/>
      <c r="S15" s="850"/>
      <c r="T15" s="850"/>
      <c r="U15" s="850"/>
      <c r="V15" s="850"/>
      <c r="W15" s="850"/>
      <c r="X15" s="851"/>
      <c r="Y15" s="851"/>
      <c r="Z15" s="851"/>
      <c r="AA15" s="851"/>
      <c r="AB15" s="851"/>
      <c r="AC15" s="784"/>
      <c r="AD15" s="784"/>
      <c r="AE15" s="127" t="str">
        <f t="shared" si="1"/>
        <v>担当者名/</v>
      </c>
      <c r="AF15" s="776" t="str">
        <f>DBCS(H15)</f>
        <v/>
      </c>
    </row>
    <row r="16" spans="2:40" ht="30" customHeight="1">
      <c r="B16" s="838"/>
      <c r="C16" s="852" t="s">
        <v>85</v>
      </c>
      <c r="D16" s="853"/>
      <c r="E16" s="853"/>
      <c r="F16" s="853"/>
      <c r="G16" s="853"/>
      <c r="H16" s="790"/>
      <c r="I16" s="771" t="s">
        <v>1279</v>
      </c>
      <c r="J16" s="772"/>
      <c r="K16" s="773" t="s">
        <v>1279</v>
      </c>
      <c r="L16" s="922"/>
      <c r="M16" s="923"/>
      <c r="N16" s="774"/>
      <c r="O16" s="106" t="str">
        <f>IF(SUM(COUNTA(H16),COUNTA(J16),COUNTA(L16))=3,"○","×")</f>
        <v>×</v>
      </c>
      <c r="P16" s="835" t="str">
        <f>IF(SUM(COUNTA(H16),COUNTA(J16),COUNTA(L16))=3,"適切に入力がされました。","【要修正】申請に関するやりとりをするための電話番号を入力してください。")</f>
        <v>【要修正】申請に関するやりとりをするための電話番号を入力してください。</v>
      </c>
      <c r="Q16" s="850"/>
      <c r="R16" s="850"/>
      <c r="S16" s="850"/>
      <c r="T16" s="850"/>
      <c r="U16" s="850"/>
      <c r="V16" s="850"/>
      <c r="W16" s="850"/>
      <c r="X16" s="851"/>
      <c r="Y16" s="851"/>
      <c r="Z16" s="851"/>
      <c r="AA16" s="851"/>
      <c r="AB16" s="851"/>
      <c r="AC16" s="784"/>
      <c r="AD16" s="784"/>
      <c r="AE16" s="127" t="str">
        <f t="shared" si="1"/>
        <v>電話番号（担当直通）/</v>
      </c>
      <c r="AF16" s="214" t="str">
        <f>ASC(H16)&amp;"-"&amp;ASC(J16)&amp;"-"&amp;ASC(L16)</f>
        <v>--</v>
      </c>
      <c r="AL16" s="818" t="s">
        <v>86</v>
      </c>
    </row>
    <row r="17" spans="2:38" ht="30" customHeight="1">
      <c r="B17" s="838"/>
      <c r="C17" s="852" t="s">
        <v>87</v>
      </c>
      <c r="D17" s="853"/>
      <c r="E17" s="853"/>
      <c r="F17" s="853"/>
      <c r="G17" s="853"/>
      <c r="H17" s="848"/>
      <c r="I17" s="849"/>
      <c r="J17" s="849"/>
      <c r="K17" s="849"/>
      <c r="L17" s="849"/>
      <c r="M17" s="849"/>
      <c r="N17" s="849"/>
      <c r="O17" s="106" t="str">
        <f>IF(COUNTA(H17)=0,"×","○")</f>
        <v>×</v>
      </c>
      <c r="P17" s="835" t="str">
        <f>IF(COUNTA(H17)=0,"【要修正】【重要：各種手続で用いるため間違えないように入力】申請に関するやりとりをするためのメールアドレスを入力してください。","適切に入力がされました。")</f>
        <v>【要修正】【重要：各種手続で用いるため間違えないように入力】申請に関するやりとりをするためのメールアドレスを入力してください。</v>
      </c>
      <c r="Q17" s="850"/>
      <c r="R17" s="850"/>
      <c r="S17" s="850"/>
      <c r="T17" s="850"/>
      <c r="U17" s="850"/>
      <c r="V17" s="850"/>
      <c r="W17" s="850"/>
      <c r="X17" s="851"/>
      <c r="Y17" s="851"/>
      <c r="Z17" s="851"/>
      <c r="AA17" s="851"/>
      <c r="AB17" s="851"/>
      <c r="AC17" s="784"/>
      <c r="AD17" s="784"/>
      <c r="AE17" s="127" t="str">
        <f t="shared" si="1"/>
        <v>Mailｱﾄﾞﾚｽ（担当直通）/</v>
      </c>
      <c r="AF17" s="214" t="str">
        <f>ASC(H17)</f>
        <v/>
      </c>
      <c r="AL17" s="818" t="s">
        <v>88</v>
      </c>
    </row>
    <row r="18" spans="2:38" ht="30" hidden="1" customHeight="1">
      <c r="B18" s="838"/>
      <c r="C18" s="852" t="str">
        <f xml:space="preserve">
IF(表紙!$X$2="事前協議","－",
IF(表紙!$X$2="交付申請（２次）","－",
IF(表紙!$X$2="変更申請","既交付決定通知番号",
IF(表紙!$X$2="実績報告（１次）","既交付決定通知番号",
IF(表紙!$X$2="実績報告（２次）","既交付決定通知番号",
IF(表紙!$X$2="交付申請兼実績報告","－"))))))</f>
        <v>－</v>
      </c>
      <c r="D18" s="853"/>
      <c r="E18" s="853"/>
      <c r="F18" s="853"/>
      <c r="G18" s="853"/>
      <c r="H18" s="874" t="s">
        <v>1001</v>
      </c>
      <c r="I18" s="884"/>
      <c r="J18" s="884"/>
      <c r="K18" s="884"/>
      <c r="L18" s="885">
        <v>21</v>
      </c>
      <c r="M18" s="886"/>
      <c r="N18" s="689" t="s">
        <v>89</v>
      </c>
      <c r="O18" s="106" t="str">
        <f xml:space="preserve">
IF(C18="－","○",
IF(AND(C18="既交付決定通知番号",COUNTA(L18)=0),"×",
IF(AND(C18="既交付決定通知番号",COUNTA(L18)=1),"○"
)))</f>
        <v>○</v>
      </c>
      <c r="P18" s="835" t="str">
        <f xml:space="preserve">
IF(C18="－",
"入力不要です。",
IF(AND(C18="既交付決定通知番号",COUNTA(L18)=0),
"【要修正】県から郵送された交付決定通知書を確認し、右肩に記載の番号をプルダウンから選択してください。",
IF(AND(C18="既交付決定通知番号",COUNTA(L18)=1),
"正常に入力がされました。"
)))</f>
        <v>入力不要です。</v>
      </c>
      <c r="Q18" s="851"/>
      <c r="R18" s="851"/>
      <c r="S18" s="851"/>
      <c r="T18" s="851"/>
      <c r="U18" s="851"/>
      <c r="V18" s="851"/>
      <c r="W18" s="851"/>
      <c r="X18" s="851"/>
      <c r="Y18" s="851"/>
      <c r="Z18" s="851"/>
      <c r="AA18" s="851"/>
      <c r="AB18" s="851"/>
      <c r="AC18" s="784"/>
      <c r="AD18" s="784"/>
      <c r="AE18" s="128" t="str">
        <f>IF(L18="","",IF(L18="新規","新規","入院第"&amp;L18&amp;"号"))</f>
        <v>入院第21号</v>
      </c>
      <c r="AF18" s="788" t="s">
        <v>1112</v>
      </c>
      <c r="AJ18" s="775" t="str">
        <f>IF(O18="○","",C18&amp;"/")</f>
        <v/>
      </c>
    </row>
    <row r="19" spans="2:38" ht="30" customHeight="1">
      <c r="B19" s="839" t="s">
        <v>1003</v>
      </c>
      <c r="C19" s="894" t="str">
        <f xml:space="preserve">
IF(表紙!$X$2="事前協議","金融機関番号",
IF(表紙!$X$2="交付申請（２次）","金融機関番号",
IF(表紙!$X$2="変更申請","－",
IF(表紙!$X$2="実績報告（１次）","－",
IF(表紙!$X$2="実績報告（２次）","－",
IF(表紙!$X$2="交付申請兼実績報告","金融機関番号"))))))</f>
        <v>金融機関番号</v>
      </c>
      <c r="D19" s="862"/>
      <c r="E19" s="862"/>
      <c r="F19" s="862"/>
      <c r="G19" s="862"/>
      <c r="H19" s="789"/>
      <c r="I19" s="789"/>
      <c r="J19" s="789"/>
      <c r="K19" s="789"/>
      <c r="L19" s="863"/>
      <c r="M19" s="863"/>
      <c r="N19" s="863"/>
      <c r="O19" s="779" t="str">
        <f xml:space="preserve">
IF(AND(表紙!$X$2="事前協議",COUNTA(H19:K19)=4),"○",
IF(AND(表紙!$X$2="事前協議",COUNTA(H19:K19)&lt;&gt;4),"×",
IF(AND(表紙!$X$2="交付申請（２次）",COUNTA(H19:K19)=4),"○",
IF(AND(表紙!$X$2="交付申請（２次）",COUNTA(H19:K19)&lt;&gt;4),"×",
IF(表紙!$X$2="変更申請","○",
IF(表紙!$X$2="実績報告（１次）","○",
IF(表紙!$X$2="実績報告（２次）","○",
IF(AND(表紙!$X$2="交付申請兼実績報告",COUNTA(H19:K19)=4),"○",
IF(AND(表紙!$X$2="交付申請兼実績報告",COUNTA(H19:K19)&lt;&gt;4),"×")))))))))</f>
        <v>×</v>
      </c>
      <c r="P19" s="859" t="str">
        <f xml:space="preserve">
IF(AND(表紙!$X$2="事前協議",COUNTA(H19:K19)=4),"適切に入力がされました。",
IF(AND(表紙!$X$2="事前協議",COUNTA(H19:K19)&lt;&gt;4),"【要修正】振込先口座の金融機関コード（４桁）を入力してください。",
IF(AND(表紙!$X$2="交付申請（２次）",COUNTA(H19:K19)=4),"適切に入力がされました。",
IF(AND(表紙!$X$2="交付申請（２次）",COUNTA(H19:K19)&lt;&gt;4),"要修正】振込先口座の金融機関コード（４桁）を入力してください。",
IF(表紙!$X$2="変更申請","－",
IF(表紙!$X$2="実績報告（１次）","入力不要です。",
IF(表紙!$X$2="実績報告（２次）","入力不要です。",
IF(AND(表紙!$X$2="交付申請兼実績報告",COUNTA(H19:K19)=4),"適切に入力がされました。",
IF(AND(表紙!$X$2="交付申請兼実績報告",COUNTA(H19:K19)&lt;&gt;4),"【要修正】振込先口座の金融機関コード（４桁）を入力してください。")))))))))</f>
        <v>【要修正】振込先口座の金融機関コード（４桁）を入力してください。</v>
      </c>
      <c r="Q19" s="860"/>
      <c r="R19" s="860"/>
      <c r="S19" s="860"/>
      <c r="T19" s="860"/>
      <c r="U19" s="860"/>
      <c r="V19" s="860"/>
      <c r="W19" s="860"/>
      <c r="X19" s="860"/>
      <c r="Y19" s="860"/>
      <c r="Z19" s="860"/>
      <c r="AA19" s="860"/>
      <c r="AB19" s="860"/>
      <c r="AC19" s="784"/>
      <c r="AD19" s="784"/>
      <c r="AE19" s="127" t="str">
        <f t="shared" ref="AE19:AE25" si="2">IF(O19="○","",C19&amp;"/")</f>
        <v>金融機関番号/</v>
      </c>
      <c r="AF19" s="214" t="str">
        <f>ASC(H19&amp;I19&amp;J19&amp;K19)</f>
        <v/>
      </c>
    </row>
    <row r="20" spans="2:38" ht="30" customHeight="1">
      <c r="B20" s="839"/>
      <c r="C20" s="894" t="str">
        <f xml:space="preserve">
IF(表紙!$X$2="事前協議","金融機関名",
IF(表紙!$X$2="交付申請（２次）","金融機関名",
IF(表紙!$X$2="変更申請","－",
IF(表紙!$X$2="実績報告（１次）","－",
IF(表紙!$X$2="実績報告（２次）","－",
IF(表紙!$X$2="交付申請兼実績報告","金融機関名"))))))</f>
        <v>金融機関名</v>
      </c>
      <c r="D20" s="862"/>
      <c r="E20" s="862"/>
      <c r="F20" s="862"/>
      <c r="G20" s="862"/>
      <c r="H20" s="904"/>
      <c r="I20" s="905"/>
      <c r="J20" s="905"/>
      <c r="K20" s="905"/>
      <c r="L20" s="905"/>
      <c r="M20" s="905"/>
      <c r="N20" s="905"/>
      <c r="O20" s="779" t="str">
        <f xml:space="preserve">
IF(AND(表紙!$X$2="事前協議",COUNTA(H20)=1),"○",
IF(AND(表紙!$X$2="事前協議",COUNTA(H20)&lt;&gt;1),"×",
IF(AND(表紙!$X$2="交付申請（２次）",COUNTA(H20)=1),"○",
IF(AND(表紙!$X$2="交付申請（２次）",COUNTA(H20)&lt;&gt;1),"×",
IF(表紙!$X$2="変更申請","○",
IF(表紙!$X$2="実績報告（１次）","○",
IF(表紙!$X$2="実績報告（２次）","○",
IF(AND(表紙!$X$2="交付申請兼実績報告",COUNTA(H20)=1),"○",
IF(AND(表紙!$X$2="交付申請兼実績報告",COUNTA(H20)&lt;&gt;1),"×")))))))))</f>
        <v>×</v>
      </c>
      <c r="P20" s="859" t="str">
        <f xml:space="preserve">
IF(AND(表紙!$X$2="事前協議",COUNTA(H20)=1),"適切に入力がされました。",
IF(AND(表紙!$X$2="事前協議",COUNTA(H20)&lt;&gt;1),"【要修正】振込先口座の金融機関名を入力してください。（「○○銀行」まで）",
IF(AND(表紙!$X$2="交付申請（２次）",COUNTA(H20)=1),"適切に入力がされました。",
IF(AND(表紙!$X$2="交付申請（２次）",COUNTA(H20)&lt;&gt;1),"【要修正】振込先口座の金融機関名を入力してください。（「○○銀行」まで）",
IF(表紙!$X$2="変更申請","－",
IF(表紙!$X$2="実績報告（１次）","入力不要です。（下段の「既交付決定番号」で選択した番号に基づき請求書に自動で表示されます。）",
IF(表紙!$X$2="実績報告（２次）","入力不要です。（下段の「既交付決定番号」で選択した番号に基づき請求書に自動で表示されます。）",
IF(AND(表紙!$X$2="交付申請兼実績報告",COUNTA(H20)=1),"適切に入力がされました。",
IF(AND(表紙!$X$2="交付申請兼実績報告",COUNTA(H20)&lt;&gt;1),"【要修正】振込先口座の金融機関名を入力してください。（「○○銀行」まで）")))))))))</f>
        <v>【要修正】振込先口座の金融機関名を入力してください。（「○○銀行」まで）</v>
      </c>
      <c r="Q20" s="860"/>
      <c r="R20" s="860"/>
      <c r="S20" s="860"/>
      <c r="T20" s="860"/>
      <c r="U20" s="860"/>
      <c r="V20" s="860"/>
      <c r="W20" s="860"/>
      <c r="X20" s="860"/>
      <c r="Y20" s="860"/>
      <c r="Z20" s="860"/>
      <c r="AA20" s="860"/>
      <c r="AB20" s="860"/>
      <c r="AC20" s="784"/>
      <c r="AD20" s="784"/>
      <c r="AE20" s="127" t="str">
        <f t="shared" si="2"/>
        <v>金融機関名/</v>
      </c>
      <c r="AF20" s="214" t="str">
        <f>ASC(H20)</f>
        <v/>
      </c>
    </row>
    <row r="21" spans="2:38" ht="30" customHeight="1">
      <c r="B21" s="839"/>
      <c r="C21" s="861" t="str">
        <f xml:space="preserve">
IF(表紙!$X$2="事前協議","支店番号",
IF(表紙!$X$2="交付申請（２次）","支店番号",
IF(表紙!$X$2="変更申請","－",
IF(表紙!$X$2="実績報告（１次）","－",
IF(表紙!$X$2="実績報告（２次）","－",
IF(表紙!$X$2="交付申請兼実績報告","支店番号"))))))</f>
        <v>支店番号</v>
      </c>
      <c r="D21" s="862"/>
      <c r="E21" s="862"/>
      <c r="F21" s="862"/>
      <c r="G21" s="862"/>
      <c r="H21" s="789"/>
      <c r="I21" s="789"/>
      <c r="J21" s="789"/>
      <c r="K21" s="863"/>
      <c r="L21" s="863"/>
      <c r="M21" s="863"/>
      <c r="N21" s="863"/>
      <c r="O21" s="779" t="str">
        <f xml:space="preserve">
IF(AND(表紙!$X$2="事前協議",COUNTA(H21:J21)=3),"○",
IF(AND(表紙!$X$2="事前協議",COUNTA(H21:J21)&lt;&gt;3),"×",
IF(AND(表紙!$X$2="交付申請（２次）",COUNTA(H21:J21)=3),"○",
IF(AND(表紙!$X$2="交付申請（２次）",COUNTA(H21:J21)&lt;&gt;3),"×",
IF(表紙!$X$2="変更申請","○",
IF(表紙!$X$2="実績報告（１次）","○",
IF(表紙!$X$2="実績報告（２次）","○",
IF(AND(表紙!$X$2="交付申請兼実績報告",COUNTA(H21:J21)=3),"○",
IF(AND(表紙!$X$2="交付申請兼実績報告",COUNTA(H21:J21)&lt;&gt;3),"×")))))))))</f>
        <v>×</v>
      </c>
      <c r="P21" s="859" t="str">
        <f xml:space="preserve">
IF(AND(表紙!$X$2="事前協議",COUNTA(H21:J21)=3),"適切に入力がされました。",
IF(AND(表紙!$X$2="事前協議",COUNTA(H21:J21)&lt;&gt;3),"【要修正】振込先口座の支店コード（３桁）を入力してください。",
IF(AND(表紙!$X$2="交付申請（２次）",COUNTA(H21:J21)=3),"適切に入力がされました。",
IF(AND(表紙!$X$2="交付申請（２次）",COUNTA(H21:J21)&lt;&gt;3),"【要修正】振込先口座の支店コード（３桁）を入力してください。",
IF(表紙!$X$2="変更申請","－",
IF(表紙!$X$2="実績報告（１次）","入力不要です。",
IF(表紙!$X$2="実績報告（２次）","入力不要です。",
IF(AND(表紙!$X$2="交付申請兼実績報告",COUNTA(H21:J21)=3),"適切に入力がされました。",
IF(AND(表紙!$X$2="交付申請兼実績報告",COUNTA(H21:J21)&lt;&gt;3),"【要修正】振込先口座の支店コード（３桁）を入力してください。")))))))))</f>
        <v>【要修正】振込先口座の支店コード（３桁）を入力してください。</v>
      </c>
      <c r="Q21" s="860"/>
      <c r="R21" s="860"/>
      <c r="S21" s="860"/>
      <c r="T21" s="860"/>
      <c r="U21" s="860"/>
      <c r="V21" s="860"/>
      <c r="W21" s="860"/>
      <c r="X21" s="860"/>
      <c r="Y21" s="860"/>
      <c r="Z21" s="860"/>
      <c r="AA21" s="860"/>
      <c r="AB21" s="860"/>
      <c r="AC21" s="784"/>
      <c r="AD21" s="784"/>
      <c r="AE21" s="127" t="str">
        <f t="shared" si="2"/>
        <v>支店番号/</v>
      </c>
      <c r="AF21" s="214" t="str">
        <f>ASC(H19&amp;I19&amp;J19&amp;K19&amp;H21&amp;I21&amp;J21)</f>
        <v/>
      </c>
    </row>
    <row r="22" spans="2:38" ht="30" customHeight="1">
      <c r="B22" s="839"/>
      <c r="C22" s="861" t="str">
        <f xml:space="preserve">
IF(表紙!$X$2="事前協議","支店名",
IF(表紙!$X$2="交付申請（２次）","支店名",
IF(表紙!$X$2="変更申請","－",
IF(表紙!$X$2="実績報告（１次）","－",
IF(表紙!$X$2="実績報告（２次）","－",
IF(表紙!$X$2="交付申請兼実績報告","支店名"))))))</f>
        <v>支店名</v>
      </c>
      <c r="D22" s="862"/>
      <c r="E22" s="862"/>
      <c r="F22" s="862"/>
      <c r="G22" s="862"/>
      <c r="H22" s="864"/>
      <c r="I22" s="865"/>
      <c r="J22" s="865"/>
      <c r="K22" s="865"/>
      <c r="L22" s="865"/>
      <c r="M22" s="865"/>
      <c r="N22" s="865"/>
      <c r="O22" s="779" t="str">
        <f xml:space="preserve">
IF(AND(表紙!$X$2="事前協議",COUNTA(H22)=1),"○",
IF(AND(表紙!$X$2="事前協議",COUNTA(H22)&lt;&gt;1),"×",
IF(AND(表紙!$X$2="交付申請（２次）",COUNTA(H22)=1),"○",
IF(AND(表紙!$X$2="交付申請（２次）",COUNTA(H22)&lt;&gt;1),"×",
IF(表紙!$X$2="変更申請","○",
IF(表紙!$X$2="実績報告（１次）","○",
IF(表紙!$X$2="実績報告（２次）","○",
IF(AND(表紙!$X$2="交付申請兼実績報告",COUNTA(H22)=1),"○",
IF(AND(表紙!$X$2="交付申請兼実績報告",COUNTA(H22)&lt;&gt;1),"×")))))))))</f>
        <v>×</v>
      </c>
      <c r="P22" s="859" t="str">
        <f xml:space="preserve">
IF(AND(表紙!$X$2="事前協議",COUNTA(H22)=1),"適切に入力がされました。",
IF(AND(表紙!$X$2="事前協議",COUNTA(H22)&lt;&gt;1),"【要修正】振込先口座の店名（支店名）を入力してください。",
IF(AND(表紙!$X$2="交付申請（２次）",COUNTA(H22)=1),"適切に入力がされました。",
IF(AND(表紙!$X$2="交付申請（２次）",COUNTA(H22)&lt;&gt;1),"【要修正】振込先口座の店名（支店名）を入力してください。",
IF(表紙!$X$2="変更申請","－",
IF(表紙!$X$2="実績報告（１次）","入力不要です。（下段の「既交付決定番号」で選択した番号に基づき請求書に自動で表示されます。）",
IF(表紙!$X$2="実績報告（２次）","入力不要です。（下段の「既交付決定番号」で選択した番号に基づき請求書に自動で表示されます。）",
IF(AND(表紙!$X$2="交付申請兼実績報告",COUNTA(H22)=1),"適切に入力がされました。",
IF(AND(表紙!$X$2="交付申請兼実績報告",COUNTA(H22)&lt;&gt;1),"【要修正】振込先口座の店名（支店名）を入力してください。")))))))))</f>
        <v>【要修正】振込先口座の店名（支店名）を入力してください。</v>
      </c>
      <c r="Q22" s="860"/>
      <c r="R22" s="860"/>
      <c r="S22" s="860"/>
      <c r="T22" s="860"/>
      <c r="U22" s="860"/>
      <c r="V22" s="860"/>
      <c r="W22" s="860"/>
      <c r="X22" s="860"/>
      <c r="Y22" s="860"/>
      <c r="Z22" s="860"/>
      <c r="AA22" s="860"/>
      <c r="AB22" s="860"/>
      <c r="AC22" s="784"/>
      <c r="AD22" s="784"/>
      <c r="AE22" s="127" t="str">
        <f t="shared" si="2"/>
        <v>支店名/</v>
      </c>
      <c r="AF22" s="214" t="str">
        <f>ASC(H22)</f>
        <v/>
      </c>
    </row>
    <row r="23" spans="2:38" ht="30" customHeight="1">
      <c r="B23" s="839"/>
      <c r="C23" s="894" t="str">
        <f xml:space="preserve">
IF(表紙!$X$2="事前協議","預金口座種別",
IF(表紙!$X$2="交付申請（２次）","預金口座種別",
IF(表紙!$X$2="変更申請","－",
IF(表紙!$X$2="実績報告（１次）","－",
IF(表紙!$X$2="実績報告（２次）","－",
IF(表紙!$X$2="交付申請兼実績報告","預金口座種別"))))))</f>
        <v>預金口座種別</v>
      </c>
      <c r="D23" s="862"/>
      <c r="E23" s="862"/>
      <c r="F23" s="862"/>
      <c r="G23" s="862"/>
      <c r="H23" s="789"/>
      <c r="I23" s="899" t="s">
        <v>519</v>
      </c>
      <c r="J23" s="899"/>
      <c r="K23" s="899"/>
      <c r="L23" s="899"/>
      <c r="M23" s="899"/>
      <c r="N23" s="899"/>
      <c r="O23" s="779" t="str">
        <f xml:space="preserve">
IF(AND(表紙!$X$2="事前協議",COUNTA(H23)=1),"○",
IF(AND(表紙!$X$2="事前協議",COUNTA(H23)&lt;&gt;1),"×",
IF(AND(表紙!$X$2="交付申請（２次）",COUNTA(H23)=1),"○",
IF(AND(表紙!$X$2="交付申請（２次）",COUNTA(H23)&lt;&gt;1),"×",
IF(表紙!$X$2="変更申請","○",
IF(表紙!$X$2="実績報告（１次）","○",
IF(表紙!$X$2="実績報告（２次）","○",
IF(AND(表紙!$X$2="交付申請兼実績報告",COUNTA(H23)=1),"○",
IF(AND(表紙!$X$2="交付申請兼実績報告",COUNTA(H23)&lt;&gt;1),"×")))))))))</f>
        <v>×</v>
      </c>
      <c r="P23" s="859" t="str">
        <f xml:space="preserve">
IF(AND(表紙!$X$2="事前協議",COUNTA(H23)=1),"適切に入力がされました。",
IF(AND(表紙!$X$2="事前協議",COUNTA(H23)&lt;&gt;1),"【要修正】預金口座種別を選択してください。",
IF(AND(表紙!$X$2="交付申請（２次）",COUNTA(H23)=1),"適切に入力がされました。",
IF(AND(表紙!$X$2="交付申請（２次）",COUNTA(H23)&lt;&gt;1),"【要修正】振預金口座種別を選択してください。",
IF(表紙!$X$2="変更申請","－",
IF(表紙!$X$2="実績報告（１次）","入力不要です。（下段の「既交付決定番号」で選択した番号に基づき請求書に自動で表示されます。）",
IF(表紙!$X$2="実績報告（２次）","入力不要です。（下段の「既交付決定番号」で選択した番号に基づき請求書に自動で表示されます。）",
IF(AND(表紙!$X$2="交付申請兼実績報告",COUNTA(H23)=1),"適切に入力がされました。",
IF(AND(表紙!$X$2="交付申請兼実績報告",COUNTA(H23)&lt;&gt;1),"【要修正】預金口座種別を選択してください。")))))))))</f>
        <v>【要修正】預金口座種別を選択してください。</v>
      </c>
      <c r="Q23" s="860"/>
      <c r="R23" s="860"/>
      <c r="S23" s="860"/>
      <c r="T23" s="860"/>
      <c r="U23" s="860"/>
      <c r="V23" s="860"/>
      <c r="W23" s="860"/>
      <c r="X23" s="860"/>
      <c r="Y23" s="860"/>
      <c r="Z23" s="860"/>
      <c r="AA23" s="860"/>
      <c r="AB23" s="860"/>
      <c r="AC23" s="784"/>
      <c r="AD23" s="784"/>
      <c r="AE23" s="127" t="str">
        <f t="shared" si="2"/>
        <v>預金口座種別/</v>
      </c>
      <c r="AF23" s="214" t="str">
        <f>ASC(H23)</f>
        <v/>
      </c>
    </row>
    <row r="24" spans="2:38" ht="30" customHeight="1">
      <c r="B24" s="839"/>
      <c r="C24" s="894" t="s">
        <v>1405</v>
      </c>
      <c r="D24" s="862"/>
      <c r="E24" s="862"/>
      <c r="F24" s="862"/>
      <c r="G24" s="862"/>
      <c r="H24" s="789"/>
      <c r="I24" s="789"/>
      <c r="J24" s="789"/>
      <c r="K24" s="789"/>
      <c r="L24" s="789"/>
      <c r="M24" s="789"/>
      <c r="N24" s="789"/>
      <c r="O24" s="779" t="str">
        <f xml:space="preserve">
IF(AND(表紙!$X$2="事前協議",COUNTA(H24:N24)=7),"○",
IF(AND(表紙!$X$2="事前協議",COUNTA(H24:N24)&lt;&gt;7),"×",
IF(AND(表紙!$X$2="交付申請（２次）",COUNTA(H24:N24)=7),"○",
IF(AND(表紙!$X$2="交付申請（２次）",COUNTA(H24:N24)&lt;&gt;7),"×",
IF(表紙!$X$2="変更申請","○",
IF(AND(表紙!$X$2="実績報告（１次）",COUNTA(H24:N24)=7),"○",
IF(AND(表紙!$X$2="実績報告（１次）",COUNTA(H24:N24)&lt;&gt;7),"×",
IF(AND(表紙!$X$2="実績報告（２次）",COUNTA(H24:N24)=7),"○",
IF(AND(表紙!$X$2="実績報告（２次）",COUNTA(H24:N24)&lt;&gt;7),"×",
IF(AND(表紙!$X$2="交付申請兼実績報告",COUNTA(H24:N24)=7),"○",
IF(AND(表紙!$X$2="交付申請兼実績報告",COUNTA(H24:N24)&lt;&gt;7),"×")))))))))))</f>
        <v>×</v>
      </c>
      <c r="P24" s="859" t="str">
        <f xml:space="preserve">
IF(AND(表紙!$X$2="事前協議",COUNTA(H24:N24)=7),"適切に入力がされました。",
IF(AND(表紙!$X$2="事前協議",COUNTA(H24:N24)&lt;&gt;7),"【要修正】振込先口座番号（７桁）を入力してください。（７桁以下の番号は先頭に「0」を入力。）",
IF(AND(表紙!$X$2="交付申請（２次）",COUNTA(H24:N24)=7),"適切に入力がされました。",
IF(AND(表紙!$X$2="交付申請（２次）",COUNTA(H24:N24)&lt;&gt;7),"【要修正】振込先口座番号（７桁）を入力してください。（７桁以下の番号は先頭に「0」を入力。）",
IF(表紙!$X$2="変更申請","－",
IF(AND(表紙!$X$2="実績報告（１次）",COUNTA(H24:N24)=7),"適切に入力がされました。",
IF(AND(表紙!$X$2="実績報告（１次）",COUNTA(H24:N24)&lt;&gt;7),"【要修正】本手続では振込先口座番号（７桁）のみ、改めて入力願います。",
IF(AND(表紙!$X$2="実績報告（２次）",COUNTA(H24:N24)=7),"適切に入力がされました。",
IF(AND(表紙!$X$2="実績報告（２次）",COUNTA(H24:N24)&lt;&gt;7),"【要修正】本手続では振込先口座番号（７桁）のみ、改めて入力願います。",
IF(AND(表紙!$X$2="交付申請兼実績報告",COUNTA(H24:N24)=7),"適切に入力がされました。",
IF(AND(表紙!$X$2="交付申請兼実績報告",COUNTA(H24:N24)&lt;&gt;7),"【要修正】振込先口座番号（７桁）を入力してください。（７桁以下の番号は先頭に「0」を入力。）")))))))))))</f>
        <v>【要修正】振込先口座番号（７桁）を入力してください。（７桁以下の番号は先頭に「0」を入力。）</v>
      </c>
      <c r="Q24" s="860"/>
      <c r="R24" s="860"/>
      <c r="S24" s="860"/>
      <c r="T24" s="860"/>
      <c r="U24" s="860"/>
      <c r="V24" s="860"/>
      <c r="W24" s="860"/>
      <c r="X24" s="860"/>
      <c r="Y24" s="860"/>
      <c r="Z24" s="860"/>
      <c r="AA24" s="860"/>
      <c r="AB24" s="860"/>
      <c r="AC24" s="784"/>
      <c r="AD24" s="784"/>
      <c r="AE24" s="127" t="str">
        <f t="shared" si="2"/>
        <v>口座番号/</v>
      </c>
      <c r="AF24" s="778" t="str">
        <f>ASC(H24&amp;I24&amp;J24&amp;K24&amp;L24&amp;M24&amp;N24)</f>
        <v/>
      </c>
    </row>
    <row r="25" spans="2:38" ht="30" customHeight="1">
      <c r="B25" s="839"/>
      <c r="C25" s="894" t="str">
        <f xml:space="preserve">
IF(表紙!$X$2="事前協議","振込先口座名義（半角ｶﾅ）",
IF(表紙!$X$2="交付申請（２次）","振込先口座名義（半角ｶﾅ）",
IF(表紙!$X$2="変更申請","－",
IF(表紙!$X$2="実績報告（１次）","－",
IF(表紙!$X$2="実績報告（２次）","－",
IF(表紙!$X$2="交付申請兼実績報告","振込先口座名義（半角ｶﾅ）"))))))</f>
        <v>振込先口座名義（半角ｶﾅ）</v>
      </c>
      <c r="D25" s="862"/>
      <c r="E25" s="862"/>
      <c r="F25" s="862"/>
      <c r="G25" s="862"/>
      <c r="H25" s="900"/>
      <c r="I25" s="901"/>
      <c r="J25" s="901"/>
      <c r="K25" s="901"/>
      <c r="L25" s="901"/>
      <c r="M25" s="901"/>
      <c r="N25" s="901"/>
      <c r="O25" s="779" t="str">
        <f xml:space="preserve">
IF(AND(表紙!$X$2="事前協議",COUNTA(H25)=1),"○",
IF(AND(表紙!$X$2="事前協議",COUNTA(H25)&lt;&gt;1),"×",
IF(AND(表紙!$X$2="交付申請（２次）",COUNTA(H25)=1),"○",
IF(AND(表紙!$X$2="交付申請（２次）",COUNTA(H25)&lt;&gt;1),"×",
IF(表紙!$X$2="変更申請","○",
IF(表紙!$X$2="実績報告（１次）","○",
IF(表紙!$X$2="実績報告（２次）","○",
IF(AND(表紙!$X$2="交付申請兼実績報告",COUNTA(H25)=1),"○",
IF(AND(表紙!$X$2="交付申請兼実績報告",COUNTA(H25)&lt;&gt;1),"×")))))))))</f>
        <v>×</v>
      </c>
      <c r="P25" s="859" t="str">
        <f xml:space="preserve">
IF(AND(表紙!$X$2="事前協議",COUNTA(H25)=1),"適切に入力がされました。",
IF(AND(表紙!$X$2="事前協議",COUNTA(H25)&lt;&gt;1),"【要修正】口座名義（半角ｶﾅ）を入力してください。",
IF(AND(表紙!$X$2="交付申請（２次）",COUNTA(H25)=1),"適切に入力がされました。",
IF(AND(表紙!$X$2="交付申請（２次）",COUNTA(H25)&lt;&gt;1),"【要修正】口座名義（半角ｶﾅ）を入力してください。",
IF(表紙!$X$2="変更申請","－",
IF(表紙!$X$2="実績報告（１次）","入力不要です。",
IF(表紙!$X$2="実績報告（２次）","入力不要です。",
IF(AND(表紙!$X$2="交付申請兼実績報告",COUNTA(H25)=1),"適切に入力がされました。",
IF(AND(表紙!$X$2="交付申請兼実績報告",COUNTA(H25)&lt;&gt;1),"【要修正】口座名義（半角ｶﾅ）を入力してください。")))))))))</f>
        <v>【要修正】口座名義（半角ｶﾅ）を入力してください。</v>
      </c>
      <c r="Q25" s="860"/>
      <c r="R25" s="860"/>
      <c r="S25" s="860"/>
      <c r="T25" s="860"/>
      <c r="U25" s="860"/>
      <c r="V25" s="860"/>
      <c r="W25" s="860"/>
      <c r="X25" s="860"/>
      <c r="Y25" s="860"/>
      <c r="Z25" s="860"/>
      <c r="AA25" s="860"/>
      <c r="AB25" s="860"/>
      <c r="AC25" s="784"/>
      <c r="AD25" s="784"/>
      <c r="AE25" s="127" t="str">
        <f t="shared" si="2"/>
        <v>振込先口座名義（半角ｶﾅ）/</v>
      </c>
      <c r="AF25" s="214" t="str">
        <f>ASC(H25)</f>
        <v/>
      </c>
    </row>
    <row r="26" spans="2:38" s="213" customFormat="1" ht="30" customHeight="1">
      <c r="B26" s="838" t="s">
        <v>1004</v>
      </c>
      <c r="C26" s="841" t="s">
        <v>1005</v>
      </c>
      <c r="D26" s="842"/>
      <c r="E26" s="843" t="s">
        <v>1179</v>
      </c>
      <c r="F26" s="844"/>
      <c r="G26" s="844"/>
      <c r="H26" s="845" t="s">
        <v>1455</v>
      </c>
      <c r="I26" s="846"/>
      <c r="J26" s="846"/>
      <c r="K26" s="846"/>
      <c r="L26" s="846"/>
      <c r="M26" s="846"/>
      <c r="N26" s="846"/>
      <c r="O26" s="779" t="str">
        <f>基礎情報!AZ15</f>
        <v>×</v>
      </c>
      <c r="P26" s="847" t="str">
        <f>IF(COUNTIF(O26:O28,"○")=3,"総合判定"&amp;CHAR(10)&amp;"【○】","総合判定"&amp;CHAR(10)&amp;"【×】")</f>
        <v>総合判定
【×】</v>
      </c>
      <c r="Q26" s="846"/>
      <c r="R26" s="837" t="str">
        <f>IF(O26="×","【要修正】未入力または入力不十分（空欄、赤表示の欄がないか確認してください。）","適切に入力がされました。")</f>
        <v>【要修正】未入力または入力不十分（空欄、赤表示の欄がないか確認してください。）</v>
      </c>
      <c r="S26" s="866"/>
      <c r="T26" s="866"/>
      <c r="U26" s="866"/>
      <c r="V26" s="866"/>
      <c r="W26" s="866"/>
      <c r="X26" s="866"/>
      <c r="Y26" s="866"/>
      <c r="Z26" s="866"/>
      <c r="AA26" s="866"/>
      <c r="AB26" s="866"/>
      <c r="AE26" s="212" t="str">
        <f>IF(O26="○","","「基礎情報」シート("&amp;E26&amp;")/")</f>
        <v>「基礎情報」シート(１．勤務体制)/</v>
      </c>
      <c r="AF26" s="214"/>
      <c r="AG26" s="215"/>
    </row>
    <row r="27" spans="2:38" s="213" customFormat="1" ht="30" customHeight="1">
      <c r="B27" s="840"/>
      <c r="C27" s="842"/>
      <c r="D27" s="842"/>
      <c r="E27" s="843" t="s">
        <v>1006</v>
      </c>
      <c r="F27" s="844"/>
      <c r="G27" s="844"/>
      <c r="H27" s="846"/>
      <c r="I27" s="846"/>
      <c r="J27" s="846"/>
      <c r="K27" s="846"/>
      <c r="L27" s="846"/>
      <c r="M27" s="846"/>
      <c r="N27" s="846"/>
      <c r="O27" s="779" t="str">
        <f>基礎情報!AZ63</f>
        <v>×</v>
      </c>
      <c r="P27" s="846"/>
      <c r="Q27" s="846"/>
      <c r="R27" s="837" t="str">
        <f>IF(O27="×","【要修正】未入力または入力不十分（空欄、赤表示の欄がないか確認してください。）","適切に入力がされました。")</f>
        <v>【要修正】未入力または入力不十分（空欄、赤表示の欄がないか確認してください。）</v>
      </c>
      <c r="S27" s="866"/>
      <c r="T27" s="866"/>
      <c r="U27" s="866"/>
      <c r="V27" s="866"/>
      <c r="W27" s="866"/>
      <c r="X27" s="866"/>
      <c r="Y27" s="866"/>
      <c r="Z27" s="866"/>
      <c r="AA27" s="866"/>
      <c r="AB27" s="866"/>
      <c r="AE27" s="212" t="str">
        <f>IF(O27="○","","「基礎情報」シート("&amp;E27&amp;")/")</f>
        <v>「基礎情報」シート(２．職員情報)/</v>
      </c>
      <c r="AF27" s="214"/>
      <c r="AG27" s="215"/>
    </row>
    <row r="28" spans="2:38" s="213" customFormat="1" ht="30" customHeight="1">
      <c r="B28" s="840"/>
      <c r="C28" s="842"/>
      <c r="D28" s="842"/>
      <c r="E28" s="843" t="s">
        <v>1007</v>
      </c>
      <c r="F28" s="844"/>
      <c r="G28" s="844"/>
      <c r="H28" s="846"/>
      <c r="I28" s="846"/>
      <c r="J28" s="846"/>
      <c r="K28" s="846"/>
      <c r="L28" s="846"/>
      <c r="M28" s="846"/>
      <c r="N28" s="846"/>
      <c r="O28" s="779" t="str">
        <f>基礎情報!AZ77</f>
        <v>×</v>
      </c>
      <c r="P28" s="846"/>
      <c r="Q28" s="846"/>
      <c r="R28" s="837" t="str">
        <f>IF(O28="×","【要修正】未入力または入力不十分（空欄、赤表示の欄がないか確認してください。）","適切に入力がされました。")</f>
        <v>【要修正】未入力または入力不十分（空欄、赤表示の欄がないか確認してください。）</v>
      </c>
      <c r="S28" s="866"/>
      <c r="T28" s="866"/>
      <c r="U28" s="866"/>
      <c r="V28" s="866"/>
      <c r="W28" s="866"/>
      <c r="X28" s="866"/>
      <c r="Y28" s="866"/>
      <c r="Z28" s="866"/>
      <c r="AA28" s="866"/>
      <c r="AB28" s="866"/>
      <c r="AE28" s="212" t="str">
        <f>IF(O28="○","","「基礎情報」シート("&amp;E28&amp;")/")</f>
        <v>「基礎情報」シート(３．配置情報)/</v>
      </c>
      <c r="AF28" s="214"/>
      <c r="AG28" s="215"/>
    </row>
    <row r="29" spans="2:38" s="213" customFormat="1" ht="30" customHeight="1">
      <c r="B29" s="840"/>
      <c r="C29" s="841" t="s">
        <v>1008</v>
      </c>
      <c r="D29" s="842"/>
      <c r="E29" s="843" t="s">
        <v>1009</v>
      </c>
      <c r="F29" s="844"/>
      <c r="G29" s="844"/>
      <c r="H29" s="856" t="s">
        <v>1456</v>
      </c>
      <c r="I29" s="857"/>
      <c r="J29" s="857"/>
      <c r="K29" s="857"/>
      <c r="L29" s="857"/>
      <c r="M29" s="857"/>
      <c r="N29" s="857"/>
      <c r="O29" s="779" t="str">
        <f>基礎情報!AZ99</f>
        <v>×</v>
      </c>
      <c r="P29" s="837" t="str">
        <f>IF(O29="×","【要修正】未入力または入力不十分（空欄、赤表示の欄がないか確認してください。）","適切に入力がされました。")</f>
        <v>【要修正】未入力または入力不十分（空欄、赤表示の欄がないか確認してください。）</v>
      </c>
      <c r="Q29" s="858"/>
      <c r="R29" s="858"/>
      <c r="S29" s="858"/>
      <c r="T29" s="858"/>
      <c r="U29" s="858"/>
      <c r="V29" s="858"/>
      <c r="W29" s="858"/>
      <c r="X29" s="858"/>
      <c r="Y29" s="858"/>
      <c r="Z29" s="858"/>
      <c r="AA29" s="858"/>
      <c r="AB29" s="858"/>
      <c r="AE29" s="212" t="str">
        <f>IF(O29="○","","「基礎情報」シート("&amp;E29&amp;")/")</f>
        <v>「基礎情報」シート(４．防護具使用情報)/</v>
      </c>
      <c r="AF29" s="216"/>
      <c r="AG29" s="215"/>
    </row>
    <row r="30" spans="2:38" s="213" customFormat="1" ht="30" hidden="1" customHeight="1">
      <c r="B30" s="832" t="s">
        <v>1100</v>
      </c>
      <c r="C30" s="926" t="s">
        <v>1176</v>
      </c>
      <c r="D30" s="894" t="str">
        <f>経費書!C7</f>
        <v>初度設備</v>
      </c>
      <c r="E30" s="927"/>
      <c r="F30" s="927"/>
      <c r="G30" s="927"/>
      <c r="H30" s="690" t="s">
        <v>76</v>
      </c>
      <c r="I30" s="688" t="str">
        <f>額内訳書!M7</f>
        <v/>
      </c>
      <c r="J30" s="691" t="s">
        <v>77</v>
      </c>
      <c r="K30" s="688" t="str">
        <f>額内訳書!O7</f>
        <v/>
      </c>
      <c r="L30" s="691" t="s">
        <v>78</v>
      </c>
      <c r="M30" s="688" t="str">
        <f>額内訳書!Q7</f>
        <v/>
      </c>
      <c r="N30" s="692" t="s">
        <v>79</v>
      </c>
      <c r="O30" s="779" t="str">
        <f xml:space="preserve">
IF(OR(表紙!X2="実績報告（１次）",表紙!X2="実績報告（２次）",表紙!X2="交付申請兼実績報告"),"○",
IF(額内訳書!T7="×","×","○"))</f>
        <v>○</v>
      </c>
      <c r="P30" s="837" t="str">
        <f>IF(OR(表紙!X2="実績報告（１次）",表紙!X2="実績報告（２次）",表紙!X2="交付申請兼実績報告"),"申請不可、あるいは報告対象外です。",額内訳書!U7)</f>
        <v>申請不可、あるいは報告対象外です。</v>
      </c>
      <c r="Q30" s="836"/>
      <c r="R30" s="836"/>
      <c r="S30" s="836"/>
      <c r="T30" s="836"/>
      <c r="U30" s="836"/>
      <c r="V30" s="836"/>
      <c r="W30" s="836"/>
      <c r="X30" s="836"/>
      <c r="Y30" s="836"/>
      <c r="Z30" s="836"/>
      <c r="AA30" s="836"/>
      <c r="AB30" s="836"/>
      <c r="AE30" s="217" t="str">
        <f t="shared" ref="AE30:AE47" si="3">IF(O30="○","",D30&amp;"関係項目/")</f>
        <v/>
      </c>
      <c r="AF30" s="218" t="str">
        <f t="shared" ref="AF30:AF39" si="4">IFERROR(IF(AND(O30="○",P30="適切に入力がされました。"),DATE(IF(I30=5,2023,IF(I30=6,2024)),K30,M30),""),"")</f>
        <v/>
      </c>
      <c r="AG30" s="215"/>
    </row>
    <row r="31" spans="2:38" s="213" customFormat="1" ht="30" hidden="1" customHeight="1">
      <c r="B31" s="833"/>
      <c r="C31" s="920"/>
      <c r="D31" s="894" t="str">
        <f>経費書!C9</f>
        <v>人工呼吸器</v>
      </c>
      <c r="E31" s="927"/>
      <c r="F31" s="927"/>
      <c r="G31" s="927"/>
      <c r="H31" s="690" t="s">
        <v>76</v>
      </c>
      <c r="I31" s="688" t="str">
        <f>額内訳書!M8</f>
        <v/>
      </c>
      <c r="J31" s="691" t="s">
        <v>77</v>
      </c>
      <c r="K31" s="688" t="str">
        <f>額内訳書!O8</f>
        <v/>
      </c>
      <c r="L31" s="691" t="s">
        <v>78</v>
      </c>
      <c r="M31" s="688" t="str">
        <f>額内訳書!Q8</f>
        <v/>
      </c>
      <c r="N31" s="692" t="s">
        <v>79</v>
      </c>
      <c r="O31" s="779" t="str">
        <f xml:space="preserve">
IF(OR(表紙!X2="実績報告（１次）",表紙!X2="実績報告（２次）",表紙!X2="交付申請兼実績報告"),"○",
IF(額内訳書!T8="×","×","○"))</f>
        <v>○</v>
      </c>
      <c r="P31" s="837" t="str">
        <f>IF(OR(表紙!X2="実績報告（１次）",表紙!X2="実績報告（２次）",表紙!X2="交付申請兼実績報告"),"申請不可、あるいは報告対象外です。",額内訳書!U8)</f>
        <v>申請不可、あるいは報告対象外です。</v>
      </c>
      <c r="Q31" s="836"/>
      <c r="R31" s="836"/>
      <c r="S31" s="836"/>
      <c r="T31" s="836"/>
      <c r="U31" s="836"/>
      <c r="V31" s="836"/>
      <c r="W31" s="836"/>
      <c r="X31" s="836"/>
      <c r="Y31" s="836"/>
      <c r="Z31" s="836"/>
      <c r="AA31" s="836"/>
      <c r="AB31" s="836"/>
      <c r="AE31" s="217" t="str">
        <f t="shared" si="3"/>
        <v/>
      </c>
      <c r="AF31" s="219" t="str">
        <f t="shared" si="4"/>
        <v/>
      </c>
      <c r="AG31" s="215"/>
    </row>
    <row r="32" spans="2:38" s="213" customFormat="1" ht="30" customHeight="1">
      <c r="B32" s="833"/>
      <c r="C32" s="920"/>
      <c r="D32" s="894" t="str">
        <f>経費書!C11</f>
        <v>個人防護具</v>
      </c>
      <c r="E32" s="927"/>
      <c r="F32" s="927"/>
      <c r="G32" s="927"/>
      <c r="H32" s="690" t="s">
        <v>76</v>
      </c>
      <c r="I32" s="688" t="str">
        <f>額内訳書!M9</f>
        <v/>
      </c>
      <c r="J32" s="691" t="s">
        <v>77</v>
      </c>
      <c r="K32" s="688" t="str">
        <f>額内訳書!O9</f>
        <v/>
      </c>
      <c r="L32" s="691" t="s">
        <v>78</v>
      </c>
      <c r="M32" s="688" t="str">
        <f>額内訳書!Q9</f>
        <v/>
      </c>
      <c r="N32" s="692" t="s">
        <v>79</v>
      </c>
      <c r="O32" s="779" t="str">
        <f>IF(額内訳書!T9="×","×","○")</f>
        <v>×</v>
      </c>
      <c r="P32" s="837" t="str">
        <f>額内訳書!U9</f>
        <v>【要修正】基礎情報が入力不十分です。</v>
      </c>
      <c r="Q32" s="836"/>
      <c r="R32" s="836"/>
      <c r="S32" s="836"/>
      <c r="T32" s="836"/>
      <c r="U32" s="836"/>
      <c r="V32" s="836"/>
      <c r="W32" s="836"/>
      <c r="X32" s="836"/>
      <c r="Y32" s="836"/>
      <c r="Z32" s="836"/>
      <c r="AA32" s="836"/>
      <c r="AB32" s="836"/>
      <c r="AE32" s="217" t="str">
        <f t="shared" si="3"/>
        <v>個人防護具関係項目/</v>
      </c>
      <c r="AF32" s="219" t="str">
        <f t="shared" si="4"/>
        <v/>
      </c>
      <c r="AG32" s="215"/>
    </row>
    <row r="33" spans="2:33" s="213" customFormat="1" ht="30" customHeight="1">
      <c r="B33" s="833"/>
      <c r="C33" s="920"/>
      <c r="D33" s="894" t="str">
        <f>経費書!C13</f>
        <v>簡易陰圧装置</v>
      </c>
      <c r="E33" s="927"/>
      <c r="F33" s="927"/>
      <c r="G33" s="927"/>
      <c r="H33" s="690" t="s">
        <v>76</v>
      </c>
      <c r="I33" s="688" t="str">
        <f>額内訳書!M10</f>
        <v/>
      </c>
      <c r="J33" s="691" t="s">
        <v>77</v>
      </c>
      <c r="K33" s="688" t="str">
        <f>額内訳書!O10</f>
        <v/>
      </c>
      <c r="L33" s="691" t="s">
        <v>78</v>
      </c>
      <c r="M33" s="688" t="str">
        <f>額内訳書!Q10</f>
        <v/>
      </c>
      <c r="N33" s="692" t="s">
        <v>79</v>
      </c>
      <c r="O33" s="779" t="str">
        <f>IF(額内訳書!T10="×","×","○")</f>
        <v>×</v>
      </c>
      <c r="P33" s="837" t="str">
        <f>額内訳書!U10</f>
        <v>【要修正】基礎情報シートが入力不十分です。</v>
      </c>
      <c r="Q33" s="836"/>
      <c r="R33" s="836"/>
      <c r="S33" s="836"/>
      <c r="T33" s="836"/>
      <c r="U33" s="836"/>
      <c r="V33" s="836"/>
      <c r="W33" s="836"/>
      <c r="X33" s="836"/>
      <c r="Y33" s="836"/>
      <c r="Z33" s="836"/>
      <c r="AA33" s="836"/>
      <c r="AB33" s="836"/>
      <c r="AE33" s="217" t="str">
        <f t="shared" si="3"/>
        <v>簡易陰圧装置関係項目/</v>
      </c>
      <c r="AF33" s="219" t="str">
        <f t="shared" si="4"/>
        <v/>
      </c>
      <c r="AG33" s="215"/>
    </row>
    <row r="34" spans="2:33" s="213" customFormat="1" ht="30" hidden="1" customHeight="1">
      <c r="B34" s="833"/>
      <c r="C34" s="920"/>
      <c r="D34" s="928" t="str">
        <f>経費書!C15</f>
        <v>空気清浄機</v>
      </c>
      <c r="E34" s="929"/>
      <c r="F34" s="929"/>
      <c r="G34" s="929"/>
      <c r="H34" s="690" t="s">
        <v>76</v>
      </c>
      <c r="I34" s="688" t="str">
        <f>額内訳書!M11</f>
        <v/>
      </c>
      <c r="J34" s="691" t="s">
        <v>77</v>
      </c>
      <c r="K34" s="688" t="str">
        <f>額内訳書!O11</f>
        <v/>
      </c>
      <c r="L34" s="691" t="s">
        <v>69</v>
      </c>
      <c r="M34" s="688" t="str">
        <f>額内訳書!Q11</f>
        <v/>
      </c>
      <c r="N34" s="692" t="s">
        <v>70</v>
      </c>
      <c r="O34" s="779" t="str">
        <f xml:space="preserve">
IF(OR(表紙!X2="実績報告（１次）",表紙!X2="実績報告（２次）",表紙!X2="交付申請兼実績報告"),"○",
IF(額内訳書!T11="×","×","○"))</f>
        <v>○</v>
      </c>
      <c r="P34" s="837" t="str">
        <f>IF(OR(表紙!X2="実績報告（１次）",表紙!X2="実績報告（２次）",表紙!X2="交付申請兼実績報告"),"申請不可、あるいは報告対象外です。",額内訳書!U11)</f>
        <v>申請不可、あるいは報告対象外です。</v>
      </c>
      <c r="Q34" s="836"/>
      <c r="R34" s="836"/>
      <c r="S34" s="836"/>
      <c r="T34" s="836"/>
      <c r="U34" s="836"/>
      <c r="V34" s="836"/>
      <c r="W34" s="836"/>
      <c r="X34" s="836"/>
      <c r="Y34" s="836"/>
      <c r="Z34" s="836"/>
      <c r="AA34" s="836"/>
      <c r="AB34" s="836"/>
      <c r="AE34" s="217" t="str">
        <f t="shared" si="3"/>
        <v/>
      </c>
      <c r="AF34" s="219" t="str">
        <f t="shared" si="4"/>
        <v/>
      </c>
      <c r="AG34" s="215"/>
    </row>
    <row r="35" spans="2:33" s="213" customFormat="1" ht="30" customHeight="1">
      <c r="B35" s="833"/>
      <c r="C35" s="920"/>
      <c r="D35" s="928" t="str">
        <f>経費書!C17</f>
        <v>パーテーション</v>
      </c>
      <c r="E35" s="929"/>
      <c r="F35" s="929"/>
      <c r="G35" s="929"/>
      <c r="H35" s="690" t="s">
        <v>76</v>
      </c>
      <c r="I35" s="688" t="str">
        <f>額内訳書!M12</f>
        <v/>
      </c>
      <c r="J35" s="691" t="s">
        <v>77</v>
      </c>
      <c r="K35" s="688" t="str">
        <f>額内訳書!O12</f>
        <v/>
      </c>
      <c r="L35" s="691" t="s">
        <v>69</v>
      </c>
      <c r="M35" s="688" t="str">
        <f>額内訳書!Q12</f>
        <v/>
      </c>
      <c r="N35" s="692" t="s">
        <v>70</v>
      </c>
      <c r="O35" s="779" t="str">
        <f>IF(額内訳書!T12="×","×","○")</f>
        <v>×</v>
      </c>
      <c r="P35" s="837" t="str">
        <f>額内訳書!U12</f>
        <v>【要修正】基礎情報シートが入力不十分です</v>
      </c>
      <c r="Q35" s="836"/>
      <c r="R35" s="836"/>
      <c r="S35" s="836"/>
      <c r="T35" s="836"/>
      <c r="U35" s="836"/>
      <c r="V35" s="836"/>
      <c r="W35" s="836"/>
      <c r="X35" s="836"/>
      <c r="Y35" s="836"/>
      <c r="Z35" s="836"/>
      <c r="AA35" s="836"/>
      <c r="AB35" s="836"/>
      <c r="AE35" s="217" t="str">
        <f t="shared" si="3"/>
        <v>パーテーション関係項目/</v>
      </c>
      <c r="AF35" s="219" t="str">
        <f t="shared" si="4"/>
        <v/>
      </c>
      <c r="AG35" s="215"/>
    </row>
    <row r="36" spans="2:33" s="213" customFormat="1" ht="30" hidden="1" customHeight="1">
      <c r="B36" s="833"/>
      <c r="C36" s="920"/>
      <c r="D36" s="894" t="str">
        <f>経費書!C19</f>
        <v>簡易ベッド</v>
      </c>
      <c r="E36" s="927"/>
      <c r="F36" s="927"/>
      <c r="G36" s="927"/>
      <c r="H36" s="690" t="s">
        <v>76</v>
      </c>
      <c r="I36" s="688" t="str">
        <f>額内訳書!M13</f>
        <v/>
      </c>
      <c r="J36" s="691" t="s">
        <v>77</v>
      </c>
      <c r="K36" s="688" t="str">
        <f>額内訳書!O13</f>
        <v/>
      </c>
      <c r="L36" s="691" t="s">
        <v>69</v>
      </c>
      <c r="M36" s="688" t="str">
        <f>額内訳書!Q13</f>
        <v/>
      </c>
      <c r="N36" s="692" t="s">
        <v>79</v>
      </c>
      <c r="O36" s="779" t="str">
        <f xml:space="preserve">
IF(OR(表紙!X2="実績報告（１次）",表紙!X2="実績報告（２次）",表紙!X2="交付申請兼実績報告"),"○",
IF(額内訳書!T13="×","×","○"))</f>
        <v>○</v>
      </c>
      <c r="P36" s="837" t="str">
        <f>IF(OR(表紙!X2="実績報告（１次）",表紙!X2="実績報告（２次）",表紙!X2="交付申請兼実績報告"),"申請不可、あるいは報告対象外です。",額内訳書!U13)</f>
        <v>申請不可、あるいは報告対象外です。</v>
      </c>
      <c r="Q36" s="836"/>
      <c r="R36" s="836"/>
      <c r="S36" s="836"/>
      <c r="T36" s="836"/>
      <c r="U36" s="836"/>
      <c r="V36" s="836"/>
      <c r="W36" s="836"/>
      <c r="X36" s="836"/>
      <c r="Y36" s="836"/>
      <c r="Z36" s="836"/>
      <c r="AA36" s="836"/>
      <c r="AB36" s="836"/>
      <c r="AE36" s="217" t="str">
        <f t="shared" si="3"/>
        <v/>
      </c>
      <c r="AF36" s="219" t="str">
        <f t="shared" si="4"/>
        <v/>
      </c>
      <c r="AG36" s="215"/>
    </row>
    <row r="37" spans="2:33" s="213" customFormat="1" ht="30" hidden="1" customHeight="1">
      <c r="B37" s="834"/>
      <c r="C37" s="920"/>
      <c r="D37" s="894" t="str">
        <f>経費書!C21</f>
        <v>体外式膜型人工肺</v>
      </c>
      <c r="E37" s="927"/>
      <c r="F37" s="927"/>
      <c r="G37" s="927"/>
      <c r="H37" s="690" t="s">
        <v>76</v>
      </c>
      <c r="I37" s="688" t="str">
        <f>額内訳書!M14</f>
        <v/>
      </c>
      <c r="J37" s="691" t="s">
        <v>77</v>
      </c>
      <c r="K37" s="688" t="str">
        <f>額内訳書!O14</f>
        <v/>
      </c>
      <c r="L37" s="691" t="s">
        <v>69</v>
      </c>
      <c r="M37" s="688" t="str">
        <f>額内訳書!Q14</f>
        <v/>
      </c>
      <c r="N37" s="692" t="s">
        <v>70</v>
      </c>
      <c r="O37" s="779" t="str">
        <f xml:space="preserve">
IF(OR(表紙!X2="実績報告（１次）",表紙!X2="実績報告（２次）",表紙!X2="交付申請兼実績報告"),"○",
IF(額内訳書!T14="×","×","○"))</f>
        <v>○</v>
      </c>
      <c r="P37" s="837" t="str">
        <f>IF(OR(表紙!X2="実績報告（１次）",表紙!X2="実績報告（２次）",表紙!X2="交付申請兼実績報告"),"申請不可、あるいは報告対象外です。",額内訳書!U14)</f>
        <v>申請不可、あるいは報告対象外です。</v>
      </c>
      <c r="Q37" s="836"/>
      <c r="R37" s="836"/>
      <c r="S37" s="836"/>
      <c r="T37" s="836"/>
      <c r="U37" s="836"/>
      <c r="V37" s="836"/>
      <c r="W37" s="836"/>
      <c r="X37" s="836"/>
      <c r="Y37" s="836"/>
      <c r="Z37" s="836"/>
      <c r="AA37" s="836"/>
      <c r="AB37" s="836"/>
      <c r="AE37" s="217" t="str">
        <f t="shared" si="3"/>
        <v/>
      </c>
      <c r="AF37" s="219" t="str">
        <f t="shared" si="4"/>
        <v/>
      </c>
      <c r="AG37" s="215"/>
    </row>
    <row r="38" spans="2:33" s="213" customFormat="1" ht="30" hidden="1" customHeight="1">
      <c r="B38" s="834"/>
      <c r="C38" s="920"/>
      <c r="D38" s="894" t="str">
        <f>経費書!C23</f>
        <v>簡易病室</v>
      </c>
      <c r="E38" s="927"/>
      <c r="F38" s="927"/>
      <c r="G38" s="927"/>
      <c r="H38" s="690" t="s">
        <v>76</v>
      </c>
      <c r="I38" s="688" t="str">
        <f>額内訳書!M15</f>
        <v/>
      </c>
      <c r="J38" s="691" t="s">
        <v>77</v>
      </c>
      <c r="K38" s="688" t="str">
        <f>額内訳書!O15</f>
        <v/>
      </c>
      <c r="L38" s="691" t="s">
        <v>69</v>
      </c>
      <c r="M38" s="688" t="str">
        <f>額内訳書!Q15</f>
        <v/>
      </c>
      <c r="N38" s="692" t="s">
        <v>70</v>
      </c>
      <c r="O38" s="779" t="str">
        <f xml:space="preserve">
IF(OR(表紙!X2="実績報告（１次）",表紙!X2="実績報告（２次）",表紙!X2="交付申請兼実績報告"),"○",
IF(額内訳書!T15="×","×","○"))</f>
        <v>○</v>
      </c>
      <c r="P38" s="837" t="str">
        <f>IF(OR(表紙!X2="実績報告（１次）",表紙!X2="実績報告（２次）",表紙!X2="交付申請兼実績報告"),"申請不可、あるいは報告対象外です。",額内訳書!U15)</f>
        <v>申請不可、あるいは報告対象外です。</v>
      </c>
      <c r="Q38" s="836"/>
      <c r="R38" s="836"/>
      <c r="S38" s="836"/>
      <c r="T38" s="836"/>
      <c r="U38" s="836"/>
      <c r="V38" s="836"/>
      <c r="W38" s="836"/>
      <c r="X38" s="836"/>
      <c r="Y38" s="836"/>
      <c r="Z38" s="836"/>
      <c r="AA38" s="836"/>
      <c r="AB38" s="836"/>
      <c r="AE38" s="217" t="str">
        <f t="shared" si="3"/>
        <v/>
      </c>
      <c r="AF38" s="219" t="str">
        <f t="shared" si="4"/>
        <v/>
      </c>
      <c r="AG38" s="215"/>
    </row>
    <row r="39" spans="2:33" s="213" customFormat="1" ht="30" hidden="1" customHeight="1">
      <c r="B39" s="834"/>
      <c r="C39" s="920"/>
      <c r="D39" s="894" t="str">
        <f>経費書!C25</f>
        <v>紫外線照射装置等
導入経費</v>
      </c>
      <c r="E39" s="927"/>
      <c r="F39" s="927"/>
      <c r="G39" s="927"/>
      <c r="H39" s="690" t="s">
        <v>76</v>
      </c>
      <c r="I39" s="688" t="str">
        <f>額内訳書!M16</f>
        <v/>
      </c>
      <c r="J39" s="691" t="s">
        <v>77</v>
      </c>
      <c r="K39" s="688" t="str">
        <f>額内訳書!O16</f>
        <v/>
      </c>
      <c r="L39" s="691" t="s">
        <v>69</v>
      </c>
      <c r="M39" s="688" t="str">
        <f>額内訳書!Q16</f>
        <v/>
      </c>
      <c r="N39" s="692" t="s">
        <v>70</v>
      </c>
      <c r="O39" s="779" t="str">
        <f xml:space="preserve">
IF(OR(表紙!X2="実績報告（１次）",表紙!X2="実績報告（２次）",表紙!X2="交付申請兼実績報告"),"○",
IF(額内訳書!T16="×","×","○"))</f>
        <v>○</v>
      </c>
      <c r="P39" s="837" t="str">
        <f>IF(OR(表紙!X2="実績報告（１次）",表紙!X2="実績報告（２次）",表紙!X2="交付申請兼実績報告"),"申請不可、あるいは報告対象外です。",額内訳書!U16)</f>
        <v>申請不可、あるいは報告対象外です。</v>
      </c>
      <c r="Q39" s="836"/>
      <c r="R39" s="836"/>
      <c r="S39" s="836"/>
      <c r="T39" s="836"/>
      <c r="U39" s="836"/>
      <c r="V39" s="836"/>
      <c r="W39" s="836"/>
      <c r="X39" s="836"/>
      <c r="Y39" s="836"/>
      <c r="Z39" s="836"/>
      <c r="AA39" s="836"/>
      <c r="AB39" s="836"/>
      <c r="AE39" s="217" t="str">
        <f t="shared" si="3"/>
        <v/>
      </c>
      <c r="AF39" s="219" t="str">
        <f t="shared" si="4"/>
        <v/>
      </c>
      <c r="AG39" s="215"/>
    </row>
    <row r="40" spans="2:33" s="213" customFormat="1" ht="30" hidden="1" customHeight="1">
      <c r="B40" s="834"/>
      <c r="C40" s="791" t="s">
        <v>1177</v>
      </c>
      <c r="D40" s="924" t="str">
        <f>経費書!C29</f>
        <v>－</v>
      </c>
      <c r="E40" s="925"/>
      <c r="F40" s="925"/>
      <c r="G40" s="925"/>
      <c r="H40" s="690" t="s">
        <v>76</v>
      </c>
      <c r="I40" s="688" t="str">
        <f>額内訳書!M18</f>
        <v/>
      </c>
      <c r="J40" s="691" t="s">
        <v>77</v>
      </c>
      <c r="K40" s="688" t="str">
        <f>額内訳書!O18</f>
        <v/>
      </c>
      <c r="L40" s="691" t="s">
        <v>78</v>
      </c>
      <c r="M40" s="688" t="str">
        <f>額内訳書!Q18</f>
        <v/>
      </c>
      <c r="N40" s="692" t="s">
        <v>79</v>
      </c>
      <c r="O40" s="779" t="str">
        <f>IF(額内訳書!T18="×","×","○")</f>
        <v>×</v>
      </c>
      <c r="P40" s="837" t="str">
        <f>額内訳書!U18</f>
        <v>【要修正】基礎情報シートが入力不十分です。</v>
      </c>
      <c r="Q40" s="836"/>
      <c r="R40" s="836"/>
      <c r="S40" s="836"/>
      <c r="T40" s="836"/>
      <c r="U40" s="836"/>
      <c r="V40" s="836"/>
      <c r="W40" s="836"/>
      <c r="X40" s="836"/>
      <c r="Y40" s="836"/>
      <c r="Z40" s="836"/>
      <c r="AA40" s="836"/>
      <c r="AB40" s="836"/>
      <c r="AE40" s="217" t="str">
        <f t="shared" si="3"/>
        <v>－関係項目/</v>
      </c>
      <c r="AF40" s="219" t="str">
        <f>IFERROR(IF(AND(O40="○",P40="適切に入力がされました。"),DATE(IF(I40=5,2023,IF(I40=6,2024)),K40,M40),""),"")</f>
        <v/>
      </c>
      <c r="AG40" s="215"/>
    </row>
    <row r="41" spans="2:33" s="213" customFormat="1" ht="30" hidden="1" customHeight="1">
      <c r="B41" s="834"/>
      <c r="C41" s="926" t="s">
        <v>1178</v>
      </c>
      <c r="D41" s="924" t="str">
        <f>経費書!C31</f>
        <v>－</v>
      </c>
      <c r="E41" s="925"/>
      <c r="F41" s="925"/>
      <c r="G41" s="925"/>
      <c r="H41" s="690" t="s">
        <v>76</v>
      </c>
      <c r="I41" s="688">
        <v>5</v>
      </c>
      <c r="J41" s="691" t="s">
        <v>77</v>
      </c>
      <c r="K41" s="688">
        <v>9</v>
      </c>
      <c r="L41" s="691" t="s">
        <v>69</v>
      </c>
      <c r="M41" s="688">
        <v>31</v>
      </c>
      <c r="N41" s="692" t="s">
        <v>70</v>
      </c>
      <c r="O41" s="779" t="s">
        <v>1400</v>
      </c>
      <c r="P41" s="835" t="s">
        <v>982</v>
      </c>
      <c r="Q41" s="836"/>
      <c r="R41" s="836"/>
      <c r="S41" s="836"/>
      <c r="T41" s="836"/>
      <c r="U41" s="836"/>
      <c r="V41" s="836"/>
      <c r="W41" s="836"/>
      <c r="X41" s="836"/>
      <c r="Y41" s="836"/>
      <c r="Z41" s="836"/>
      <c r="AA41" s="836"/>
      <c r="AB41" s="836"/>
      <c r="AE41" s="217" t="str">
        <f t="shared" si="3"/>
        <v/>
      </c>
      <c r="AF41" s="219" t="str">
        <f t="shared" ref="AF41:AF47" si="5">IFERROR(IF(AND(O41="○",P41="適切に入力がされました。"),DATE(IF(I41=5,2023,IF(I41=6,2024)),K41,M41),""),"")</f>
        <v/>
      </c>
      <c r="AG41" s="215"/>
    </row>
    <row r="42" spans="2:33" s="213" customFormat="1" ht="30" hidden="1" customHeight="1">
      <c r="B42" s="834"/>
      <c r="C42" s="920"/>
      <c r="D42" s="924" t="str">
        <f>経費書!C33</f>
        <v>－</v>
      </c>
      <c r="E42" s="925"/>
      <c r="F42" s="925"/>
      <c r="G42" s="925"/>
      <c r="H42" s="690" t="s">
        <v>76</v>
      </c>
      <c r="I42" s="688">
        <v>5</v>
      </c>
      <c r="J42" s="691" t="s">
        <v>77</v>
      </c>
      <c r="K42" s="688">
        <v>4</v>
      </c>
      <c r="L42" s="691" t="s">
        <v>69</v>
      </c>
      <c r="M42" s="688">
        <v>30</v>
      </c>
      <c r="N42" s="692" t="s">
        <v>70</v>
      </c>
      <c r="O42" s="779" t="s">
        <v>1400</v>
      </c>
      <c r="P42" s="835" t="s">
        <v>982</v>
      </c>
      <c r="Q42" s="836"/>
      <c r="R42" s="836"/>
      <c r="S42" s="836"/>
      <c r="T42" s="836"/>
      <c r="U42" s="836"/>
      <c r="V42" s="836"/>
      <c r="W42" s="836"/>
      <c r="X42" s="836"/>
      <c r="Y42" s="836"/>
      <c r="Z42" s="836"/>
      <c r="AA42" s="836"/>
      <c r="AB42" s="836"/>
      <c r="AE42" s="217" t="str">
        <f t="shared" si="3"/>
        <v/>
      </c>
      <c r="AF42" s="219" t="str">
        <f t="shared" si="5"/>
        <v/>
      </c>
      <c r="AG42" s="215"/>
    </row>
    <row r="43" spans="2:33" s="213" customFormat="1" ht="30" hidden="1" customHeight="1">
      <c r="B43" s="834"/>
      <c r="C43" s="920"/>
      <c r="D43" s="924" t="str">
        <f>経費書!C35</f>
        <v>－</v>
      </c>
      <c r="E43" s="925"/>
      <c r="F43" s="925"/>
      <c r="G43" s="925"/>
      <c r="H43" s="690" t="s">
        <v>76</v>
      </c>
      <c r="I43" s="688">
        <v>5</v>
      </c>
      <c r="J43" s="691" t="s">
        <v>77</v>
      </c>
      <c r="K43" s="688">
        <v>5</v>
      </c>
      <c r="L43" s="691" t="s">
        <v>69</v>
      </c>
      <c r="M43" s="688">
        <v>29</v>
      </c>
      <c r="N43" s="692" t="s">
        <v>70</v>
      </c>
      <c r="O43" s="779" t="s">
        <v>1400</v>
      </c>
      <c r="P43" s="835" t="s">
        <v>982</v>
      </c>
      <c r="Q43" s="836"/>
      <c r="R43" s="836"/>
      <c r="S43" s="836"/>
      <c r="T43" s="836"/>
      <c r="U43" s="836"/>
      <c r="V43" s="836"/>
      <c r="W43" s="836"/>
      <c r="X43" s="836"/>
      <c r="Y43" s="836"/>
      <c r="Z43" s="836"/>
      <c r="AA43" s="836"/>
      <c r="AB43" s="836"/>
      <c r="AE43" s="217" t="str">
        <f t="shared" si="3"/>
        <v/>
      </c>
      <c r="AF43" s="219" t="str">
        <f t="shared" si="5"/>
        <v/>
      </c>
      <c r="AG43" s="215"/>
    </row>
    <row r="44" spans="2:33" s="213" customFormat="1" ht="30" hidden="1" customHeight="1">
      <c r="B44" s="834"/>
      <c r="C44" s="920"/>
      <c r="D44" s="924" t="str">
        <f>経費書!C37</f>
        <v>－</v>
      </c>
      <c r="E44" s="925"/>
      <c r="F44" s="925"/>
      <c r="G44" s="925"/>
      <c r="H44" s="690" t="s">
        <v>76</v>
      </c>
      <c r="I44" s="688">
        <v>5</v>
      </c>
      <c r="J44" s="691" t="s">
        <v>77</v>
      </c>
      <c r="K44" s="688">
        <v>6</v>
      </c>
      <c r="L44" s="691" t="s">
        <v>69</v>
      </c>
      <c r="M44" s="688">
        <v>28</v>
      </c>
      <c r="N44" s="692" t="s">
        <v>70</v>
      </c>
      <c r="O44" s="779" t="s">
        <v>1400</v>
      </c>
      <c r="P44" s="835" t="s">
        <v>982</v>
      </c>
      <c r="Q44" s="836"/>
      <c r="R44" s="836"/>
      <c r="S44" s="836"/>
      <c r="T44" s="836"/>
      <c r="U44" s="836"/>
      <c r="V44" s="836"/>
      <c r="W44" s="836"/>
      <c r="X44" s="836"/>
      <c r="Y44" s="836"/>
      <c r="Z44" s="836"/>
      <c r="AA44" s="836"/>
      <c r="AB44" s="836"/>
      <c r="AE44" s="217" t="str">
        <f t="shared" si="3"/>
        <v/>
      </c>
      <c r="AF44" s="219" t="str">
        <f t="shared" si="5"/>
        <v/>
      </c>
      <c r="AG44" s="215"/>
    </row>
    <row r="45" spans="2:33" s="213" customFormat="1" ht="30" hidden="1" customHeight="1">
      <c r="B45" s="834"/>
      <c r="C45" s="920"/>
      <c r="D45" s="924" t="str">
        <f>経費書!C39</f>
        <v>－</v>
      </c>
      <c r="E45" s="925"/>
      <c r="F45" s="925"/>
      <c r="G45" s="925"/>
      <c r="H45" s="690" t="s">
        <v>76</v>
      </c>
      <c r="I45" s="688">
        <v>5</v>
      </c>
      <c r="J45" s="691" t="s">
        <v>77</v>
      </c>
      <c r="K45" s="688">
        <v>7</v>
      </c>
      <c r="L45" s="691" t="s">
        <v>69</v>
      </c>
      <c r="M45" s="688">
        <v>27</v>
      </c>
      <c r="N45" s="692" t="s">
        <v>70</v>
      </c>
      <c r="O45" s="779" t="s">
        <v>1400</v>
      </c>
      <c r="P45" s="835" t="s">
        <v>982</v>
      </c>
      <c r="Q45" s="836"/>
      <c r="R45" s="836"/>
      <c r="S45" s="836"/>
      <c r="T45" s="836"/>
      <c r="U45" s="836"/>
      <c r="V45" s="836"/>
      <c r="W45" s="836"/>
      <c r="X45" s="836"/>
      <c r="Y45" s="836"/>
      <c r="Z45" s="836"/>
      <c r="AA45" s="836"/>
      <c r="AB45" s="836"/>
      <c r="AE45" s="217" t="str">
        <f t="shared" si="3"/>
        <v/>
      </c>
      <c r="AF45" s="219" t="str">
        <f t="shared" si="5"/>
        <v/>
      </c>
      <c r="AG45" s="215"/>
    </row>
    <row r="46" spans="2:33" s="213" customFormat="1" ht="30" hidden="1" customHeight="1">
      <c r="B46" s="834"/>
      <c r="C46" s="920"/>
      <c r="D46" s="924" t="str">
        <f>経費書!C41</f>
        <v>－</v>
      </c>
      <c r="E46" s="925"/>
      <c r="F46" s="925"/>
      <c r="G46" s="925"/>
      <c r="H46" s="690" t="s">
        <v>76</v>
      </c>
      <c r="I46" s="688">
        <v>5</v>
      </c>
      <c r="J46" s="691" t="s">
        <v>77</v>
      </c>
      <c r="K46" s="688">
        <v>8</v>
      </c>
      <c r="L46" s="691" t="s">
        <v>69</v>
      </c>
      <c r="M46" s="688">
        <v>26</v>
      </c>
      <c r="N46" s="692" t="s">
        <v>70</v>
      </c>
      <c r="O46" s="779" t="s">
        <v>1400</v>
      </c>
      <c r="P46" s="835" t="s">
        <v>982</v>
      </c>
      <c r="Q46" s="836"/>
      <c r="R46" s="836"/>
      <c r="S46" s="836"/>
      <c r="T46" s="836"/>
      <c r="U46" s="836"/>
      <c r="V46" s="836"/>
      <c r="W46" s="836"/>
      <c r="X46" s="836"/>
      <c r="Y46" s="836"/>
      <c r="Z46" s="836"/>
      <c r="AA46" s="836"/>
      <c r="AB46" s="836"/>
      <c r="AE46" s="217" t="str">
        <f t="shared" si="3"/>
        <v/>
      </c>
      <c r="AF46" s="219" t="str">
        <f>IFERROR(IF(AND(O46="○",P46="適切に入力がされました。"),DATE(IF(I46=5,2023,IF(I46=6,2024)),K46,M46),""),"")</f>
        <v/>
      </c>
      <c r="AG46" s="215"/>
    </row>
    <row r="47" spans="2:33" s="213" customFormat="1" ht="30" hidden="1" customHeight="1" thickBot="1">
      <c r="B47" s="834"/>
      <c r="C47" s="920"/>
      <c r="D47" s="924" t="str">
        <f>経費書!C43</f>
        <v>－</v>
      </c>
      <c r="E47" s="925"/>
      <c r="F47" s="925"/>
      <c r="G47" s="925"/>
      <c r="H47" s="690" t="s">
        <v>76</v>
      </c>
      <c r="I47" s="688">
        <v>5</v>
      </c>
      <c r="J47" s="691" t="s">
        <v>77</v>
      </c>
      <c r="K47" s="688">
        <v>9</v>
      </c>
      <c r="L47" s="691" t="s">
        <v>69</v>
      </c>
      <c r="M47" s="688">
        <v>25</v>
      </c>
      <c r="N47" s="692" t="s">
        <v>70</v>
      </c>
      <c r="O47" s="779" t="s">
        <v>1400</v>
      </c>
      <c r="P47" s="835" t="s">
        <v>982</v>
      </c>
      <c r="Q47" s="836"/>
      <c r="R47" s="836"/>
      <c r="S47" s="836"/>
      <c r="T47" s="836"/>
      <c r="U47" s="836"/>
      <c r="V47" s="836"/>
      <c r="W47" s="836"/>
      <c r="X47" s="836"/>
      <c r="Y47" s="836"/>
      <c r="Z47" s="836"/>
      <c r="AA47" s="836"/>
      <c r="AB47" s="836"/>
      <c r="AE47" s="217" t="str">
        <f t="shared" si="3"/>
        <v/>
      </c>
      <c r="AF47" s="220" t="str">
        <f t="shared" si="5"/>
        <v/>
      </c>
      <c r="AG47" s="215"/>
    </row>
    <row r="48" spans="2:33" ht="99.95" customHeight="1">
      <c r="B48" s="554" t="s">
        <v>1304</v>
      </c>
      <c r="C48" s="895" t="s">
        <v>90</v>
      </c>
      <c r="D48" s="896"/>
      <c r="E48" s="896"/>
      <c r="F48" s="896"/>
      <c r="G48" s="896"/>
      <c r="H48" s="897"/>
      <c r="I48" s="898"/>
      <c r="J48" s="898"/>
      <c r="K48" s="898"/>
      <c r="L48" s="898"/>
      <c r="M48" s="898"/>
      <c r="N48" s="898"/>
      <c r="O48" s="106" t="str">
        <f>IF(H48=AL16,"○",IF(H48="","×",IF(H48=AL17,"×")))</f>
        <v>×</v>
      </c>
      <c r="P48" s="835" t="str">
        <f xml:space="preserve">
IF(H48=AL16,"適切に入力がされました。",
IF(H48="","【下記いずれにも該当する場合、「申立てする」を選択してください。】"&amp;CHAR(10)&amp;"・補助を受ける経費について他の補助金等の交付を受けていないこと。"&amp;CHAR(10)&amp;"・本補助金により整備の物品は新型コロナウイルス感染症対策の目的以外に使用しないこと。"&amp;CHAR(10)&amp;"・本補助金の収入、支出等に係る証拠書類を５年間適切に整備保管すること。"&amp;CHAR(10)&amp;"・暴力団員又は暴力団関係者と実質を含めいかなる関係も有していないこと。",
IF(H48=AL17,"【申請する場合は要修正】
申立事項に該当しない申請者に対して交付を行うことはできません。")))</f>
        <v>【下記いずれにも該当する場合、「申立てする」を選択してください。】
・補助を受ける経費について他の補助金等の交付を受けていないこと。
・本補助金により整備の物品は新型コロナウイルス感染症対策の目的以外に使用しないこと。
・本補助金の収入、支出等に係る証拠書類を５年間適切に整備保管すること。
・暴力団員又は暴力団関係者と実質を含めいかなる関係も有していないこと。</v>
      </c>
      <c r="Q48" s="851"/>
      <c r="R48" s="851"/>
      <c r="S48" s="851"/>
      <c r="T48" s="851"/>
      <c r="U48" s="851"/>
      <c r="V48" s="851"/>
      <c r="W48" s="851"/>
      <c r="X48" s="851"/>
      <c r="Y48" s="851"/>
      <c r="Z48" s="851"/>
      <c r="AA48" s="851"/>
      <c r="AB48" s="851"/>
      <c r="AC48" s="784"/>
      <c r="AD48" s="784"/>
      <c r="AE48" s="127" t="str">
        <f>IF(O48="○","","申立事項/")</f>
        <v>申立事項/</v>
      </c>
      <c r="AF48" s="221"/>
    </row>
    <row r="49" spans="2:36" ht="30" customHeight="1">
      <c r="B49" s="854" t="s">
        <v>1305</v>
      </c>
      <c r="C49" s="872" t="s">
        <v>983</v>
      </c>
      <c r="D49" s="876"/>
      <c r="E49" s="872" t="s">
        <v>1142</v>
      </c>
      <c r="F49" s="919"/>
      <c r="G49" s="919"/>
      <c r="H49" s="897"/>
      <c r="I49" s="921"/>
      <c r="J49" s="921"/>
      <c r="K49" s="921"/>
      <c r="L49" s="921"/>
      <c r="M49" s="921"/>
      <c r="N49" s="921"/>
      <c r="O49" s="106" t="str">
        <f xml:space="preserve">
IF(COUNTA(H49)=0,"×",
IF(COUNTA(H49)=1,"○"))</f>
        <v>×</v>
      </c>
      <c r="P49" s="870" t="str">
        <f xml:space="preserve">
IF(COUNTA(H49)=0,"【要修正】確保病床の有無について選択してください。",
IF(COUNTA(H49)=1,"適切に入力がされました。"))</f>
        <v>【要修正】確保病床の有無について選択してください。</v>
      </c>
      <c r="Q49" s="875"/>
      <c r="R49" s="875"/>
      <c r="S49" s="875"/>
      <c r="T49" s="875"/>
      <c r="U49" s="875"/>
      <c r="V49" s="875"/>
      <c r="W49" s="875"/>
      <c r="X49" s="875"/>
      <c r="Y49" s="875"/>
      <c r="Z49" s="875"/>
      <c r="AA49" s="875"/>
      <c r="AB49" s="875"/>
      <c r="AC49" s="784"/>
      <c r="AD49" s="784"/>
      <c r="AE49" s="212" t="str">
        <f>IF(O49="○","",E49&amp;"/")</f>
        <v>確保病床の有無/</v>
      </c>
      <c r="AF49" s="214"/>
    </row>
    <row r="50" spans="2:36" ht="30" customHeight="1">
      <c r="B50" s="855"/>
      <c r="C50" s="872"/>
      <c r="D50" s="876"/>
      <c r="E50" s="867" t="s">
        <v>1392</v>
      </c>
      <c r="F50" s="868"/>
      <c r="G50" s="868"/>
      <c r="H50" s="868"/>
      <c r="I50" s="868"/>
      <c r="J50" s="869"/>
      <c r="K50" s="555"/>
      <c r="L50" s="780" t="s">
        <v>73</v>
      </c>
      <c r="M50" s="874"/>
      <c r="N50" s="874"/>
      <c r="O50" s="106" t="str">
        <f xml:space="preserve">
IF(K50="","×",
IF(K50=0,"○",
IF(K50&gt;=1,"○",
)))</f>
        <v>×</v>
      </c>
      <c r="P50" s="870" t="str">
        <f xml:space="preserve">
IF(K50="","【要修正】個人防護具及び消毒経費以外の設備整備を行う場合、整備を行う病床数を入力してください。（消耗品のみの申請の場合は０を入力してください。）",
IF(K50=0,"適切に入力がされました。",
IF(K50&gt;=1,"適切に入力がされました。（整備を行う病床の院内位置図及び、室内の整備状況が判る図面をご用意ください。）",
)))</f>
        <v>【要修正】個人防護具及び消毒経費以外の設備整備を行う場合、整備を行う病床数を入力してください。（消耗品のみの申請の場合は０を入力してください。）</v>
      </c>
      <c r="Q50" s="871"/>
      <c r="R50" s="871"/>
      <c r="S50" s="871"/>
      <c r="T50" s="871"/>
      <c r="U50" s="871"/>
      <c r="V50" s="871"/>
      <c r="W50" s="871"/>
      <c r="X50" s="871"/>
      <c r="Y50" s="871"/>
      <c r="Z50" s="871"/>
      <c r="AA50" s="871"/>
      <c r="AB50" s="871"/>
      <c r="AC50" s="784"/>
      <c r="AD50" s="784"/>
      <c r="AE50" s="212"/>
      <c r="AF50" s="214"/>
    </row>
    <row r="51" spans="2:36" ht="30" customHeight="1">
      <c r="B51" s="855"/>
      <c r="C51" s="872"/>
      <c r="D51" s="876"/>
      <c r="E51" s="872" t="s">
        <v>1141</v>
      </c>
      <c r="F51" s="920"/>
      <c r="G51" s="920"/>
      <c r="H51" s="872" t="s">
        <v>1388</v>
      </c>
      <c r="I51" s="873"/>
      <c r="J51" s="873"/>
      <c r="K51" s="555"/>
      <c r="L51" s="780" t="s">
        <v>73</v>
      </c>
      <c r="M51" s="874"/>
      <c r="N51" s="874"/>
      <c r="O51" s="106" t="s">
        <v>81</v>
      </c>
      <c r="P51" s="870" t="s">
        <v>1391</v>
      </c>
      <c r="Q51" s="875"/>
      <c r="R51" s="875"/>
      <c r="S51" s="875"/>
      <c r="T51" s="875"/>
      <c r="U51" s="875"/>
      <c r="V51" s="875"/>
      <c r="W51" s="875"/>
      <c r="X51" s="875"/>
      <c r="Y51" s="875"/>
      <c r="Z51" s="875"/>
      <c r="AA51" s="875"/>
      <c r="AB51" s="875"/>
      <c r="AC51" s="784"/>
      <c r="AD51" s="784"/>
      <c r="AE51" s="212" t="str">
        <f>IF(O51="○","",$E$51&amp;"("&amp;H51&amp;")/")</f>
        <v/>
      </c>
      <c r="AF51" s="214"/>
    </row>
    <row r="52" spans="2:36" ht="30" customHeight="1">
      <c r="B52" s="855"/>
      <c r="C52" s="876"/>
      <c r="D52" s="876"/>
      <c r="E52" s="920"/>
      <c r="F52" s="920"/>
      <c r="G52" s="920"/>
      <c r="H52" s="872" t="s">
        <v>1389</v>
      </c>
      <c r="I52" s="873"/>
      <c r="J52" s="873"/>
      <c r="K52" s="555"/>
      <c r="L52" s="780" t="s">
        <v>73</v>
      </c>
      <c r="M52" s="874"/>
      <c r="N52" s="874"/>
      <c r="O52" s="106" t="str">
        <f xml:space="preserve">
IF($O$49="×","×",
IF($H$49="無","○",
IF(AND($H$49="有",K52=""),"×",
IF(AND($H$49="有",K52&lt;&gt;""),"○"))))</f>
        <v>×</v>
      </c>
      <c r="P52" s="870" t="str">
        <f xml:space="preserve">
IF($O$49="×","【要修正】「確保病床の有無」が入力されていません。",
IF($H$49="無","段階毎の確保病床数の入力は不要です。",
IF(AND($H$49="有",K52=""),"【要修正】段階１における確保病床数を入力してください。",
IF(AND($H$49="有",K52&lt;&gt;""),"適切に入力がされました。"))))</f>
        <v>【要修正】「確保病床の有無」が入力されていません。</v>
      </c>
      <c r="Q52" s="875"/>
      <c r="R52" s="875"/>
      <c r="S52" s="875"/>
      <c r="T52" s="875"/>
      <c r="U52" s="875"/>
      <c r="V52" s="875"/>
      <c r="W52" s="875"/>
      <c r="X52" s="875"/>
      <c r="Y52" s="875"/>
      <c r="Z52" s="875"/>
      <c r="AA52" s="875"/>
      <c r="AB52" s="875"/>
      <c r="AC52" s="107"/>
      <c r="AE52" s="212" t="str">
        <f>IF(O52="○","",$E$51&amp;"("&amp;H52&amp;")/")</f>
        <v>確保病床数(段階1)/</v>
      </c>
      <c r="AF52" s="214"/>
    </row>
    <row r="53" spans="2:36" ht="30" customHeight="1">
      <c r="B53" s="855"/>
      <c r="C53" s="876"/>
      <c r="D53" s="876"/>
      <c r="E53" s="920"/>
      <c r="F53" s="920"/>
      <c r="G53" s="920"/>
      <c r="H53" s="872" t="s">
        <v>1390</v>
      </c>
      <c r="I53" s="873"/>
      <c r="J53" s="873"/>
      <c r="K53" s="555"/>
      <c r="L53" s="780" t="s">
        <v>73</v>
      </c>
      <c r="M53" s="874"/>
      <c r="N53" s="874"/>
      <c r="O53" s="106" t="str">
        <f xml:space="preserve">
IF($O$49="×","×",
IF($H$49="無","○",
IF(AND($H$49="有",K53=""),"×",
IF(AND($H$49="有",K53&lt;&gt;""),"○"))))</f>
        <v>×</v>
      </c>
      <c r="P53" s="870" t="str">
        <f xml:space="preserve">
IF($O$49="×","【要修正】「確保病床の有無」が入力されていません。",
IF($H$49="無","段階毎の確保病床数の入力は不要です。",
IF(AND($H$49="有",K53=""),"【要修正】段階２における確保病床数を入力してください。",
IF(AND($H$49="有",K53&lt;&gt;""),"適切に入力がされました。"))))</f>
        <v>【要修正】「確保病床の有無」が入力されていません。</v>
      </c>
      <c r="Q53" s="875"/>
      <c r="R53" s="875"/>
      <c r="S53" s="875"/>
      <c r="T53" s="875"/>
      <c r="U53" s="875"/>
      <c r="V53" s="875"/>
      <c r="W53" s="875"/>
      <c r="X53" s="875"/>
      <c r="Y53" s="875"/>
      <c r="Z53" s="875"/>
      <c r="AA53" s="875"/>
      <c r="AB53" s="875"/>
      <c r="AC53" s="107"/>
      <c r="AE53" s="212" t="str">
        <f>IF(O53="○","",$E$51&amp;"("&amp;H53&amp;")/")</f>
        <v>確保病床数(段階2)/</v>
      </c>
      <c r="AF53" s="214"/>
    </row>
    <row r="54" spans="2:36" ht="30" customHeight="1">
      <c r="B54" s="855"/>
      <c r="C54" s="872" t="s">
        <v>91</v>
      </c>
      <c r="D54" s="902"/>
      <c r="E54" s="902"/>
      <c r="F54" s="902"/>
      <c r="G54" s="902"/>
      <c r="H54" s="903" t="s">
        <v>92</v>
      </c>
      <c r="I54" s="903"/>
      <c r="J54" s="903"/>
      <c r="K54" s="903"/>
      <c r="L54" s="903"/>
      <c r="M54" s="903"/>
      <c r="N54" s="903"/>
      <c r="O54" s="874" t="s">
        <v>81</v>
      </c>
      <c r="P54" s="835" t="s">
        <v>985</v>
      </c>
      <c r="Q54" s="835"/>
      <c r="R54" s="835"/>
      <c r="S54" s="835"/>
      <c r="T54" s="835"/>
      <c r="U54" s="835"/>
      <c r="V54" s="835"/>
      <c r="W54" s="835"/>
      <c r="X54" s="835"/>
      <c r="Y54" s="835"/>
      <c r="Z54" s="835"/>
      <c r="AA54" s="835"/>
      <c r="AB54" s="835"/>
      <c r="AC54" s="784"/>
      <c r="AD54" s="784"/>
      <c r="AE54" s="889" t="str">
        <f>IF(O54="○","","入院受入の可否/")</f>
        <v/>
      </c>
      <c r="AF54" s="545" t="b">
        <v>0</v>
      </c>
    </row>
    <row r="55" spans="2:36" ht="30" customHeight="1">
      <c r="B55" s="855"/>
      <c r="C55" s="902"/>
      <c r="D55" s="902"/>
      <c r="E55" s="902"/>
      <c r="F55" s="902"/>
      <c r="G55" s="902"/>
      <c r="H55" s="892" t="s">
        <v>93</v>
      </c>
      <c r="I55" s="892"/>
      <c r="J55" s="892"/>
      <c r="K55" s="892"/>
      <c r="L55" s="892"/>
      <c r="M55" s="892"/>
      <c r="N55" s="892"/>
      <c r="O55" s="874"/>
      <c r="P55" s="835"/>
      <c r="Q55" s="835"/>
      <c r="R55" s="835"/>
      <c r="S55" s="835"/>
      <c r="T55" s="835"/>
      <c r="U55" s="835"/>
      <c r="V55" s="835"/>
      <c r="W55" s="835"/>
      <c r="X55" s="835"/>
      <c r="Y55" s="835"/>
      <c r="Z55" s="835"/>
      <c r="AA55" s="835"/>
      <c r="AB55" s="835"/>
      <c r="AC55" s="784"/>
      <c r="AD55" s="784"/>
      <c r="AE55" s="890"/>
      <c r="AF55" s="545" t="b">
        <v>0</v>
      </c>
    </row>
    <row r="56" spans="2:36" ht="30" customHeight="1">
      <c r="B56" s="855"/>
      <c r="C56" s="902"/>
      <c r="D56" s="902"/>
      <c r="E56" s="902"/>
      <c r="F56" s="902"/>
      <c r="G56" s="902"/>
      <c r="H56" s="893" t="s">
        <v>94</v>
      </c>
      <c r="I56" s="893"/>
      <c r="J56" s="893"/>
      <c r="K56" s="893"/>
      <c r="L56" s="893"/>
      <c r="M56" s="893"/>
      <c r="N56" s="893"/>
      <c r="O56" s="874"/>
      <c r="P56" s="835"/>
      <c r="Q56" s="835"/>
      <c r="R56" s="835"/>
      <c r="S56" s="835"/>
      <c r="T56" s="835"/>
      <c r="U56" s="835"/>
      <c r="V56" s="835"/>
      <c r="W56" s="835"/>
      <c r="X56" s="835"/>
      <c r="Y56" s="835"/>
      <c r="Z56" s="835"/>
      <c r="AA56" s="835"/>
      <c r="AB56" s="835"/>
      <c r="AC56" s="784"/>
      <c r="AD56" s="784"/>
      <c r="AE56" s="891"/>
      <c r="AF56" s="545" t="b">
        <v>0</v>
      </c>
    </row>
    <row r="57" spans="2:36" ht="15" customHeight="1">
      <c r="B57" s="784"/>
      <c r="C57" s="785"/>
      <c r="D57" s="786"/>
      <c r="E57" s="786"/>
      <c r="F57" s="786"/>
      <c r="G57" s="786"/>
      <c r="H57" s="786"/>
      <c r="I57" s="110"/>
      <c r="J57" s="110"/>
      <c r="K57" s="110"/>
      <c r="L57" s="110"/>
      <c r="M57" s="110"/>
      <c r="N57" s="110"/>
      <c r="O57" s="786"/>
      <c r="P57" s="781"/>
      <c r="Q57" s="782"/>
      <c r="R57" s="782"/>
      <c r="S57" s="782"/>
      <c r="T57" s="782"/>
      <c r="U57" s="782"/>
      <c r="V57" s="782"/>
      <c r="W57" s="782"/>
      <c r="X57" s="784"/>
      <c r="Y57" s="784"/>
      <c r="Z57" s="784"/>
      <c r="AA57" s="784"/>
      <c r="AB57" s="784"/>
      <c r="AC57" s="784"/>
      <c r="AD57" s="784"/>
      <c r="AJ57" s="783"/>
    </row>
    <row r="58" spans="2:36" ht="80.099999999999994" customHeight="1">
      <c r="C58" s="109" t="s">
        <v>95</v>
      </c>
      <c r="D58" s="887" t="s">
        <v>96</v>
      </c>
      <c r="E58" s="888"/>
      <c r="F58" s="108" t="str">
        <f>IF(COUNTIF(O3:O56,"×")&gt;=1,"×","○")</f>
        <v>×</v>
      </c>
      <c r="G58" s="835" t="str">
        <f>IF(F58="○","適切に入力がされました。","【要修正】次の項目が適切に入力されているかご確認ください→"&amp;AE3&amp;AE6&amp;AE7&amp;AE8&amp;AE9&amp;AE10&amp;AE11&amp;AE12&amp;AE14&amp;AE15&amp;AE16&amp;AE17&amp;AE19&amp;AE20&amp;AE21&amp;AE22&amp;AE23&amp;AE24&amp;AE25&amp;AE26&amp;AE27&amp;AE28&amp;AE29&amp;AE30&amp;AE31&amp;AE32&amp;AE40&amp;AE33&amp;AE34&amp;AE35&amp;AE36&amp;AE37&amp;AE38&amp;AE39&amp;AE41&amp;AE42&amp;AE43&amp;AE44&amp;AE45&amp;AE46&amp;AE47&amp;AE48&amp;AE49&amp;AE51&amp;AE52&amp;AE53)</f>
        <v>【要修正】次の項目が適切に入力されているかご確認ください→法人・個人事業主の別/事業者名（法人名または屋号）/代表者役職/代表者氏名/所在地（愛知県以下を入力）/施設の名称施設所在地（愛知県以下を入力）/担当部署/担当者名/電話番号（担当直通）/Mailｱﾄﾞﾚｽ（担当直通）/金融機関番号/金融機関名/支店番号/支店名/預金口座種別/口座番号/振込先口座名義（半角ｶﾅ）/「基礎情報」シート(１．勤務体制)/「基礎情報」シート(２．職員情報)/「基礎情報」シート(３．配置情報)/「基礎情報」シート(４．防護具使用情報)/個人防護具関係項目/－関係項目/簡易陰圧装置関係項目/パーテーション関係項目/申立事項/確保病床の有無/確保病床数(段階1)/確保病床数(段階2)/</v>
      </c>
      <c r="H58" s="835"/>
      <c r="I58" s="835"/>
      <c r="J58" s="835"/>
      <c r="K58" s="835"/>
      <c r="L58" s="835"/>
      <c r="M58" s="835"/>
      <c r="N58" s="835"/>
      <c r="O58" s="835"/>
      <c r="P58" s="835"/>
      <c r="Q58" s="851"/>
      <c r="R58" s="851"/>
      <c r="S58" s="851"/>
      <c r="T58" s="851"/>
      <c r="U58" s="851"/>
      <c r="V58" s="851"/>
      <c r="W58" s="851"/>
      <c r="X58" s="851"/>
      <c r="Y58" s="851"/>
      <c r="Z58" s="851"/>
      <c r="AA58" s="851"/>
      <c r="AB58" s="851"/>
      <c r="AE58" s="130" t="str">
        <f>IF(COUNTA(H6,H7,H8,H9,H12,H14,H15,H16,H17)=9,"○","×")</f>
        <v>×</v>
      </c>
      <c r="AJ58" s="817" t="str">
        <f>AE3&amp;AE6&amp;AE7&amp;AE8&amp;AE9&amp;AE10&amp;AE11&amp;AE12&amp;AE13&amp;AE14&amp;AE15&amp;AE16&amp;AE17&amp;AJ18&amp;AE19&amp;AE48</f>
        <v>法人・個人事業主の別/事業者名（法人名または屋号）/代表者役職/代表者氏名/所在地（愛知県以下を入力）/施設の名称施設所在地（愛知県以下を入力）/担当部署/担当者名/電話番号（担当直通）/Mailｱﾄﾞﾚｽ（担当直通）/金融機関番号/申立事項/</v>
      </c>
    </row>
    <row r="59" spans="2:36" ht="15" customHeight="1">
      <c r="C59" s="109"/>
      <c r="D59" s="785"/>
      <c r="E59" s="786"/>
      <c r="F59" s="786"/>
      <c r="G59" s="781"/>
      <c r="H59" s="781"/>
      <c r="I59" s="781"/>
      <c r="J59" s="781"/>
      <c r="K59" s="781"/>
      <c r="L59" s="781"/>
      <c r="M59" s="781"/>
      <c r="N59" s="781"/>
      <c r="O59" s="781"/>
      <c r="P59" s="781"/>
      <c r="Q59" s="784"/>
      <c r="R59" s="784"/>
      <c r="S59" s="784"/>
      <c r="T59" s="784"/>
      <c r="U59" s="784"/>
      <c r="V59" s="784"/>
      <c r="W59" s="784"/>
      <c r="X59" s="784"/>
      <c r="Y59" s="784"/>
      <c r="Z59" s="784"/>
      <c r="AA59" s="784"/>
      <c r="AB59" s="784"/>
      <c r="AE59" s="130"/>
    </row>
    <row r="60" spans="2:36" ht="90" customHeight="1">
      <c r="B60" s="784"/>
      <c r="C60" s="613"/>
      <c r="D60" s="658"/>
      <c r="E60" s="658"/>
      <c r="F60" s="658"/>
      <c r="G60" s="658"/>
      <c r="H60" s="658"/>
      <c r="I60" s="658"/>
      <c r="J60" s="658"/>
      <c r="K60" s="658"/>
      <c r="L60" s="658"/>
      <c r="M60" s="658"/>
      <c r="N60" s="658"/>
      <c r="O60" s="658"/>
      <c r="P60" s="658"/>
      <c r="Q60" s="658"/>
      <c r="R60" s="658"/>
      <c r="S60" s="658"/>
      <c r="T60" s="658"/>
      <c r="U60" s="658"/>
      <c r="V60" s="658"/>
      <c r="W60" s="658"/>
      <c r="X60" s="658"/>
      <c r="Y60" s="658"/>
      <c r="Z60" s="658"/>
      <c r="AA60" s="658"/>
      <c r="AB60" s="658"/>
    </row>
    <row r="61" spans="2:36" ht="20.100000000000001" customHeight="1">
      <c r="B61" s="784"/>
      <c r="C61" s="111"/>
      <c r="D61" s="659"/>
      <c r="E61" s="659"/>
      <c r="F61" s="659"/>
      <c r="G61" s="659"/>
      <c r="H61" s="659"/>
      <c r="I61" s="659"/>
      <c r="J61" s="659"/>
      <c r="K61" s="659"/>
      <c r="L61" s="659"/>
      <c r="M61" s="659"/>
      <c r="N61" s="659"/>
      <c r="O61" s="659"/>
      <c r="P61" s="659"/>
      <c r="Q61" s="659"/>
      <c r="R61" s="659"/>
      <c r="S61" s="659"/>
      <c r="T61" s="659"/>
      <c r="U61" s="659"/>
      <c r="V61" s="659"/>
      <c r="W61" s="659"/>
      <c r="X61" s="659"/>
      <c r="Y61" s="659"/>
      <c r="Z61" s="659"/>
      <c r="AA61" s="659"/>
      <c r="AB61" s="659"/>
    </row>
    <row r="62" spans="2:36" ht="60" customHeight="1">
      <c r="B62" s="784"/>
      <c r="C62" s="111"/>
      <c r="D62" s="785"/>
      <c r="E62" s="785"/>
      <c r="F62" s="785"/>
      <c r="G62" s="783"/>
      <c r="H62" s="783"/>
      <c r="I62" s="783"/>
      <c r="J62" s="783"/>
      <c r="K62" s="783"/>
      <c r="L62" s="783"/>
      <c r="M62" s="783"/>
      <c r="N62" s="783"/>
      <c r="O62" s="783"/>
      <c r="P62" s="783"/>
      <c r="Q62" s="783"/>
      <c r="R62" s="783"/>
      <c r="S62" s="783"/>
      <c r="T62" s="783"/>
      <c r="U62" s="783"/>
      <c r="V62" s="783"/>
      <c r="W62" s="783"/>
      <c r="X62" s="783"/>
      <c r="Y62" s="783"/>
      <c r="Z62" s="783"/>
      <c r="AA62" s="783"/>
      <c r="AB62" s="783"/>
    </row>
    <row r="63" spans="2:36" ht="20.100000000000001" customHeight="1">
      <c r="B63" s="784"/>
      <c r="C63" s="111"/>
      <c r="D63" s="659"/>
      <c r="E63" s="659"/>
      <c r="F63" s="659"/>
      <c r="G63" s="659"/>
      <c r="H63" s="659"/>
      <c r="I63" s="659"/>
      <c r="J63" s="659"/>
      <c r="K63" s="659"/>
      <c r="L63" s="659"/>
      <c r="M63" s="659"/>
      <c r="N63" s="659"/>
      <c r="O63" s="659"/>
      <c r="P63" s="659"/>
      <c r="Q63" s="659"/>
      <c r="R63" s="659"/>
      <c r="S63" s="659"/>
      <c r="T63" s="659"/>
      <c r="U63" s="659"/>
      <c r="V63" s="659"/>
      <c r="W63" s="659"/>
      <c r="X63" s="659"/>
      <c r="Y63" s="659"/>
      <c r="Z63" s="659"/>
      <c r="AA63" s="659"/>
      <c r="AB63" s="659"/>
    </row>
    <row r="64" spans="2:36" ht="39.950000000000003" customHeight="1">
      <c r="B64" s="786"/>
      <c r="C64" s="660"/>
      <c r="D64" s="661"/>
      <c r="E64" s="661"/>
      <c r="F64" s="661"/>
      <c r="G64" s="661"/>
      <c r="H64" s="661"/>
      <c r="I64" s="785"/>
      <c r="J64" s="786"/>
      <c r="K64" s="786"/>
      <c r="L64" s="786"/>
      <c r="M64" s="786"/>
      <c r="N64" s="784"/>
      <c r="O64" s="785"/>
      <c r="P64" s="785"/>
      <c r="Q64" s="786"/>
      <c r="R64" s="786"/>
      <c r="S64" s="786"/>
      <c r="T64" s="786"/>
      <c r="U64" s="786"/>
      <c r="V64" s="786"/>
      <c r="W64" s="786"/>
      <c r="X64" s="786"/>
      <c r="Y64" s="786"/>
      <c r="Z64" s="786"/>
      <c r="AA64" s="786"/>
      <c r="AB64" s="786"/>
      <c r="AC64" s="109"/>
      <c r="AD64" s="109"/>
    </row>
    <row r="65" spans="2:44" ht="75" customHeight="1">
      <c r="B65" s="786"/>
      <c r="C65" s="781"/>
      <c r="D65" s="782"/>
      <c r="E65" s="782"/>
      <c r="F65" s="782"/>
      <c r="G65" s="782"/>
      <c r="H65" s="782"/>
      <c r="I65" s="662"/>
      <c r="J65" s="662"/>
      <c r="K65" s="662"/>
      <c r="L65" s="662"/>
      <c r="M65" s="662"/>
      <c r="N65" s="663"/>
      <c r="O65" s="786"/>
      <c r="P65" s="783"/>
      <c r="Q65" s="784"/>
      <c r="R65" s="784"/>
      <c r="S65" s="784"/>
      <c r="T65" s="784"/>
      <c r="U65" s="784"/>
      <c r="V65" s="784"/>
      <c r="W65" s="784"/>
      <c r="X65" s="784"/>
      <c r="Y65" s="784"/>
      <c r="Z65" s="784"/>
      <c r="AA65" s="784"/>
      <c r="AB65" s="784"/>
      <c r="AC65" s="109"/>
      <c r="AD65" s="109"/>
    </row>
    <row r="66" spans="2:44" ht="60" customHeight="1">
      <c r="B66" s="786"/>
      <c r="C66" s="781"/>
      <c r="D66" s="793"/>
      <c r="E66" s="793"/>
      <c r="F66" s="793"/>
      <c r="G66" s="793"/>
      <c r="H66" s="793"/>
      <c r="I66" s="662"/>
      <c r="J66" s="662"/>
      <c r="K66" s="662"/>
      <c r="L66" s="662"/>
      <c r="M66" s="662"/>
      <c r="N66" s="663"/>
      <c r="O66" s="786"/>
      <c r="P66" s="783"/>
      <c r="Q66" s="793"/>
      <c r="R66" s="793"/>
      <c r="S66" s="793"/>
      <c r="T66" s="793"/>
      <c r="U66" s="793"/>
      <c r="V66" s="793"/>
      <c r="W66" s="793"/>
      <c r="X66" s="793"/>
      <c r="Y66" s="793"/>
      <c r="Z66" s="793"/>
      <c r="AA66" s="793"/>
      <c r="AB66" s="793"/>
      <c r="AC66" s="109"/>
      <c r="AD66" s="109"/>
    </row>
    <row r="67" spans="2:44" ht="39.950000000000003" customHeight="1">
      <c r="B67" s="786"/>
      <c r="C67" s="781"/>
      <c r="D67" s="782"/>
      <c r="E67" s="782"/>
      <c r="F67" s="782"/>
      <c r="G67" s="782"/>
      <c r="H67" s="782"/>
      <c r="I67" s="662"/>
      <c r="J67" s="662"/>
      <c r="K67" s="662"/>
      <c r="L67" s="662"/>
      <c r="M67" s="662"/>
      <c r="N67" s="663"/>
      <c r="O67" s="664"/>
      <c r="P67" s="783"/>
      <c r="Q67" s="784"/>
      <c r="R67" s="784"/>
      <c r="S67" s="784"/>
      <c r="T67" s="784"/>
      <c r="U67" s="784"/>
      <c r="V67" s="784"/>
      <c r="W67" s="784"/>
      <c r="X67" s="784"/>
      <c r="Y67" s="784"/>
      <c r="Z67" s="784"/>
      <c r="AA67" s="784"/>
      <c r="AB67" s="784"/>
      <c r="AC67" s="109"/>
      <c r="AD67" s="109"/>
    </row>
    <row r="68" spans="2:44" ht="39.950000000000003" customHeight="1">
      <c r="B68" s="786"/>
      <c r="C68" s="781"/>
      <c r="D68" s="782"/>
      <c r="E68" s="782"/>
      <c r="F68" s="782"/>
      <c r="G68" s="782"/>
      <c r="H68" s="782"/>
      <c r="I68" s="662"/>
      <c r="J68" s="662"/>
      <c r="K68" s="662"/>
      <c r="L68" s="662"/>
      <c r="M68" s="662"/>
      <c r="N68" s="663"/>
      <c r="O68" s="786"/>
      <c r="P68" s="783"/>
      <c r="Q68" s="784"/>
      <c r="R68" s="784"/>
      <c r="S68" s="784"/>
      <c r="T68" s="784"/>
      <c r="U68" s="784"/>
      <c r="V68" s="784"/>
      <c r="W68" s="784"/>
      <c r="X68" s="784"/>
      <c r="Y68" s="784"/>
      <c r="Z68" s="784"/>
      <c r="AA68" s="784"/>
      <c r="AB68" s="784"/>
      <c r="AC68" s="109"/>
      <c r="AD68" s="109"/>
    </row>
    <row r="69" spans="2:44" ht="39.950000000000003" customHeight="1">
      <c r="B69" s="786"/>
      <c r="C69" s="781"/>
      <c r="D69" s="782"/>
      <c r="E69" s="782"/>
      <c r="F69" s="782"/>
      <c r="G69" s="782"/>
      <c r="H69" s="782"/>
      <c r="I69" s="662"/>
      <c r="J69" s="662"/>
      <c r="K69" s="662"/>
      <c r="L69" s="662"/>
      <c r="M69" s="662"/>
      <c r="N69" s="663"/>
      <c r="O69" s="786"/>
      <c r="P69" s="783"/>
      <c r="Q69" s="784"/>
      <c r="R69" s="784"/>
      <c r="S69" s="784"/>
      <c r="T69" s="784"/>
      <c r="U69" s="784"/>
      <c r="V69" s="784"/>
      <c r="W69" s="784"/>
      <c r="X69" s="784"/>
      <c r="Y69" s="784"/>
      <c r="Z69" s="784"/>
      <c r="AA69" s="784"/>
      <c r="AB69" s="784"/>
      <c r="AC69" s="109"/>
      <c r="AD69" s="109"/>
    </row>
    <row r="70" spans="2:44" ht="80.099999999999994" customHeight="1">
      <c r="B70" s="786"/>
      <c r="C70" s="781"/>
      <c r="D70" s="782"/>
      <c r="E70" s="782"/>
      <c r="F70" s="782"/>
      <c r="G70" s="782"/>
      <c r="H70" s="782"/>
      <c r="I70" s="662"/>
      <c r="J70" s="662"/>
      <c r="K70" s="662"/>
      <c r="L70" s="662"/>
      <c r="M70" s="662"/>
      <c r="N70" s="663"/>
      <c r="O70" s="664"/>
      <c r="P70" s="783"/>
      <c r="Q70" s="784"/>
      <c r="R70" s="784"/>
      <c r="S70" s="784"/>
      <c r="T70" s="784"/>
      <c r="U70" s="784"/>
      <c r="V70" s="784"/>
      <c r="W70" s="784"/>
      <c r="X70" s="784"/>
      <c r="Y70" s="784"/>
      <c r="Z70" s="784"/>
      <c r="AA70" s="784"/>
      <c r="AB70" s="784"/>
      <c r="AC70" s="109"/>
      <c r="AD70" s="109"/>
    </row>
    <row r="71" spans="2:44" ht="39.950000000000003" customHeight="1">
      <c r="B71" s="786"/>
      <c r="C71" s="781"/>
      <c r="D71" s="782"/>
      <c r="E71" s="782"/>
      <c r="F71" s="782"/>
      <c r="G71" s="782"/>
      <c r="H71" s="782"/>
      <c r="I71" s="785"/>
      <c r="J71" s="785"/>
      <c r="K71" s="785"/>
      <c r="L71" s="785"/>
      <c r="M71" s="785"/>
      <c r="N71" s="786"/>
      <c r="O71" s="664"/>
      <c r="P71" s="665"/>
      <c r="Q71" s="666"/>
      <c r="R71" s="666"/>
      <c r="S71" s="666"/>
      <c r="T71" s="666"/>
      <c r="U71" s="666"/>
      <c r="V71" s="666"/>
      <c r="W71" s="666"/>
      <c r="X71" s="666"/>
      <c r="Y71" s="666"/>
      <c r="Z71" s="666"/>
      <c r="AA71" s="666"/>
      <c r="AB71" s="666"/>
      <c r="AC71" s="109"/>
      <c r="AD71" s="109"/>
      <c r="AO71" s="818" t="s">
        <v>540</v>
      </c>
      <c r="AP71" s="818" t="s">
        <v>542</v>
      </c>
      <c r="AQ71" s="818" t="s">
        <v>544</v>
      </c>
      <c r="AR71" s="818" t="s">
        <v>545</v>
      </c>
    </row>
    <row r="72" spans="2:44" ht="30" customHeight="1">
      <c r="B72" s="784"/>
      <c r="C72" s="781"/>
      <c r="D72" s="782"/>
      <c r="E72" s="782"/>
      <c r="F72" s="782"/>
      <c r="G72" s="782"/>
      <c r="H72" s="782"/>
      <c r="I72" s="785"/>
      <c r="J72" s="785"/>
      <c r="K72" s="785"/>
      <c r="L72" s="785"/>
      <c r="M72" s="785"/>
      <c r="N72" s="786"/>
      <c r="O72" s="786"/>
      <c r="P72" s="783"/>
      <c r="Q72" s="784"/>
      <c r="R72" s="784"/>
      <c r="S72" s="784"/>
      <c r="T72" s="784"/>
      <c r="U72" s="784"/>
      <c r="V72" s="784"/>
      <c r="W72" s="784"/>
      <c r="X72" s="784"/>
      <c r="Y72" s="784"/>
      <c r="Z72" s="784"/>
      <c r="AA72" s="784"/>
      <c r="AB72" s="784"/>
      <c r="AN72" s="818">
        <v>47</v>
      </c>
      <c r="AP72" s="818" t="s">
        <v>100</v>
      </c>
      <c r="AQ72" s="818" t="s">
        <v>101</v>
      </c>
      <c r="AR72" s="818" t="s">
        <v>102</v>
      </c>
    </row>
    <row r="73" spans="2:44" ht="30" customHeight="1">
      <c r="B73" s="784"/>
      <c r="C73" s="781"/>
      <c r="D73" s="782"/>
      <c r="E73" s="782"/>
      <c r="F73" s="782"/>
      <c r="G73" s="782"/>
      <c r="H73" s="782"/>
      <c r="I73" s="785"/>
      <c r="J73" s="785"/>
      <c r="K73" s="785"/>
      <c r="L73" s="785"/>
      <c r="M73" s="785"/>
      <c r="N73" s="786"/>
      <c r="O73" s="786"/>
      <c r="P73" s="783"/>
      <c r="Q73" s="784"/>
      <c r="R73" s="784"/>
      <c r="S73" s="784"/>
      <c r="T73" s="784"/>
      <c r="U73" s="784"/>
      <c r="V73" s="784"/>
      <c r="W73" s="784"/>
      <c r="X73" s="784"/>
      <c r="Y73" s="784"/>
      <c r="Z73" s="784"/>
      <c r="AA73" s="784"/>
      <c r="AB73" s="784"/>
      <c r="AN73" s="818">
        <v>48</v>
      </c>
      <c r="AO73" s="818" t="s">
        <v>100</v>
      </c>
      <c r="AP73" s="818" t="s">
        <v>104</v>
      </c>
      <c r="AQ73" s="818" t="s">
        <v>105</v>
      </c>
      <c r="AR73" s="818" t="s">
        <v>106</v>
      </c>
    </row>
    <row r="74" spans="2:44" ht="30" customHeight="1">
      <c r="B74" s="784"/>
      <c r="C74" s="781"/>
      <c r="D74" s="782"/>
      <c r="E74" s="782"/>
      <c r="F74" s="782"/>
      <c r="G74" s="782"/>
      <c r="H74" s="782"/>
      <c r="I74" s="785"/>
      <c r="J74" s="785"/>
      <c r="K74" s="785"/>
      <c r="L74" s="785"/>
      <c r="M74" s="785"/>
      <c r="N74" s="786"/>
      <c r="O74" s="786"/>
      <c r="P74" s="783"/>
      <c r="Q74" s="784"/>
      <c r="R74" s="784"/>
      <c r="S74" s="784"/>
      <c r="T74" s="784"/>
      <c r="U74" s="784"/>
      <c r="V74" s="784"/>
      <c r="W74" s="784"/>
      <c r="X74" s="784"/>
      <c r="Y74" s="784"/>
      <c r="Z74" s="784"/>
      <c r="AA74" s="784"/>
      <c r="AB74" s="784"/>
      <c r="AN74" s="818">
        <v>49</v>
      </c>
      <c r="AO74" s="818" t="s">
        <v>101</v>
      </c>
      <c r="AQ74" s="818" t="s">
        <v>108</v>
      </c>
      <c r="AR74" s="818" t="s">
        <v>109</v>
      </c>
    </row>
    <row r="75" spans="2:44" ht="30" customHeight="1">
      <c r="B75" s="784"/>
      <c r="C75" s="781"/>
      <c r="D75" s="793"/>
      <c r="E75" s="793"/>
      <c r="F75" s="793"/>
      <c r="G75" s="793"/>
      <c r="H75" s="793"/>
      <c r="I75" s="785"/>
      <c r="J75" s="785"/>
      <c r="K75" s="785"/>
      <c r="L75" s="785"/>
      <c r="M75" s="785"/>
      <c r="N75" s="786"/>
      <c r="O75" s="786"/>
      <c r="P75" s="783"/>
      <c r="Q75" s="784"/>
      <c r="R75" s="784"/>
      <c r="S75" s="784"/>
      <c r="T75" s="784"/>
      <c r="U75" s="784"/>
      <c r="V75" s="784"/>
      <c r="W75" s="784"/>
      <c r="X75" s="784"/>
      <c r="Y75" s="784"/>
      <c r="Z75" s="784"/>
      <c r="AA75" s="784"/>
      <c r="AB75" s="784"/>
    </row>
    <row r="76" spans="2:44" ht="30" customHeight="1">
      <c r="B76" s="784"/>
      <c r="C76" s="781"/>
      <c r="D76" s="793"/>
      <c r="E76" s="793"/>
      <c r="F76" s="793"/>
      <c r="G76" s="793"/>
      <c r="H76" s="793"/>
      <c r="I76" s="785"/>
      <c r="J76" s="785"/>
      <c r="K76" s="785"/>
      <c r="L76" s="785"/>
      <c r="M76" s="785"/>
      <c r="N76" s="786"/>
      <c r="O76" s="786"/>
      <c r="P76" s="783"/>
      <c r="Q76" s="784"/>
      <c r="R76" s="784"/>
      <c r="S76" s="784"/>
      <c r="T76" s="784"/>
      <c r="U76" s="784"/>
      <c r="V76" s="784"/>
      <c r="W76" s="784"/>
      <c r="X76" s="784"/>
      <c r="Y76" s="784"/>
      <c r="Z76" s="784"/>
      <c r="AA76" s="784"/>
      <c r="AB76" s="784"/>
    </row>
    <row r="77" spans="2:44" ht="30" customHeight="1">
      <c r="B77" s="784"/>
      <c r="C77" s="781"/>
      <c r="D77" s="793"/>
      <c r="E77" s="793"/>
      <c r="F77" s="793"/>
      <c r="G77" s="793"/>
      <c r="H77" s="793"/>
      <c r="I77" s="785"/>
      <c r="J77" s="785"/>
      <c r="K77" s="785"/>
      <c r="L77" s="785"/>
      <c r="M77" s="785"/>
      <c r="N77" s="786"/>
      <c r="O77" s="786"/>
      <c r="P77" s="783"/>
      <c r="Q77" s="784"/>
      <c r="R77" s="784"/>
      <c r="S77" s="784"/>
      <c r="T77" s="784"/>
      <c r="U77" s="784"/>
      <c r="V77" s="784"/>
      <c r="W77" s="784"/>
      <c r="X77" s="784"/>
      <c r="Y77" s="784"/>
      <c r="Z77" s="784"/>
      <c r="AA77" s="784"/>
      <c r="AB77" s="784"/>
    </row>
    <row r="78" spans="2:44" ht="30" customHeight="1">
      <c r="B78" s="784"/>
      <c r="C78" s="781"/>
      <c r="D78" s="782"/>
      <c r="E78" s="782"/>
      <c r="F78" s="782"/>
      <c r="G78" s="782"/>
      <c r="H78" s="782"/>
      <c r="I78" s="785"/>
      <c r="J78" s="785"/>
      <c r="K78" s="785"/>
      <c r="L78" s="785"/>
      <c r="M78" s="785"/>
      <c r="N78" s="786"/>
      <c r="O78" s="786"/>
      <c r="P78" s="783"/>
      <c r="Q78" s="784"/>
      <c r="R78" s="784"/>
      <c r="S78" s="784"/>
      <c r="T78" s="784"/>
      <c r="U78" s="784"/>
      <c r="V78" s="784"/>
      <c r="W78" s="784"/>
      <c r="X78" s="784"/>
      <c r="Y78" s="784"/>
      <c r="Z78" s="784"/>
      <c r="AA78" s="784"/>
      <c r="AB78" s="784"/>
      <c r="AN78" s="818">
        <v>50</v>
      </c>
      <c r="AO78" s="818" t="s">
        <v>102</v>
      </c>
      <c r="AQ78" s="818" t="s">
        <v>111</v>
      </c>
      <c r="AR78" s="818" t="s">
        <v>112</v>
      </c>
    </row>
    <row r="79" spans="2:44" ht="30" customHeight="1">
      <c r="B79" s="784"/>
      <c r="C79" s="781"/>
      <c r="D79" s="793"/>
      <c r="E79" s="793"/>
      <c r="F79" s="793"/>
      <c r="G79" s="793"/>
      <c r="H79" s="793"/>
      <c r="I79" s="785"/>
      <c r="J79" s="785"/>
      <c r="K79" s="785"/>
      <c r="L79" s="785"/>
      <c r="M79" s="785"/>
      <c r="N79" s="786"/>
      <c r="O79" s="786"/>
      <c r="P79" s="783"/>
      <c r="Q79" s="784"/>
      <c r="R79" s="784"/>
      <c r="S79" s="784"/>
      <c r="T79" s="784"/>
      <c r="U79" s="784"/>
      <c r="V79" s="784"/>
      <c r="W79" s="784"/>
      <c r="X79" s="784"/>
      <c r="Y79" s="784"/>
      <c r="Z79" s="784"/>
      <c r="AA79" s="784"/>
      <c r="AB79" s="784"/>
    </row>
    <row r="80" spans="2:44" ht="30" customHeight="1">
      <c r="B80" s="784"/>
      <c r="C80" s="781"/>
      <c r="D80" s="793"/>
      <c r="E80" s="793"/>
      <c r="F80" s="793"/>
      <c r="G80" s="793"/>
      <c r="H80" s="793"/>
      <c r="I80" s="785"/>
      <c r="J80" s="785"/>
      <c r="K80" s="785"/>
      <c r="L80" s="785"/>
      <c r="M80" s="785"/>
      <c r="N80" s="786"/>
      <c r="O80" s="786"/>
      <c r="P80" s="783"/>
      <c r="Q80" s="784"/>
      <c r="R80" s="784"/>
      <c r="S80" s="784"/>
      <c r="T80" s="784"/>
      <c r="U80" s="784"/>
      <c r="V80" s="784"/>
      <c r="W80" s="784"/>
      <c r="X80" s="784"/>
      <c r="Y80" s="784"/>
      <c r="Z80" s="784"/>
      <c r="AA80" s="784"/>
      <c r="AB80" s="784"/>
    </row>
    <row r="81" spans="2:44" ht="30" customHeight="1">
      <c r="B81" s="784"/>
      <c r="C81" s="781"/>
      <c r="D81" s="781"/>
      <c r="E81" s="781"/>
      <c r="F81" s="781"/>
      <c r="G81" s="781"/>
      <c r="H81" s="781"/>
      <c r="I81" s="785"/>
      <c r="J81" s="785"/>
      <c r="K81" s="785"/>
      <c r="L81" s="785"/>
      <c r="M81" s="785"/>
      <c r="N81" s="785"/>
      <c r="O81" s="786"/>
      <c r="P81" s="783"/>
      <c r="Q81" s="784"/>
      <c r="R81" s="784"/>
      <c r="S81" s="784"/>
      <c r="T81" s="784"/>
      <c r="U81" s="784"/>
      <c r="V81" s="784"/>
      <c r="W81" s="784"/>
      <c r="X81" s="784"/>
      <c r="Y81" s="784"/>
      <c r="Z81" s="784"/>
      <c r="AA81" s="784"/>
      <c r="AB81" s="784"/>
      <c r="AN81" s="818">
        <v>51</v>
      </c>
      <c r="AQ81" s="818" t="s">
        <v>114</v>
      </c>
      <c r="AR81" s="818" t="s">
        <v>115</v>
      </c>
    </row>
    <row r="82" spans="2:44" ht="30" customHeight="1">
      <c r="B82" s="784"/>
      <c r="C82" s="781"/>
      <c r="D82" s="781"/>
      <c r="E82" s="781"/>
      <c r="F82" s="781"/>
      <c r="G82" s="781"/>
      <c r="H82" s="781"/>
      <c r="I82" s="785"/>
      <c r="J82" s="785"/>
      <c r="K82" s="785"/>
      <c r="L82" s="785"/>
      <c r="M82" s="785"/>
      <c r="N82" s="785"/>
      <c r="O82" s="786"/>
      <c r="P82" s="783"/>
      <c r="Q82" s="784"/>
      <c r="R82" s="784"/>
      <c r="S82" s="784"/>
      <c r="T82" s="784"/>
      <c r="U82" s="784"/>
      <c r="V82" s="784"/>
      <c r="W82" s="784"/>
      <c r="X82" s="784"/>
      <c r="Y82" s="784"/>
      <c r="Z82" s="784"/>
      <c r="AA82" s="784"/>
      <c r="AB82" s="784"/>
      <c r="AN82" s="818">
        <v>52</v>
      </c>
      <c r="AQ82" s="818" t="s">
        <v>117</v>
      </c>
      <c r="AR82" s="818" t="s">
        <v>118</v>
      </c>
    </row>
    <row r="83" spans="2:44" ht="30" customHeight="1">
      <c r="B83" s="784"/>
      <c r="C83" s="781"/>
      <c r="D83" s="781"/>
      <c r="E83" s="781"/>
      <c r="F83" s="781"/>
      <c r="G83" s="781"/>
      <c r="H83" s="781"/>
      <c r="I83" s="785"/>
      <c r="J83" s="785"/>
      <c r="K83" s="785"/>
      <c r="L83" s="785"/>
      <c r="M83" s="785"/>
      <c r="N83" s="785"/>
      <c r="O83" s="786"/>
      <c r="P83" s="783"/>
      <c r="Q83" s="784"/>
      <c r="R83" s="784"/>
      <c r="S83" s="784"/>
      <c r="T83" s="784"/>
      <c r="U83" s="784"/>
      <c r="V83" s="784"/>
      <c r="W83" s="784"/>
      <c r="X83" s="784"/>
      <c r="Y83" s="784"/>
      <c r="Z83" s="784"/>
      <c r="AA83" s="784"/>
      <c r="AB83" s="784"/>
      <c r="AN83" s="818">
        <v>53</v>
      </c>
      <c r="AQ83" s="818" t="s">
        <v>120</v>
      </c>
      <c r="AR83" s="818" t="s">
        <v>121</v>
      </c>
    </row>
    <row r="84" spans="2:44" ht="30" customHeight="1">
      <c r="B84" s="784"/>
      <c r="C84" s="781"/>
      <c r="D84" s="781"/>
      <c r="E84" s="781"/>
      <c r="F84" s="781"/>
      <c r="G84" s="781"/>
      <c r="H84" s="781"/>
      <c r="I84" s="785"/>
      <c r="J84" s="785"/>
      <c r="K84" s="785"/>
      <c r="L84" s="785"/>
      <c r="M84" s="785"/>
      <c r="N84" s="785"/>
      <c r="O84" s="786"/>
      <c r="P84" s="783"/>
      <c r="Q84" s="784"/>
      <c r="R84" s="784"/>
      <c r="S84" s="784"/>
      <c r="T84" s="784"/>
      <c r="U84" s="784"/>
      <c r="V84" s="784"/>
      <c r="W84" s="784"/>
      <c r="X84" s="784"/>
      <c r="Y84" s="784"/>
      <c r="Z84" s="784"/>
      <c r="AA84" s="784"/>
      <c r="AB84" s="784"/>
      <c r="AN84" s="818">
        <v>54</v>
      </c>
      <c r="AQ84" s="818" t="s">
        <v>122</v>
      </c>
      <c r="AR84" s="818" t="s">
        <v>123</v>
      </c>
    </row>
    <row r="85" spans="2:44" ht="30" customHeight="1">
      <c r="B85" s="784"/>
      <c r="C85" s="781"/>
      <c r="D85" s="781"/>
      <c r="E85" s="781"/>
      <c r="F85" s="781"/>
      <c r="G85" s="781"/>
      <c r="H85" s="781"/>
      <c r="I85" s="785"/>
      <c r="J85" s="785"/>
      <c r="K85" s="785"/>
      <c r="L85" s="785"/>
      <c r="M85" s="785"/>
      <c r="N85" s="785"/>
      <c r="O85" s="786"/>
      <c r="P85" s="783"/>
      <c r="Q85" s="784"/>
      <c r="R85" s="784"/>
      <c r="S85" s="784"/>
      <c r="T85" s="784"/>
      <c r="U85" s="784"/>
      <c r="V85" s="784"/>
      <c r="W85" s="784"/>
      <c r="X85" s="784"/>
      <c r="Y85" s="784"/>
      <c r="Z85" s="784"/>
      <c r="AA85" s="784"/>
      <c r="AB85" s="784"/>
      <c r="AN85" s="818">
        <v>55</v>
      </c>
      <c r="AQ85" s="818" t="s">
        <v>124</v>
      </c>
      <c r="AR85" s="818" t="s">
        <v>125</v>
      </c>
    </row>
    <row r="86" spans="2:44" ht="30" customHeight="1">
      <c r="B86" s="784"/>
      <c r="C86" s="781"/>
      <c r="D86" s="781"/>
      <c r="E86" s="781"/>
      <c r="F86" s="781"/>
      <c r="G86" s="781"/>
      <c r="H86" s="781"/>
      <c r="I86" s="785"/>
      <c r="J86" s="785"/>
      <c r="K86" s="785"/>
      <c r="L86" s="785"/>
      <c r="M86" s="785"/>
      <c r="N86" s="785"/>
      <c r="O86" s="786"/>
      <c r="P86" s="783"/>
      <c r="Q86" s="784"/>
      <c r="R86" s="784"/>
      <c r="S86" s="784"/>
      <c r="T86" s="784"/>
      <c r="U86" s="784"/>
      <c r="V86" s="784"/>
      <c r="W86" s="784"/>
      <c r="X86" s="784"/>
      <c r="Y86" s="784"/>
      <c r="Z86" s="784"/>
      <c r="AA86" s="784"/>
      <c r="AB86" s="784"/>
      <c r="AN86" s="818">
        <v>56</v>
      </c>
      <c r="AQ86" s="818" t="s">
        <v>127</v>
      </c>
      <c r="AR86" s="818" t="s">
        <v>128</v>
      </c>
    </row>
    <row r="87" spans="2:44" ht="30" customHeight="1">
      <c r="B87" s="784"/>
      <c r="C87" s="781"/>
      <c r="D87" s="781"/>
      <c r="E87" s="781"/>
      <c r="F87" s="781"/>
      <c r="G87" s="781"/>
      <c r="H87" s="781"/>
      <c r="I87" s="785"/>
      <c r="J87" s="785"/>
      <c r="K87" s="785"/>
      <c r="L87" s="785"/>
      <c r="M87" s="785"/>
      <c r="N87" s="785"/>
      <c r="O87" s="786"/>
      <c r="P87" s="783"/>
      <c r="Q87" s="784"/>
      <c r="R87" s="784"/>
      <c r="S87" s="784"/>
      <c r="T87" s="784"/>
      <c r="U87" s="784"/>
      <c r="V87" s="784"/>
      <c r="W87" s="784"/>
      <c r="X87" s="784"/>
      <c r="Y87" s="784"/>
      <c r="Z87" s="784"/>
      <c r="AA87" s="784"/>
      <c r="AB87" s="784"/>
      <c r="AN87" s="818">
        <v>57</v>
      </c>
      <c r="AQ87" s="818" t="s">
        <v>130</v>
      </c>
      <c r="AR87" s="818" t="s">
        <v>131</v>
      </c>
    </row>
    <row r="88" spans="2:44" ht="30" customHeight="1">
      <c r="B88" s="784"/>
      <c r="C88" s="784"/>
      <c r="D88" s="784"/>
      <c r="E88" s="784"/>
      <c r="F88" s="784"/>
      <c r="G88" s="784"/>
      <c r="H88" s="784"/>
      <c r="I88" s="784"/>
      <c r="J88" s="784"/>
      <c r="K88" s="784"/>
      <c r="L88" s="784"/>
      <c r="M88" s="784"/>
      <c r="N88" s="784"/>
      <c r="O88" s="784"/>
      <c r="P88" s="784"/>
      <c r="Q88" s="784"/>
      <c r="R88" s="784"/>
      <c r="S88" s="784"/>
      <c r="T88" s="784"/>
      <c r="U88" s="784"/>
      <c r="V88" s="784"/>
      <c r="W88" s="784"/>
      <c r="X88" s="784"/>
      <c r="Y88" s="784"/>
      <c r="Z88" s="784"/>
      <c r="AA88" s="784"/>
      <c r="AB88" s="784"/>
      <c r="AN88" s="818">
        <v>58</v>
      </c>
      <c r="AQ88" s="818" t="s">
        <v>132</v>
      </c>
      <c r="AR88" s="818" t="s">
        <v>133</v>
      </c>
    </row>
    <row r="89" spans="2:44" ht="30" customHeight="1">
      <c r="C89" s="877"/>
      <c r="D89" s="878"/>
      <c r="E89" s="878"/>
      <c r="F89" s="878"/>
      <c r="G89" s="878"/>
      <c r="H89" s="878"/>
      <c r="I89" s="882"/>
      <c r="J89" s="882"/>
      <c r="K89" s="882"/>
      <c r="L89" s="882"/>
      <c r="M89" s="882"/>
      <c r="N89" s="883"/>
      <c r="O89" s="786"/>
      <c r="P89" s="880"/>
      <c r="Q89" s="881"/>
      <c r="R89" s="881"/>
      <c r="S89" s="881"/>
      <c r="T89" s="881"/>
      <c r="U89" s="881"/>
      <c r="V89" s="881"/>
      <c r="W89" s="881"/>
      <c r="X89" s="881"/>
      <c r="Y89" s="881"/>
      <c r="Z89" s="881"/>
      <c r="AA89" s="881"/>
      <c r="AB89" s="881"/>
      <c r="AN89" s="818">
        <v>59</v>
      </c>
      <c r="AQ89" s="818" t="s">
        <v>134</v>
      </c>
      <c r="AR89" s="818" t="s">
        <v>135</v>
      </c>
    </row>
    <row r="90" spans="2:44" ht="30" customHeight="1">
      <c r="C90" s="877"/>
      <c r="D90" s="878"/>
      <c r="E90" s="878"/>
      <c r="F90" s="878"/>
      <c r="G90" s="878"/>
      <c r="H90" s="878"/>
      <c r="I90" s="879"/>
      <c r="J90" s="880"/>
      <c r="K90" s="880"/>
      <c r="L90" s="880"/>
      <c r="M90" s="880"/>
      <c r="N90" s="881"/>
      <c r="O90" s="786"/>
      <c r="P90" s="880"/>
      <c r="Q90" s="881"/>
      <c r="R90" s="881"/>
      <c r="S90" s="881"/>
      <c r="T90" s="881"/>
      <c r="U90" s="881"/>
      <c r="V90" s="881"/>
      <c r="W90" s="881"/>
      <c r="X90" s="881"/>
      <c r="Y90" s="881"/>
      <c r="Z90" s="881"/>
      <c r="AA90" s="881"/>
      <c r="AB90" s="881"/>
      <c r="AN90" s="818">
        <v>60</v>
      </c>
      <c r="AQ90" s="818" t="s">
        <v>136</v>
      </c>
      <c r="AR90" s="818" t="s">
        <v>137</v>
      </c>
    </row>
    <row r="91" spans="2:44" ht="30" customHeight="1">
      <c r="C91" s="877"/>
      <c r="D91" s="878"/>
      <c r="E91" s="878"/>
      <c r="F91" s="878"/>
      <c r="G91" s="878"/>
      <c r="H91" s="878"/>
      <c r="I91" s="879"/>
      <c r="J91" s="880"/>
      <c r="K91" s="880"/>
      <c r="L91" s="880"/>
      <c r="M91" s="880"/>
      <c r="N91" s="881"/>
      <c r="O91" s="786"/>
      <c r="P91" s="880"/>
      <c r="Q91" s="881"/>
      <c r="R91" s="881"/>
      <c r="S91" s="881"/>
      <c r="T91" s="881"/>
      <c r="U91" s="881"/>
      <c r="V91" s="881"/>
      <c r="W91" s="881"/>
      <c r="X91" s="881"/>
      <c r="Y91" s="881"/>
      <c r="Z91" s="881"/>
      <c r="AA91" s="881"/>
      <c r="AB91" s="881"/>
      <c r="AN91" s="818">
        <v>61</v>
      </c>
      <c r="AQ91" s="818" t="s">
        <v>138</v>
      </c>
      <c r="AR91" s="818" t="s">
        <v>139</v>
      </c>
    </row>
    <row r="92" spans="2:44">
      <c r="AN92" s="818">
        <v>62</v>
      </c>
      <c r="AQ92" s="818" t="s">
        <v>140</v>
      </c>
      <c r="AR92" s="818" t="s">
        <v>141</v>
      </c>
    </row>
    <row r="93" spans="2:44">
      <c r="AN93" s="818">
        <v>63</v>
      </c>
      <c r="AQ93" s="818" t="s">
        <v>142</v>
      </c>
      <c r="AR93" s="818" t="s">
        <v>143</v>
      </c>
    </row>
    <row r="94" spans="2:44">
      <c r="AN94" s="818">
        <v>64</v>
      </c>
      <c r="AQ94" s="818" t="s">
        <v>144</v>
      </c>
      <c r="AR94" s="818" t="s">
        <v>145</v>
      </c>
    </row>
    <row r="95" spans="2:44">
      <c r="AN95" s="818">
        <v>65</v>
      </c>
      <c r="AQ95" s="818" t="s">
        <v>146</v>
      </c>
      <c r="AR95" s="818" t="s">
        <v>147</v>
      </c>
    </row>
    <row r="96" spans="2:44">
      <c r="AN96" s="818">
        <v>66</v>
      </c>
      <c r="AQ96" s="818" t="s">
        <v>148</v>
      </c>
      <c r="AR96" s="818" t="s">
        <v>149</v>
      </c>
    </row>
    <row r="97" spans="40:44">
      <c r="AN97" s="818">
        <v>67</v>
      </c>
      <c r="AQ97" s="818" t="s">
        <v>150</v>
      </c>
      <c r="AR97" s="818" t="s">
        <v>151</v>
      </c>
    </row>
    <row r="98" spans="40:44">
      <c r="AN98" s="818">
        <v>68</v>
      </c>
      <c r="AQ98" s="818" t="s">
        <v>152</v>
      </c>
      <c r="AR98" s="818" t="s">
        <v>153</v>
      </c>
    </row>
    <row r="99" spans="40:44">
      <c r="AN99" s="818">
        <v>69</v>
      </c>
      <c r="AQ99" s="818" t="s">
        <v>154</v>
      </c>
      <c r="AR99" s="818" t="s">
        <v>155</v>
      </c>
    </row>
    <row r="100" spans="40:44">
      <c r="AN100" s="818">
        <v>70</v>
      </c>
      <c r="AQ100" s="818" t="s">
        <v>156</v>
      </c>
      <c r="AR100" s="818" t="s">
        <v>157</v>
      </c>
    </row>
    <row r="101" spans="40:44">
      <c r="AN101" s="818">
        <v>71</v>
      </c>
      <c r="AQ101" s="818" t="s">
        <v>158</v>
      </c>
      <c r="AR101" s="818" t="s">
        <v>159</v>
      </c>
    </row>
    <row r="102" spans="40:44">
      <c r="AN102" s="818">
        <v>72</v>
      </c>
      <c r="AQ102" s="818" t="s">
        <v>160</v>
      </c>
      <c r="AR102" s="818" t="s">
        <v>161</v>
      </c>
    </row>
    <row r="103" spans="40:44">
      <c r="AN103" s="818">
        <v>73</v>
      </c>
      <c r="AQ103" s="818" t="s">
        <v>162</v>
      </c>
      <c r="AR103" s="818" t="s">
        <v>163</v>
      </c>
    </row>
    <row r="104" spans="40:44">
      <c r="AN104" s="818">
        <v>74</v>
      </c>
      <c r="AQ104" s="818" t="s">
        <v>164</v>
      </c>
      <c r="AR104" s="818" t="s">
        <v>165</v>
      </c>
    </row>
    <row r="105" spans="40:44">
      <c r="AN105" s="818">
        <v>75</v>
      </c>
      <c r="AQ105" s="818" t="s">
        <v>166</v>
      </c>
      <c r="AR105" s="818" t="s">
        <v>167</v>
      </c>
    </row>
    <row r="106" spans="40:44">
      <c r="AN106" s="818">
        <v>76</v>
      </c>
      <c r="AQ106" s="818" t="s">
        <v>168</v>
      </c>
      <c r="AR106" s="818" t="s">
        <v>169</v>
      </c>
    </row>
    <row r="107" spans="40:44">
      <c r="AN107" s="818">
        <v>77</v>
      </c>
      <c r="AQ107" s="818" t="s">
        <v>170</v>
      </c>
      <c r="AR107" s="818" t="s">
        <v>171</v>
      </c>
    </row>
    <row r="108" spans="40:44">
      <c r="AN108" s="818">
        <v>78</v>
      </c>
      <c r="AQ108" s="818" t="s">
        <v>172</v>
      </c>
      <c r="AR108" s="818" t="s">
        <v>173</v>
      </c>
    </row>
    <row r="109" spans="40:44">
      <c r="AN109" s="818">
        <v>79</v>
      </c>
      <c r="AQ109" s="818" t="s">
        <v>174</v>
      </c>
      <c r="AR109" s="818" t="s">
        <v>175</v>
      </c>
    </row>
    <row r="110" spans="40:44">
      <c r="AN110" s="818">
        <v>80</v>
      </c>
      <c r="AQ110" s="818" t="s">
        <v>176</v>
      </c>
      <c r="AR110" s="818" t="s">
        <v>177</v>
      </c>
    </row>
    <row r="111" spans="40:44">
      <c r="AN111" s="818">
        <v>81</v>
      </c>
      <c r="AQ111" s="818" t="s">
        <v>178</v>
      </c>
      <c r="AR111" s="818" t="s">
        <v>179</v>
      </c>
    </row>
    <row r="112" spans="40:44">
      <c r="AN112" s="818">
        <v>82</v>
      </c>
      <c r="AQ112" s="818" t="s">
        <v>180</v>
      </c>
      <c r="AR112" s="818" t="s">
        <v>181</v>
      </c>
    </row>
    <row r="113" spans="40:44">
      <c r="AN113" s="818">
        <v>83</v>
      </c>
      <c r="AQ113" s="818" t="s">
        <v>182</v>
      </c>
      <c r="AR113" s="818" t="s">
        <v>183</v>
      </c>
    </row>
    <row r="114" spans="40:44">
      <c r="AN114" s="818">
        <v>84</v>
      </c>
      <c r="AQ114" s="818" t="s">
        <v>184</v>
      </c>
      <c r="AR114" s="818" t="s">
        <v>185</v>
      </c>
    </row>
    <row r="115" spans="40:44">
      <c r="AN115" s="818">
        <v>85</v>
      </c>
      <c r="AQ115" s="818" t="s">
        <v>186</v>
      </c>
      <c r="AR115" s="818" t="s">
        <v>187</v>
      </c>
    </row>
    <row r="116" spans="40:44">
      <c r="AN116" s="818">
        <v>86</v>
      </c>
      <c r="AQ116" s="818" t="s">
        <v>188</v>
      </c>
      <c r="AR116" s="818" t="s">
        <v>189</v>
      </c>
    </row>
    <row r="117" spans="40:44">
      <c r="AN117" s="818">
        <v>87</v>
      </c>
      <c r="AQ117" s="818" t="s">
        <v>190</v>
      </c>
      <c r="AR117" s="818" t="s">
        <v>191</v>
      </c>
    </row>
    <row r="118" spans="40:44">
      <c r="AN118" s="818">
        <v>88</v>
      </c>
      <c r="AQ118" s="818" t="s">
        <v>192</v>
      </c>
      <c r="AR118" s="818" t="s">
        <v>193</v>
      </c>
    </row>
    <row r="119" spans="40:44">
      <c r="AN119" s="818">
        <v>89</v>
      </c>
      <c r="AQ119" s="818" t="s">
        <v>194</v>
      </c>
      <c r="AR119" s="818" t="s">
        <v>195</v>
      </c>
    </row>
    <row r="120" spans="40:44">
      <c r="AN120" s="818">
        <v>90</v>
      </c>
      <c r="AQ120" s="818" t="s">
        <v>196</v>
      </c>
      <c r="AR120" s="818" t="s">
        <v>197</v>
      </c>
    </row>
    <row r="121" spans="40:44">
      <c r="AN121" s="818">
        <v>91</v>
      </c>
      <c r="AQ121" s="818" t="s">
        <v>198</v>
      </c>
      <c r="AR121" s="818" t="s">
        <v>199</v>
      </c>
    </row>
    <row r="122" spans="40:44">
      <c r="AN122" s="818">
        <v>92</v>
      </c>
      <c r="AQ122" s="818" t="s">
        <v>200</v>
      </c>
      <c r="AR122" s="818" t="s">
        <v>201</v>
      </c>
    </row>
    <row r="123" spans="40:44">
      <c r="AN123" s="818">
        <v>93</v>
      </c>
      <c r="AQ123" s="818" t="s">
        <v>202</v>
      </c>
      <c r="AR123" s="818" t="s">
        <v>203</v>
      </c>
    </row>
    <row r="124" spans="40:44">
      <c r="AN124" s="818">
        <v>94</v>
      </c>
      <c r="AQ124" s="818" t="s">
        <v>204</v>
      </c>
      <c r="AR124" s="818" t="s">
        <v>205</v>
      </c>
    </row>
    <row r="125" spans="40:44">
      <c r="AN125" s="818">
        <v>95</v>
      </c>
      <c r="AQ125" s="818" t="s">
        <v>206</v>
      </c>
      <c r="AR125" s="818" t="s">
        <v>207</v>
      </c>
    </row>
    <row r="126" spans="40:44">
      <c r="AN126" s="818">
        <v>96</v>
      </c>
      <c r="AQ126" s="818" t="s">
        <v>208</v>
      </c>
      <c r="AR126" s="818" t="s">
        <v>209</v>
      </c>
    </row>
    <row r="127" spans="40:44">
      <c r="AN127" s="818">
        <v>97</v>
      </c>
      <c r="AQ127" s="818" t="s">
        <v>210</v>
      </c>
      <c r="AR127" s="818" t="s">
        <v>211</v>
      </c>
    </row>
    <row r="128" spans="40:44">
      <c r="AN128" s="818">
        <v>98</v>
      </c>
      <c r="AQ128" s="818" t="s">
        <v>212</v>
      </c>
      <c r="AR128" s="818" t="s">
        <v>213</v>
      </c>
    </row>
    <row r="129" spans="40:44">
      <c r="AN129" s="818">
        <v>99</v>
      </c>
      <c r="AQ129" s="818" t="s">
        <v>214</v>
      </c>
      <c r="AR129" s="818" t="s">
        <v>215</v>
      </c>
    </row>
    <row r="130" spans="40:44">
      <c r="AN130" s="818">
        <v>100</v>
      </c>
      <c r="AQ130" s="818" t="s">
        <v>216</v>
      </c>
      <c r="AR130" s="818" t="s">
        <v>217</v>
      </c>
    </row>
    <row r="131" spans="40:44">
      <c r="AN131" s="818">
        <v>101</v>
      </c>
      <c r="AQ131" s="818" t="s">
        <v>218</v>
      </c>
      <c r="AR131" s="818" t="s">
        <v>219</v>
      </c>
    </row>
    <row r="132" spans="40:44">
      <c r="AN132" s="818">
        <v>102</v>
      </c>
      <c r="AQ132" s="818" t="s">
        <v>220</v>
      </c>
      <c r="AR132" s="818" t="s">
        <v>221</v>
      </c>
    </row>
    <row r="133" spans="40:44">
      <c r="AN133" s="818">
        <v>103</v>
      </c>
      <c r="AQ133" s="818" t="s">
        <v>222</v>
      </c>
      <c r="AR133" s="818" t="s">
        <v>223</v>
      </c>
    </row>
    <row r="134" spans="40:44">
      <c r="AN134" s="818">
        <v>104</v>
      </c>
      <c r="AQ134" s="818" t="s">
        <v>224</v>
      </c>
      <c r="AR134" s="818" t="s">
        <v>225</v>
      </c>
    </row>
    <row r="135" spans="40:44">
      <c r="AN135" s="818">
        <v>105</v>
      </c>
      <c r="AQ135" s="818" t="s">
        <v>226</v>
      </c>
      <c r="AR135" s="818" t="s">
        <v>227</v>
      </c>
    </row>
    <row r="136" spans="40:44">
      <c r="AN136" s="818">
        <v>106</v>
      </c>
      <c r="AQ136" s="818" t="s">
        <v>228</v>
      </c>
      <c r="AR136" s="818" t="s">
        <v>229</v>
      </c>
    </row>
    <row r="137" spans="40:44">
      <c r="AN137" s="818">
        <v>107</v>
      </c>
      <c r="AQ137" s="818" t="s">
        <v>230</v>
      </c>
      <c r="AR137" s="818" t="s">
        <v>231</v>
      </c>
    </row>
    <row r="138" spans="40:44">
      <c r="AN138" s="818">
        <v>108</v>
      </c>
      <c r="AQ138" s="818" t="s">
        <v>232</v>
      </c>
      <c r="AR138" s="818" t="s">
        <v>233</v>
      </c>
    </row>
    <row r="139" spans="40:44">
      <c r="AN139" s="818">
        <v>109</v>
      </c>
      <c r="AQ139" s="818" t="s">
        <v>234</v>
      </c>
      <c r="AR139" s="818" t="s">
        <v>235</v>
      </c>
    </row>
    <row r="140" spans="40:44">
      <c r="AN140" s="818">
        <v>110</v>
      </c>
      <c r="AQ140" s="818" t="s">
        <v>236</v>
      </c>
      <c r="AR140" s="818" t="s">
        <v>237</v>
      </c>
    </row>
    <row r="141" spans="40:44">
      <c r="AN141" s="818">
        <v>111</v>
      </c>
      <c r="AQ141" s="818" t="s">
        <v>238</v>
      </c>
      <c r="AR141" s="818" t="s">
        <v>239</v>
      </c>
    </row>
    <row r="142" spans="40:44">
      <c r="AN142" s="818">
        <v>112</v>
      </c>
      <c r="AQ142" s="818" t="s">
        <v>240</v>
      </c>
      <c r="AR142" s="818" t="s">
        <v>241</v>
      </c>
    </row>
    <row r="143" spans="40:44">
      <c r="AN143" s="818">
        <v>113</v>
      </c>
      <c r="AQ143" s="818" t="s">
        <v>242</v>
      </c>
      <c r="AR143" s="818" t="s">
        <v>243</v>
      </c>
    </row>
    <row r="144" spans="40:44">
      <c r="AN144" s="818">
        <v>114</v>
      </c>
      <c r="AQ144" s="818" t="s">
        <v>244</v>
      </c>
      <c r="AR144" s="818" t="s">
        <v>245</v>
      </c>
    </row>
    <row r="145" spans="40:44">
      <c r="AN145" s="818">
        <v>115</v>
      </c>
      <c r="AQ145" s="818" t="s">
        <v>246</v>
      </c>
      <c r="AR145" s="818" t="s">
        <v>247</v>
      </c>
    </row>
    <row r="146" spans="40:44">
      <c r="AN146" s="818">
        <v>116</v>
      </c>
      <c r="AQ146" s="818" t="s">
        <v>248</v>
      </c>
      <c r="AR146" s="818" t="s">
        <v>249</v>
      </c>
    </row>
    <row r="147" spans="40:44">
      <c r="AN147" s="818">
        <v>117</v>
      </c>
      <c r="AQ147" s="818" t="s">
        <v>250</v>
      </c>
      <c r="AR147" s="818" t="s">
        <v>251</v>
      </c>
    </row>
    <row r="148" spans="40:44">
      <c r="AN148" s="818">
        <v>118</v>
      </c>
      <c r="AQ148" s="818" t="s">
        <v>252</v>
      </c>
      <c r="AR148" s="818" t="s">
        <v>253</v>
      </c>
    </row>
    <row r="149" spans="40:44">
      <c r="AN149" s="818">
        <v>119</v>
      </c>
      <c r="AQ149" s="818" t="s">
        <v>254</v>
      </c>
      <c r="AR149" s="818" t="s">
        <v>255</v>
      </c>
    </row>
    <row r="150" spans="40:44">
      <c r="AN150" s="818">
        <v>120</v>
      </c>
      <c r="AQ150" s="818" t="s">
        <v>256</v>
      </c>
      <c r="AR150" s="818" t="s">
        <v>257</v>
      </c>
    </row>
    <row r="151" spans="40:44">
      <c r="AN151" s="818">
        <v>121</v>
      </c>
      <c r="AQ151" s="818" t="s">
        <v>258</v>
      </c>
      <c r="AR151" s="818" t="s">
        <v>259</v>
      </c>
    </row>
    <row r="152" spans="40:44">
      <c r="AN152" s="818">
        <v>122</v>
      </c>
      <c r="AQ152" s="818" t="s">
        <v>260</v>
      </c>
      <c r="AR152" s="818" t="s">
        <v>261</v>
      </c>
    </row>
    <row r="153" spans="40:44">
      <c r="AN153" s="818">
        <v>123</v>
      </c>
      <c r="AQ153" s="818" t="s">
        <v>262</v>
      </c>
      <c r="AR153" s="818" t="s">
        <v>263</v>
      </c>
    </row>
    <row r="154" spans="40:44">
      <c r="AN154" s="818">
        <v>124</v>
      </c>
      <c r="AQ154" s="818" t="s">
        <v>264</v>
      </c>
      <c r="AR154" s="818" t="s">
        <v>265</v>
      </c>
    </row>
    <row r="155" spans="40:44">
      <c r="AN155" s="818">
        <v>125</v>
      </c>
      <c r="AQ155" s="818" t="s">
        <v>266</v>
      </c>
      <c r="AR155" s="818" t="s">
        <v>267</v>
      </c>
    </row>
    <row r="156" spans="40:44">
      <c r="AN156" s="818">
        <v>126</v>
      </c>
      <c r="AQ156" s="818" t="s">
        <v>268</v>
      </c>
      <c r="AR156" s="818" t="s">
        <v>269</v>
      </c>
    </row>
    <row r="157" spans="40:44">
      <c r="AN157" s="818">
        <v>127</v>
      </c>
      <c r="AQ157" s="818" t="s">
        <v>270</v>
      </c>
      <c r="AR157" s="818" t="s">
        <v>271</v>
      </c>
    </row>
    <row r="158" spans="40:44">
      <c r="AN158" s="818">
        <v>128</v>
      </c>
      <c r="AQ158" s="818" t="s">
        <v>272</v>
      </c>
      <c r="AR158" s="818" t="s">
        <v>273</v>
      </c>
    </row>
    <row r="159" spans="40:44">
      <c r="AN159" s="818">
        <v>129</v>
      </c>
      <c r="AQ159" s="818" t="s">
        <v>274</v>
      </c>
      <c r="AR159" s="818" t="s">
        <v>275</v>
      </c>
    </row>
    <row r="160" spans="40:44">
      <c r="AN160" s="818">
        <v>130</v>
      </c>
      <c r="AQ160" s="818" t="s">
        <v>276</v>
      </c>
      <c r="AR160" s="818" t="s">
        <v>277</v>
      </c>
    </row>
    <row r="161" spans="40:44">
      <c r="AN161" s="818">
        <v>131</v>
      </c>
      <c r="AQ161" s="818" t="s">
        <v>278</v>
      </c>
      <c r="AR161" s="818" t="s">
        <v>279</v>
      </c>
    </row>
    <row r="162" spans="40:44">
      <c r="AN162" s="818">
        <v>132</v>
      </c>
      <c r="AQ162" s="818" t="s">
        <v>280</v>
      </c>
      <c r="AR162" s="818" t="s">
        <v>281</v>
      </c>
    </row>
    <row r="163" spans="40:44">
      <c r="AN163" s="818">
        <v>133</v>
      </c>
      <c r="AQ163" s="818" t="s">
        <v>282</v>
      </c>
      <c r="AR163" s="818" t="s">
        <v>283</v>
      </c>
    </row>
    <row r="164" spans="40:44">
      <c r="AN164" s="818">
        <v>134</v>
      </c>
      <c r="AQ164" s="818" t="s">
        <v>284</v>
      </c>
      <c r="AR164" s="818" t="s">
        <v>285</v>
      </c>
    </row>
    <row r="165" spans="40:44">
      <c r="AN165" s="818">
        <v>135</v>
      </c>
      <c r="AQ165" s="818" t="s">
        <v>286</v>
      </c>
      <c r="AR165" s="818" t="s">
        <v>287</v>
      </c>
    </row>
    <row r="166" spans="40:44">
      <c r="AN166" s="818">
        <v>136</v>
      </c>
      <c r="AQ166" s="818" t="s">
        <v>288</v>
      </c>
      <c r="AR166" s="818" t="s">
        <v>289</v>
      </c>
    </row>
    <row r="167" spans="40:44">
      <c r="AN167" s="818">
        <v>137</v>
      </c>
      <c r="AQ167" s="818" t="s">
        <v>290</v>
      </c>
      <c r="AR167" s="818" t="s">
        <v>291</v>
      </c>
    </row>
    <row r="168" spans="40:44">
      <c r="AN168" s="818">
        <v>138</v>
      </c>
      <c r="AQ168" s="818" t="s">
        <v>292</v>
      </c>
      <c r="AR168" s="818" t="s">
        <v>293</v>
      </c>
    </row>
    <row r="169" spans="40:44">
      <c r="AN169" s="818">
        <v>139</v>
      </c>
      <c r="AQ169" s="818" t="s">
        <v>294</v>
      </c>
      <c r="AR169" s="818" t="s">
        <v>295</v>
      </c>
    </row>
    <row r="170" spans="40:44">
      <c r="AN170" s="818">
        <v>140</v>
      </c>
      <c r="AQ170" s="818" t="s">
        <v>296</v>
      </c>
      <c r="AR170" s="818" t="s">
        <v>297</v>
      </c>
    </row>
    <row r="171" spans="40:44">
      <c r="AN171" s="818">
        <v>141</v>
      </c>
      <c r="AQ171" s="818" t="s">
        <v>298</v>
      </c>
      <c r="AR171" s="818" t="s">
        <v>299</v>
      </c>
    </row>
    <row r="172" spans="40:44">
      <c r="AN172" s="818">
        <v>142</v>
      </c>
      <c r="AQ172" s="818" t="s">
        <v>300</v>
      </c>
      <c r="AR172" s="818" t="s">
        <v>301</v>
      </c>
    </row>
    <row r="173" spans="40:44">
      <c r="AN173" s="818">
        <v>143</v>
      </c>
      <c r="AQ173" s="818" t="s">
        <v>302</v>
      </c>
      <c r="AR173" s="818" t="s">
        <v>303</v>
      </c>
    </row>
    <row r="174" spans="40:44">
      <c r="AN174" s="818">
        <v>144</v>
      </c>
      <c r="AQ174" s="818" t="s">
        <v>304</v>
      </c>
      <c r="AR174" s="818" t="s">
        <v>305</v>
      </c>
    </row>
    <row r="175" spans="40:44">
      <c r="AN175" s="818">
        <v>145</v>
      </c>
      <c r="AQ175" s="818" t="s">
        <v>306</v>
      </c>
      <c r="AR175" s="818" t="s">
        <v>307</v>
      </c>
    </row>
    <row r="176" spans="40:44">
      <c r="AN176" s="818">
        <v>146</v>
      </c>
      <c r="AQ176" s="818" t="s">
        <v>308</v>
      </c>
      <c r="AR176" s="818" t="s">
        <v>309</v>
      </c>
    </row>
    <row r="177" spans="40:44" ht="33">
      <c r="AN177" s="818">
        <v>147</v>
      </c>
      <c r="AQ177" s="818" t="s">
        <v>310</v>
      </c>
      <c r="AR177" s="818" t="s">
        <v>311</v>
      </c>
    </row>
    <row r="178" spans="40:44" ht="33">
      <c r="AN178" s="818">
        <v>148</v>
      </c>
      <c r="AQ178" s="818" t="s">
        <v>312</v>
      </c>
      <c r="AR178" s="818" t="s">
        <v>313</v>
      </c>
    </row>
    <row r="179" spans="40:44" ht="33">
      <c r="AN179" s="818">
        <v>149</v>
      </c>
      <c r="AQ179" s="818" t="s">
        <v>314</v>
      </c>
      <c r="AR179" s="818" t="s">
        <v>315</v>
      </c>
    </row>
    <row r="180" spans="40:44" ht="33">
      <c r="AN180" s="818">
        <v>150</v>
      </c>
      <c r="AQ180" s="818" t="s">
        <v>316</v>
      </c>
      <c r="AR180" s="818" t="s">
        <v>317</v>
      </c>
    </row>
    <row r="181" spans="40:44" ht="33">
      <c r="AN181" s="818">
        <v>151</v>
      </c>
      <c r="AQ181" s="818" t="s">
        <v>318</v>
      </c>
      <c r="AR181" s="818" t="s">
        <v>319</v>
      </c>
    </row>
    <row r="182" spans="40:44" ht="33">
      <c r="AN182" s="818">
        <v>152</v>
      </c>
      <c r="AQ182" s="818" t="s">
        <v>320</v>
      </c>
      <c r="AR182" s="818" t="s">
        <v>321</v>
      </c>
    </row>
    <row r="183" spans="40:44" ht="33">
      <c r="AN183" s="818">
        <v>153</v>
      </c>
      <c r="AQ183" s="818" t="s">
        <v>322</v>
      </c>
      <c r="AR183" s="818" t="s">
        <v>323</v>
      </c>
    </row>
    <row r="184" spans="40:44" ht="33">
      <c r="AN184" s="818">
        <v>154</v>
      </c>
      <c r="AQ184" s="818" t="s">
        <v>324</v>
      </c>
      <c r="AR184" s="818" t="s">
        <v>325</v>
      </c>
    </row>
    <row r="185" spans="40:44" ht="33">
      <c r="AN185" s="818">
        <v>155</v>
      </c>
      <c r="AQ185" s="818" t="s">
        <v>326</v>
      </c>
      <c r="AR185" s="818" t="s">
        <v>327</v>
      </c>
    </row>
    <row r="186" spans="40:44" ht="33">
      <c r="AN186" s="818">
        <v>156</v>
      </c>
      <c r="AQ186" s="818" t="s">
        <v>328</v>
      </c>
      <c r="AR186" s="818" t="s">
        <v>329</v>
      </c>
    </row>
    <row r="187" spans="40:44" ht="33">
      <c r="AN187" s="818">
        <v>157</v>
      </c>
      <c r="AQ187" s="818" t="s">
        <v>330</v>
      </c>
      <c r="AR187" s="818" t="s">
        <v>331</v>
      </c>
    </row>
    <row r="188" spans="40:44" ht="33">
      <c r="AN188" s="818">
        <v>158</v>
      </c>
      <c r="AQ188" s="818" t="s">
        <v>332</v>
      </c>
      <c r="AR188" s="818" t="s">
        <v>333</v>
      </c>
    </row>
    <row r="189" spans="40:44" ht="33">
      <c r="AN189" s="818">
        <v>159</v>
      </c>
      <c r="AQ189" s="818" t="s">
        <v>334</v>
      </c>
      <c r="AR189" s="818" t="s">
        <v>335</v>
      </c>
    </row>
    <row r="190" spans="40:44" ht="33">
      <c r="AN190" s="818">
        <v>160</v>
      </c>
      <c r="AQ190" s="818" t="s">
        <v>336</v>
      </c>
      <c r="AR190" s="818" t="s">
        <v>337</v>
      </c>
    </row>
    <row r="191" spans="40:44" ht="33">
      <c r="AN191" s="818">
        <v>161</v>
      </c>
      <c r="AQ191" s="818" t="s">
        <v>338</v>
      </c>
      <c r="AR191" s="818" t="s">
        <v>339</v>
      </c>
    </row>
    <row r="192" spans="40:44" ht="33">
      <c r="AN192" s="818">
        <v>162</v>
      </c>
      <c r="AQ192" s="818" t="s">
        <v>340</v>
      </c>
      <c r="AR192" s="818" t="s">
        <v>341</v>
      </c>
    </row>
    <row r="193" spans="40:44" ht="33">
      <c r="AN193" s="818">
        <v>163</v>
      </c>
      <c r="AQ193" s="818" t="s">
        <v>342</v>
      </c>
      <c r="AR193" s="818" t="s">
        <v>343</v>
      </c>
    </row>
    <row r="194" spans="40:44" ht="33">
      <c r="AN194" s="818">
        <v>164</v>
      </c>
      <c r="AQ194" s="818" t="s">
        <v>344</v>
      </c>
      <c r="AR194" s="818" t="s">
        <v>345</v>
      </c>
    </row>
    <row r="195" spans="40:44" ht="33">
      <c r="AN195" s="818">
        <v>165</v>
      </c>
      <c r="AQ195" s="818" t="s">
        <v>346</v>
      </c>
      <c r="AR195" s="818" t="s">
        <v>347</v>
      </c>
    </row>
    <row r="196" spans="40:44" ht="33">
      <c r="AN196" s="818">
        <v>166</v>
      </c>
      <c r="AQ196" s="818" t="s">
        <v>348</v>
      </c>
      <c r="AR196" s="818" t="s">
        <v>349</v>
      </c>
    </row>
    <row r="197" spans="40:44" ht="33">
      <c r="AN197" s="818">
        <v>167</v>
      </c>
      <c r="AQ197" s="818" t="s">
        <v>350</v>
      </c>
      <c r="AR197" s="818" t="s">
        <v>351</v>
      </c>
    </row>
    <row r="198" spans="40:44" ht="33">
      <c r="AN198" s="818">
        <v>168</v>
      </c>
      <c r="AQ198" s="818" t="s">
        <v>352</v>
      </c>
      <c r="AR198" s="818" t="s">
        <v>353</v>
      </c>
    </row>
    <row r="199" spans="40:44" ht="33">
      <c r="AN199" s="818">
        <v>169</v>
      </c>
      <c r="AQ199" s="818" t="s">
        <v>354</v>
      </c>
      <c r="AR199" s="818" t="s">
        <v>355</v>
      </c>
    </row>
    <row r="200" spans="40:44" ht="33">
      <c r="AN200" s="818">
        <v>170</v>
      </c>
      <c r="AQ200" s="818" t="s">
        <v>356</v>
      </c>
      <c r="AR200" s="818" t="s">
        <v>357</v>
      </c>
    </row>
    <row r="201" spans="40:44" ht="33">
      <c r="AN201" s="818">
        <v>171</v>
      </c>
      <c r="AQ201" s="818" t="s">
        <v>358</v>
      </c>
      <c r="AR201" s="818" t="s">
        <v>359</v>
      </c>
    </row>
    <row r="202" spans="40:44" ht="33">
      <c r="AN202" s="818">
        <v>172</v>
      </c>
      <c r="AQ202" s="818" t="s">
        <v>360</v>
      </c>
      <c r="AR202" s="818" t="s">
        <v>361</v>
      </c>
    </row>
    <row r="203" spans="40:44" ht="33">
      <c r="AN203" s="818">
        <v>173</v>
      </c>
      <c r="AQ203" s="818" t="s">
        <v>362</v>
      </c>
      <c r="AR203" s="818" t="s">
        <v>363</v>
      </c>
    </row>
    <row r="204" spans="40:44" ht="33">
      <c r="AN204" s="818">
        <v>174</v>
      </c>
      <c r="AQ204" s="818" t="s">
        <v>364</v>
      </c>
      <c r="AR204" s="818" t="s">
        <v>365</v>
      </c>
    </row>
    <row r="205" spans="40:44" ht="33">
      <c r="AN205" s="818">
        <v>175</v>
      </c>
      <c r="AQ205" s="818" t="s">
        <v>366</v>
      </c>
      <c r="AR205" s="818" t="s">
        <v>367</v>
      </c>
    </row>
    <row r="206" spans="40:44" ht="33">
      <c r="AN206" s="818">
        <v>176</v>
      </c>
      <c r="AQ206" s="818" t="s">
        <v>368</v>
      </c>
      <c r="AR206" s="818" t="s">
        <v>369</v>
      </c>
    </row>
    <row r="207" spans="40:44" ht="33">
      <c r="AN207" s="818">
        <v>177</v>
      </c>
      <c r="AQ207" s="818" t="s">
        <v>370</v>
      </c>
      <c r="AR207" s="818" t="s">
        <v>371</v>
      </c>
    </row>
    <row r="208" spans="40:44" ht="33">
      <c r="AN208" s="818">
        <v>178</v>
      </c>
      <c r="AQ208" s="818" t="s">
        <v>372</v>
      </c>
      <c r="AR208" s="818" t="s">
        <v>373</v>
      </c>
    </row>
    <row r="209" spans="40:44" ht="33">
      <c r="AN209" s="818">
        <v>179</v>
      </c>
      <c r="AQ209" s="818" t="s">
        <v>374</v>
      </c>
      <c r="AR209" s="818" t="s">
        <v>375</v>
      </c>
    </row>
    <row r="210" spans="40:44" ht="33">
      <c r="AN210" s="818">
        <v>180</v>
      </c>
      <c r="AQ210" s="818" t="s">
        <v>376</v>
      </c>
      <c r="AR210" s="818" t="s">
        <v>377</v>
      </c>
    </row>
    <row r="211" spans="40:44" ht="33">
      <c r="AN211" s="818">
        <v>181</v>
      </c>
      <c r="AQ211" s="818" t="s">
        <v>378</v>
      </c>
      <c r="AR211" s="818" t="s">
        <v>379</v>
      </c>
    </row>
    <row r="212" spans="40:44" ht="33">
      <c r="AN212" s="818">
        <v>182</v>
      </c>
      <c r="AQ212" s="818" t="s">
        <v>380</v>
      </c>
      <c r="AR212" s="818" t="s">
        <v>381</v>
      </c>
    </row>
    <row r="213" spans="40:44" ht="33">
      <c r="AN213" s="818">
        <v>183</v>
      </c>
      <c r="AQ213" s="818" t="s">
        <v>382</v>
      </c>
      <c r="AR213" s="818" t="s">
        <v>383</v>
      </c>
    </row>
    <row r="214" spans="40:44" ht="33">
      <c r="AN214" s="818">
        <v>184</v>
      </c>
      <c r="AQ214" s="818" t="s">
        <v>384</v>
      </c>
      <c r="AR214" s="818" t="s">
        <v>385</v>
      </c>
    </row>
    <row r="215" spans="40:44" ht="33">
      <c r="AN215" s="818">
        <v>185</v>
      </c>
      <c r="AQ215" s="818" t="s">
        <v>386</v>
      </c>
      <c r="AR215" s="818" t="s">
        <v>387</v>
      </c>
    </row>
    <row r="216" spans="40:44" ht="33">
      <c r="AN216" s="818">
        <v>186</v>
      </c>
      <c r="AQ216" s="818" t="s">
        <v>388</v>
      </c>
      <c r="AR216" s="818" t="s">
        <v>389</v>
      </c>
    </row>
    <row r="217" spans="40:44" ht="33">
      <c r="AN217" s="818">
        <v>187</v>
      </c>
      <c r="AQ217" s="818" t="s">
        <v>390</v>
      </c>
      <c r="AR217" s="818" t="s">
        <v>391</v>
      </c>
    </row>
    <row r="218" spans="40:44" ht="33">
      <c r="AN218" s="818">
        <v>188</v>
      </c>
      <c r="AQ218" s="818" t="s">
        <v>392</v>
      </c>
      <c r="AR218" s="818" t="s">
        <v>393</v>
      </c>
    </row>
    <row r="219" spans="40:44" ht="33">
      <c r="AN219" s="818">
        <v>189</v>
      </c>
      <c r="AQ219" s="818" t="s">
        <v>394</v>
      </c>
      <c r="AR219" s="818" t="s">
        <v>395</v>
      </c>
    </row>
    <row r="220" spans="40:44" ht="33">
      <c r="AN220" s="818">
        <v>190</v>
      </c>
      <c r="AQ220" s="818" t="s">
        <v>396</v>
      </c>
      <c r="AR220" s="818" t="s">
        <v>397</v>
      </c>
    </row>
    <row r="221" spans="40:44" ht="33">
      <c r="AN221" s="818">
        <v>191</v>
      </c>
      <c r="AQ221" s="818" t="s">
        <v>398</v>
      </c>
      <c r="AR221" s="818" t="s">
        <v>399</v>
      </c>
    </row>
    <row r="222" spans="40:44" ht="33">
      <c r="AN222" s="818">
        <v>192</v>
      </c>
      <c r="AQ222" s="818" t="s">
        <v>400</v>
      </c>
      <c r="AR222" s="818" t="s">
        <v>401</v>
      </c>
    </row>
    <row r="223" spans="40:44" ht="33">
      <c r="AN223" s="818">
        <v>193</v>
      </c>
      <c r="AQ223" s="818" t="s">
        <v>402</v>
      </c>
      <c r="AR223" s="818" t="s">
        <v>403</v>
      </c>
    </row>
    <row r="224" spans="40:44" ht="33">
      <c r="AN224" s="818">
        <v>194</v>
      </c>
      <c r="AQ224" s="818" t="s">
        <v>404</v>
      </c>
      <c r="AR224" s="818" t="s">
        <v>405</v>
      </c>
    </row>
    <row r="225" spans="40:44" ht="33">
      <c r="AN225" s="818">
        <v>195</v>
      </c>
      <c r="AQ225" s="818" t="s">
        <v>406</v>
      </c>
      <c r="AR225" s="818" t="s">
        <v>407</v>
      </c>
    </row>
    <row r="226" spans="40:44" ht="33">
      <c r="AN226" s="818">
        <v>196</v>
      </c>
      <c r="AQ226" s="818" t="s">
        <v>408</v>
      </c>
      <c r="AR226" s="818" t="s">
        <v>409</v>
      </c>
    </row>
    <row r="227" spans="40:44" ht="33">
      <c r="AN227" s="818">
        <v>197</v>
      </c>
      <c r="AQ227" s="818" t="s">
        <v>410</v>
      </c>
      <c r="AR227" s="818" t="s">
        <v>411</v>
      </c>
    </row>
  </sheetData>
  <sheetProtection algorithmName="SHA-512" hashValue="DbIuErCBI6t00v6UPFM9U74KqIxoCWb+cJaKqZLXnwVGrEfXzxAjQKIkY7EHssZJNu4pF9UV9xaTlAf4Kd83PQ==" saltValue="dGU3+ZTuHsp6G2mJ3YhqYw==" spinCount="100000" sheet="1" objects="1" scenarios="1"/>
  <mergeCells count="165">
    <mergeCell ref="C30:C39"/>
    <mergeCell ref="C41:C47"/>
    <mergeCell ref="P40:AB40"/>
    <mergeCell ref="D30:G30"/>
    <mergeCell ref="D31:G31"/>
    <mergeCell ref="D32:G32"/>
    <mergeCell ref="D33:G33"/>
    <mergeCell ref="D34:G34"/>
    <mergeCell ref="D36:G36"/>
    <mergeCell ref="D35:G35"/>
    <mergeCell ref="D37:G37"/>
    <mergeCell ref="D38:G38"/>
    <mergeCell ref="D39:G39"/>
    <mergeCell ref="D40:G40"/>
    <mergeCell ref="D41:G41"/>
    <mergeCell ref="D42:G42"/>
    <mergeCell ref="P33:AB33"/>
    <mergeCell ref="P36:AB36"/>
    <mergeCell ref="E49:G49"/>
    <mergeCell ref="E51:G53"/>
    <mergeCell ref="H49:N49"/>
    <mergeCell ref="H51:J51"/>
    <mergeCell ref="M51:N51"/>
    <mergeCell ref="P51:AB51"/>
    <mergeCell ref="L16:M16"/>
    <mergeCell ref="D43:G43"/>
    <mergeCell ref="D44:G44"/>
    <mergeCell ref="D45:G45"/>
    <mergeCell ref="D46:G46"/>
    <mergeCell ref="D47:G47"/>
    <mergeCell ref="C14:G14"/>
    <mergeCell ref="H14:N14"/>
    <mergeCell ref="P14:AB14"/>
    <mergeCell ref="C11:G11"/>
    <mergeCell ref="H11:N11"/>
    <mergeCell ref="P11:AB11"/>
    <mergeCell ref="AE3:AE5"/>
    <mergeCell ref="H4:N4"/>
    <mergeCell ref="H5:N5"/>
    <mergeCell ref="C6:G6"/>
    <mergeCell ref="H6:N6"/>
    <mergeCell ref="P6:AB6"/>
    <mergeCell ref="C10:G10"/>
    <mergeCell ref="H10:N10"/>
    <mergeCell ref="P10:AB10"/>
    <mergeCell ref="H15:N15"/>
    <mergeCell ref="P15:AB15"/>
    <mergeCell ref="C1:AB1"/>
    <mergeCell ref="C2:G2"/>
    <mergeCell ref="H2:N2"/>
    <mergeCell ref="P2:AB2"/>
    <mergeCell ref="C3:G5"/>
    <mergeCell ref="H3:N3"/>
    <mergeCell ref="O3:O5"/>
    <mergeCell ref="P3:AB5"/>
    <mergeCell ref="C9:G9"/>
    <mergeCell ref="H9:N9"/>
    <mergeCell ref="P9:AB9"/>
    <mergeCell ref="C7:G7"/>
    <mergeCell ref="H7:N7"/>
    <mergeCell ref="P7:AB7"/>
    <mergeCell ref="C8:G8"/>
    <mergeCell ref="H8:N8"/>
    <mergeCell ref="P8:AB8"/>
    <mergeCell ref="C12:G12"/>
    <mergeCell ref="P12:AB12"/>
    <mergeCell ref="C13:G13"/>
    <mergeCell ref="H13:N13"/>
    <mergeCell ref="P13:AB13"/>
    <mergeCell ref="AE54:AE56"/>
    <mergeCell ref="H55:N55"/>
    <mergeCell ref="H56:N56"/>
    <mergeCell ref="C19:G19"/>
    <mergeCell ref="P19:AB19"/>
    <mergeCell ref="C48:G48"/>
    <mergeCell ref="H48:N48"/>
    <mergeCell ref="P48:AB48"/>
    <mergeCell ref="C23:G23"/>
    <mergeCell ref="I23:N23"/>
    <mergeCell ref="P23:AB23"/>
    <mergeCell ref="C24:G24"/>
    <mergeCell ref="P24:AB24"/>
    <mergeCell ref="C25:G25"/>
    <mergeCell ref="H25:N25"/>
    <mergeCell ref="P25:AB25"/>
    <mergeCell ref="C54:G56"/>
    <mergeCell ref="H54:N54"/>
    <mergeCell ref="O54:O56"/>
    <mergeCell ref="P54:AB56"/>
    <mergeCell ref="P31:AB31"/>
    <mergeCell ref="L19:N19"/>
    <mergeCell ref="C20:G20"/>
    <mergeCell ref="H20:N20"/>
    <mergeCell ref="C91:H91"/>
    <mergeCell ref="I91:N91"/>
    <mergeCell ref="P91:AB91"/>
    <mergeCell ref="C89:H89"/>
    <mergeCell ref="I89:N89"/>
    <mergeCell ref="P89:AB89"/>
    <mergeCell ref="C16:G16"/>
    <mergeCell ref="P16:AB16"/>
    <mergeCell ref="C90:H90"/>
    <mergeCell ref="I90:N90"/>
    <mergeCell ref="P90:AB90"/>
    <mergeCell ref="P30:AB30"/>
    <mergeCell ref="P32:AB32"/>
    <mergeCell ref="C17:G17"/>
    <mergeCell ref="H18:K18"/>
    <mergeCell ref="L18:M18"/>
    <mergeCell ref="P18:AB18"/>
    <mergeCell ref="R28:AB28"/>
    <mergeCell ref="P34:AB34"/>
    <mergeCell ref="D58:E58"/>
    <mergeCell ref="G58:AB58"/>
    <mergeCell ref="P49:AB49"/>
    <mergeCell ref="M50:N50"/>
    <mergeCell ref="M53:N53"/>
    <mergeCell ref="B49:B56"/>
    <mergeCell ref="E29:G29"/>
    <mergeCell ref="H29:N29"/>
    <mergeCell ref="P29:AB29"/>
    <mergeCell ref="P20:AB20"/>
    <mergeCell ref="C21:G21"/>
    <mergeCell ref="K21:N21"/>
    <mergeCell ref="P21:AB21"/>
    <mergeCell ref="C22:G22"/>
    <mergeCell ref="H22:N22"/>
    <mergeCell ref="P22:AB22"/>
    <mergeCell ref="R26:AB26"/>
    <mergeCell ref="E27:G27"/>
    <mergeCell ref="R27:AB27"/>
    <mergeCell ref="E28:G28"/>
    <mergeCell ref="E50:J50"/>
    <mergeCell ref="C29:D29"/>
    <mergeCell ref="P50:AB50"/>
    <mergeCell ref="H52:J52"/>
    <mergeCell ref="M52:N52"/>
    <mergeCell ref="P52:AB52"/>
    <mergeCell ref="H53:J53"/>
    <mergeCell ref="P53:AB53"/>
    <mergeCell ref="C49:D53"/>
    <mergeCell ref="AF3:AF5"/>
    <mergeCell ref="B30:B47"/>
    <mergeCell ref="P42:AB42"/>
    <mergeCell ref="P43:AB43"/>
    <mergeCell ref="P44:AB44"/>
    <mergeCell ref="P45:AB45"/>
    <mergeCell ref="P46:AB46"/>
    <mergeCell ref="P47:AB47"/>
    <mergeCell ref="P41:AB41"/>
    <mergeCell ref="P39:AB39"/>
    <mergeCell ref="P37:AB37"/>
    <mergeCell ref="P38:AB38"/>
    <mergeCell ref="B3:B18"/>
    <mergeCell ref="B19:B25"/>
    <mergeCell ref="B26:B29"/>
    <mergeCell ref="C26:D28"/>
    <mergeCell ref="E26:G26"/>
    <mergeCell ref="P35:AB35"/>
    <mergeCell ref="H26:N28"/>
    <mergeCell ref="P26:Q28"/>
    <mergeCell ref="H17:N17"/>
    <mergeCell ref="P17:AB17"/>
    <mergeCell ref="C18:G18"/>
    <mergeCell ref="C15:G15"/>
  </mergeCells>
  <phoneticPr fontId="9"/>
  <conditionalFormatting sqref="O3:O18 O57 O30:O54">
    <cfRule type="containsText" dxfId="376" priority="42" operator="containsText" text="×">
      <formula>NOT(ISERROR(SEARCH("×",O3)))</formula>
    </cfRule>
    <cfRule type="containsText" dxfId="375" priority="44" operator="containsText" text="×">
      <formula>NOT(ISERROR(SEARCH("×",O3)))</formula>
    </cfRule>
  </conditionalFormatting>
  <conditionalFormatting sqref="P13 P14:W17 P57:W57 P3:W12 P18 P30:P54">
    <cfRule type="containsText" dxfId="374" priority="43" operator="containsText" text="要修正">
      <formula>NOT(ISERROR(SEARCH("要修正",P3)))</formula>
    </cfRule>
  </conditionalFormatting>
  <conditionalFormatting sqref="F58 O89:O91 O65:O87">
    <cfRule type="containsText" dxfId="373" priority="41" operator="containsText" text="×">
      <formula>NOT(ISERROR(SEARCH("×",F58)))</formula>
    </cfRule>
  </conditionalFormatting>
  <conditionalFormatting sqref="G58:AB58">
    <cfRule type="containsText" dxfId="372" priority="40" operator="containsText" text="要修正">
      <formula>NOT(ISERROR(SEARCH("要修正",G58)))</formula>
    </cfRule>
  </conditionalFormatting>
  <conditionalFormatting sqref="P89:AB91 P65:AB65 P66 P67:AB87">
    <cfRule type="containsText" dxfId="371" priority="38" operator="containsText" text="要修正">
      <formula>NOT(ISERROR(SEARCH("要修正",P65)))</formula>
    </cfRule>
    <cfRule type="cellIs" dxfId="370" priority="39" operator="equal">
      <formula>"要修正"</formula>
    </cfRule>
  </conditionalFormatting>
  <conditionalFormatting sqref="F62">
    <cfRule type="containsText" dxfId="369" priority="37" operator="containsText" text="×">
      <formula>NOT(ISERROR(SEARCH("×",F62)))</formula>
    </cfRule>
  </conditionalFormatting>
  <conditionalFormatting sqref="G62:AB62">
    <cfRule type="containsText" dxfId="368" priority="36" operator="containsText" text="要修正">
      <formula>NOT(ISERROR(SEARCH("要修正",G62)))</formula>
    </cfRule>
  </conditionalFormatting>
  <conditionalFormatting sqref="O49:O53">
    <cfRule type="containsText" dxfId="367" priority="33" operator="containsText" text="×">
      <formula>NOT(ISERROR(SEARCH("×",O49)))</formula>
    </cfRule>
    <cfRule type="containsText" dxfId="366" priority="35" operator="containsText" text="×">
      <formula>NOT(ISERROR(SEARCH("×",O49)))</formula>
    </cfRule>
  </conditionalFormatting>
  <conditionalFormatting sqref="P49:W49 P50 P51:W53">
    <cfRule type="containsText" dxfId="365" priority="34" operator="containsText" text="要修正">
      <formula>NOT(ISERROR(SEARCH("要修正",P49)))</formula>
    </cfRule>
  </conditionalFormatting>
  <conditionalFormatting sqref="O71:O87">
    <cfRule type="containsText" dxfId="364" priority="32" operator="containsText" text="×">
      <formula>NOT(ISERROR(SEARCH("×",O71)))</formula>
    </cfRule>
  </conditionalFormatting>
  <conditionalFormatting sqref="P71:AB87">
    <cfRule type="containsText" dxfId="363" priority="31" operator="containsText" text="要修正">
      <formula>NOT(ISERROR(SEARCH("要修正",P71)))</formula>
    </cfRule>
  </conditionalFormatting>
  <conditionalFormatting sqref="O19:O25">
    <cfRule type="containsText" dxfId="362" priority="28" operator="containsText" text="×">
      <formula>NOT(ISERROR(SEARCH("×",O19)))</formula>
    </cfRule>
    <cfRule type="containsText" dxfId="361" priority="30" operator="containsText" text="×">
      <formula>NOT(ISERROR(SEARCH("×",O19)))</formula>
    </cfRule>
  </conditionalFormatting>
  <conditionalFormatting sqref="P19:P25">
    <cfRule type="containsText" dxfId="360" priority="29" operator="containsText" text="要修正">
      <formula>NOT(ISERROR(SEARCH("要修正",P19)))</formula>
    </cfRule>
  </conditionalFormatting>
  <conditionalFormatting sqref="P48:AB48">
    <cfRule type="containsText" dxfId="359" priority="27" operator="containsText" text="「申立てする」を選択して">
      <formula>NOT(ISERROR(SEARCH("「申立てする」を選択して",P48)))</formula>
    </cfRule>
  </conditionalFormatting>
  <conditionalFormatting sqref="O26:O29">
    <cfRule type="containsText" dxfId="358" priority="21" operator="containsText" text="×">
      <formula>NOT(ISERROR(SEARCH("×",O26)))</formula>
    </cfRule>
    <cfRule type="containsText" dxfId="357" priority="23" operator="containsText" text="×">
      <formula>NOT(ISERROR(SEARCH("×",O26)))</formula>
    </cfRule>
  </conditionalFormatting>
  <conditionalFormatting sqref="P26 P29">
    <cfRule type="containsText" dxfId="356" priority="22" operator="containsText" text="要修正">
      <formula>NOT(ISERROR(SEARCH("要修正",P26)))</formula>
    </cfRule>
  </conditionalFormatting>
  <conditionalFormatting sqref="P26:Q28">
    <cfRule type="containsText" dxfId="355" priority="20" operator="containsText" text="×">
      <formula>NOT(ISERROR(SEARCH("×",P26)))</formula>
    </cfRule>
  </conditionalFormatting>
  <conditionalFormatting sqref="R26:AB28 P29:AB29">
    <cfRule type="containsText" dxfId="354" priority="19" operator="containsText" text="要修正">
      <formula>NOT(ISERROR(SEARCH("要修正",P26)))</formula>
    </cfRule>
  </conditionalFormatting>
  <dataValidations count="8">
    <dataValidation type="list" allowBlank="1" showInputMessage="1" showErrorMessage="1" sqref="H48:N48" xr:uid="{00000000-0002-0000-0300-000000000000}">
      <formula1>$AL$16:$AL$17</formula1>
    </dataValidation>
    <dataValidation type="textLength" imeMode="halfKatakana" allowBlank="1" showInputMessage="1" showErrorMessage="1" errorTitle="入力した字数が多すぎます" error="振込先口座のｶﾅ名義は30字以内で入力してください。" sqref="H25:N25 L50:N53 H51:J53" xr:uid="{00000000-0002-0000-0300-000001000000}">
      <formula1>1</formula1>
      <formula2>30</formula2>
    </dataValidation>
    <dataValidation type="whole" imeMode="off" allowBlank="1" showInputMessage="1" showErrorMessage="1" error="令和年度の数値を入力してください。" sqref="I12" xr:uid="{D959248B-8ACD-4696-A812-76D3D0A7F816}">
      <formula1>5</formula1>
      <formula2>6</formula2>
    </dataValidation>
    <dataValidation type="whole" allowBlank="1" showInputMessage="1" showErrorMessage="1" sqref="K12" xr:uid="{CA246A5A-1E3D-4B4D-B377-7B7212A8276A}">
      <formula1>1</formula1>
      <formula2>12</formula2>
    </dataValidation>
    <dataValidation type="whole" imeMode="off" allowBlank="1" showInputMessage="1" showErrorMessage="1" error="申請年月日の日付の数値を入力してください。" sqref="M12" xr:uid="{CA779A74-9325-4809-A6BE-7D6575E0388E}">
      <formula1>1</formula1>
      <formula2>31</formula2>
    </dataValidation>
    <dataValidation type="whole" imeMode="off" allowBlank="1" showInputMessage="1" showErrorMessage="1" error="１マスにつき０～９の数字を入力してください。" sqref="H19:K19 H24:N24 H21:J21" xr:uid="{0823C752-F202-46AF-BBA6-07C70D4B551A}">
      <formula1>0</formula1>
      <formula2>9</formula2>
    </dataValidation>
    <dataValidation imeMode="off" allowBlank="1" showInputMessage="1" showErrorMessage="1" sqref="L16:M16 J16 H16" xr:uid="{526B0996-EB88-40D9-A57F-65AD7873DE9A}"/>
    <dataValidation type="textLength" imeMode="off" allowBlank="1" showInputMessage="1" showErrorMessage="1" errorTitle="入力した字数が多すぎます" error="振込先口座のｶﾅ名義は30字以内で入力してください。" sqref="K50:K53" xr:uid="{E73CC50F-B678-42A9-83F4-3D58A6985C5D}">
      <formula1>1</formula1>
      <formula2>30</formula2>
    </dataValidation>
  </dataValidations>
  <printOptions horizontalCentered="1"/>
  <pageMargins left="0.70866141732283472" right="0.70866141732283472" top="0.74803149606299213" bottom="0.74803149606299213" header="0.31496062992125984" footer="0.31496062992125984"/>
  <pageSetup paperSize="9" scale="43"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defaultSize="0" autoFill="0" autoLine="0" autoPict="0">
                <anchor moveWithCells="1">
                  <from>
                    <xdr:col>7</xdr:col>
                    <xdr:colOff>85725</xdr:colOff>
                    <xdr:row>2</xdr:row>
                    <xdr:rowOff>28575</xdr:rowOff>
                  </from>
                  <to>
                    <xdr:col>7</xdr:col>
                    <xdr:colOff>304800</xdr:colOff>
                    <xdr:row>2</xdr:row>
                    <xdr:rowOff>333375</xdr:rowOff>
                  </to>
                </anchor>
              </controlPr>
            </control>
          </mc:Choice>
        </mc:AlternateContent>
        <mc:AlternateContent xmlns:mc="http://schemas.openxmlformats.org/markup-compatibility/2006">
          <mc:Choice Requires="x14">
            <control shapeId="5122" r:id="rId5" name="Check Box 2">
              <controlPr defaultSize="0" autoFill="0" autoLine="0" autoPict="0">
                <anchor moveWithCells="1">
                  <from>
                    <xdr:col>7</xdr:col>
                    <xdr:colOff>85725</xdr:colOff>
                    <xdr:row>3</xdr:row>
                    <xdr:rowOff>47625</xdr:rowOff>
                  </from>
                  <to>
                    <xdr:col>7</xdr:col>
                    <xdr:colOff>352425</xdr:colOff>
                    <xdr:row>3</xdr:row>
                    <xdr:rowOff>333375</xdr:rowOff>
                  </to>
                </anchor>
              </controlPr>
            </control>
          </mc:Choice>
        </mc:AlternateContent>
        <mc:AlternateContent xmlns:mc="http://schemas.openxmlformats.org/markup-compatibility/2006">
          <mc:Choice Requires="x14">
            <control shapeId="5123" r:id="rId6" name="Check Box 3">
              <controlPr defaultSize="0" autoFill="0" autoLine="0" autoPict="0">
                <anchor moveWithCells="1">
                  <from>
                    <xdr:col>7</xdr:col>
                    <xdr:colOff>85725</xdr:colOff>
                    <xdr:row>4</xdr:row>
                    <xdr:rowOff>19050</xdr:rowOff>
                  </from>
                  <to>
                    <xdr:col>7</xdr:col>
                    <xdr:colOff>428625</xdr:colOff>
                    <xdr:row>4</xdr:row>
                    <xdr:rowOff>361950</xdr:rowOff>
                  </to>
                </anchor>
              </controlPr>
            </control>
          </mc:Choice>
        </mc:AlternateContent>
        <mc:AlternateContent xmlns:mc="http://schemas.openxmlformats.org/markup-compatibility/2006">
          <mc:Choice Requires="x14">
            <control shapeId="5124" r:id="rId7" name="Check Box 4">
              <controlPr defaultSize="0" autoFill="0" autoLine="0" autoPict="0">
                <anchor moveWithCells="1">
                  <from>
                    <xdr:col>7</xdr:col>
                    <xdr:colOff>142875</xdr:colOff>
                    <xdr:row>53</xdr:row>
                    <xdr:rowOff>19050</xdr:rowOff>
                  </from>
                  <to>
                    <xdr:col>8</xdr:col>
                    <xdr:colOff>352425</xdr:colOff>
                    <xdr:row>53</xdr:row>
                    <xdr:rowOff>352425</xdr:rowOff>
                  </to>
                </anchor>
              </controlPr>
            </control>
          </mc:Choice>
        </mc:AlternateContent>
        <mc:AlternateContent xmlns:mc="http://schemas.openxmlformats.org/markup-compatibility/2006">
          <mc:Choice Requires="x14">
            <control shapeId="5125" r:id="rId8" name="Check Box 5">
              <controlPr defaultSize="0" autoFill="0" autoLine="0" autoPict="0">
                <anchor moveWithCells="1">
                  <from>
                    <xdr:col>7</xdr:col>
                    <xdr:colOff>142875</xdr:colOff>
                    <xdr:row>53</xdr:row>
                    <xdr:rowOff>361950</xdr:rowOff>
                  </from>
                  <to>
                    <xdr:col>8</xdr:col>
                    <xdr:colOff>352425</xdr:colOff>
                    <xdr:row>54</xdr:row>
                    <xdr:rowOff>361950</xdr:rowOff>
                  </to>
                </anchor>
              </controlPr>
            </control>
          </mc:Choice>
        </mc:AlternateContent>
        <mc:AlternateContent xmlns:mc="http://schemas.openxmlformats.org/markup-compatibility/2006">
          <mc:Choice Requires="x14">
            <control shapeId="5126" r:id="rId9" name="Check Box 6">
              <controlPr defaultSize="0" autoFill="0" autoLine="0" autoPict="0">
                <anchor moveWithCells="1">
                  <from>
                    <xdr:col>7</xdr:col>
                    <xdr:colOff>142875</xdr:colOff>
                    <xdr:row>54</xdr:row>
                    <xdr:rowOff>361950</xdr:rowOff>
                  </from>
                  <to>
                    <xdr:col>8</xdr:col>
                    <xdr:colOff>352425</xdr:colOff>
                    <xdr:row>55</xdr:row>
                    <xdr:rowOff>361950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imeMode="off" allowBlank="1" showInputMessage="1" showErrorMessage="1" error="普通の場合は１_x000a_当座の場合は２_x000a_を入力してください。" xr:uid="{00000000-0002-0000-0300-000003000000}">
          <x14:formula1>
            <xm:f>テーブル!$C$19:$C$20</xm:f>
          </x14:formula1>
          <xm:sqref>H23</xm:sqref>
        </x14:dataValidation>
        <x14:dataValidation type="list" allowBlank="1" showInputMessage="1" showErrorMessage="1" xr:uid="{00000000-0002-0000-0300-000002000000}">
          <x14:formula1>
            <xm:f>リスト!$A$3:$A$35</xm:f>
          </x14:formula1>
          <xm:sqref>L18:M18</xm:sqref>
        </x14:dataValidation>
        <x14:dataValidation type="list" allowBlank="1" showInputMessage="1" showErrorMessage="1" xr:uid="{E02680AB-7720-4A88-923B-B20F9200A000}">
          <x14:formula1>
            <xm:f>テーブル!$C$21:$C$22</xm:f>
          </x14:formula1>
          <xm:sqref>H49:N49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theme="5" tint="-0.249977111117893"/>
    <pageSetUpPr fitToPage="1"/>
  </sheetPr>
  <dimension ref="A1:AP56"/>
  <sheetViews>
    <sheetView showGridLines="0" view="pageBreakPreview" zoomScale="60" zoomScaleNormal="100" workbookViewId="0">
      <selection activeCell="AC4" sqref="AC4"/>
    </sheetView>
  </sheetViews>
  <sheetFormatPr defaultColWidth="8.625" defaultRowHeight="19.5"/>
  <cols>
    <col min="1" max="36" width="3.625" style="390" customWidth="1"/>
    <col min="37" max="38" width="8.625" style="390"/>
    <col min="39" max="39" width="4.625" style="391" customWidth="1"/>
    <col min="40" max="41" width="10.625" style="391" customWidth="1"/>
    <col min="42" max="42" width="4.625" style="391" customWidth="1"/>
    <col min="43" max="16384" width="8.625" style="390"/>
  </cols>
  <sheetData>
    <row r="1" spans="1:42">
      <c r="A1" s="389"/>
      <c r="B1" s="389"/>
      <c r="C1" s="389"/>
      <c r="D1" s="389"/>
      <c r="E1" s="389"/>
      <c r="F1" s="389"/>
      <c r="G1" s="389"/>
      <c r="H1" s="389"/>
      <c r="I1" s="389"/>
      <c r="J1" s="389"/>
      <c r="K1" s="389"/>
      <c r="L1" s="389"/>
      <c r="M1" s="389"/>
      <c r="N1" s="389"/>
      <c r="O1" s="389"/>
      <c r="P1" s="389"/>
      <c r="Q1" s="389"/>
      <c r="R1" s="389"/>
      <c r="S1" s="389"/>
      <c r="T1" s="389"/>
      <c r="U1" s="389"/>
      <c r="V1" s="389"/>
      <c r="W1" s="389"/>
      <c r="X1" s="389"/>
      <c r="Y1" s="389"/>
      <c r="Z1" s="389"/>
      <c r="AA1" s="389"/>
      <c r="AB1" s="389"/>
      <c r="AC1" s="389"/>
      <c r="AD1" s="389"/>
      <c r="AE1" s="389"/>
      <c r="AF1" s="389"/>
      <c r="AG1" s="389"/>
      <c r="AH1" s="389"/>
      <c r="AI1" s="389"/>
      <c r="AJ1" s="389"/>
    </row>
    <row r="2" spans="1:42" ht="24.95" customHeight="1">
      <c r="A2" s="389"/>
      <c r="B2" s="389"/>
      <c r="C2" s="389"/>
      <c r="D2" s="389"/>
      <c r="E2" s="389"/>
      <c r="F2" s="389"/>
      <c r="G2" s="389"/>
      <c r="H2" s="389"/>
      <c r="I2" s="389"/>
      <c r="J2" s="389"/>
      <c r="K2" s="389"/>
      <c r="L2" s="389"/>
      <c r="M2" s="389"/>
      <c r="N2" s="389"/>
      <c r="O2" s="389"/>
      <c r="P2" s="389"/>
      <c r="Q2" s="389"/>
      <c r="R2" s="389"/>
      <c r="S2" s="389"/>
      <c r="T2" s="389"/>
      <c r="U2" s="389"/>
      <c r="V2" s="389"/>
      <c r="W2" s="389"/>
      <c r="X2" s="389"/>
      <c r="Y2" s="389"/>
      <c r="Z2" s="389"/>
      <c r="AA2" s="389"/>
      <c r="AB2" s="389"/>
      <c r="AC2" s="947" t="str">
        <f>IF(はじめに入力してください!H13="","",はじめに入力してください!H13)</f>
        <v/>
      </c>
      <c r="AD2" s="948"/>
      <c r="AE2" s="948"/>
      <c r="AF2" s="948"/>
      <c r="AG2" s="948"/>
      <c r="AH2" s="948"/>
      <c r="AI2" s="948"/>
    </row>
    <row r="3" spans="1:42" ht="24.95" customHeight="1">
      <c r="AC3" s="934" t="str">
        <f>IF(COUNTA(はじめに入力してください!I12,はじめに入力してください!K12,はじめに入力してください!M12)&lt;&gt;3,"令和　年　　月　　日",IF(COUNTA(はじめに入力してください!I12,はじめに入力してください!K12,はじめに入力してください!M12)=3,"令和"&amp;はじめに入力してください!I12&amp;"年"&amp;はじめに入力してください!K12&amp;"月"&amp;はじめに入力してください!M12&amp;"日"))</f>
        <v>令和6年3月31日</v>
      </c>
      <c r="AD3" s="935"/>
      <c r="AE3" s="935"/>
      <c r="AF3" s="935"/>
      <c r="AG3" s="935"/>
      <c r="AH3" s="935"/>
      <c r="AI3" s="935"/>
    </row>
    <row r="4" spans="1:42" ht="24.95" customHeight="1">
      <c r="B4" s="930" t="s">
        <v>1</v>
      </c>
      <c r="C4" s="931"/>
      <c r="D4" s="931"/>
      <c r="E4" s="931"/>
      <c r="F4" s="931"/>
      <c r="G4" s="931"/>
      <c r="H4" s="931"/>
      <c r="I4" s="931"/>
      <c r="J4" s="931"/>
      <c r="AM4" s="944"/>
      <c r="AN4" s="944"/>
      <c r="AO4" s="944"/>
      <c r="AP4" s="390"/>
    </row>
    <row r="5" spans="1:42" ht="24.95" customHeight="1">
      <c r="AM5" s="392"/>
      <c r="AN5" s="393"/>
      <c r="AO5" s="944"/>
      <c r="AP5" s="392"/>
    </row>
    <row r="6" spans="1:42" ht="24.95" customHeight="1">
      <c r="U6" s="934" t="s">
        <v>4</v>
      </c>
      <c r="V6" s="935"/>
      <c r="W6" s="935"/>
      <c r="X6" s="935"/>
      <c r="Z6" s="932" t="str">
        <f>IF(はじめに入力してください!H9="","",はじめに入力してください!H9)</f>
        <v/>
      </c>
      <c r="AA6" s="936"/>
      <c r="AB6" s="936"/>
      <c r="AC6" s="936"/>
      <c r="AD6" s="936"/>
      <c r="AE6" s="936"/>
      <c r="AF6" s="936"/>
      <c r="AG6" s="936"/>
      <c r="AH6" s="936"/>
      <c r="AI6" s="936"/>
      <c r="AJ6" s="936"/>
      <c r="AM6" s="394"/>
      <c r="AN6" s="394"/>
      <c r="AO6" s="394"/>
      <c r="AP6" s="394"/>
    </row>
    <row r="7" spans="1:42" ht="24.95" customHeight="1">
      <c r="U7" s="934" t="s">
        <v>2</v>
      </c>
      <c r="V7" s="935"/>
      <c r="W7" s="935"/>
      <c r="X7" s="935"/>
      <c r="Z7" s="932" t="str">
        <f>IF(OR(はじめに入力してください!H6="",はじめに入力してください!H10=""),"",はじめに入力してください!H6&amp;"("&amp;はじめに入力してください!H10&amp;")")</f>
        <v/>
      </c>
      <c r="AA7" s="936"/>
      <c r="AB7" s="936"/>
      <c r="AC7" s="936"/>
      <c r="AD7" s="936"/>
      <c r="AE7" s="936"/>
      <c r="AF7" s="936"/>
      <c r="AG7" s="936"/>
      <c r="AH7" s="936"/>
      <c r="AI7" s="936"/>
      <c r="AJ7" s="936"/>
    </row>
    <row r="8" spans="1:42" ht="24.95" customHeight="1">
      <c r="U8" s="934" t="s">
        <v>3</v>
      </c>
      <c r="V8" s="935"/>
      <c r="W8" s="935"/>
      <c r="X8" s="935"/>
      <c r="Z8" s="937" t="str">
        <f>IF(はじめに入力してください!H7="","",はじめに入力してください!H7)&amp;"　"&amp;IF(はじめに入力してください!H8="","",はじめに入力してください!H8)</f>
        <v>　</v>
      </c>
      <c r="AA8" s="938"/>
      <c r="AB8" s="938"/>
      <c r="AC8" s="938"/>
      <c r="AD8" s="938"/>
      <c r="AE8" s="938"/>
      <c r="AF8" s="938"/>
      <c r="AG8" s="938"/>
      <c r="AH8" s="938"/>
      <c r="AI8" s="938"/>
      <c r="AJ8" s="938"/>
    </row>
    <row r="9" spans="1:42" ht="24.95" customHeight="1">
      <c r="U9" s="395"/>
      <c r="V9" s="396"/>
      <c r="W9" s="396"/>
      <c r="X9" s="396"/>
      <c r="Z9" s="397"/>
      <c r="AA9" s="398"/>
      <c r="AB9" s="398"/>
      <c r="AC9" s="398"/>
      <c r="AD9" s="398"/>
      <c r="AE9" s="398"/>
      <c r="AF9" s="398"/>
      <c r="AG9" s="398"/>
      <c r="AH9" s="398"/>
      <c r="AI9" s="398"/>
      <c r="AJ9" s="398"/>
    </row>
    <row r="10" spans="1:42" ht="24.95" customHeight="1">
      <c r="N10" s="942" t="s">
        <v>0</v>
      </c>
      <c r="O10" s="942"/>
      <c r="P10" s="942"/>
      <c r="Q10" s="942"/>
      <c r="R10" s="942"/>
      <c r="S10" s="942"/>
      <c r="T10" s="942"/>
      <c r="U10" s="942"/>
      <c r="V10" s="942"/>
      <c r="W10" s="942"/>
    </row>
    <row r="11" spans="1:42" ht="24.95" customHeight="1">
      <c r="A11" s="389"/>
      <c r="B11" s="389"/>
      <c r="C11" s="389"/>
      <c r="D11" s="389"/>
      <c r="E11" s="389"/>
      <c r="F11" s="389"/>
      <c r="G11" s="389"/>
      <c r="H11" s="389"/>
      <c r="I11" s="389"/>
      <c r="J11" s="389"/>
      <c r="K11" s="389"/>
      <c r="L11" s="389"/>
      <c r="M11" s="389"/>
      <c r="N11" s="389"/>
      <c r="O11" s="389"/>
      <c r="P11" s="389"/>
      <c r="Q11" s="389"/>
      <c r="R11" s="389"/>
      <c r="S11" s="389"/>
      <c r="T11" s="389"/>
      <c r="U11" s="389"/>
      <c r="V11" s="389"/>
      <c r="W11" s="389"/>
      <c r="X11" s="389"/>
      <c r="Y11" s="389"/>
      <c r="Z11" s="389"/>
      <c r="AA11" s="389"/>
      <c r="AB11" s="389"/>
      <c r="AC11" s="389"/>
      <c r="AD11" s="389"/>
      <c r="AE11" s="389"/>
      <c r="AF11" s="389"/>
      <c r="AG11" s="389"/>
      <c r="AH11" s="389"/>
      <c r="AI11" s="389"/>
      <c r="AJ11" s="389"/>
    </row>
    <row r="12" spans="1:42" ht="24.95" customHeight="1">
      <c r="A12" s="943" t="str">
        <f xml:space="preserve">
IF(表紙!$X$2="事前協議",
"（令和５年度新型コロナウイルス感染症患者等入院医療機関設備整備費補助金（令和５年10月１日～令和６年３月31日整備分）関係）",
IF(表紙!$X$2="交付申請（２次）",
"（令和５年度新型コロナウイルス感染症患者等入院医療機関設備整備費補助金（令和５年10月１日～令和６年３月31日整備分）関係）",
IF(表紙!$X$2="変更申請",
"（令和５年度新型コロナウイルス感染症患者等入院医療機関設備整備費補助金（令和５年10月１日～令和６年３月31日整備分）関係）",
IF(表紙!$X$2="実績報告（１次）",
"（令和５年度新型コロナウイルス感染症患者等入院医療機関設備整備費補助金（令和５年５月８日～９月整備分）関係）",
IF(表紙!$X$2="実績報告（２次）",
"（令和５年度新型コロナウイルス感染症患者等入院医療機関設備整備費補助金（令和５年10月１日～令和６年３月31日整備分）関係）",
IF(表紙!$X$2="交付申請兼実績報告",
"（令和５年度新型コロナウイルス感染症患者等入院医療機関設備整備費補助金（令和５年10月１日～令和６年３月31日整備分）関係）"))))))</f>
        <v>（令和５年度新型コロナウイルス感染症患者等入院医療機関設備整備費補助金（令和５年10月１日～令和６年３月31日整備分）関係）</v>
      </c>
      <c r="B12" s="943"/>
      <c r="C12" s="943"/>
      <c r="D12" s="943"/>
      <c r="E12" s="943"/>
      <c r="F12" s="943"/>
      <c r="G12" s="943"/>
      <c r="H12" s="943"/>
      <c r="I12" s="943"/>
      <c r="J12" s="943"/>
      <c r="K12" s="943"/>
      <c r="L12" s="943"/>
      <c r="M12" s="943"/>
      <c r="N12" s="943"/>
      <c r="O12" s="943"/>
      <c r="P12" s="943"/>
      <c r="Q12" s="943"/>
      <c r="R12" s="943"/>
      <c r="S12" s="943"/>
      <c r="T12" s="943"/>
      <c r="U12" s="943"/>
      <c r="V12" s="943"/>
      <c r="W12" s="943"/>
      <c r="X12" s="943"/>
      <c r="Y12" s="943"/>
      <c r="Z12" s="943"/>
      <c r="AA12" s="943"/>
      <c r="AB12" s="943"/>
      <c r="AC12" s="943"/>
      <c r="AD12" s="943"/>
      <c r="AE12" s="943"/>
      <c r="AF12" s="943"/>
      <c r="AG12" s="943"/>
      <c r="AH12" s="943"/>
      <c r="AI12" s="943"/>
      <c r="AJ12" s="943"/>
    </row>
    <row r="13" spans="1:42" ht="24.95" customHeight="1">
      <c r="A13" s="399"/>
      <c r="B13" s="399"/>
      <c r="C13" s="399"/>
      <c r="D13" s="399"/>
      <c r="E13" s="399"/>
      <c r="F13" s="399"/>
      <c r="G13" s="399"/>
      <c r="H13" s="399"/>
      <c r="I13" s="399"/>
      <c r="J13" s="399"/>
      <c r="K13" s="399"/>
      <c r="L13" s="399"/>
      <c r="M13" s="399"/>
      <c r="N13" s="399"/>
      <c r="O13" s="399"/>
      <c r="P13" s="399"/>
      <c r="Q13" s="399"/>
      <c r="R13" s="399"/>
      <c r="S13" s="399"/>
      <c r="T13" s="399"/>
      <c r="U13" s="399"/>
      <c r="V13" s="399"/>
      <c r="W13" s="399"/>
      <c r="X13" s="399"/>
      <c r="Y13" s="399"/>
      <c r="Z13" s="399"/>
      <c r="AA13" s="399"/>
      <c r="AB13" s="399"/>
      <c r="AC13" s="399"/>
      <c r="AD13" s="399"/>
      <c r="AE13" s="399"/>
      <c r="AF13" s="399"/>
      <c r="AG13" s="399"/>
      <c r="AH13" s="399"/>
      <c r="AI13" s="399"/>
      <c r="AJ13" s="399"/>
    </row>
    <row r="14" spans="1:42" ht="24.95" customHeight="1">
      <c r="A14" s="389"/>
      <c r="B14" s="389"/>
      <c r="C14" s="389"/>
      <c r="D14" s="389"/>
      <c r="E14" s="389"/>
      <c r="F14" s="389"/>
      <c r="G14" s="389"/>
      <c r="H14" s="389"/>
      <c r="I14" s="389"/>
      <c r="J14" s="389"/>
      <c r="K14" s="389"/>
      <c r="L14" s="389"/>
      <c r="M14" s="389"/>
      <c r="N14" s="389"/>
      <c r="O14" s="389"/>
      <c r="P14" s="389"/>
      <c r="Q14" s="389"/>
      <c r="R14" s="389"/>
      <c r="S14" s="389"/>
      <c r="T14" s="389"/>
      <c r="U14" s="389"/>
      <c r="V14" s="389"/>
      <c r="W14" s="389"/>
      <c r="X14" s="389"/>
      <c r="Y14" s="389"/>
      <c r="Z14" s="389"/>
      <c r="AA14" s="389"/>
      <c r="AB14" s="389"/>
      <c r="AC14" s="389"/>
      <c r="AD14" s="389"/>
      <c r="AE14" s="389"/>
      <c r="AF14" s="389"/>
      <c r="AG14" s="389"/>
      <c r="AH14" s="389"/>
      <c r="AI14" s="389"/>
      <c r="AJ14" s="389"/>
    </row>
    <row r="15" spans="1:42" ht="20.100000000000001" customHeight="1">
      <c r="A15" s="390" t="s">
        <v>5</v>
      </c>
    </row>
    <row r="16" spans="1:42" ht="99.95" customHeight="1">
      <c r="A16" s="951" t="s">
        <v>668</v>
      </c>
      <c r="B16" s="952"/>
      <c r="C16" s="952"/>
      <c r="D16" s="952"/>
      <c r="E16" s="952"/>
      <c r="F16" s="952"/>
      <c r="G16" s="952"/>
      <c r="H16" s="952"/>
      <c r="I16" s="952"/>
      <c r="J16" s="952"/>
      <c r="K16" s="952"/>
      <c r="L16" s="952"/>
      <c r="M16" s="952"/>
      <c r="N16" s="952"/>
      <c r="O16" s="952"/>
      <c r="P16" s="952"/>
      <c r="Q16" s="952"/>
      <c r="R16" s="952"/>
      <c r="S16" s="952"/>
      <c r="T16" s="952"/>
      <c r="U16" s="952"/>
      <c r="V16" s="952"/>
      <c r="W16" s="952"/>
      <c r="X16" s="952"/>
      <c r="Y16" s="952"/>
      <c r="Z16" s="952"/>
      <c r="AA16" s="952"/>
      <c r="AB16" s="952"/>
      <c r="AC16" s="952"/>
      <c r="AD16" s="952"/>
      <c r="AE16" s="952"/>
      <c r="AF16" s="952"/>
      <c r="AG16" s="952"/>
      <c r="AH16" s="952"/>
      <c r="AI16" s="952"/>
      <c r="AJ16" s="952"/>
    </row>
    <row r="17" spans="1:36" ht="60" customHeight="1">
      <c r="A17" s="951" t="s">
        <v>477</v>
      </c>
      <c r="B17" s="953"/>
      <c r="C17" s="953"/>
      <c r="D17" s="953"/>
      <c r="E17" s="953"/>
      <c r="F17" s="953"/>
      <c r="G17" s="953"/>
      <c r="H17" s="953"/>
      <c r="I17" s="953"/>
      <c r="J17" s="953"/>
      <c r="K17" s="953"/>
      <c r="L17" s="953"/>
      <c r="M17" s="953"/>
      <c r="N17" s="953"/>
      <c r="O17" s="953"/>
      <c r="P17" s="953"/>
      <c r="Q17" s="953"/>
      <c r="R17" s="953"/>
      <c r="S17" s="953"/>
      <c r="T17" s="953"/>
      <c r="U17" s="953"/>
      <c r="V17" s="953"/>
      <c r="W17" s="953"/>
      <c r="X17" s="953"/>
      <c r="Y17" s="953"/>
      <c r="Z17" s="953"/>
      <c r="AA17" s="953"/>
      <c r="AB17" s="953"/>
      <c r="AC17" s="953"/>
      <c r="AD17" s="953"/>
      <c r="AE17" s="953"/>
      <c r="AF17" s="953"/>
      <c r="AG17" s="953"/>
      <c r="AH17" s="953"/>
      <c r="AI17" s="953"/>
      <c r="AJ17" s="953"/>
    </row>
    <row r="18" spans="1:36" ht="24.95" customHeight="1"/>
    <row r="19" spans="1:36" ht="24.95" customHeight="1">
      <c r="B19" s="390" t="s">
        <v>6</v>
      </c>
    </row>
    <row r="20" spans="1:36" ht="24.95" customHeight="1">
      <c r="C20" s="932" t="str">
        <f>IF(はじめに入力してください!H10="","",はじめに入力してください!H10)</f>
        <v/>
      </c>
      <c r="D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row>
    <row r="21" spans="1:36" ht="24.95" customHeight="1">
      <c r="C21" s="932" t="str">
        <f>IF(はじめに入力してください!H11="","",はじめに入力してください!H11)</f>
        <v/>
      </c>
      <c r="D21" s="933"/>
      <c r="E21" s="933"/>
      <c r="F21" s="933"/>
      <c r="G21" s="933"/>
      <c r="H21" s="933"/>
      <c r="I21" s="933"/>
      <c r="J21" s="933"/>
      <c r="K21" s="933"/>
      <c r="L21" s="933"/>
      <c r="M21" s="933"/>
      <c r="N21" s="933"/>
      <c r="O21" s="933"/>
      <c r="P21" s="933"/>
      <c r="Q21" s="933"/>
      <c r="R21" s="933"/>
      <c r="S21" s="933"/>
      <c r="T21" s="933"/>
      <c r="U21" s="933"/>
      <c r="V21" s="933"/>
      <c r="W21" s="933"/>
      <c r="X21" s="933"/>
      <c r="Y21" s="933"/>
      <c r="Z21" s="933"/>
      <c r="AA21" s="933"/>
      <c r="AB21" s="933"/>
      <c r="AC21" s="933"/>
      <c r="AD21" s="933"/>
      <c r="AE21" s="933"/>
      <c r="AF21" s="933"/>
      <c r="AG21" s="933"/>
      <c r="AH21" s="933"/>
      <c r="AI21" s="933"/>
    </row>
    <row r="22" spans="1:36" ht="9.9499999999999993" customHeight="1">
      <c r="C22" s="397"/>
      <c r="D22" s="400"/>
      <c r="E22" s="400"/>
      <c r="F22" s="400"/>
      <c r="G22" s="400"/>
      <c r="H22" s="400"/>
      <c r="I22" s="400"/>
      <c r="J22" s="400"/>
      <c r="K22" s="400"/>
      <c r="L22" s="400"/>
      <c r="M22" s="400"/>
      <c r="N22" s="400"/>
      <c r="O22" s="400"/>
      <c r="P22" s="400"/>
      <c r="Q22" s="400"/>
      <c r="R22" s="400"/>
      <c r="S22" s="400"/>
      <c r="T22" s="400"/>
      <c r="U22" s="400"/>
      <c r="V22" s="400"/>
      <c r="W22" s="400"/>
      <c r="X22" s="400"/>
      <c r="Y22" s="400"/>
      <c r="Z22" s="400"/>
      <c r="AA22" s="400"/>
      <c r="AB22" s="400"/>
      <c r="AC22" s="400"/>
      <c r="AD22" s="400"/>
      <c r="AE22" s="400"/>
      <c r="AF22" s="400"/>
      <c r="AG22" s="400"/>
      <c r="AH22" s="400"/>
      <c r="AI22" s="400"/>
    </row>
    <row r="23" spans="1:36" ht="24.95" customHeight="1">
      <c r="B23" s="390" t="s">
        <v>7</v>
      </c>
    </row>
    <row r="24" spans="1:36" ht="24.95" customHeight="1">
      <c r="C24" s="939" t="str">
        <f>IF(別紙!AE27=0,"金円",別紙!AE27)</f>
        <v>金円</v>
      </c>
      <c r="D24" s="940"/>
      <c r="E24" s="940"/>
      <c r="F24" s="940"/>
      <c r="G24" s="940"/>
      <c r="H24" s="940"/>
      <c r="I24" s="940"/>
    </row>
    <row r="25" spans="1:36" ht="9.9499999999999993" customHeight="1">
      <c r="C25" s="395"/>
      <c r="D25" s="401"/>
      <c r="E25" s="401"/>
      <c r="F25" s="401"/>
      <c r="G25" s="401"/>
      <c r="H25" s="401"/>
      <c r="I25" s="401"/>
    </row>
    <row r="26" spans="1:36" ht="24.95" customHeight="1">
      <c r="B26" s="390" t="s">
        <v>8</v>
      </c>
    </row>
    <row r="27" spans="1:36" ht="24.95" customHeight="1">
      <c r="B27" s="390" t="s">
        <v>1252</v>
      </c>
    </row>
    <row r="28" spans="1:36" ht="24.95" customHeight="1">
      <c r="B28" s="390" t="s">
        <v>1253</v>
      </c>
    </row>
    <row r="29" spans="1:36" ht="24.95" customHeight="1">
      <c r="B29" s="390" t="s">
        <v>478</v>
      </c>
    </row>
    <row r="30" spans="1:36" ht="24.95" customHeight="1">
      <c r="B30" s="390" t="s">
        <v>479</v>
      </c>
    </row>
    <row r="31" spans="1:36" ht="24.95" customHeight="1">
      <c r="B31" s="390" t="s">
        <v>40</v>
      </c>
    </row>
    <row r="32" spans="1:36" ht="24.95" customHeight="1"/>
    <row r="33" spans="1:42" ht="24.95" customHeight="1">
      <c r="U33" s="934" t="s">
        <v>9</v>
      </c>
      <c r="V33" s="941"/>
      <c r="W33" s="941"/>
      <c r="X33" s="941"/>
      <c r="Z33" s="932" t="str">
        <f>IF(はじめに入力してください!H14="","",はじめに入力してください!H14)</f>
        <v/>
      </c>
      <c r="AA33" s="933"/>
      <c r="AB33" s="933"/>
      <c r="AC33" s="933"/>
      <c r="AD33" s="933"/>
      <c r="AE33" s="933"/>
      <c r="AF33" s="933"/>
      <c r="AG33" s="933"/>
      <c r="AH33" s="933"/>
      <c r="AI33" s="933"/>
    </row>
    <row r="34" spans="1:42" ht="24.95" customHeight="1">
      <c r="U34" s="934" t="s">
        <v>10</v>
      </c>
      <c r="V34" s="941"/>
      <c r="W34" s="941"/>
      <c r="X34" s="941"/>
      <c r="Z34" s="932" t="str">
        <f>IF(はじめに入力してください!H15="","",はじめに入力してください!H15)</f>
        <v/>
      </c>
      <c r="AA34" s="933"/>
      <c r="AB34" s="933"/>
      <c r="AC34" s="933"/>
      <c r="AD34" s="933"/>
      <c r="AE34" s="933"/>
      <c r="AF34" s="933"/>
      <c r="AG34" s="933"/>
      <c r="AH34" s="933"/>
      <c r="AI34" s="933"/>
    </row>
    <row r="35" spans="1:42" ht="24.95" customHeight="1">
      <c r="U35" s="934" t="s">
        <v>11</v>
      </c>
      <c r="V35" s="941"/>
      <c r="W35" s="941"/>
      <c r="X35" s="941"/>
      <c r="Z35" s="932" t="str">
        <f>IF(はじめに入力してください!O16="×","",はじめに入力してください!AF16)</f>
        <v/>
      </c>
      <c r="AA35" s="933"/>
      <c r="AB35" s="933"/>
      <c r="AC35" s="933"/>
      <c r="AD35" s="933"/>
      <c r="AE35" s="933"/>
      <c r="AF35" s="933"/>
      <c r="AG35" s="933"/>
      <c r="AH35" s="933"/>
      <c r="AI35" s="933"/>
    </row>
    <row r="36" spans="1:42" ht="24.95" customHeight="1">
      <c r="U36" s="934" t="s">
        <v>12</v>
      </c>
      <c r="V36" s="941"/>
      <c r="W36" s="941"/>
      <c r="X36" s="941"/>
      <c r="Z36" s="932" t="str">
        <f>IF(はじめに入力してください!H17="","",はじめに入力してください!H17)</f>
        <v/>
      </c>
      <c r="AA36" s="933"/>
      <c r="AB36" s="933"/>
      <c r="AC36" s="933"/>
      <c r="AD36" s="933"/>
      <c r="AE36" s="933"/>
      <c r="AF36" s="933"/>
      <c r="AG36" s="933"/>
      <c r="AH36" s="933"/>
      <c r="AI36" s="933"/>
    </row>
    <row r="37" spans="1:42" ht="15" customHeight="1"/>
    <row r="38" spans="1:42" ht="35.1" customHeight="1">
      <c r="A38" s="954" t="s">
        <v>450</v>
      </c>
      <c r="B38" s="955"/>
      <c r="C38" s="955"/>
      <c r="D38" s="955"/>
      <c r="E38" s="955"/>
      <c r="F38" s="955"/>
      <c r="G38" s="955"/>
      <c r="H38" s="955"/>
      <c r="I38" s="955"/>
      <c r="J38" s="955"/>
      <c r="K38" s="955"/>
      <c r="L38" s="955"/>
      <c r="M38" s="955"/>
      <c r="N38" s="955"/>
      <c r="O38" s="955"/>
      <c r="P38" s="955"/>
      <c r="Q38" s="955"/>
      <c r="R38" s="955"/>
      <c r="S38" s="955"/>
      <c r="T38" s="955"/>
      <c r="U38" s="955"/>
      <c r="V38" s="955"/>
      <c r="W38" s="955"/>
      <c r="X38" s="955"/>
      <c r="Y38" s="955"/>
      <c r="Z38" s="955"/>
      <c r="AA38" s="955"/>
      <c r="AB38" s="955"/>
      <c r="AC38" s="955"/>
      <c r="AD38" s="955"/>
      <c r="AE38" s="955"/>
      <c r="AF38" s="955"/>
      <c r="AG38" s="955"/>
      <c r="AH38" s="955"/>
      <c r="AI38" s="955"/>
      <c r="AJ38" s="956"/>
    </row>
    <row r="39" spans="1:42" ht="35.1" customHeight="1">
      <c r="A39" s="957"/>
      <c r="B39" s="958"/>
      <c r="C39" s="958"/>
      <c r="D39" s="958"/>
      <c r="E39" s="958"/>
      <c r="F39" s="958"/>
      <c r="G39" s="958"/>
      <c r="H39" s="958"/>
      <c r="I39" s="958"/>
      <c r="J39" s="958"/>
      <c r="K39" s="958"/>
      <c r="L39" s="958"/>
      <c r="M39" s="958"/>
      <c r="N39" s="958"/>
      <c r="O39" s="958"/>
      <c r="P39" s="958"/>
      <c r="Q39" s="958"/>
      <c r="R39" s="958"/>
      <c r="S39" s="958"/>
      <c r="T39" s="958"/>
      <c r="U39" s="958"/>
      <c r="V39" s="958"/>
      <c r="W39" s="958"/>
      <c r="X39" s="958"/>
      <c r="Y39" s="958"/>
      <c r="Z39" s="958"/>
      <c r="AA39" s="958"/>
      <c r="AB39" s="958"/>
      <c r="AC39" s="958"/>
      <c r="AD39" s="958"/>
      <c r="AE39" s="958"/>
      <c r="AF39" s="958"/>
      <c r="AG39" s="958"/>
      <c r="AH39" s="958"/>
      <c r="AI39" s="958"/>
      <c r="AJ39" s="959"/>
    </row>
    <row r="40" spans="1:42" ht="35.1" customHeight="1">
      <c r="A40" s="957"/>
      <c r="B40" s="958"/>
      <c r="C40" s="958"/>
      <c r="D40" s="958"/>
      <c r="E40" s="958"/>
      <c r="F40" s="958"/>
      <c r="G40" s="958"/>
      <c r="H40" s="958"/>
      <c r="I40" s="958"/>
      <c r="J40" s="958"/>
      <c r="K40" s="958"/>
      <c r="L40" s="958"/>
      <c r="M40" s="958"/>
      <c r="N40" s="958"/>
      <c r="O40" s="958"/>
      <c r="P40" s="958"/>
      <c r="Q40" s="958"/>
      <c r="R40" s="958"/>
      <c r="S40" s="958"/>
      <c r="T40" s="958"/>
      <c r="U40" s="958"/>
      <c r="V40" s="958"/>
      <c r="W40" s="958"/>
      <c r="X40" s="958"/>
      <c r="Y40" s="958"/>
      <c r="Z40" s="958"/>
      <c r="AA40" s="958"/>
      <c r="AB40" s="958"/>
      <c r="AC40" s="958"/>
      <c r="AD40" s="958"/>
      <c r="AE40" s="958"/>
      <c r="AF40" s="958"/>
      <c r="AG40" s="958"/>
      <c r="AH40" s="958"/>
      <c r="AI40" s="958"/>
      <c r="AJ40" s="959"/>
    </row>
    <row r="41" spans="1:42" ht="35.1" customHeight="1">
      <c r="A41" s="957"/>
      <c r="B41" s="958"/>
      <c r="C41" s="958"/>
      <c r="D41" s="958"/>
      <c r="E41" s="958"/>
      <c r="F41" s="958"/>
      <c r="G41" s="958"/>
      <c r="H41" s="958"/>
      <c r="I41" s="958"/>
      <c r="J41" s="958"/>
      <c r="K41" s="958"/>
      <c r="L41" s="958"/>
      <c r="M41" s="958"/>
      <c r="N41" s="958"/>
      <c r="O41" s="958"/>
      <c r="P41" s="958"/>
      <c r="Q41" s="958"/>
      <c r="R41" s="958"/>
      <c r="S41" s="958"/>
      <c r="T41" s="958"/>
      <c r="U41" s="958"/>
      <c r="V41" s="958"/>
      <c r="W41" s="958"/>
      <c r="X41" s="958"/>
      <c r="Y41" s="958"/>
      <c r="Z41" s="958"/>
      <c r="AA41" s="958"/>
      <c r="AB41" s="958"/>
      <c r="AC41" s="958"/>
      <c r="AD41" s="958"/>
      <c r="AE41" s="958"/>
      <c r="AF41" s="958"/>
      <c r="AG41" s="958"/>
      <c r="AH41" s="958"/>
      <c r="AI41" s="958"/>
      <c r="AJ41" s="959"/>
    </row>
    <row r="42" spans="1:42" ht="35.1" customHeight="1">
      <c r="A42" s="957"/>
      <c r="B42" s="958"/>
      <c r="C42" s="958"/>
      <c r="D42" s="958"/>
      <c r="E42" s="958"/>
      <c r="F42" s="958"/>
      <c r="G42" s="958"/>
      <c r="H42" s="958"/>
      <c r="I42" s="958"/>
      <c r="J42" s="958"/>
      <c r="K42" s="958"/>
      <c r="L42" s="958"/>
      <c r="M42" s="958"/>
      <c r="N42" s="958"/>
      <c r="O42" s="958"/>
      <c r="P42" s="958"/>
      <c r="Q42" s="958"/>
      <c r="R42" s="958"/>
      <c r="S42" s="958"/>
      <c r="T42" s="958"/>
      <c r="U42" s="958"/>
      <c r="V42" s="958"/>
      <c r="W42" s="958"/>
      <c r="X42" s="958"/>
      <c r="Y42" s="958"/>
      <c r="Z42" s="958"/>
      <c r="AA42" s="958"/>
      <c r="AB42" s="958"/>
      <c r="AC42" s="958"/>
      <c r="AD42" s="958"/>
      <c r="AE42" s="958"/>
      <c r="AF42" s="958"/>
      <c r="AG42" s="958"/>
      <c r="AH42" s="958"/>
      <c r="AI42" s="958"/>
      <c r="AJ42" s="959"/>
    </row>
    <row r="43" spans="1:42" ht="35.1" customHeight="1">
      <c r="A43" s="957"/>
      <c r="B43" s="958"/>
      <c r="C43" s="958"/>
      <c r="D43" s="958"/>
      <c r="E43" s="958"/>
      <c r="F43" s="958"/>
      <c r="G43" s="958"/>
      <c r="H43" s="958"/>
      <c r="I43" s="958"/>
      <c r="J43" s="958"/>
      <c r="K43" s="958"/>
      <c r="L43" s="958"/>
      <c r="M43" s="958"/>
      <c r="N43" s="958"/>
      <c r="O43" s="958"/>
      <c r="P43" s="958"/>
      <c r="Q43" s="958"/>
      <c r="R43" s="958"/>
      <c r="S43" s="958"/>
      <c r="T43" s="958"/>
      <c r="U43" s="958"/>
      <c r="V43" s="958"/>
      <c r="W43" s="958"/>
      <c r="X43" s="958"/>
      <c r="Y43" s="958"/>
      <c r="Z43" s="958"/>
      <c r="AA43" s="958"/>
      <c r="AB43" s="958"/>
      <c r="AC43" s="958"/>
      <c r="AD43" s="958"/>
      <c r="AE43" s="958"/>
      <c r="AF43" s="958"/>
      <c r="AG43" s="958"/>
      <c r="AH43" s="958"/>
      <c r="AI43" s="958"/>
      <c r="AJ43" s="959"/>
    </row>
    <row r="44" spans="1:42" ht="35.1" customHeight="1">
      <c r="A44" s="957"/>
      <c r="B44" s="958"/>
      <c r="C44" s="958"/>
      <c r="D44" s="958"/>
      <c r="E44" s="958"/>
      <c r="F44" s="958"/>
      <c r="G44" s="958"/>
      <c r="H44" s="958"/>
      <c r="I44" s="958"/>
      <c r="J44" s="958"/>
      <c r="K44" s="958"/>
      <c r="L44" s="958"/>
      <c r="M44" s="958"/>
      <c r="N44" s="958"/>
      <c r="O44" s="958"/>
      <c r="P44" s="958"/>
      <c r="Q44" s="958"/>
      <c r="R44" s="958"/>
      <c r="S44" s="958"/>
      <c r="T44" s="958"/>
      <c r="U44" s="958"/>
      <c r="V44" s="958"/>
      <c r="W44" s="958"/>
      <c r="X44" s="958"/>
      <c r="Y44" s="958"/>
      <c r="Z44" s="958"/>
      <c r="AA44" s="958"/>
      <c r="AB44" s="958"/>
      <c r="AC44" s="958"/>
      <c r="AD44" s="958"/>
      <c r="AE44" s="958"/>
      <c r="AF44" s="958"/>
      <c r="AG44" s="958"/>
      <c r="AH44" s="958"/>
      <c r="AI44" s="958"/>
      <c r="AJ44" s="959"/>
    </row>
    <row r="45" spans="1:42" ht="35.1" customHeight="1">
      <c r="A45" s="957"/>
      <c r="B45" s="958"/>
      <c r="C45" s="958"/>
      <c r="D45" s="958"/>
      <c r="E45" s="958"/>
      <c r="F45" s="958"/>
      <c r="G45" s="958"/>
      <c r="H45" s="958"/>
      <c r="I45" s="958"/>
      <c r="J45" s="958"/>
      <c r="K45" s="958"/>
      <c r="L45" s="958"/>
      <c r="M45" s="958"/>
      <c r="N45" s="958"/>
      <c r="O45" s="958"/>
      <c r="P45" s="958"/>
      <c r="Q45" s="958"/>
      <c r="R45" s="958"/>
      <c r="S45" s="958"/>
      <c r="T45" s="958"/>
      <c r="U45" s="958"/>
      <c r="V45" s="958"/>
      <c r="W45" s="958"/>
      <c r="X45" s="958"/>
      <c r="Y45" s="958"/>
      <c r="Z45" s="958"/>
      <c r="AA45" s="958"/>
      <c r="AB45" s="958"/>
      <c r="AC45" s="958"/>
      <c r="AD45" s="958"/>
      <c r="AE45" s="958"/>
      <c r="AF45" s="958"/>
      <c r="AG45" s="958"/>
      <c r="AH45" s="958"/>
      <c r="AI45" s="958"/>
      <c r="AJ45" s="959"/>
    </row>
    <row r="46" spans="1:42" s="402" customFormat="1" ht="35.1" customHeight="1">
      <c r="A46" s="960"/>
      <c r="B46" s="961"/>
      <c r="C46" s="961"/>
      <c r="D46" s="961"/>
      <c r="E46" s="961"/>
      <c r="F46" s="961"/>
      <c r="G46" s="961"/>
      <c r="H46" s="961"/>
      <c r="I46" s="961"/>
      <c r="J46" s="961"/>
      <c r="K46" s="961"/>
      <c r="L46" s="961"/>
      <c r="M46" s="961"/>
      <c r="N46" s="961"/>
      <c r="O46" s="961"/>
      <c r="P46" s="961"/>
      <c r="Q46" s="961"/>
      <c r="R46" s="961"/>
      <c r="S46" s="961"/>
      <c r="T46" s="961"/>
      <c r="U46" s="961"/>
      <c r="V46" s="961"/>
      <c r="W46" s="961"/>
      <c r="X46" s="961"/>
      <c r="Y46" s="961"/>
      <c r="Z46" s="961"/>
      <c r="AA46" s="961"/>
      <c r="AB46" s="961"/>
      <c r="AC46" s="961"/>
      <c r="AD46" s="961"/>
      <c r="AE46" s="961"/>
      <c r="AF46" s="961"/>
      <c r="AG46" s="961"/>
      <c r="AH46" s="961"/>
      <c r="AI46" s="961"/>
      <c r="AJ46" s="962"/>
      <c r="AM46" s="391"/>
      <c r="AN46" s="391"/>
      <c r="AO46" s="391"/>
      <c r="AP46" s="391"/>
    </row>
    <row r="47" spans="1:42" s="402" customFormat="1" ht="15" customHeight="1">
      <c r="A47" s="949"/>
      <c r="B47" s="950"/>
      <c r="C47" s="950"/>
      <c r="D47" s="950"/>
      <c r="E47" s="950"/>
      <c r="F47" s="950"/>
      <c r="G47" s="950"/>
      <c r="H47" s="950"/>
      <c r="I47" s="950"/>
      <c r="J47" s="950"/>
      <c r="K47" s="950"/>
      <c r="L47" s="950"/>
      <c r="M47" s="950"/>
      <c r="N47" s="950"/>
      <c r="O47" s="950"/>
      <c r="P47" s="950"/>
      <c r="Q47" s="950"/>
      <c r="R47" s="950"/>
      <c r="S47" s="950"/>
      <c r="T47" s="950"/>
      <c r="U47" s="950"/>
      <c r="V47" s="950"/>
      <c r="W47" s="950"/>
      <c r="X47" s="950"/>
      <c r="Y47" s="950"/>
      <c r="Z47" s="950"/>
      <c r="AA47" s="950"/>
      <c r="AB47" s="950"/>
      <c r="AC47" s="950"/>
      <c r="AD47" s="950"/>
      <c r="AE47" s="950"/>
      <c r="AF47" s="950"/>
      <c r="AG47" s="950"/>
      <c r="AH47" s="950"/>
      <c r="AI47" s="950"/>
      <c r="AJ47" s="950"/>
      <c r="AM47" s="391"/>
      <c r="AN47" s="391"/>
      <c r="AO47" s="391"/>
      <c r="AP47" s="391"/>
    </row>
    <row r="48" spans="1:42" s="402" customFormat="1" ht="50.1" customHeight="1">
      <c r="A48" s="949"/>
      <c r="B48" s="950"/>
      <c r="C48" s="950"/>
      <c r="D48" s="950"/>
      <c r="E48" s="950"/>
      <c r="F48" s="950"/>
      <c r="G48" s="950"/>
      <c r="H48" s="950"/>
      <c r="I48" s="950"/>
      <c r="J48" s="950"/>
      <c r="K48" s="950"/>
      <c r="L48" s="950"/>
      <c r="M48" s="950"/>
      <c r="N48" s="950"/>
      <c r="O48" s="950"/>
      <c r="P48" s="950"/>
      <c r="Q48" s="950"/>
      <c r="R48" s="950"/>
      <c r="S48" s="950"/>
      <c r="T48" s="950"/>
      <c r="U48" s="950"/>
      <c r="V48" s="950"/>
      <c r="W48" s="950"/>
      <c r="X48" s="950"/>
      <c r="Y48" s="950"/>
      <c r="Z48" s="950"/>
      <c r="AA48" s="950"/>
      <c r="AB48" s="950"/>
      <c r="AC48" s="950"/>
      <c r="AD48" s="950"/>
      <c r="AE48" s="950"/>
      <c r="AF48" s="950"/>
      <c r="AG48" s="950"/>
      <c r="AH48" s="950"/>
      <c r="AI48" s="950"/>
      <c r="AJ48" s="950"/>
      <c r="AM48" s="391"/>
      <c r="AN48" s="391"/>
      <c r="AO48" s="391"/>
      <c r="AP48" s="391"/>
    </row>
    <row r="49" spans="37:42" ht="30" customHeight="1"/>
    <row r="50" spans="37:42" ht="30" customHeight="1">
      <c r="AM50" s="403"/>
      <c r="AN50" s="404"/>
      <c r="AO50" s="404"/>
      <c r="AP50" s="405"/>
    </row>
    <row r="51" spans="37:42" ht="30" customHeight="1">
      <c r="AM51" s="406"/>
      <c r="AN51" s="407"/>
      <c r="AO51" s="407"/>
      <c r="AP51" s="408"/>
    </row>
    <row r="52" spans="37:42" ht="30" customHeight="1">
      <c r="AM52" s="409"/>
      <c r="AN52" s="945" t="str">
        <f>AC3</f>
        <v>令和6年3月31日</v>
      </c>
      <c r="AO52" s="946"/>
      <c r="AP52" s="410"/>
    </row>
    <row r="53" spans="37:42" ht="30" customHeight="1">
      <c r="AK53" s="418"/>
      <c r="AM53" s="411"/>
      <c r="AN53" s="945" t="str">
        <f>IF(AK53="","","入院第"&amp;AK53&amp;"号")</f>
        <v/>
      </c>
      <c r="AO53" s="946"/>
      <c r="AP53" s="410"/>
    </row>
    <row r="54" spans="37:42" ht="30" customHeight="1">
      <c r="AM54" s="412"/>
      <c r="AN54" s="413"/>
      <c r="AO54" s="413"/>
      <c r="AP54" s="414"/>
    </row>
    <row r="55" spans="37:42">
      <c r="AM55" s="406"/>
      <c r="AN55" s="407"/>
      <c r="AO55" s="407"/>
      <c r="AP55" s="408"/>
    </row>
    <row r="56" spans="37:42">
      <c r="AM56" s="415"/>
      <c r="AN56" s="416"/>
      <c r="AO56" s="416"/>
      <c r="AP56" s="417"/>
    </row>
  </sheetData>
  <sheetProtection algorithmName="SHA-512" hashValue="LX7MSxWaQg5cgbcGfqcqfHmvac1jVF/a1OgPu93L/f4LNS3hhIDvJ96WxabWHwSUzYzugZoJmJQciXTrcpinMw==" saltValue="c5h8djgNXoTxTvIvB7a8zA==" spinCount="100000" sheet="1" objects="1" scenarios="1"/>
  <mergeCells count="31">
    <mergeCell ref="AM4:AN4"/>
    <mergeCell ref="AO4:AO5"/>
    <mergeCell ref="AN52:AO52"/>
    <mergeCell ref="AN53:AO53"/>
    <mergeCell ref="AC2:AI2"/>
    <mergeCell ref="A47:AJ47"/>
    <mergeCell ref="A48:AJ48"/>
    <mergeCell ref="A16:AJ16"/>
    <mergeCell ref="A17:AJ17"/>
    <mergeCell ref="A38:AJ46"/>
    <mergeCell ref="U36:X36"/>
    <mergeCell ref="Z33:AI33"/>
    <mergeCell ref="Z34:AI34"/>
    <mergeCell ref="Z35:AI35"/>
    <mergeCell ref="Z36:AI36"/>
    <mergeCell ref="AC3:AI3"/>
    <mergeCell ref="C24:I24"/>
    <mergeCell ref="U33:X33"/>
    <mergeCell ref="U34:X34"/>
    <mergeCell ref="U35:X35"/>
    <mergeCell ref="N10:W10"/>
    <mergeCell ref="A12:AJ12"/>
    <mergeCell ref="B4:J4"/>
    <mergeCell ref="C21:AI21"/>
    <mergeCell ref="C20:AI20"/>
    <mergeCell ref="U6:X6"/>
    <mergeCell ref="U7:X7"/>
    <mergeCell ref="U8:X8"/>
    <mergeCell ref="Z6:AJ6"/>
    <mergeCell ref="Z7:AJ7"/>
    <mergeCell ref="Z8:AJ8"/>
  </mergeCells>
  <phoneticPr fontId="9"/>
  <pageMargins left="0.7" right="0.7" top="0.75" bottom="0.75" header="0.3" footer="0.3"/>
  <pageSetup paperSize="9" scale="57"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theme="5" tint="-0.249977111117893"/>
    <pageSetUpPr fitToPage="1"/>
  </sheetPr>
  <dimension ref="A1:AW55"/>
  <sheetViews>
    <sheetView showGridLines="0" view="pageBreakPreview" zoomScale="60" zoomScaleNormal="100" workbookViewId="0">
      <selection activeCell="A18" sqref="A18:XFD18"/>
    </sheetView>
  </sheetViews>
  <sheetFormatPr defaultColWidth="8.625" defaultRowHeight="19.5"/>
  <cols>
    <col min="1" max="36" width="3.625" style="2" customWidth="1"/>
    <col min="37" max="42" width="3.625" style="2" hidden="1" customWidth="1"/>
    <col min="43" max="49" width="3.625" style="2" customWidth="1"/>
    <col min="50" max="16384" width="8.625" style="2"/>
  </cols>
  <sheetData>
    <row r="1" spans="1:49">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row>
    <row r="2" spans="1:49" ht="15" customHeight="1"/>
    <row r="3" spans="1:49" ht="30" customHeight="1">
      <c r="AS3" s="963" t="s">
        <v>1251</v>
      </c>
      <c r="AT3" s="826"/>
      <c r="AU3" s="827"/>
    </row>
    <row r="4" spans="1:49" ht="45" customHeight="1">
      <c r="B4" s="988" t="s">
        <v>13</v>
      </c>
      <c r="C4" s="989"/>
      <c r="D4" s="989"/>
      <c r="E4" s="989"/>
      <c r="F4" s="989"/>
      <c r="G4" s="989"/>
      <c r="H4" s="989"/>
      <c r="I4" s="989"/>
      <c r="J4" s="989"/>
      <c r="K4" s="989"/>
      <c r="L4" s="989"/>
      <c r="M4" s="989"/>
      <c r="N4" s="989"/>
      <c r="O4" s="989"/>
      <c r="P4" s="989"/>
      <c r="Q4" s="989"/>
      <c r="R4" s="989"/>
      <c r="S4" s="989"/>
      <c r="T4" s="989"/>
      <c r="U4" s="989"/>
      <c r="V4" s="989"/>
      <c r="W4" s="989"/>
      <c r="X4" s="989"/>
      <c r="Y4" s="989"/>
      <c r="Z4" s="989"/>
      <c r="AA4" s="989"/>
      <c r="AB4" s="989"/>
      <c r="AC4" s="989"/>
      <c r="AD4" s="989"/>
      <c r="AE4" s="989"/>
      <c r="AF4" s="989"/>
      <c r="AG4" s="989"/>
      <c r="AH4" s="989"/>
      <c r="AI4" s="989"/>
      <c r="AJ4" s="989"/>
      <c r="AK4" s="989"/>
      <c r="AL4" s="989"/>
      <c r="AM4" s="989"/>
      <c r="AN4" s="989"/>
      <c r="AO4" s="989"/>
      <c r="AP4" s="989"/>
      <c r="AQ4" s="989"/>
      <c r="AR4" s="989"/>
      <c r="AS4" s="989"/>
      <c r="AT4" s="989"/>
      <c r="AU4" s="989"/>
      <c r="AV4" s="989"/>
    </row>
    <row r="5" spans="1:49" ht="30" customHeight="1"/>
    <row r="6" spans="1:49" ht="45" customHeight="1">
      <c r="B6" s="998" t="s">
        <v>34</v>
      </c>
      <c r="C6" s="998"/>
      <c r="D6" s="998"/>
      <c r="E6" s="998"/>
      <c r="F6" s="998"/>
      <c r="G6" s="998"/>
      <c r="H6" s="998"/>
      <c r="I6" s="998"/>
      <c r="J6" s="998"/>
      <c r="K6" s="999"/>
      <c r="L6" s="998" t="s">
        <v>33</v>
      </c>
      <c r="M6" s="999"/>
      <c r="N6" s="999"/>
      <c r="O6" s="999"/>
      <c r="P6" s="999"/>
      <c r="Q6" s="999"/>
      <c r="R6" s="999"/>
      <c r="S6" s="998" t="s">
        <v>32</v>
      </c>
      <c r="T6" s="999"/>
      <c r="U6" s="999"/>
      <c r="V6" s="999"/>
      <c r="W6" s="999"/>
      <c r="X6" s="999"/>
      <c r="Y6" s="1046" t="s">
        <v>35</v>
      </c>
      <c r="Z6" s="1047"/>
      <c r="AA6" s="1047"/>
      <c r="AB6" s="1047"/>
      <c r="AC6" s="1047"/>
      <c r="AD6" s="824"/>
      <c r="AE6" s="998" t="s">
        <v>36</v>
      </c>
      <c r="AF6" s="999"/>
      <c r="AG6" s="999"/>
      <c r="AH6" s="999"/>
      <c r="AI6" s="999"/>
      <c r="AJ6" s="999"/>
      <c r="AK6" s="998" t="s">
        <v>38</v>
      </c>
      <c r="AL6" s="999"/>
      <c r="AM6" s="999"/>
      <c r="AN6" s="999"/>
      <c r="AO6" s="999"/>
      <c r="AP6" s="999"/>
      <c r="AQ6" s="990" t="s">
        <v>37</v>
      </c>
      <c r="AR6" s="991"/>
      <c r="AS6" s="991"/>
      <c r="AT6" s="991"/>
      <c r="AU6" s="991"/>
      <c r="AV6" s="991"/>
    </row>
    <row r="7" spans="1:49" ht="45" customHeight="1">
      <c r="B7" s="990" t="s">
        <v>21</v>
      </c>
      <c r="C7" s="990"/>
      <c r="D7" s="990"/>
      <c r="E7" s="990"/>
      <c r="F7" s="990"/>
      <c r="G7" s="990"/>
      <c r="H7" s="990"/>
      <c r="I7" s="990"/>
      <c r="J7" s="990"/>
      <c r="K7" s="991"/>
      <c r="L7" s="1002" t="s">
        <v>14</v>
      </c>
      <c r="M7" s="1003"/>
      <c r="N7" s="1003"/>
      <c r="O7" s="1003"/>
      <c r="P7" s="1003"/>
      <c r="Q7" s="1003"/>
      <c r="R7" s="1003"/>
      <c r="S7" s="992">
        <f>経費書!D7</f>
        <v>0</v>
      </c>
      <c r="T7" s="993"/>
      <c r="U7" s="993"/>
      <c r="V7" s="993"/>
      <c r="W7" s="993"/>
      <c r="X7" s="993"/>
      <c r="Y7" s="1000">
        <v>0</v>
      </c>
      <c r="Z7" s="1001"/>
      <c r="AA7" s="1001"/>
      <c r="AB7" s="1001"/>
      <c r="AC7" s="1001"/>
      <c r="AD7" s="1001"/>
      <c r="AE7" s="992">
        <f>S7-Y7</f>
        <v>0</v>
      </c>
      <c r="AF7" s="993"/>
      <c r="AG7" s="993"/>
      <c r="AH7" s="993"/>
      <c r="AI7" s="993"/>
      <c r="AJ7" s="993"/>
      <c r="AK7" s="992"/>
      <c r="AL7" s="993"/>
      <c r="AM7" s="993"/>
      <c r="AN7" s="993"/>
      <c r="AO7" s="993"/>
      <c r="AP7" s="993"/>
      <c r="AQ7" s="979" t="s">
        <v>1254</v>
      </c>
      <c r="AR7" s="980"/>
      <c r="AS7" s="980"/>
      <c r="AT7" s="980"/>
      <c r="AU7" s="980"/>
      <c r="AV7" s="981"/>
    </row>
    <row r="8" spans="1:49" ht="45" customHeight="1">
      <c r="B8" s="991"/>
      <c r="C8" s="991"/>
      <c r="D8" s="991"/>
      <c r="E8" s="991"/>
      <c r="F8" s="991"/>
      <c r="G8" s="991"/>
      <c r="H8" s="991"/>
      <c r="I8" s="991"/>
      <c r="J8" s="991"/>
      <c r="K8" s="991"/>
      <c r="L8" s="1002" t="s">
        <v>15</v>
      </c>
      <c r="M8" s="1003"/>
      <c r="N8" s="1003"/>
      <c r="O8" s="1003"/>
      <c r="P8" s="1003"/>
      <c r="Q8" s="1003"/>
      <c r="R8" s="1003"/>
      <c r="S8" s="992">
        <f>経費書!D9</f>
        <v>0</v>
      </c>
      <c r="T8" s="993"/>
      <c r="U8" s="993"/>
      <c r="V8" s="993"/>
      <c r="W8" s="993"/>
      <c r="X8" s="993"/>
      <c r="Y8" s="1000">
        <v>0</v>
      </c>
      <c r="Z8" s="1001"/>
      <c r="AA8" s="1001"/>
      <c r="AB8" s="1001"/>
      <c r="AC8" s="1001"/>
      <c r="AD8" s="1001"/>
      <c r="AE8" s="992">
        <f t="shared" ref="AE8:AE16" si="0">S8-Y8</f>
        <v>0</v>
      </c>
      <c r="AF8" s="993"/>
      <c r="AG8" s="993"/>
      <c r="AH8" s="993"/>
      <c r="AI8" s="993"/>
      <c r="AJ8" s="993"/>
      <c r="AK8" s="992"/>
      <c r="AL8" s="993"/>
      <c r="AM8" s="993"/>
      <c r="AN8" s="993"/>
      <c r="AO8" s="993"/>
      <c r="AP8" s="993"/>
      <c r="AQ8" s="982"/>
      <c r="AR8" s="983"/>
      <c r="AS8" s="983"/>
      <c r="AT8" s="983"/>
      <c r="AU8" s="983"/>
      <c r="AV8" s="984"/>
    </row>
    <row r="9" spans="1:49" ht="45" customHeight="1">
      <c r="B9" s="991"/>
      <c r="C9" s="991"/>
      <c r="D9" s="991"/>
      <c r="E9" s="991"/>
      <c r="F9" s="991"/>
      <c r="G9" s="991"/>
      <c r="H9" s="991"/>
      <c r="I9" s="991"/>
      <c r="J9" s="991"/>
      <c r="K9" s="991"/>
      <c r="L9" s="1002" t="s">
        <v>16</v>
      </c>
      <c r="M9" s="1003"/>
      <c r="N9" s="1003"/>
      <c r="O9" s="1003"/>
      <c r="P9" s="1003"/>
      <c r="Q9" s="1003"/>
      <c r="R9" s="1003"/>
      <c r="S9" s="992">
        <f>経費書!D11</f>
        <v>0</v>
      </c>
      <c r="T9" s="993"/>
      <c r="U9" s="993"/>
      <c r="V9" s="993"/>
      <c r="W9" s="993"/>
      <c r="X9" s="993"/>
      <c r="Y9" s="1000">
        <v>0</v>
      </c>
      <c r="Z9" s="1001"/>
      <c r="AA9" s="1001"/>
      <c r="AB9" s="1001"/>
      <c r="AC9" s="1001"/>
      <c r="AD9" s="1001"/>
      <c r="AE9" s="992">
        <f t="shared" si="0"/>
        <v>0</v>
      </c>
      <c r="AF9" s="993"/>
      <c r="AG9" s="993"/>
      <c r="AH9" s="993"/>
      <c r="AI9" s="993"/>
      <c r="AJ9" s="993"/>
      <c r="AK9" s="992"/>
      <c r="AL9" s="993"/>
      <c r="AM9" s="993"/>
      <c r="AN9" s="993"/>
      <c r="AO9" s="993"/>
      <c r="AP9" s="993"/>
      <c r="AQ9" s="982"/>
      <c r="AR9" s="983"/>
      <c r="AS9" s="983"/>
      <c r="AT9" s="983"/>
      <c r="AU9" s="983"/>
      <c r="AV9" s="984"/>
    </row>
    <row r="10" spans="1:49" ht="45" customHeight="1">
      <c r="B10" s="991"/>
      <c r="C10" s="991"/>
      <c r="D10" s="991"/>
      <c r="E10" s="991"/>
      <c r="F10" s="991"/>
      <c r="G10" s="991"/>
      <c r="H10" s="991"/>
      <c r="I10" s="991"/>
      <c r="J10" s="991"/>
      <c r="K10" s="991"/>
      <c r="L10" s="1002" t="s">
        <v>17</v>
      </c>
      <c r="M10" s="1003"/>
      <c r="N10" s="1003"/>
      <c r="O10" s="1003"/>
      <c r="P10" s="1003"/>
      <c r="Q10" s="1003"/>
      <c r="R10" s="1003"/>
      <c r="S10" s="992">
        <f>経費書!D13</f>
        <v>0</v>
      </c>
      <c r="T10" s="993"/>
      <c r="U10" s="993"/>
      <c r="V10" s="993"/>
      <c r="W10" s="993"/>
      <c r="X10" s="993"/>
      <c r="Y10" s="1000">
        <v>0</v>
      </c>
      <c r="Z10" s="1001"/>
      <c r="AA10" s="1001"/>
      <c r="AB10" s="1001"/>
      <c r="AC10" s="1001"/>
      <c r="AD10" s="1001"/>
      <c r="AE10" s="992">
        <f t="shared" si="0"/>
        <v>0</v>
      </c>
      <c r="AF10" s="993"/>
      <c r="AG10" s="993"/>
      <c r="AH10" s="993"/>
      <c r="AI10" s="993"/>
      <c r="AJ10" s="993"/>
      <c r="AK10" s="992"/>
      <c r="AL10" s="993"/>
      <c r="AM10" s="993"/>
      <c r="AN10" s="993"/>
      <c r="AO10" s="993"/>
      <c r="AP10" s="993"/>
      <c r="AQ10" s="982"/>
      <c r="AR10" s="983"/>
      <c r="AS10" s="983"/>
      <c r="AT10" s="983"/>
      <c r="AU10" s="983"/>
      <c r="AV10" s="984"/>
    </row>
    <row r="11" spans="1:49" ht="45" customHeight="1">
      <c r="B11" s="991"/>
      <c r="C11" s="991"/>
      <c r="D11" s="991"/>
      <c r="E11" s="991"/>
      <c r="F11" s="991"/>
      <c r="G11" s="991"/>
      <c r="H11" s="991"/>
      <c r="I11" s="991"/>
      <c r="J11" s="991"/>
      <c r="K11" s="991"/>
      <c r="L11" s="1002" t="s">
        <v>1302</v>
      </c>
      <c r="M11" s="1003"/>
      <c r="N11" s="1003"/>
      <c r="O11" s="1003"/>
      <c r="P11" s="1003"/>
      <c r="Q11" s="1003"/>
      <c r="R11" s="1003"/>
      <c r="S11" s="992">
        <f>経費書!D15</f>
        <v>0</v>
      </c>
      <c r="T11" s="993"/>
      <c r="U11" s="993"/>
      <c r="V11" s="993"/>
      <c r="W11" s="993"/>
      <c r="X11" s="993"/>
      <c r="Y11" s="1000">
        <v>0</v>
      </c>
      <c r="Z11" s="1001"/>
      <c r="AA11" s="1001"/>
      <c r="AB11" s="1001"/>
      <c r="AC11" s="1001"/>
      <c r="AD11" s="1001"/>
      <c r="AE11" s="992">
        <f>S11-Y11</f>
        <v>0</v>
      </c>
      <c r="AF11" s="993"/>
      <c r="AG11" s="993"/>
      <c r="AH11" s="993"/>
      <c r="AI11" s="993"/>
      <c r="AJ11" s="993"/>
      <c r="AK11" s="549"/>
      <c r="AL11" s="550"/>
      <c r="AM11" s="550"/>
      <c r="AN11" s="550"/>
      <c r="AO11" s="550"/>
      <c r="AP11" s="550"/>
      <c r="AQ11" s="982"/>
      <c r="AR11" s="983"/>
      <c r="AS11" s="983"/>
      <c r="AT11" s="983"/>
      <c r="AU11" s="983"/>
      <c r="AV11" s="984"/>
    </row>
    <row r="12" spans="1:49" ht="45" customHeight="1">
      <c r="B12" s="991"/>
      <c r="C12" s="991"/>
      <c r="D12" s="991"/>
      <c r="E12" s="991"/>
      <c r="F12" s="991"/>
      <c r="G12" s="991"/>
      <c r="H12" s="991"/>
      <c r="I12" s="991"/>
      <c r="J12" s="991"/>
      <c r="K12" s="991"/>
      <c r="L12" s="1002" t="s">
        <v>1303</v>
      </c>
      <c r="M12" s="1003"/>
      <c r="N12" s="1003"/>
      <c r="O12" s="1003"/>
      <c r="P12" s="1003"/>
      <c r="Q12" s="1003"/>
      <c r="R12" s="1003"/>
      <c r="S12" s="992">
        <f>経費書!D17</f>
        <v>0</v>
      </c>
      <c r="T12" s="993"/>
      <c r="U12" s="993"/>
      <c r="V12" s="993"/>
      <c r="W12" s="993"/>
      <c r="X12" s="993"/>
      <c r="Y12" s="1000">
        <v>0</v>
      </c>
      <c r="Z12" s="1001"/>
      <c r="AA12" s="1001"/>
      <c r="AB12" s="1001"/>
      <c r="AC12" s="1001"/>
      <c r="AD12" s="1001"/>
      <c r="AE12" s="992">
        <f>S12-Y12</f>
        <v>0</v>
      </c>
      <c r="AF12" s="993"/>
      <c r="AG12" s="993"/>
      <c r="AH12" s="993"/>
      <c r="AI12" s="993"/>
      <c r="AJ12" s="993"/>
      <c r="AK12" s="549"/>
      <c r="AL12" s="550"/>
      <c r="AM12" s="550"/>
      <c r="AN12" s="550"/>
      <c r="AO12" s="550"/>
      <c r="AP12" s="550"/>
      <c r="AQ12" s="982"/>
      <c r="AR12" s="983"/>
      <c r="AS12" s="983"/>
      <c r="AT12" s="983"/>
      <c r="AU12" s="983"/>
      <c r="AV12" s="984"/>
    </row>
    <row r="13" spans="1:49" ht="45" customHeight="1">
      <c r="B13" s="991"/>
      <c r="C13" s="991"/>
      <c r="D13" s="991"/>
      <c r="E13" s="991"/>
      <c r="F13" s="991"/>
      <c r="G13" s="991"/>
      <c r="H13" s="991"/>
      <c r="I13" s="991"/>
      <c r="J13" s="991"/>
      <c r="K13" s="991"/>
      <c r="L13" s="1002" t="s">
        <v>18</v>
      </c>
      <c r="M13" s="1003"/>
      <c r="N13" s="1003"/>
      <c r="O13" s="1003"/>
      <c r="P13" s="1003"/>
      <c r="Q13" s="1003"/>
      <c r="R13" s="1003"/>
      <c r="S13" s="992">
        <f>経費書!D19</f>
        <v>0</v>
      </c>
      <c r="T13" s="993"/>
      <c r="U13" s="993"/>
      <c r="V13" s="993"/>
      <c r="W13" s="993"/>
      <c r="X13" s="993"/>
      <c r="Y13" s="1000">
        <v>0</v>
      </c>
      <c r="Z13" s="1001"/>
      <c r="AA13" s="1001"/>
      <c r="AB13" s="1001"/>
      <c r="AC13" s="1001"/>
      <c r="AD13" s="1001"/>
      <c r="AE13" s="992">
        <f t="shared" si="0"/>
        <v>0</v>
      </c>
      <c r="AF13" s="993"/>
      <c r="AG13" s="993"/>
      <c r="AH13" s="993"/>
      <c r="AI13" s="993"/>
      <c r="AJ13" s="993"/>
      <c r="AK13" s="992"/>
      <c r="AL13" s="993"/>
      <c r="AM13" s="993"/>
      <c r="AN13" s="993"/>
      <c r="AO13" s="993"/>
      <c r="AP13" s="993"/>
      <c r="AQ13" s="982"/>
      <c r="AR13" s="983"/>
      <c r="AS13" s="983"/>
      <c r="AT13" s="983"/>
      <c r="AU13" s="983"/>
      <c r="AV13" s="984"/>
    </row>
    <row r="14" spans="1:49" ht="45" customHeight="1">
      <c r="B14" s="991"/>
      <c r="C14" s="991"/>
      <c r="D14" s="991"/>
      <c r="E14" s="991"/>
      <c r="F14" s="991"/>
      <c r="G14" s="991"/>
      <c r="H14" s="991"/>
      <c r="I14" s="991"/>
      <c r="J14" s="991"/>
      <c r="K14" s="991"/>
      <c r="L14" s="1002" t="s">
        <v>19</v>
      </c>
      <c r="M14" s="1003"/>
      <c r="N14" s="1003"/>
      <c r="O14" s="1003"/>
      <c r="P14" s="1003"/>
      <c r="Q14" s="1003"/>
      <c r="R14" s="1003"/>
      <c r="S14" s="992">
        <f>経費書!D21</f>
        <v>0</v>
      </c>
      <c r="T14" s="993"/>
      <c r="U14" s="993"/>
      <c r="V14" s="993"/>
      <c r="W14" s="993"/>
      <c r="X14" s="993"/>
      <c r="Y14" s="1000">
        <v>0</v>
      </c>
      <c r="Z14" s="1001"/>
      <c r="AA14" s="1001"/>
      <c r="AB14" s="1001"/>
      <c r="AC14" s="1001"/>
      <c r="AD14" s="1001"/>
      <c r="AE14" s="992">
        <f t="shared" si="0"/>
        <v>0</v>
      </c>
      <c r="AF14" s="993"/>
      <c r="AG14" s="993"/>
      <c r="AH14" s="993"/>
      <c r="AI14" s="993"/>
      <c r="AJ14" s="993"/>
      <c r="AK14" s="992"/>
      <c r="AL14" s="993"/>
      <c r="AM14" s="993"/>
      <c r="AN14" s="993"/>
      <c r="AO14" s="993"/>
      <c r="AP14" s="993"/>
      <c r="AQ14" s="982"/>
      <c r="AR14" s="983"/>
      <c r="AS14" s="983"/>
      <c r="AT14" s="983"/>
      <c r="AU14" s="983"/>
      <c r="AV14" s="984"/>
    </row>
    <row r="15" spans="1:49" ht="45" customHeight="1">
      <c r="B15" s="991"/>
      <c r="C15" s="991"/>
      <c r="D15" s="991"/>
      <c r="E15" s="991"/>
      <c r="F15" s="991"/>
      <c r="G15" s="991"/>
      <c r="H15" s="991"/>
      <c r="I15" s="991"/>
      <c r="J15" s="991"/>
      <c r="K15" s="991"/>
      <c r="L15" s="1002" t="s">
        <v>20</v>
      </c>
      <c r="M15" s="1003"/>
      <c r="N15" s="1003"/>
      <c r="O15" s="1003"/>
      <c r="P15" s="1003"/>
      <c r="Q15" s="1003"/>
      <c r="R15" s="1003"/>
      <c r="S15" s="992">
        <f>経費書!D23</f>
        <v>0</v>
      </c>
      <c r="T15" s="993"/>
      <c r="U15" s="993"/>
      <c r="V15" s="993"/>
      <c r="W15" s="993"/>
      <c r="X15" s="993"/>
      <c r="Y15" s="1000">
        <v>0</v>
      </c>
      <c r="Z15" s="1001"/>
      <c r="AA15" s="1001"/>
      <c r="AB15" s="1001"/>
      <c r="AC15" s="1001"/>
      <c r="AD15" s="1001"/>
      <c r="AE15" s="992">
        <f t="shared" si="0"/>
        <v>0</v>
      </c>
      <c r="AF15" s="993"/>
      <c r="AG15" s="993"/>
      <c r="AH15" s="993"/>
      <c r="AI15" s="993"/>
      <c r="AJ15" s="993"/>
      <c r="AK15" s="992"/>
      <c r="AL15" s="993"/>
      <c r="AM15" s="993"/>
      <c r="AN15" s="993"/>
      <c r="AO15" s="993"/>
      <c r="AP15" s="993"/>
      <c r="AQ15" s="982"/>
      <c r="AR15" s="983"/>
      <c r="AS15" s="983"/>
      <c r="AT15" s="983"/>
      <c r="AU15" s="983"/>
      <c r="AV15" s="984"/>
    </row>
    <row r="16" spans="1:49" ht="45" customHeight="1" thickBot="1">
      <c r="B16" s="991"/>
      <c r="C16" s="991"/>
      <c r="D16" s="991"/>
      <c r="E16" s="991"/>
      <c r="F16" s="991"/>
      <c r="G16" s="991"/>
      <c r="H16" s="991"/>
      <c r="I16" s="991"/>
      <c r="J16" s="991"/>
      <c r="K16" s="991"/>
      <c r="L16" s="1048" t="s">
        <v>30</v>
      </c>
      <c r="M16" s="1049"/>
      <c r="N16" s="1049"/>
      <c r="O16" s="1049"/>
      <c r="P16" s="1049"/>
      <c r="Q16" s="1049"/>
      <c r="R16" s="1049"/>
      <c r="S16" s="994">
        <f>経費書!D25</f>
        <v>0</v>
      </c>
      <c r="T16" s="995"/>
      <c r="U16" s="995"/>
      <c r="V16" s="995"/>
      <c r="W16" s="995"/>
      <c r="X16" s="995"/>
      <c r="Y16" s="1000">
        <v>0</v>
      </c>
      <c r="Z16" s="1001"/>
      <c r="AA16" s="1001"/>
      <c r="AB16" s="1001"/>
      <c r="AC16" s="1001"/>
      <c r="AD16" s="1001"/>
      <c r="AE16" s="994">
        <f t="shared" si="0"/>
        <v>0</v>
      </c>
      <c r="AF16" s="995"/>
      <c r="AG16" s="995"/>
      <c r="AH16" s="995"/>
      <c r="AI16" s="995"/>
      <c r="AJ16" s="995"/>
      <c r="AK16" s="994"/>
      <c r="AL16" s="995"/>
      <c r="AM16" s="995"/>
      <c r="AN16" s="995"/>
      <c r="AO16" s="995"/>
      <c r="AP16" s="995"/>
      <c r="AQ16" s="982"/>
      <c r="AR16" s="983"/>
      <c r="AS16" s="983"/>
      <c r="AT16" s="983"/>
      <c r="AU16" s="983"/>
      <c r="AV16" s="984"/>
    </row>
    <row r="17" spans="2:48" ht="45" customHeight="1" thickTop="1" thickBot="1">
      <c r="B17" s="991"/>
      <c r="C17" s="991"/>
      <c r="D17" s="991"/>
      <c r="E17" s="991"/>
      <c r="F17" s="991"/>
      <c r="G17" s="991"/>
      <c r="H17" s="991"/>
      <c r="I17" s="991"/>
      <c r="J17" s="991"/>
      <c r="K17" s="991"/>
      <c r="L17" s="1019" t="s">
        <v>31</v>
      </c>
      <c r="M17" s="1020"/>
      <c r="N17" s="1020"/>
      <c r="O17" s="1020"/>
      <c r="P17" s="1020"/>
      <c r="Q17" s="1020"/>
      <c r="R17" s="1020"/>
      <c r="S17" s="996">
        <f>SUM(S7:X16)</f>
        <v>0</v>
      </c>
      <c r="T17" s="997"/>
      <c r="U17" s="997"/>
      <c r="V17" s="997"/>
      <c r="W17" s="997"/>
      <c r="X17" s="997"/>
      <c r="Y17" s="996">
        <f>SUM(Y7:AD16)</f>
        <v>0</v>
      </c>
      <c r="Z17" s="997"/>
      <c r="AA17" s="997"/>
      <c r="AB17" s="997"/>
      <c r="AC17" s="997"/>
      <c r="AD17" s="997"/>
      <c r="AE17" s="996">
        <f>SUM(AE7:AJ16)</f>
        <v>0</v>
      </c>
      <c r="AF17" s="997"/>
      <c r="AG17" s="997"/>
      <c r="AH17" s="997"/>
      <c r="AI17" s="997"/>
      <c r="AJ17" s="997"/>
      <c r="AK17" s="996">
        <f>SUM(AK7:AP16)</f>
        <v>0</v>
      </c>
      <c r="AL17" s="997"/>
      <c r="AM17" s="997"/>
      <c r="AN17" s="997"/>
      <c r="AO17" s="997"/>
      <c r="AP17" s="997"/>
      <c r="AQ17" s="982"/>
      <c r="AR17" s="983"/>
      <c r="AS17" s="983"/>
      <c r="AT17" s="983"/>
      <c r="AU17" s="983"/>
      <c r="AV17" s="984"/>
    </row>
    <row r="18" spans="2:48" ht="45" hidden="1" customHeight="1" thickBot="1">
      <c r="B18" s="964" t="str">
        <f xml:space="preserve">
IF(表紙!$X$2="事前協議","－",
IF(表紙!$X$2="交付申請（２次）","－",
IF(表紙!$X$2="変更申請","－",
IF(表紙!$X$2="実績報告（１次）","感染症対策事業",
IF(表紙!$X$2="実績報告（２次）","－",
IF(表紙!$X$2="交付申請兼実績報告","－"))))))</f>
        <v>－</v>
      </c>
      <c r="C18" s="965"/>
      <c r="D18" s="965"/>
      <c r="E18" s="965"/>
      <c r="F18" s="965"/>
      <c r="G18" s="965"/>
      <c r="H18" s="965"/>
      <c r="I18" s="965"/>
      <c r="J18" s="965"/>
      <c r="K18" s="966"/>
      <c r="L18" s="970" t="str">
        <f xml:space="preserve">
IF(表紙!$X$2="事前協議","－",
IF(表紙!$X$2="交付申請（２次）","－",
IF(表紙!$X$2="変更申請","－",
IF(表紙!$X$2="実績報告（１次）","消毒経費",
IF(表紙!$X$2="実績報告（２次）","－",
IF(表紙!$X$2="交付申請兼実績報告","－"))))))</f>
        <v>－</v>
      </c>
      <c r="M18" s="971"/>
      <c r="N18" s="971"/>
      <c r="O18" s="971"/>
      <c r="P18" s="971"/>
      <c r="Q18" s="971"/>
      <c r="R18" s="972"/>
      <c r="S18" s="973">
        <f xml:space="preserve">
IF(表紙!$X$2="事前協議",0,
IF(表紙!$X$2="交付申請（２次）",0,
IF(表紙!$X$2="変更申請",0,
IF(表紙!$X$2="実績報告（１次）",経費書!D29,
IF(表紙!$X$2="実績報告（２次）",0,
IF(表紙!$X$2="交付申請兼実績報告",0))))))</f>
        <v>0</v>
      </c>
      <c r="T18" s="974"/>
      <c r="U18" s="974"/>
      <c r="V18" s="974"/>
      <c r="W18" s="974"/>
      <c r="X18" s="975"/>
      <c r="Y18" s="976">
        <v>0</v>
      </c>
      <c r="Z18" s="977"/>
      <c r="AA18" s="977"/>
      <c r="AB18" s="977"/>
      <c r="AC18" s="977"/>
      <c r="AD18" s="978"/>
      <c r="AE18" s="967">
        <f>S18-Y18</f>
        <v>0</v>
      </c>
      <c r="AF18" s="968"/>
      <c r="AG18" s="968"/>
      <c r="AH18" s="968"/>
      <c r="AI18" s="968"/>
      <c r="AJ18" s="969"/>
      <c r="AK18" s="209"/>
      <c r="AL18" s="210"/>
      <c r="AM18" s="210"/>
      <c r="AN18" s="210"/>
      <c r="AO18" s="210"/>
      <c r="AP18" s="211"/>
      <c r="AQ18" s="985"/>
      <c r="AR18" s="986"/>
      <c r="AS18" s="986"/>
      <c r="AT18" s="986"/>
      <c r="AU18" s="986"/>
      <c r="AV18" s="987"/>
    </row>
    <row r="19" spans="2:48" ht="45" hidden="1" customHeight="1">
      <c r="B19" s="1032" t="s">
        <v>22</v>
      </c>
      <c r="C19" s="1033"/>
      <c r="D19" s="1033"/>
      <c r="E19" s="1033"/>
      <c r="F19" s="1033"/>
      <c r="G19" s="1033"/>
      <c r="H19" s="1033"/>
      <c r="I19" s="1033"/>
      <c r="J19" s="1033"/>
      <c r="K19" s="1034"/>
      <c r="L19" s="970" t="s">
        <v>23</v>
      </c>
      <c r="M19" s="1044"/>
      <c r="N19" s="1044"/>
      <c r="O19" s="1044"/>
      <c r="P19" s="1044"/>
      <c r="Q19" s="1044"/>
      <c r="R19" s="1045"/>
      <c r="S19" s="967">
        <f>経費書!D31</f>
        <v>0</v>
      </c>
      <c r="T19" s="968"/>
      <c r="U19" s="968"/>
      <c r="V19" s="968"/>
      <c r="W19" s="968"/>
      <c r="X19" s="969"/>
      <c r="Y19" s="1004">
        <v>0</v>
      </c>
      <c r="Z19" s="1005"/>
      <c r="AA19" s="1005"/>
      <c r="AB19" s="1005"/>
      <c r="AC19" s="1005"/>
      <c r="AD19" s="1006"/>
      <c r="AE19" s="967">
        <f>S19-Y19</f>
        <v>0</v>
      </c>
      <c r="AF19" s="968"/>
      <c r="AG19" s="968"/>
      <c r="AH19" s="968"/>
      <c r="AI19" s="968"/>
      <c r="AJ19" s="969"/>
      <c r="AK19" s="967"/>
      <c r="AL19" s="968"/>
      <c r="AM19" s="968"/>
      <c r="AN19" s="968"/>
      <c r="AO19" s="968"/>
      <c r="AP19" s="969"/>
      <c r="AQ19" s="964"/>
      <c r="AR19" s="965"/>
      <c r="AS19" s="965"/>
      <c r="AT19" s="965"/>
      <c r="AU19" s="965"/>
      <c r="AV19" s="966"/>
    </row>
    <row r="20" spans="2:48" ht="45" hidden="1" customHeight="1">
      <c r="B20" s="1035"/>
      <c r="C20" s="1036"/>
      <c r="D20" s="1036"/>
      <c r="E20" s="1036"/>
      <c r="F20" s="1036"/>
      <c r="G20" s="1036"/>
      <c r="H20" s="1036"/>
      <c r="I20" s="1036"/>
      <c r="J20" s="1036"/>
      <c r="K20" s="1037"/>
      <c r="L20" s="1013" t="s">
        <v>24</v>
      </c>
      <c r="M20" s="1014"/>
      <c r="N20" s="1014"/>
      <c r="O20" s="1014"/>
      <c r="P20" s="1014"/>
      <c r="Q20" s="1014"/>
      <c r="R20" s="1015"/>
      <c r="S20" s="967">
        <f>経費書!D33</f>
        <v>0</v>
      </c>
      <c r="T20" s="968"/>
      <c r="U20" s="968"/>
      <c r="V20" s="968"/>
      <c r="W20" s="968"/>
      <c r="X20" s="969"/>
      <c r="Y20" s="1004">
        <v>0</v>
      </c>
      <c r="Z20" s="1005"/>
      <c r="AA20" s="1005"/>
      <c r="AB20" s="1005"/>
      <c r="AC20" s="1005"/>
      <c r="AD20" s="1006"/>
      <c r="AE20" s="967">
        <f t="shared" ref="AE20:AE25" si="1">S20-Y20</f>
        <v>0</v>
      </c>
      <c r="AF20" s="968"/>
      <c r="AG20" s="968"/>
      <c r="AH20" s="968"/>
      <c r="AI20" s="968"/>
      <c r="AJ20" s="969"/>
      <c r="AK20" s="967"/>
      <c r="AL20" s="968"/>
      <c r="AM20" s="968"/>
      <c r="AN20" s="968"/>
      <c r="AO20" s="968"/>
      <c r="AP20" s="969"/>
      <c r="AQ20" s="964"/>
      <c r="AR20" s="965"/>
      <c r="AS20" s="965"/>
      <c r="AT20" s="965"/>
      <c r="AU20" s="965"/>
      <c r="AV20" s="966"/>
    </row>
    <row r="21" spans="2:48" ht="45" hidden="1" customHeight="1">
      <c r="B21" s="1035"/>
      <c r="C21" s="1036"/>
      <c r="D21" s="1036"/>
      <c r="E21" s="1036"/>
      <c r="F21" s="1036"/>
      <c r="G21" s="1036"/>
      <c r="H21" s="1036"/>
      <c r="I21" s="1036"/>
      <c r="J21" s="1036"/>
      <c r="K21" s="1037"/>
      <c r="L21" s="1013" t="s">
        <v>25</v>
      </c>
      <c r="M21" s="1014"/>
      <c r="N21" s="1014"/>
      <c r="O21" s="1014"/>
      <c r="P21" s="1014"/>
      <c r="Q21" s="1014"/>
      <c r="R21" s="1015"/>
      <c r="S21" s="967">
        <f>経費書!D35</f>
        <v>0</v>
      </c>
      <c r="T21" s="968"/>
      <c r="U21" s="968"/>
      <c r="V21" s="968"/>
      <c r="W21" s="968"/>
      <c r="X21" s="969"/>
      <c r="Y21" s="1004">
        <v>0</v>
      </c>
      <c r="Z21" s="1005"/>
      <c r="AA21" s="1005"/>
      <c r="AB21" s="1005"/>
      <c r="AC21" s="1005"/>
      <c r="AD21" s="1006"/>
      <c r="AE21" s="967">
        <f t="shared" si="1"/>
        <v>0</v>
      </c>
      <c r="AF21" s="968"/>
      <c r="AG21" s="968"/>
      <c r="AH21" s="968"/>
      <c r="AI21" s="968"/>
      <c r="AJ21" s="969"/>
      <c r="AK21" s="967"/>
      <c r="AL21" s="968"/>
      <c r="AM21" s="968"/>
      <c r="AN21" s="968"/>
      <c r="AO21" s="968"/>
      <c r="AP21" s="969"/>
      <c r="AQ21" s="964"/>
      <c r="AR21" s="965"/>
      <c r="AS21" s="965"/>
      <c r="AT21" s="965"/>
      <c r="AU21" s="965"/>
      <c r="AV21" s="966"/>
    </row>
    <row r="22" spans="2:48" ht="45" hidden="1" customHeight="1">
      <c r="B22" s="1035"/>
      <c r="C22" s="1036"/>
      <c r="D22" s="1036"/>
      <c r="E22" s="1036"/>
      <c r="F22" s="1036"/>
      <c r="G22" s="1036"/>
      <c r="H22" s="1036"/>
      <c r="I22" s="1036"/>
      <c r="J22" s="1036"/>
      <c r="K22" s="1037"/>
      <c r="L22" s="1013" t="s">
        <v>26</v>
      </c>
      <c r="M22" s="1014"/>
      <c r="N22" s="1014"/>
      <c r="O22" s="1014"/>
      <c r="P22" s="1014"/>
      <c r="Q22" s="1014"/>
      <c r="R22" s="1015"/>
      <c r="S22" s="967">
        <f>経費書!D37</f>
        <v>0</v>
      </c>
      <c r="T22" s="968"/>
      <c r="U22" s="968"/>
      <c r="V22" s="968"/>
      <c r="W22" s="968"/>
      <c r="X22" s="969"/>
      <c r="Y22" s="1004">
        <v>0</v>
      </c>
      <c r="Z22" s="1005"/>
      <c r="AA22" s="1005"/>
      <c r="AB22" s="1005"/>
      <c r="AC22" s="1005"/>
      <c r="AD22" s="1006"/>
      <c r="AE22" s="967">
        <f t="shared" si="1"/>
        <v>0</v>
      </c>
      <c r="AF22" s="968"/>
      <c r="AG22" s="968"/>
      <c r="AH22" s="968"/>
      <c r="AI22" s="968"/>
      <c r="AJ22" s="969"/>
      <c r="AK22" s="967"/>
      <c r="AL22" s="968"/>
      <c r="AM22" s="968"/>
      <c r="AN22" s="968"/>
      <c r="AO22" s="968"/>
      <c r="AP22" s="969"/>
      <c r="AQ22" s="964"/>
      <c r="AR22" s="965"/>
      <c r="AS22" s="965"/>
      <c r="AT22" s="965"/>
      <c r="AU22" s="965"/>
      <c r="AV22" s="966"/>
    </row>
    <row r="23" spans="2:48" ht="45" hidden="1" customHeight="1">
      <c r="B23" s="1035"/>
      <c r="C23" s="1036"/>
      <c r="D23" s="1036"/>
      <c r="E23" s="1036"/>
      <c r="F23" s="1036"/>
      <c r="G23" s="1036"/>
      <c r="H23" s="1036"/>
      <c r="I23" s="1036"/>
      <c r="J23" s="1036"/>
      <c r="K23" s="1037"/>
      <c r="L23" s="1013" t="s">
        <v>27</v>
      </c>
      <c r="M23" s="1014"/>
      <c r="N23" s="1014"/>
      <c r="O23" s="1014"/>
      <c r="P23" s="1014"/>
      <c r="Q23" s="1014"/>
      <c r="R23" s="1015"/>
      <c r="S23" s="967">
        <f>経費書!D39</f>
        <v>0</v>
      </c>
      <c r="T23" s="968"/>
      <c r="U23" s="968"/>
      <c r="V23" s="968"/>
      <c r="W23" s="968"/>
      <c r="X23" s="969"/>
      <c r="Y23" s="1004">
        <v>0</v>
      </c>
      <c r="Z23" s="1005"/>
      <c r="AA23" s="1005"/>
      <c r="AB23" s="1005"/>
      <c r="AC23" s="1005"/>
      <c r="AD23" s="1006"/>
      <c r="AE23" s="967">
        <f t="shared" si="1"/>
        <v>0</v>
      </c>
      <c r="AF23" s="968"/>
      <c r="AG23" s="968"/>
      <c r="AH23" s="968"/>
      <c r="AI23" s="968"/>
      <c r="AJ23" s="969"/>
      <c r="AK23" s="967"/>
      <c r="AL23" s="968"/>
      <c r="AM23" s="968"/>
      <c r="AN23" s="968"/>
      <c r="AO23" s="968"/>
      <c r="AP23" s="969"/>
      <c r="AQ23" s="964"/>
      <c r="AR23" s="965"/>
      <c r="AS23" s="965"/>
      <c r="AT23" s="965"/>
      <c r="AU23" s="965"/>
      <c r="AV23" s="966"/>
    </row>
    <row r="24" spans="2:48" ht="45" hidden="1" customHeight="1">
      <c r="B24" s="1035"/>
      <c r="C24" s="1036"/>
      <c r="D24" s="1036"/>
      <c r="E24" s="1036"/>
      <c r="F24" s="1036"/>
      <c r="G24" s="1036"/>
      <c r="H24" s="1036"/>
      <c r="I24" s="1036"/>
      <c r="J24" s="1036"/>
      <c r="K24" s="1037"/>
      <c r="L24" s="1013" t="s">
        <v>28</v>
      </c>
      <c r="M24" s="1014"/>
      <c r="N24" s="1014"/>
      <c r="O24" s="1014"/>
      <c r="P24" s="1014"/>
      <c r="Q24" s="1014"/>
      <c r="R24" s="1015"/>
      <c r="S24" s="967">
        <f>経費書!D41</f>
        <v>0</v>
      </c>
      <c r="T24" s="968"/>
      <c r="U24" s="968"/>
      <c r="V24" s="968"/>
      <c r="W24" s="968"/>
      <c r="X24" s="969"/>
      <c r="Y24" s="1004">
        <v>0</v>
      </c>
      <c r="Z24" s="1005"/>
      <c r="AA24" s="1005"/>
      <c r="AB24" s="1005"/>
      <c r="AC24" s="1005"/>
      <c r="AD24" s="1006"/>
      <c r="AE24" s="967">
        <f t="shared" si="1"/>
        <v>0</v>
      </c>
      <c r="AF24" s="968"/>
      <c r="AG24" s="968"/>
      <c r="AH24" s="968"/>
      <c r="AI24" s="968"/>
      <c r="AJ24" s="969"/>
      <c r="AK24" s="967"/>
      <c r="AL24" s="968"/>
      <c r="AM24" s="968"/>
      <c r="AN24" s="968"/>
      <c r="AO24" s="968"/>
      <c r="AP24" s="969"/>
      <c r="AQ24" s="964"/>
      <c r="AR24" s="965"/>
      <c r="AS24" s="965"/>
      <c r="AT24" s="965"/>
      <c r="AU24" s="965"/>
      <c r="AV24" s="966"/>
    </row>
    <row r="25" spans="2:48" ht="45" hidden="1" customHeight="1" thickBot="1">
      <c r="B25" s="1035"/>
      <c r="C25" s="1036"/>
      <c r="D25" s="1036"/>
      <c r="E25" s="1036"/>
      <c r="F25" s="1036"/>
      <c r="G25" s="1036"/>
      <c r="H25" s="1036"/>
      <c r="I25" s="1036"/>
      <c r="J25" s="1036"/>
      <c r="K25" s="1037"/>
      <c r="L25" s="1029" t="s">
        <v>29</v>
      </c>
      <c r="M25" s="1030"/>
      <c r="N25" s="1030"/>
      <c r="O25" s="1030"/>
      <c r="P25" s="1030"/>
      <c r="Q25" s="1030"/>
      <c r="R25" s="1031"/>
      <c r="S25" s="1007">
        <f>経費書!D43</f>
        <v>0</v>
      </c>
      <c r="T25" s="1008"/>
      <c r="U25" s="1008"/>
      <c r="V25" s="1008"/>
      <c r="W25" s="1008"/>
      <c r="X25" s="1009"/>
      <c r="Y25" s="1010">
        <v>0</v>
      </c>
      <c r="Z25" s="1011"/>
      <c r="AA25" s="1011"/>
      <c r="AB25" s="1011"/>
      <c r="AC25" s="1011"/>
      <c r="AD25" s="1012"/>
      <c r="AE25" s="1007">
        <f t="shared" si="1"/>
        <v>0</v>
      </c>
      <c r="AF25" s="1008"/>
      <c r="AG25" s="1008"/>
      <c r="AH25" s="1008"/>
      <c r="AI25" s="1008"/>
      <c r="AJ25" s="1009"/>
      <c r="AK25" s="1007"/>
      <c r="AL25" s="1008"/>
      <c r="AM25" s="1008"/>
      <c r="AN25" s="1008"/>
      <c r="AO25" s="1008"/>
      <c r="AP25" s="1009"/>
      <c r="AQ25" s="1023"/>
      <c r="AR25" s="1024"/>
      <c r="AS25" s="1024"/>
      <c r="AT25" s="1024"/>
      <c r="AU25" s="1024"/>
      <c r="AV25" s="1025"/>
    </row>
    <row r="26" spans="2:48" ht="45" hidden="1" customHeight="1" thickTop="1" thickBot="1">
      <c r="B26" s="1038"/>
      <c r="C26" s="1039"/>
      <c r="D26" s="1039"/>
      <c r="E26" s="1039"/>
      <c r="F26" s="1039"/>
      <c r="G26" s="1039"/>
      <c r="H26" s="1039"/>
      <c r="I26" s="1039"/>
      <c r="J26" s="1039"/>
      <c r="K26" s="1040"/>
      <c r="L26" s="1041" t="s">
        <v>31</v>
      </c>
      <c r="M26" s="1042"/>
      <c r="N26" s="1042"/>
      <c r="O26" s="1042"/>
      <c r="P26" s="1042"/>
      <c r="Q26" s="1042"/>
      <c r="R26" s="1043"/>
      <c r="S26" s="1026">
        <f>SUM(S19:X25)</f>
        <v>0</v>
      </c>
      <c r="T26" s="1027"/>
      <c r="U26" s="1027"/>
      <c r="V26" s="1027"/>
      <c r="W26" s="1027"/>
      <c r="X26" s="1028"/>
      <c r="Y26" s="1026">
        <f>SUM(Y19:AD25)</f>
        <v>0</v>
      </c>
      <c r="Z26" s="1027"/>
      <c r="AA26" s="1027"/>
      <c r="AB26" s="1027"/>
      <c r="AC26" s="1027"/>
      <c r="AD26" s="1028"/>
      <c r="AE26" s="1026">
        <f>SUM(AE19:AJ25)</f>
        <v>0</v>
      </c>
      <c r="AF26" s="1027"/>
      <c r="AG26" s="1027"/>
      <c r="AH26" s="1027"/>
      <c r="AI26" s="1027"/>
      <c r="AJ26" s="1028"/>
      <c r="AK26" s="1026">
        <f>SUM(AK19:AP25)</f>
        <v>0</v>
      </c>
      <c r="AL26" s="1027"/>
      <c r="AM26" s="1027"/>
      <c r="AN26" s="1027"/>
      <c r="AO26" s="1027"/>
      <c r="AP26" s="1028"/>
      <c r="AQ26" s="1016"/>
      <c r="AR26" s="1017"/>
      <c r="AS26" s="1017"/>
      <c r="AT26" s="1017"/>
      <c r="AU26" s="1017"/>
      <c r="AV26" s="1018"/>
    </row>
    <row r="27" spans="2:48" ht="45" customHeight="1" thickTop="1">
      <c r="B27" s="1019" t="s">
        <v>39</v>
      </c>
      <c r="C27" s="1019"/>
      <c r="D27" s="1019"/>
      <c r="E27" s="1019"/>
      <c r="F27" s="1019"/>
      <c r="G27" s="1019"/>
      <c r="H27" s="1019"/>
      <c r="I27" s="1019"/>
      <c r="J27" s="1019"/>
      <c r="K27" s="1020"/>
      <c r="L27" s="1020"/>
      <c r="M27" s="1020"/>
      <c r="N27" s="1020"/>
      <c r="O27" s="1020"/>
      <c r="P27" s="1020"/>
      <c r="Q27" s="1020"/>
      <c r="R27" s="1020"/>
      <c r="S27" s="996">
        <f>SUM(S17,S18,S26)</f>
        <v>0</v>
      </c>
      <c r="T27" s="997"/>
      <c r="U27" s="997"/>
      <c r="V27" s="997"/>
      <c r="W27" s="997"/>
      <c r="X27" s="997"/>
      <c r="Y27" s="996">
        <f>SUM(Y17,Y18,Y26)</f>
        <v>0</v>
      </c>
      <c r="Z27" s="997"/>
      <c r="AA27" s="997"/>
      <c r="AB27" s="997"/>
      <c r="AC27" s="997"/>
      <c r="AD27" s="997"/>
      <c r="AE27" s="996">
        <f>SUM(AE17,AE18,AE26)</f>
        <v>0</v>
      </c>
      <c r="AF27" s="997"/>
      <c r="AG27" s="997"/>
      <c r="AH27" s="997"/>
      <c r="AI27" s="997"/>
      <c r="AJ27" s="997"/>
      <c r="AK27" s="996">
        <f>SUM(AK17,AK26)</f>
        <v>0</v>
      </c>
      <c r="AL27" s="997"/>
      <c r="AM27" s="997"/>
      <c r="AN27" s="997"/>
      <c r="AO27" s="997"/>
      <c r="AP27" s="997"/>
      <c r="AQ27" s="1021"/>
      <c r="AR27" s="1022"/>
      <c r="AS27" s="1022"/>
      <c r="AT27" s="1022"/>
      <c r="AU27" s="1022"/>
      <c r="AV27" s="1022"/>
    </row>
    <row r="28" spans="2:48" ht="45" customHeight="1"/>
    <row r="29" spans="2:48" ht="45" customHeight="1"/>
    <row r="30" spans="2:48" ht="45" customHeight="1"/>
    <row r="31" spans="2:48" ht="45" customHeight="1"/>
    <row r="32" spans="2:48" ht="45" customHeight="1"/>
    <row r="33" ht="45" customHeight="1"/>
    <row r="34" ht="45"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row r="47" ht="30" customHeight="1"/>
    <row r="48" ht="30" customHeight="1"/>
    <row r="49" ht="30" customHeight="1"/>
    <row r="50" ht="30" customHeight="1"/>
    <row r="51" ht="30" customHeight="1"/>
    <row r="52" ht="30" customHeight="1"/>
    <row r="53" ht="30" customHeight="1"/>
    <row r="54" ht="30" customHeight="1"/>
    <row r="55" ht="30" customHeight="1"/>
  </sheetData>
  <sheetProtection algorithmName="SHA-512" hashValue="rigAC0VAJsCQ+HhLbTWJ2uBpZatMytrS8spmu3/7l35r9lo1i0bG225Wbe9XRLmJSg6iI7fGNLnQ1gvPVlanZw==" saltValue="rEXp7wkodDtsHox+zYccOA==" spinCount="100000" sheet="1" objects="1" scenarios="1"/>
  <mergeCells count="124">
    <mergeCell ref="L9:R9"/>
    <mergeCell ref="L10:R10"/>
    <mergeCell ref="L13:R13"/>
    <mergeCell ref="L7:R7"/>
    <mergeCell ref="L14:R14"/>
    <mergeCell ref="B6:K6"/>
    <mergeCell ref="L6:R6"/>
    <mergeCell ref="S6:X6"/>
    <mergeCell ref="B7:K17"/>
    <mergeCell ref="L17:R17"/>
    <mergeCell ref="L15:R15"/>
    <mergeCell ref="L16:R16"/>
    <mergeCell ref="S16:X16"/>
    <mergeCell ref="S17:X17"/>
    <mergeCell ref="S7:X7"/>
    <mergeCell ref="S8:X8"/>
    <mergeCell ref="S14:X14"/>
    <mergeCell ref="S9:X9"/>
    <mergeCell ref="S10:X10"/>
    <mergeCell ref="L11:R11"/>
    <mergeCell ref="L12:R12"/>
    <mergeCell ref="S15:X15"/>
    <mergeCell ref="Y6:AD6"/>
    <mergeCell ref="AE6:AJ6"/>
    <mergeCell ref="S13:X13"/>
    <mergeCell ref="AE7:AJ7"/>
    <mergeCell ref="Y7:AD7"/>
    <mergeCell ref="Y8:AD8"/>
    <mergeCell ref="Y13:AD13"/>
    <mergeCell ref="AE13:AJ13"/>
    <mergeCell ref="Y14:AD14"/>
    <mergeCell ref="AE14:AJ14"/>
    <mergeCell ref="Y9:AD9"/>
    <mergeCell ref="AE9:AJ9"/>
    <mergeCell ref="Y10:AD10"/>
    <mergeCell ref="AE8:AJ8"/>
    <mergeCell ref="S11:X11"/>
    <mergeCell ref="Y11:AD11"/>
    <mergeCell ref="AE11:AJ11"/>
    <mergeCell ref="S12:X12"/>
    <mergeCell ref="Y12:AD12"/>
    <mergeCell ref="AE12:AJ12"/>
    <mergeCell ref="B27:R27"/>
    <mergeCell ref="S27:X27"/>
    <mergeCell ref="Y27:AD27"/>
    <mergeCell ref="AE27:AJ27"/>
    <mergeCell ref="AK27:AP27"/>
    <mergeCell ref="AQ27:AV27"/>
    <mergeCell ref="AQ20:AV20"/>
    <mergeCell ref="AQ21:AV21"/>
    <mergeCell ref="AQ22:AV22"/>
    <mergeCell ref="AQ23:AV23"/>
    <mergeCell ref="AQ24:AV24"/>
    <mergeCell ref="AQ25:AV25"/>
    <mergeCell ref="AK25:AP25"/>
    <mergeCell ref="AK26:AP26"/>
    <mergeCell ref="S26:X26"/>
    <mergeCell ref="Y26:AD26"/>
    <mergeCell ref="AE26:AJ26"/>
    <mergeCell ref="S24:X24"/>
    <mergeCell ref="L24:R24"/>
    <mergeCell ref="L25:R25"/>
    <mergeCell ref="B19:K26"/>
    <mergeCell ref="L26:R26"/>
    <mergeCell ref="L19:R19"/>
    <mergeCell ref="AK22:AP22"/>
    <mergeCell ref="AK23:AP23"/>
    <mergeCell ref="AK24:AP24"/>
    <mergeCell ref="AK20:AP20"/>
    <mergeCell ref="AK21:AP21"/>
    <mergeCell ref="AE23:AJ23"/>
    <mergeCell ref="Y23:AD23"/>
    <mergeCell ref="S23:X23"/>
    <mergeCell ref="AQ26:AV26"/>
    <mergeCell ref="Y17:AD17"/>
    <mergeCell ref="AE17:AJ17"/>
    <mergeCell ref="Y15:AD15"/>
    <mergeCell ref="AE15:AJ15"/>
    <mergeCell ref="AE10:AJ10"/>
    <mergeCell ref="Y24:AD24"/>
    <mergeCell ref="AE24:AJ24"/>
    <mergeCell ref="S25:X25"/>
    <mergeCell ref="Y25:AD25"/>
    <mergeCell ref="AE25:AJ25"/>
    <mergeCell ref="L22:R22"/>
    <mergeCell ref="L21:R21"/>
    <mergeCell ref="L20:R20"/>
    <mergeCell ref="AE19:AJ19"/>
    <mergeCell ref="Y19:AD19"/>
    <mergeCell ref="S19:X19"/>
    <mergeCell ref="L23:R23"/>
    <mergeCell ref="AE21:AJ21"/>
    <mergeCell ref="Y21:AD21"/>
    <mergeCell ref="S21:X21"/>
    <mergeCell ref="AE20:AJ20"/>
    <mergeCell ref="Y20:AD20"/>
    <mergeCell ref="S20:X20"/>
    <mergeCell ref="AE22:AJ22"/>
    <mergeCell ref="Y22:AD22"/>
    <mergeCell ref="S22:X22"/>
    <mergeCell ref="AS3:AU3"/>
    <mergeCell ref="AQ19:AV19"/>
    <mergeCell ref="AK19:AP19"/>
    <mergeCell ref="B18:K18"/>
    <mergeCell ref="L18:R18"/>
    <mergeCell ref="S18:X18"/>
    <mergeCell ref="Y18:AD18"/>
    <mergeCell ref="AE18:AJ18"/>
    <mergeCell ref="AQ7:AV18"/>
    <mergeCell ref="B4:AV4"/>
    <mergeCell ref="AQ6:AV6"/>
    <mergeCell ref="AK15:AP15"/>
    <mergeCell ref="AK16:AP16"/>
    <mergeCell ref="AK17:AP17"/>
    <mergeCell ref="AK6:AP6"/>
    <mergeCell ref="AK7:AP7"/>
    <mergeCell ref="AK8:AP8"/>
    <mergeCell ref="AK9:AP9"/>
    <mergeCell ref="AK10:AP10"/>
    <mergeCell ref="AK13:AP13"/>
    <mergeCell ref="AK14:AP14"/>
    <mergeCell ref="Y16:AD16"/>
    <mergeCell ref="AE16:AJ16"/>
    <mergeCell ref="L8:R8"/>
  </mergeCells>
  <phoneticPr fontId="9"/>
  <pageMargins left="0.7" right="0.7" top="0.75" bottom="0.75" header="0.3" footer="0.3"/>
  <pageSetup paperSize="9" scale="51"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A2ECEB-4274-4BEB-9A6C-E5BDD71C508C}">
  <sheetPr>
    <tabColor rgb="FFFFC000"/>
    <pageSetUpPr fitToPage="1"/>
  </sheetPr>
  <dimension ref="A1:CC170"/>
  <sheetViews>
    <sheetView showGridLines="0" view="pageBreakPreview" topLeftCell="A53" zoomScale="60" zoomScaleNormal="100" workbookViewId="0">
      <selection activeCell="BI13" sqref="BI13"/>
    </sheetView>
  </sheetViews>
  <sheetFormatPr defaultRowHeight="18"/>
  <cols>
    <col min="1" max="51" width="3.625" style="222" customWidth="1"/>
    <col min="52" max="52" width="10.625" style="222" customWidth="1"/>
    <col min="53" max="55" width="10.625" style="378" hidden="1" customWidth="1"/>
    <col min="56" max="56" width="10.625" style="224" hidden="1" customWidth="1"/>
    <col min="57" max="57" width="10.625" style="225" hidden="1" customWidth="1"/>
    <col min="58" max="58" width="10.625" style="378" hidden="1" customWidth="1"/>
    <col min="59" max="59" width="10.625" style="226" customWidth="1"/>
    <col min="60" max="67" width="10.625" style="378" customWidth="1"/>
    <col min="68" max="68" width="9" style="378"/>
    <col min="69" max="69" width="11.75" style="378" bestFit="1" customWidth="1"/>
    <col min="70" max="16384" width="9" style="378"/>
  </cols>
  <sheetData>
    <row r="1" spans="1:65">
      <c r="AZ1" s="223" t="str">
        <f>AZ14</f>
        <v>○</v>
      </c>
    </row>
    <row r="2" spans="1:65" ht="24">
      <c r="A2" s="1373" t="s">
        <v>1146</v>
      </c>
      <c r="B2" s="1374"/>
      <c r="C2" s="1374"/>
      <c r="D2" s="1374"/>
      <c r="E2" s="1374"/>
      <c r="F2" s="1374"/>
      <c r="G2" s="1374"/>
      <c r="H2" s="1374"/>
      <c r="I2" s="1374"/>
      <c r="J2" s="1374"/>
      <c r="K2" s="1374"/>
      <c r="L2" s="1374"/>
      <c r="M2" s="1374"/>
      <c r="N2" s="1374"/>
      <c r="O2" s="1374"/>
      <c r="P2" s="1374"/>
      <c r="Q2" s="1374"/>
      <c r="R2" s="1374"/>
      <c r="S2" s="1374"/>
      <c r="T2" s="1374"/>
      <c r="U2" s="1374"/>
      <c r="V2" s="1374"/>
      <c r="W2" s="1374"/>
      <c r="X2" s="1374"/>
      <c r="Y2" s="1374"/>
      <c r="Z2" s="1374"/>
      <c r="AA2" s="1374"/>
      <c r="AB2" s="1374"/>
      <c r="AC2" s="1374"/>
      <c r="AD2" s="1374"/>
      <c r="AE2" s="1374"/>
      <c r="AF2" s="1374"/>
      <c r="AG2" s="1374"/>
      <c r="AH2" s="1374"/>
      <c r="AI2" s="1374"/>
      <c r="AJ2" s="1374"/>
      <c r="AK2" s="1374"/>
      <c r="AL2" s="1374"/>
      <c r="AM2" s="1374"/>
      <c r="AN2" s="1374"/>
      <c r="AO2" s="1374"/>
      <c r="AP2" s="1374"/>
      <c r="AQ2" s="1374"/>
      <c r="AR2" s="1374"/>
      <c r="AS2" s="1374"/>
      <c r="AT2" s="1374"/>
      <c r="AU2" s="1374"/>
      <c r="AV2" s="1374"/>
      <c r="AW2" s="1374"/>
      <c r="AX2" s="1374"/>
      <c r="AY2" s="1374"/>
      <c r="AZ2" s="223" t="str">
        <f>AZ30</f>
        <v>○</v>
      </c>
      <c r="BA2" s="371"/>
      <c r="BB2" s="371"/>
      <c r="BC2" s="371"/>
      <c r="BD2" s="371"/>
      <c r="BE2" s="371"/>
      <c r="BF2" s="371"/>
      <c r="BG2" s="371"/>
      <c r="BH2" s="371"/>
      <c r="BI2" s="371"/>
      <c r="BJ2" s="371"/>
      <c r="BK2" s="371"/>
      <c r="BL2" s="371"/>
      <c r="BM2" s="371"/>
    </row>
    <row r="3" spans="1:65">
      <c r="AZ3" s="223" t="str">
        <f>AZ44</f>
        <v>○</v>
      </c>
      <c r="BB3" s="222"/>
      <c r="BC3" s="222"/>
      <c r="BD3" s="222"/>
      <c r="BE3" s="222"/>
      <c r="BF3" s="222"/>
      <c r="BG3" s="222"/>
    </row>
    <row r="4" spans="1:65" ht="24" customHeight="1">
      <c r="B4" s="1232" t="s">
        <v>1010</v>
      </c>
      <c r="C4" s="1233"/>
      <c r="D4" s="1233"/>
      <c r="E4" s="1233"/>
      <c r="F4" s="1233"/>
      <c r="G4" s="1233"/>
      <c r="H4" s="1233"/>
      <c r="I4" s="1233"/>
      <c r="J4" s="1233"/>
      <c r="K4" s="1233"/>
      <c r="L4" s="1233"/>
      <c r="M4" s="1233"/>
      <c r="N4" s="1233"/>
      <c r="O4" s="1233"/>
      <c r="P4" s="1233"/>
      <c r="Q4" s="1233"/>
      <c r="R4" s="1233"/>
      <c r="S4" s="1233"/>
      <c r="T4" s="1233"/>
      <c r="U4" s="1233"/>
      <c r="V4" s="1233"/>
      <c r="W4" s="1233"/>
      <c r="X4" s="1233"/>
      <c r="Y4" s="1233"/>
      <c r="Z4" s="1233"/>
      <c r="AA4" s="1233"/>
      <c r="AB4" s="1233"/>
      <c r="AC4" s="1233"/>
      <c r="AD4" s="1233"/>
      <c r="AE4" s="1233"/>
      <c r="AF4" s="1233"/>
      <c r="AG4" s="1233"/>
      <c r="AH4" s="1233"/>
      <c r="AI4" s="1233"/>
      <c r="AJ4" s="1233"/>
      <c r="AK4" s="1233"/>
      <c r="AL4" s="1233"/>
      <c r="AM4" s="1233"/>
      <c r="AN4" s="1233"/>
      <c r="AO4" s="1233"/>
      <c r="AP4" s="1233"/>
      <c r="AQ4" s="1233"/>
      <c r="AR4" s="1233"/>
      <c r="AS4" s="1233"/>
      <c r="AT4" s="1233"/>
      <c r="AU4" s="1233"/>
      <c r="AV4" s="1233"/>
      <c r="AW4" s="1233"/>
      <c r="AX4" s="1233"/>
      <c r="AZ4" s="223" t="str">
        <f>AZ66</f>
        <v>○</v>
      </c>
      <c r="BD4" s="378"/>
      <c r="BE4" s="378"/>
      <c r="BG4" s="378"/>
    </row>
    <row r="5" spans="1:65" ht="24" customHeight="1" thickBot="1">
      <c r="B5" s="1230" t="s">
        <v>1203</v>
      </c>
      <c r="C5" s="1231"/>
      <c r="D5" s="1231"/>
      <c r="E5" s="1231"/>
      <c r="F5" s="1231"/>
      <c r="G5" s="1231"/>
      <c r="H5" s="1231"/>
      <c r="I5" s="1231"/>
      <c r="J5" s="1231"/>
      <c r="K5" s="1231"/>
      <c r="L5" s="1231"/>
      <c r="M5" s="1231"/>
      <c r="N5" s="1231"/>
      <c r="O5" s="1231"/>
      <c r="P5" s="1231"/>
      <c r="Q5" s="1231"/>
      <c r="R5" s="1231"/>
      <c r="S5" s="1231"/>
      <c r="T5" s="1231"/>
      <c r="U5" s="1231"/>
      <c r="V5" s="1231"/>
      <c r="W5" s="1231"/>
      <c r="X5" s="1231"/>
      <c r="Y5" s="1231"/>
      <c r="Z5" s="1231"/>
      <c r="AA5" s="1231"/>
      <c r="AB5" s="1231"/>
      <c r="AC5" s="1231"/>
      <c r="AD5" s="1231"/>
      <c r="AE5" s="1231"/>
      <c r="AF5" s="1231"/>
      <c r="AG5" s="1231"/>
      <c r="AH5" s="1231"/>
      <c r="AI5" s="1231"/>
      <c r="AJ5" s="1231"/>
      <c r="AK5" s="1231"/>
      <c r="AL5" s="1231"/>
      <c r="AM5" s="1231"/>
      <c r="AN5" s="1231"/>
      <c r="AO5" s="1231"/>
      <c r="AP5" s="1231"/>
      <c r="AQ5" s="1231"/>
      <c r="AR5" s="1231"/>
      <c r="AS5" s="1231"/>
      <c r="AT5" s="1231"/>
      <c r="AU5" s="1231"/>
      <c r="AV5" s="1231"/>
      <c r="AW5" s="1231"/>
      <c r="AX5" s="1231"/>
      <c r="AZ5" s="378"/>
      <c r="BD5" s="378"/>
      <c r="BE5" s="378"/>
      <c r="BG5" s="378"/>
    </row>
    <row r="6" spans="1:65" ht="24" customHeight="1" thickTop="1" thickBot="1">
      <c r="B6" s="1375" t="s">
        <v>1011</v>
      </c>
      <c r="C6" s="1376"/>
      <c r="D6" s="1376"/>
      <c r="E6" s="1376"/>
      <c r="F6" s="1376"/>
      <c r="G6" s="1376"/>
      <c r="H6" s="1376"/>
      <c r="I6" s="1376"/>
      <c r="J6" s="1376"/>
      <c r="K6" s="1376"/>
      <c r="L6" s="1376"/>
      <c r="M6" s="1376"/>
      <c r="N6" s="1376"/>
      <c r="O6" s="1376"/>
      <c r="P6" s="1376"/>
      <c r="Q6" s="1376"/>
      <c r="R6" s="1376"/>
      <c r="S6" s="1376"/>
      <c r="T6" s="1376"/>
      <c r="U6" s="1376"/>
      <c r="V6" s="1376"/>
      <c r="W6" s="1376"/>
      <c r="X6" s="1376"/>
      <c r="Y6" s="1376"/>
      <c r="Z6" s="1376"/>
      <c r="AA6" s="1376"/>
      <c r="AB6" s="1376"/>
      <c r="AC6" s="1376"/>
      <c r="AD6" s="1376"/>
      <c r="AE6" s="1376"/>
      <c r="AF6" s="1376"/>
      <c r="AG6" s="1376"/>
      <c r="AH6" s="1376"/>
      <c r="AI6" s="1376"/>
      <c r="AJ6" s="1376"/>
      <c r="AK6" s="1376"/>
      <c r="AL6" s="1376"/>
      <c r="AM6" s="1376"/>
      <c r="AN6" s="1376"/>
      <c r="AO6" s="1376"/>
      <c r="AP6" s="1376"/>
      <c r="AQ6" s="1376"/>
      <c r="AR6" s="1376"/>
      <c r="AS6" s="1376"/>
      <c r="AT6" s="1376"/>
      <c r="AU6" s="1376"/>
      <c r="AV6" s="1376"/>
      <c r="AW6" s="1376"/>
      <c r="AX6" s="1377"/>
      <c r="AZ6" s="378"/>
      <c r="BD6" s="378"/>
      <c r="BE6" s="378"/>
      <c r="BG6" s="378"/>
    </row>
    <row r="7" spans="1:65" s="228" customFormat="1" ht="48" hidden="1" customHeight="1" thickTop="1" thickBot="1">
      <c r="A7" s="227"/>
      <c r="B7" s="1378" t="s">
        <v>1147</v>
      </c>
      <c r="C7" s="1379"/>
      <c r="D7" s="1379"/>
      <c r="E7" s="1379"/>
      <c r="F7" s="1379"/>
      <c r="G7" s="1379"/>
      <c r="H7" s="1379"/>
      <c r="I7" s="1379"/>
      <c r="J7" s="1379"/>
      <c r="K7" s="1379"/>
      <c r="L7" s="1379"/>
      <c r="M7" s="1379"/>
      <c r="N7" s="1379"/>
      <c r="O7" s="1379"/>
      <c r="P7" s="1379"/>
      <c r="Q7" s="1379"/>
      <c r="R7" s="1379"/>
      <c r="S7" s="1379"/>
      <c r="T7" s="1379"/>
      <c r="U7" s="1379"/>
      <c r="V7" s="1379"/>
      <c r="W7" s="1379"/>
      <c r="X7" s="1379"/>
      <c r="Y7" s="1379"/>
      <c r="Z7" s="1379"/>
      <c r="AA7" s="1379"/>
      <c r="AB7" s="1379"/>
      <c r="AC7" s="1379"/>
      <c r="AD7" s="1379"/>
      <c r="AE7" s="1379"/>
      <c r="AF7" s="1379"/>
      <c r="AG7" s="1379"/>
      <c r="AH7" s="1379"/>
      <c r="AI7" s="1379"/>
      <c r="AJ7" s="1379"/>
      <c r="AK7" s="1379"/>
      <c r="AL7" s="1379"/>
      <c r="AM7" s="1379"/>
      <c r="AN7" s="1379"/>
      <c r="AO7" s="1379"/>
      <c r="AP7" s="1379"/>
      <c r="AQ7" s="1379"/>
      <c r="AR7" s="1379"/>
      <c r="AS7" s="1379"/>
      <c r="AT7" s="1379"/>
      <c r="AU7" s="1379"/>
      <c r="AV7" s="1379"/>
      <c r="AW7" s="1379"/>
      <c r="AX7" s="1380"/>
      <c r="AY7" s="227"/>
    </row>
    <row r="8" spans="1:65" ht="24" customHeight="1" thickTop="1">
      <c r="B8" s="1230" t="s">
        <v>1148</v>
      </c>
      <c r="C8" s="1231"/>
      <c r="D8" s="1231"/>
      <c r="E8" s="1231"/>
      <c r="F8" s="1231"/>
      <c r="G8" s="1231"/>
      <c r="H8" s="1231"/>
      <c r="I8" s="1231"/>
      <c r="J8" s="1231"/>
      <c r="K8" s="1231"/>
      <c r="L8" s="1231"/>
      <c r="M8" s="1231"/>
      <c r="N8" s="1231"/>
      <c r="O8" s="1231"/>
      <c r="P8" s="1231"/>
      <c r="Q8" s="1231"/>
      <c r="R8" s="1231"/>
      <c r="S8" s="1231"/>
      <c r="T8" s="1231"/>
      <c r="U8" s="1231"/>
      <c r="V8" s="1231"/>
      <c r="W8" s="1231"/>
      <c r="X8" s="1231"/>
      <c r="Y8" s="1231"/>
      <c r="Z8" s="1231"/>
      <c r="AA8" s="1231"/>
      <c r="AB8" s="1231"/>
      <c r="AC8" s="1231"/>
      <c r="AD8" s="1231"/>
      <c r="AE8" s="1231"/>
      <c r="AF8" s="1231"/>
      <c r="AG8" s="1231"/>
      <c r="AH8" s="1231"/>
      <c r="AI8" s="1231"/>
      <c r="AJ8" s="1231"/>
      <c r="AK8" s="1231"/>
      <c r="AL8" s="1231"/>
      <c r="AM8" s="1231"/>
      <c r="AN8" s="1231"/>
      <c r="AO8" s="1231"/>
      <c r="AP8" s="1231"/>
      <c r="AQ8" s="1231"/>
      <c r="AR8" s="1231"/>
      <c r="AS8" s="1231"/>
      <c r="AT8" s="1231"/>
      <c r="AU8" s="1231"/>
      <c r="AV8" s="1231"/>
      <c r="AW8" s="1231"/>
      <c r="AX8" s="1231"/>
      <c r="AZ8" s="378"/>
      <c r="BD8" s="378"/>
      <c r="BE8" s="378"/>
      <c r="BF8" s="229"/>
      <c r="BG8" s="378"/>
    </row>
    <row r="9" spans="1:65" ht="24" customHeight="1">
      <c r="B9" s="1230" t="s">
        <v>1012</v>
      </c>
      <c r="C9" s="1231"/>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1"/>
      <c r="AB9" s="1231"/>
      <c r="AC9" s="1231"/>
      <c r="AD9" s="1231"/>
      <c r="AE9" s="1231"/>
      <c r="AF9" s="1231"/>
      <c r="AG9" s="1231"/>
      <c r="AH9" s="1231"/>
      <c r="AI9" s="1231"/>
      <c r="AJ9" s="1231"/>
      <c r="AK9" s="1231"/>
      <c r="AL9" s="1231"/>
      <c r="AM9" s="1231"/>
      <c r="AN9" s="1231"/>
      <c r="AO9" s="1231"/>
      <c r="AP9" s="1231"/>
      <c r="AQ9" s="1231"/>
      <c r="AR9" s="1231"/>
      <c r="AS9" s="1231"/>
      <c r="AT9" s="1231"/>
      <c r="AU9" s="1231"/>
      <c r="AV9" s="1231"/>
      <c r="AW9" s="1231"/>
      <c r="AX9" s="1231"/>
      <c r="AZ9" s="378"/>
      <c r="BD9" s="378"/>
      <c r="BE9" s="378"/>
      <c r="BG9" s="378"/>
    </row>
    <row r="10" spans="1:65" ht="24" customHeight="1">
      <c r="B10" s="1232" t="s">
        <v>1149</v>
      </c>
      <c r="C10" s="1233"/>
      <c r="D10" s="1233"/>
      <c r="E10" s="1233"/>
      <c r="F10" s="1233"/>
      <c r="G10" s="1233"/>
      <c r="H10" s="1233"/>
      <c r="I10" s="1233"/>
      <c r="J10" s="1233"/>
      <c r="K10" s="1233"/>
      <c r="L10" s="1233"/>
      <c r="M10" s="1233"/>
      <c r="N10" s="1233"/>
      <c r="O10" s="1233"/>
      <c r="P10" s="1233"/>
      <c r="Q10" s="1233"/>
      <c r="R10" s="1233"/>
      <c r="S10" s="1233"/>
      <c r="T10" s="1233"/>
      <c r="U10" s="1233"/>
      <c r="V10" s="1233"/>
      <c r="W10" s="1233"/>
      <c r="X10" s="1233"/>
      <c r="Y10" s="1233"/>
      <c r="Z10" s="1233"/>
      <c r="AA10" s="1233"/>
      <c r="AB10" s="1233"/>
      <c r="AC10" s="1233"/>
      <c r="AD10" s="1233"/>
      <c r="AE10" s="1233"/>
      <c r="AF10" s="1233"/>
      <c r="AG10" s="1233"/>
      <c r="AH10" s="1233"/>
      <c r="AI10" s="1233"/>
      <c r="AJ10" s="1233"/>
      <c r="AK10" s="1233"/>
      <c r="AL10" s="1233"/>
      <c r="AM10" s="1233"/>
      <c r="AN10" s="1233"/>
      <c r="AO10" s="1233"/>
      <c r="AP10" s="1233"/>
      <c r="AQ10" s="1233"/>
      <c r="AR10" s="1233"/>
      <c r="AS10" s="1233"/>
      <c r="AT10" s="1233"/>
      <c r="AU10" s="1233"/>
      <c r="AV10" s="1231"/>
      <c r="AW10" s="1231"/>
      <c r="AX10" s="1231"/>
      <c r="AZ10" s="378"/>
      <c r="BD10" s="378"/>
      <c r="BE10" s="378"/>
      <c r="BG10" s="378"/>
    </row>
    <row r="11" spans="1:65" ht="24" customHeight="1">
      <c r="B11" s="1233"/>
      <c r="C11" s="1233"/>
      <c r="D11" s="1233"/>
      <c r="E11" s="1233"/>
      <c r="F11" s="1233"/>
      <c r="G11" s="1233"/>
      <c r="H11" s="1233"/>
      <c r="I11" s="1233"/>
      <c r="J11" s="1233"/>
      <c r="K11" s="1233"/>
      <c r="L11" s="1233"/>
      <c r="M11" s="1233"/>
      <c r="N11" s="1233"/>
      <c r="O11" s="1233"/>
      <c r="P11" s="1233"/>
      <c r="Q11" s="1233"/>
      <c r="R11" s="1233"/>
      <c r="S11" s="1233"/>
      <c r="T11" s="1233"/>
      <c r="U11" s="1233"/>
      <c r="V11" s="1233"/>
      <c r="W11" s="1233"/>
      <c r="X11" s="1233"/>
      <c r="Y11" s="1233"/>
      <c r="Z11" s="1233"/>
      <c r="AA11" s="1233"/>
      <c r="AB11" s="1233"/>
      <c r="AC11" s="1233"/>
      <c r="AD11" s="1233"/>
      <c r="AE11" s="1233"/>
      <c r="AF11" s="1233"/>
      <c r="AG11" s="1233"/>
      <c r="AH11" s="1233"/>
      <c r="AI11" s="1233"/>
      <c r="AJ11" s="1233"/>
      <c r="AK11" s="1233"/>
      <c r="AL11" s="1233"/>
      <c r="AM11" s="1233"/>
      <c r="AN11" s="1233"/>
      <c r="AO11" s="1233"/>
      <c r="AP11" s="1233"/>
      <c r="AQ11" s="1233"/>
      <c r="AR11" s="1233"/>
      <c r="AS11" s="1233"/>
      <c r="AT11" s="1233"/>
      <c r="AU11" s="1233"/>
      <c r="AV11" s="1231"/>
      <c r="AW11" s="1231"/>
      <c r="AX11" s="1231"/>
      <c r="AZ11" s="378"/>
      <c r="BD11" s="378"/>
      <c r="BE11" s="378"/>
      <c r="BG11" s="378"/>
    </row>
    <row r="12" spans="1:65" s="228" customFormat="1" ht="48" customHeight="1">
      <c r="A12" s="227"/>
      <c r="B12" s="1232" t="s">
        <v>1013</v>
      </c>
      <c r="C12" s="1233"/>
      <c r="D12" s="1233"/>
      <c r="E12" s="1233"/>
      <c r="F12" s="1233"/>
      <c r="G12" s="1233"/>
      <c r="H12" s="1233"/>
      <c r="I12" s="1233"/>
      <c r="J12" s="1233"/>
      <c r="K12" s="1233"/>
      <c r="L12" s="1233"/>
      <c r="M12" s="1233"/>
      <c r="N12" s="1233"/>
      <c r="O12" s="1233"/>
      <c r="P12" s="1233"/>
      <c r="Q12" s="1233"/>
      <c r="R12" s="1233"/>
      <c r="S12" s="1233"/>
      <c r="T12" s="1233"/>
      <c r="U12" s="1233"/>
      <c r="V12" s="1233"/>
      <c r="W12" s="1233"/>
      <c r="X12" s="1233"/>
      <c r="Y12" s="1233"/>
      <c r="Z12" s="1233"/>
      <c r="AA12" s="1233"/>
      <c r="AB12" s="1233"/>
      <c r="AC12" s="1233"/>
      <c r="AD12" s="1233"/>
      <c r="AE12" s="1233"/>
      <c r="AF12" s="1233"/>
      <c r="AG12" s="1233"/>
      <c r="AH12" s="1233"/>
      <c r="AI12" s="1233"/>
      <c r="AJ12" s="1233"/>
      <c r="AK12" s="1233"/>
      <c r="AL12" s="1233"/>
      <c r="AM12" s="1233"/>
      <c r="AN12" s="1233"/>
      <c r="AO12" s="1233"/>
      <c r="AP12" s="1233"/>
      <c r="AQ12" s="1233"/>
      <c r="AR12" s="1233"/>
      <c r="AS12" s="1233"/>
      <c r="AT12" s="1233"/>
      <c r="AU12" s="1233"/>
      <c r="AV12" s="1233"/>
      <c r="AW12" s="1233"/>
      <c r="AX12" s="1233"/>
      <c r="AY12" s="227"/>
    </row>
    <row r="13" spans="1:65">
      <c r="BB13" s="222"/>
      <c r="BC13" s="222"/>
      <c r="BD13" s="222"/>
      <c r="BE13" s="222"/>
      <c r="BF13" s="222"/>
      <c r="BG13" s="222"/>
    </row>
    <row r="14" spans="1:65" ht="45" customHeight="1">
      <c r="B14" s="1372" t="str">
        <f>"１．勤務体制　　【総合判定】"&amp;AZ14&amp;CHAR(10)&amp;
"「３．配置情報」に入力いただく勤務時間数の目安情報として、コロナ病棟または病床を有する病棟における看護配置の割合を入力してください。"</f>
        <v>１．勤務体制　　【総合判定】○
「３．配置情報」に入力いただく勤務時間数の目安情報として、コロナ病棟または病床を有する病棟における看護配置の割合を入力してください。</v>
      </c>
      <c r="C14" s="1372"/>
      <c r="D14" s="1372"/>
      <c r="E14" s="1372"/>
      <c r="F14" s="1372"/>
      <c r="G14" s="1372"/>
      <c r="H14" s="1372"/>
      <c r="I14" s="1372"/>
      <c r="J14" s="1372"/>
      <c r="K14" s="1372"/>
      <c r="L14" s="1372"/>
      <c r="M14" s="1372"/>
      <c r="N14" s="1372"/>
      <c r="O14" s="1372"/>
      <c r="P14" s="1372"/>
      <c r="Q14" s="1372"/>
      <c r="R14" s="1372"/>
      <c r="S14" s="1372"/>
      <c r="T14" s="1372"/>
      <c r="U14" s="1372"/>
      <c r="V14" s="1372"/>
      <c r="W14" s="1372"/>
      <c r="X14" s="1372"/>
      <c r="Y14" s="1372"/>
      <c r="Z14" s="1372"/>
      <c r="AA14" s="1372"/>
      <c r="AB14" s="1372"/>
      <c r="AC14" s="1372"/>
      <c r="AD14" s="1372"/>
      <c r="AE14" s="1372"/>
      <c r="AF14" s="1372"/>
      <c r="AG14" s="1372"/>
      <c r="AH14" s="1372"/>
      <c r="AI14" s="1372"/>
      <c r="AJ14" s="1372"/>
      <c r="AK14" s="1372"/>
      <c r="AL14" s="1372"/>
      <c r="AM14" s="1372"/>
      <c r="AN14" s="1372"/>
      <c r="AO14" s="1372"/>
      <c r="AP14" s="1372"/>
      <c r="AQ14" s="1372"/>
      <c r="AR14" s="1372"/>
      <c r="AS14" s="1372"/>
      <c r="AT14" s="1372"/>
      <c r="AU14" s="1372"/>
      <c r="AV14" s="1372"/>
      <c r="AW14" s="1372"/>
      <c r="AX14" s="1372"/>
      <c r="AY14" s="1372"/>
      <c r="AZ14" s="380" t="str">
        <f>IF(SUM(COUNTA(G18),COUNTA(L18))=2,"○","×")</f>
        <v>○</v>
      </c>
      <c r="BB14" s="222"/>
      <c r="BC14" s="230"/>
      <c r="BD14" s="222"/>
      <c r="BE14" s="222"/>
      <c r="BF14" s="222"/>
      <c r="BG14" s="222"/>
    </row>
    <row r="15" spans="1:65" s="231" customFormat="1" ht="18.75" customHeight="1">
      <c r="A15" s="222"/>
      <c r="B15" s="222"/>
      <c r="C15" s="222"/>
      <c r="D15" s="222"/>
      <c r="E15" s="222"/>
      <c r="F15" s="222"/>
      <c r="G15" s="222"/>
      <c r="H15" s="222"/>
      <c r="I15" s="222"/>
      <c r="J15" s="222"/>
      <c r="K15" s="222"/>
      <c r="L15" s="222"/>
      <c r="M15" s="222"/>
      <c r="N15" s="222"/>
      <c r="O15" s="222"/>
      <c r="P15" s="222"/>
      <c r="Q15" s="222"/>
      <c r="R15" s="222"/>
      <c r="S15" s="222"/>
      <c r="T15" s="222"/>
      <c r="U15" s="222"/>
      <c r="V15" s="222"/>
      <c r="W15" s="222"/>
      <c r="X15" s="222"/>
      <c r="Y15" s="222"/>
      <c r="Z15" s="222"/>
      <c r="AA15" s="222"/>
      <c r="AB15" s="222"/>
      <c r="AC15" s="222"/>
      <c r="AD15" s="222"/>
      <c r="AE15" s="222"/>
      <c r="AF15" s="222"/>
      <c r="AG15" s="222"/>
      <c r="AH15" s="222"/>
      <c r="AI15" s="222"/>
      <c r="AJ15" s="222"/>
      <c r="AK15" s="222"/>
      <c r="AL15" s="222"/>
      <c r="AM15" s="222"/>
      <c r="AN15" s="222"/>
      <c r="AO15" s="222"/>
      <c r="AP15" s="222"/>
      <c r="AQ15" s="222"/>
      <c r="AR15" s="222"/>
      <c r="AS15" s="222"/>
      <c r="AT15" s="222"/>
      <c r="AU15" s="222"/>
      <c r="AV15" s="222"/>
      <c r="AW15" s="222"/>
      <c r="AX15" s="222"/>
      <c r="AY15" s="222"/>
      <c r="BA15" s="232"/>
      <c r="BB15" s="375"/>
      <c r="BC15" s="375"/>
      <c r="BD15" s="376"/>
      <c r="BE15" s="222"/>
      <c r="BF15" s="222"/>
      <c r="BG15" s="222"/>
    </row>
    <row r="16" spans="1:65" s="231" customFormat="1" ht="18.75" customHeight="1">
      <c r="A16" s="222"/>
      <c r="B16" s="1050" t="s">
        <v>1153</v>
      </c>
      <c r="C16" s="857"/>
      <c r="D16" s="857"/>
      <c r="E16" s="857"/>
      <c r="F16" s="1051"/>
      <c r="G16" s="1050" t="s">
        <v>1154</v>
      </c>
      <c r="H16" s="857"/>
      <c r="I16" s="857"/>
      <c r="J16" s="857"/>
      <c r="K16" s="1051"/>
      <c r="L16" s="1050" t="s">
        <v>1155</v>
      </c>
      <c r="M16" s="857"/>
      <c r="N16" s="857"/>
      <c r="O16" s="857"/>
      <c r="P16" s="1051"/>
      <c r="Q16" s="233"/>
      <c r="R16" s="233"/>
      <c r="S16" s="233"/>
      <c r="T16" s="233"/>
      <c r="U16" s="233"/>
      <c r="V16" s="233"/>
      <c r="W16" s="233"/>
      <c r="X16" s="233"/>
      <c r="Y16" s="233"/>
      <c r="Z16" s="233"/>
      <c r="AA16" s="233"/>
      <c r="AB16" s="233"/>
      <c r="AC16" s="233"/>
      <c r="AD16" s="233"/>
      <c r="AE16" s="233"/>
      <c r="AF16" s="233"/>
      <c r="AG16" s="233"/>
      <c r="AH16" s="233"/>
      <c r="AI16" s="233"/>
      <c r="AJ16" s="233"/>
      <c r="AK16" s="233"/>
      <c r="AL16" s="233"/>
      <c r="AM16" s="233"/>
      <c r="AN16" s="233"/>
      <c r="AO16" s="233"/>
      <c r="AP16" s="233"/>
      <c r="AQ16" s="233"/>
      <c r="AR16" s="233"/>
      <c r="AS16" s="233"/>
      <c r="AT16" s="233"/>
      <c r="AU16" s="233"/>
      <c r="AV16" s="233"/>
      <c r="AW16" s="233"/>
      <c r="AX16" s="233"/>
      <c r="AY16" s="222"/>
      <c r="BA16" s="232"/>
      <c r="BB16" s="375"/>
      <c r="BC16" s="375"/>
      <c r="BD16" s="376"/>
      <c r="BE16" s="222"/>
      <c r="BF16" s="222"/>
      <c r="BG16" s="222"/>
    </row>
    <row r="17" spans="1:79" s="231" customFormat="1" ht="18.75" customHeight="1">
      <c r="A17" s="222"/>
      <c r="B17" s="857"/>
      <c r="C17" s="857"/>
      <c r="D17" s="857"/>
      <c r="E17" s="857"/>
      <c r="F17" s="1051"/>
      <c r="G17" s="857"/>
      <c r="H17" s="857"/>
      <c r="I17" s="857"/>
      <c r="J17" s="857"/>
      <c r="K17" s="1051"/>
      <c r="L17" s="857"/>
      <c r="M17" s="857"/>
      <c r="N17" s="857"/>
      <c r="O17" s="857"/>
      <c r="P17" s="1051"/>
      <c r="Q17" s="387"/>
      <c r="R17" s="387"/>
      <c r="S17" s="387"/>
      <c r="T17" s="387"/>
      <c r="U17" s="387"/>
      <c r="V17" s="387"/>
      <c r="W17" s="387"/>
      <c r="X17" s="387"/>
      <c r="Y17" s="387"/>
      <c r="Z17" s="387"/>
      <c r="AA17" s="387"/>
      <c r="AB17" s="387"/>
      <c r="AC17" s="387"/>
      <c r="AD17" s="387"/>
      <c r="AE17" s="387"/>
      <c r="AF17" s="387"/>
      <c r="AG17" s="387"/>
      <c r="AH17" s="387"/>
      <c r="AI17" s="387"/>
      <c r="AJ17" s="387"/>
      <c r="AK17" s="387"/>
      <c r="AL17" s="387"/>
      <c r="AM17" s="387"/>
      <c r="AN17" s="387"/>
      <c r="AO17" s="387"/>
      <c r="AP17" s="387"/>
      <c r="AQ17" s="387"/>
      <c r="AR17" s="387"/>
      <c r="AS17" s="387"/>
      <c r="AT17" s="387"/>
      <c r="AU17" s="387"/>
      <c r="AV17" s="387"/>
      <c r="AW17" s="387"/>
      <c r="AX17" s="387"/>
      <c r="AY17" s="222"/>
      <c r="BB17" s="222"/>
      <c r="BC17" s="230"/>
      <c r="BD17" s="222"/>
      <c r="BE17" s="222"/>
      <c r="BF17" s="222"/>
      <c r="BG17" s="222"/>
    </row>
    <row r="18" spans="1:79" s="231" customFormat="1" ht="18.75" customHeight="1">
      <c r="A18" s="222"/>
      <c r="B18" s="1050" t="s">
        <v>1152</v>
      </c>
      <c r="C18" s="1051"/>
      <c r="D18" s="1051"/>
      <c r="E18" s="1051"/>
      <c r="F18" s="1051"/>
      <c r="G18" s="1052">
        <v>7</v>
      </c>
      <c r="H18" s="1053"/>
      <c r="I18" s="1057" t="s">
        <v>1156</v>
      </c>
      <c r="J18" s="1055">
        <v>1</v>
      </c>
      <c r="K18" s="857"/>
      <c r="L18" s="1052">
        <v>7</v>
      </c>
      <c r="M18" s="1053"/>
      <c r="N18" s="1057" t="s">
        <v>1156</v>
      </c>
      <c r="O18" s="1055">
        <v>1</v>
      </c>
      <c r="P18" s="857"/>
      <c r="Q18" s="222"/>
      <c r="R18" s="222"/>
      <c r="S18" s="222"/>
      <c r="T18" s="222"/>
      <c r="U18" s="222"/>
      <c r="V18" s="222"/>
      <c r="W18" s="222"/>
      <c r="X18" s="222"/>
      <c r="Y18" s="222"/>
      <c r="Z18" s="222"/>
      <c r="AA18" s="222"/>
      <c r="AB18" s="222"/>
      <c r="AC18" s="222"/>
      <c r="AD18" s="222"/>
      <c r="AE18" s="222"/>
      <c r="AF18" s="222"/>
      <c r="AG18" s="222"/>
      <c r="AH18" s="222"/>
      <c r="AI18" s="222"/>
      <c r="AJ18" s="222"/>
      <c r="AK18" s="222"/>
      <c r="AL18" s="222"/>
      <c r="AM18" s="222"/>
      <c r="AN18" s="222"/>
      <c r="AO18" s="222"/>
      <c r="AP18" s="222"/>
      <c r="AQ18" s="222"/>
      <c r="AR18" s="222"/>
      <c r="AS18" s="222"/>
      <c r="AT18" s="222"/>
      <c r="AU18" s="222"/>
      <c r="AV18" s="222"/>
      <c r="AW18" s="222"/>
      <c r="AX18" s="222"/>
      <c r="AY18" s="222"/>
      <c r="BA18" s="232"/>
      <c r="BB18" s="375"/>
      <c r="BC18" s="375"/>
      <c r="BD18" s="375"/>
      <c r="BE18" s="376"/>
      <c r="BF18" s="222"/>
      <c r="BG18" s="222"/>
    </row>
    <row r="19" spans="1:79" ht="18.75" customHeight="1">
      <c r="B19" s="1051"/>
      <c r="C19" s="1051"/>
      <c r="D19" s="1051"/>
      <c r="E19" s="1051"/>
      <c r="F19" s="1051"/>
      <c r="G19" s="1054"/>
      <c r="H19" s="1053"/>
      <c r="I19" s="1058"/>
      <c r="J19" s="1056"/>
      <c r="K19" s="857"/>
      <c r="L19" s="1054"/>
      <c r="M19" s="1053"/>
      <c r="N19" s="1058"/>
      <c r="O19" s="1056"/>
      <c r="P19" s="857"/>
      <c r="Q19" s="374"/>
      <c r="R19" s="374"/>
      <c r="S19" s="374"/>
      <c r="T19" s="374"/>
      <c r="U19" s="374"/>
      <c r="V19" s="374"/>
      <c r="W19" s="374"/>
      <c r="X19" s="374"/>
      <c r="Y19" s="374"/>
      <c r="Z19" s="374"/>
      <c r="AA19" s="374"/>
      <c r="AB19" s="374"/>
      <c r="AC19" s="374"/>
      <c r="AD19" s="374"/>
      <c r="AE19" s="374"/>
      <c r="AF19" s="374"/>
      <c r="AG19" s="374"/>
      <c r="AH19" s="374"/>
      <c r="AI19" s="374"/>
      <c r="AJ19" s="374"/>
      <c r="AK19" s="374"/>
      <c r="AL19" s="374"/>
      <c r="AM19" s="374"/>
      <c r="AN19" s="374"/>
      <c r="AO19" s="374"/>
      <c r="AP19" s="374"/>
      <c r="AQ19" s="374"/>
      <c r="AR19" s="374"/>
      <c r="AS19" s="374"/>
      <c r="AT19" s="374"/>
      <c r="AU19" s="374"/>
      <c r="AV19" s="374"/>
      <c r="AW19" s="374"/>
      <c r="AX19" s="374"/>
      <c r="AY19" s="373"/>
      <c r="AZ19" s="378"/>
      <c r="BA19" s="1369" t="s">
        <v>1016</v>
      </c>
      <c r="BB19" s="1370"/>
      <c r="BC19" s="1370"/>
      <c r="BD19" s="1370"/>
      <c r="BE19" s="1371"/>
      <c r="BF19" s="222"/>
      <c r="BG19" s="222"/>
    </row>
    <row r="20" spans="1:79" ht="24" hidden="1">
      <c r="B20" s="373"/>
      <c r="C20" s="374"/>
      <c r="D20" s="374"/>
      <c r="E20" s="374"/>
      <c r="F20" s="374"/>
      <c r="G20" s="374"/>
      <c r="H20" s="374"/>
      <c r="I20" s="374"/>
      <c r="J20" s="374"/>
      <c r="K20" s="374"/>
      <c r="L20" s="374"/>
      <c r="M20" s="374"/>
      <c r="N20" s="374"/>
      <c r="O20" s="374"/>
      <c r="P20" s="374"/>
      <c r="Q20" s="374"/>
      <c r="R20" s="374"/>
      <c r="S20" s="374"/>
      <c r="T20" s="374"/>
      <c r="U20" s="374"/>
      <c r="V20" s="374"/>
      <c r="W20" s="374"/>
      <c r="X20" s="374"/>
      <c r="Y20" s="374"/>
      <c r="Z20" s="374"/>
      <c r="AA20" s="374"/>
      <c r="AB20" s="374"/>
      <c r="AC20" s="374"/>
      <c r="AD20" s="374"/>
      <c r="AE20" s="374"/>
      <c r="AF20" s="374"/>
      <c r="AG20" s="374"/>
      <c r="AH20" s="374"/>
      <c r="AI20" s="374"/>
      <c r="AJ20" s="374"/>
      <c r="AK20" s="374"/>
      <c r="AL20" s="374"/>
      <c r="AM20" s="374"/>
      <c r="AN20" s="374"/>
      <c r="AO20" s="374"/>
      <c r="AP20" s="374"/>
      <c r="AQ20" s="374"/>
      <c r="AR20" s="374"/>
      <c r="AS20" s="374"/>
      <c r="AT20" s="374"/>
      <c r="AU20" s="374"/>
      <c r="AV20" s="374"/>
      <c r="AW20" s="374"/>
      <c r="AX20" s="374"/>
      <c r="AY20" s="234"/>
      <c r="AZ20" s="378"/>
      <c r="BA20" s="1369" t="s">
        <v>1020</v>
      </c>
      <c r="BB20" s="1370"/>
      <c r="BC20" s="1370"/>
      <c r="BD20" s="1370"/>
      <c r="BE20" s="1371"/>
      <c r="BG20" s="378"/>
    </row>
    <row r="21" spans="1:79" ht="24" hidden="1">
      <c r="B21" s="373"/>
      <c r="C21" s="374"/>
      <c r="D21" s="374"/>
      <c r="E21" s="374"/>
      <c r="F21" s="374"/>
      <c r="G21" s="374"/>
      <c r="H21" s="374"/>
      <c r="I21" s="374"/>
      <c r="J21" s="374"/>
      <c r="K21" s="374"/>
      <c r="L21" s="374"/>
      <c r="M21" s="374"/>
      <c r="N21" s="374"/>
      <c r="O21" s="374"/>
      <c r="P21" s="374"/>
      <c r="Q21" s="374"/>
      <c r="R21" s="374"/>
      <c r="S21" s="374"/>
      <c r="T21" s="374"/>
      <c r="U21" s="374"/>
      <c r="V21" s="374"/>
      <c r="W21" s="374"/>
      <c r="X21" s="374"/>
      <c r="Y21" s="374"/>
      <c r="Z21" s="374"/>
      <c r="AA21" s="374"/>
      <c r="AB21" s="374"/>
      <c r="AC21" s="374"/>
      <c r="AD21" s="374"/>
      <c r="AE21" s="374"/>
      <c r="AF21" s="374"/>
      <c r="AG21" s="374"/>
      <c r="AH21" s="374"/>
      <c r="AI21" s="374"/>
      <c r="AJ21" s="374"/>
      <c r="AK21" s="374"/>
      <c r="AL21" s="374"/>
      <c r="AM21" s="374"/>
      <c r="AN21" s="374"/>
      <c r="AO21" s="374"/>
      <c r="AP21" s="374"/>
      <c r="AQ21" s="374"/>
      <c r="AR21" s="374"/>
      <c r="AS21" s="374"/>
      <c r="AT21" s="374"/>
      <c r="AU21" s="374"/>
      <c r="AV21" s="374"/>
      <c r="AW21" s="374"/>
      <c r="AX21" s="374"/>
      <c r="AY21" s="234"/>
      <c r="AZ21" s="378"/>
      <c r="BB21" s="222"/>
      <c r="BC21" s="230"/>
      <c r="BD21" s="378"/>
      <c r="BE21" s="378"/>
      <c r="BG21" s="378"/>
    </row>
    <row r="22" spans="1:79" ht="24" hidden="1">
      <c r="B22" s="373"/>
      <c r="C22" s="374"/>
      <c r="D22" s="374"/>
      <c r="E22" s="374"/>
      <c r="F22" s="374"/>
      <c r="G22" s="374"/>
      <c r="H22" s="374"/>
      <c r="I22" s="374"/>
      <c r="J22" s="374"/>
      <c r="K22" s="374"/>
      <c r="L22" s="374"/>
      <c r="M22" s="374"/>
      <c r="N22" s="374"/>
      <c r="O22" s="374"/>
      <c r="P22" s="374"/>
      <c r="Q22" s="374"/>
      <c r="R22" s="374"/>
      <c r="S22" s="374"/>
      <c r="T22" s="374"/>
      <c r="U22" s="374"/>
      <c r="V22" s="374"/>
      <c r="W22" s="374"/>
      <c r="X22" s="374"/>
      <c r="Y22" s="374"/>
      <c r="Z22" s="374"/>
      <c r="AA22" s="374"/>
      <c r="AB22" s="374"/>
      <c r="AC22" s="374"/>
      <c r="AD22" s="374"/>
      <c r="AE22" s="374"/>
      <c r="AF22" s="374"/>
      <c r="AG22" s="374"/>
      <c r="AH22" s="374"/>
      <c r="AI22" s="374"/>
      <c r="AJ22" s="374"/>
      <c r="AK22" s="374"/>
      <c r="AL22" s="374"/>
      <c r="AM22" s="374"/>
      <c r="AN22" s="374"/>
      <c r="AO22" s="374"/>
      <c r="AP22" s="374"/>
      <c r="AQ22" s="374"/>
      <c r="AR22" s="374"/>
      <c r="AS22" s="374"/>
      <c r="AT22" s="374"/>
      <c r="AU22" s="374"/>
      <c r="AV22" s="374"/>
      <c r="AW22" s="374"/>
      <c r="AX22" s="374"/>
      <c r="BA22" s="235" t="str">
        <f t="shared" ref="BA22:BA28" si="0">TEXT(H22&amp;":"&amp;J22,"hh:mm")</f>
        <v>:</v>
      </c>
      <c r="BB22" s="235" t="str">
        <f t="shared" ref="BB22:BB28" si="1">TEXT(L22&amp;":"&amp;N22,"hh:mm")</f>
        <v>:</v>
      </c>
      <c r="BC22" s="235" t="str">
        <f t="shared" ref="BC22:BC28" si="2">TEXT(O22&amp;":"&amp;Q22,"hh:mm")</f>
        <v>:</v>
      </c>
      <c r="BD22" s="235" t="str">
        <f t="shared" ref="BD22:BD28" si="3">TEXT(S22&amp;":"&amp;U22,"hh:mm")</f>
        <v>:</v>
      </c>
      <c r="BE22" s="235" t="str">
        <f t="shared" ref="BE22:BE28" si="4">TEXT(V22&amp;":"&amp;X22,"hh:mm")</f>
        <v>:</v>
      </c>
      <c r="BF22" s="235" t="str">
        <f t="shared" ref="BF22:BF28" si="5">TEXT(Z22&amp;":"&amp;AB22,"hh:mm")</f>
        <v>:</v>
      </c>
      <c r="BG22" s="378"/>
    </row>
    <row r="23" spans="1:79" ht="24" hidden="1">
      <c r="B23" s="373"/>
      <c r="C23" s="374"/>
      <c r="D23" s="374"/>
      <c r="E23" s="374"/>
      <c r="F23" s="374"/>
      <c r="G23" s="374"/>
      <c r="H23" s="374"/>
      <c r="I23" s="374"/>
      <c r="J23" s="374"/>
      <c r="K23" s="374"/>
      <c r="L23" s="374"/>
      <c r="M23" s="374"/>
      <c r="N23" s="374"/>
      <c r="O23" s="374"/>
      <c r="P23" s="374"/>
      <c r="Q23" s="374"/>
      <c r="R23" s="374"/>
      <c r="S23" s="374"/>
      <c r="T23" s="374"/>
      <c r="U23" s="374"/>
      <c r="V23" s="374"/>
      <c r="W23" s="374"/>
      <c r="X23" s="374"/>
      <c r="Y23" s="374"/>
      <c r="Z23" s="374"/>
      <c r="AA23" s="374"/>
      <c r="AB23" s="374"/>
      <c r="AC23" s="374"/>
      <c r="AD23" s="374"/>
      <c r="AE23" s="374"/>
      <c r="AF23" s="374"/>
      <c r="AG23" s="374"/>
      <c r="AH23" s="374"/>
      <c r="AI23" s="374"/>
      <c r="AJ23" s="374"/>
      <c r="AK23" s="374"/>
      <c r="AL23" s="374"/>
      <c r="AM23" s="374"/>
      <c r="AN23" s="374"/>
      <c r="AO23" s="374"/>
      <c r="AP23" s="374"/>
      <c r="AQ23" s="374"/>
      <c r="AR23" s="374"/>
      <c r="AS23" s="374"/>
      <c r="AT23" s="374"/>
      <c r="AU23" s="374"/>
      <c r="AV23" s="374"/>
      <c r="AW23" s="374"/>
      <c r="AX23" s="374"/>
      <c r="BA23" s="235" t="str">
        <f t="shared" si="0"/>
        <v>:</v>
      </c>
      <c r="BB23" s="235" t="str">
        <f t="shared" si="1"/>
        <v>:</v>
      </c>
      <c r="BC23" s="235" t="str">
        <f t="shared" si="2"/>
        <v>:</v>
      </c>
      <c r="BD23" s="235" t="str">
        <f t="shared" si="3"/>
        <v>:</v>
      </c>
      <c r="BE23" s="235" t="str">
        <f t="shared" si="4"/>
        <v>:</v>
      </c>
      <c r="BF23" s="235" t="str">
        <f t="shared" si="5"/>
        <v>:</v>
      </c>
      <c r="BG23" s="222"/>
    </row>
    <row r="24" spans="1:79" ht="24" hidden="1">
      <c r="B24" s="373"/>
      <c r="C24" s="374"/>
      <c r="D24" s="374"/>
      <c r="E24" s="374"/>
      <c r="F24" s="374"/>
      <c r="G24" s="374"/>
      <c r="H24" s="374"/>
      <c r="I24" s="374"/>
      <c r="J24" s="374"/>
      <c r="K24" s="374"/>
      <c r="L24" s="374"/>
      <c r="M24" s="374"/>
      <c r="N24" s="374"/>
      <c r="O24" s="374"/>
      <c r="P24" s="374"/>
      <c r="Q24" s="374"/>
      <c r="R24" s="374"/>
      <c r="S24" s="374"/>
      <c r="T24" s="374"/>
      <c r="U24" s="374"/>
      <c r="V24" s="374"/>
      <c r="W24" s="374"/>
      <c r="X24" s="374"/>
      <c r="Y24" s="374"/>
      <c r="Z24" s="374"/>
      <c r="AA24" s="374"/>
      <c r="AB24" s="374"/>
      <c r="AC24" s="374"/>
      <c r="AD24" s="374"/>
      <c r="AE24" s="374"/>
      <c r="AF24" s="374"/>
      <c r="AG24" s="374"/>
      <c r="AH24" s="374"/>
      <c r="AI24" s="374"/>
      <c r="AJ24" s="374"/>
      <c r="AK24" s="374"/>
      <c r="AL24" s="374"/>
      <c r="AM24" s="374"/>
      <c r="AN24" s="374"/>
      <c r="AO24" s="374"/>
      <c r="AP24" s="374"/>
      <c r="AQ24" s="374"/>
      <c r="AR24" s="374"/>
      <c r="AS24" s="374"/>
      <c r="AT24" s="374"/>
      <c r="AU24" s="374"/>
      <c r="AV24" s="374"/>
      <c r="AW24" s="374"/>
      <c r="AX24" s="374"/>
      <c r="BA24" s="235" t="str">
        <f t="shared" si="0"/>
        <v>:</v>
      </c>
      <c r="BB24" s="235" t="str">
        <f t="shared" si="1"/>
        <v>:</v>
      </c>
      <c r="BC24" s="235" t="str">
        <f t="shared" si="2"/>
        <v>:</v>
      </c>
      <c r="BD24" s="235" t="str">
        <f t="shared" si="3"/>
        <v>:</v>
      </c>
      <c r="BE24" s="235" t="str">
        <f t="shared" si="4"/>
        <v>:</v>
      </c>
      <c r="BF24" s="235" t="str">
        <f t="shared" si="5"/>
        <v>:</v>
      </c>
      <c r="BG24" s="222"/>
    </row>
    <row r="25" spans="1:79" ht="24" hidden="1">
      <c r="B25" s="373"/>
      <c r="C25" s="374"/>
      <c r="D25" s="374"/>
      <c r="E25" s="374"/>
      <c r="F25" s="374"/>
      <c r="G25" s="374"/>
      <c r="H25" s="374"/>
      <c r="I25" s="374"/>
      <c r="J25" s="374"/>
      <c r="K25" s="374"/>
      <c r="L25" s="374"/>
      <c r="M25" s="374"/>
      <c r="N25" s="374"/>
      <c r="O25" s="374"/>
      <c r="P25" s="374"/>
      <c r="Q25" s="374"/>
      <c r="R25" s="374"/>
      <c r="S25" s="374"/>
      <c r="T25" s="374"/>
      <c r="U25" s="374"/>
      <c r="V25" s="374"/>
      <c r="W25" s="374"/>
      <c r="X25" s="374"/>
      <c r="Y25" s="374"/>
      <c r="Z25" s="374"/>
      <c r="AA25" s="374"/>
      <c r="AB25" s="374"/>
      <c r="AC25" s="374"/>
      <c r="AD25" s="374"/>
      <c r="AE25" s="374"/>
      <c r="AF25" s="374"/>
      <c r="AG25" s="374"/>
      <c r="AH25" s="374"/>
      <c r="AI25" s="374"/>
      <c r="AJ25" s="374"/>
      <c r="AK25" s="374"/>
      <c r="AL25" s="374"/>
      <c r="AM25" s="374"/>
      <c r="AN25" s="374"/>
      <c r="AO25" s="374"/>
      <c r="AP25" s="374"/>
      <c r="AQ25" s="374"/>
      <c r="AR25" s="374"/>
      <c r="AS25" s="374"/>
      <c r="AT25" s="374"/>
      <c r="AU25" s="374"/>
      <c r="AV25" s="374"/>
      <c r="AW25" s="374"/>
      <c r="AX25" s="374"/>
      <c r="BA25" s="235" t="str">
        <f t="shared" si="0"/>
        <v>:</v>
      </c>
      <c r="BB25" s="235" t="str">
        <f t="shared" si="1"/>
        <v>:</v>
      </c>
      <c r="BC25" s="235" t="str">
        <f t="shared" si="2"/>
        <v>:</v>
      </c>
      <c r="BD25" s="235" t="str">
        <f t="shared" si="3"/>
        <v>:</v>
      </c>
      <c r="BE25" s="235" t="str">
        <f t="shared" si="4"/>
        <v>:</v>
      </c>
      <c r="BF25" s="235" t="str">
        <f t="shared" si="5"/>
        <v>:</v>
      </c>
      <c r="BG25" s="222"/>
    </row>
    <row r="26" spans="1:79" ht="24" hidden="1">
      <c r="B26" s="373"/>
      <c r="C26" s="374"/>
      <c r="D26" s="374"/>
      <c r="E26" s="374"/>
      <c r="F26" s="374"/>
      <c r="G26" s="374"/>
      <c r="H26" s="374"/>
      <c r="I26" s="374"/>
      <c r="J26" s="374"/>
      <c r="K26" s="374"/>
      <c r="L26" s="374"/>
      <c r="M26" s="374"/>
      <c r="N26" s="374"/>
      <c r="O26" s="374"/>
      <c r="P26" s="374"/>
      <c r="Q26" s="374"/>
      <c r="R26" s="374"/>
      <c r="S26" s="374"/>
      <c r="T26" s="374"/>
      <c r="U26" s="374"/>
      <c r="V26" s="374"/>
      <c r="W26" s="374"/>
      <c r="X26" s="374"/>
      <c r="Y26" s="374"/>
      <c r="Z26" s="374"/>
      <c r="AA26" s="374"/>
      <c r="AB26" s="374"/>
      <c r="AC26" s="374"/>
      <c r="AD26" s="374"/>
      <c r="AE26" s="374"/>
      <c r="AF26" s="374"/>
      <c r="AG26" s="374"/>
      <c r="AH26" s="374"/>
      <c r="AI26" s="374"/>
      <c r="AJ26" s="374"/>
      <c r="AK26" s="374"/>
      <c r="AL26" s="374"/>
      <c r="AM26" s="374"/>
      <c r="AN26" s="374"/>
      <c r="AO26" s="374"/>
      <c r="AP26" s="374"/>
      <c r="AQ26" s="374"/>
      <c r="AR26" s="374"/>
      <c r="AS26" s="374"/>
      <c r="AT26" s="374"/>
      <c r="AU26" s="374"/>
      <c r="AV26" s="374"/>
      <c r="AW26" s="374"/>
      <c r="AX26" s="374"/>
      <c r="AY26" s="372"/>
      <c r="BA26" s="235" t="str">
        <f t="shared" si="0"/>
        <v>:</v>
      </c>
      <c r="BB26" s="235" t="str">
        <f t="shared" si="1"/>
        <v>:</v>
      </c>
      <c r="BC26" s="235" t="str">
        <f t="shared" si="2"/>
        <v>:</v>
      </c>
      <c r="BD26" s="235" t="str">
        <f t="shared" si="3"/>
        <v>:</v>
      </c>
      <c r="BE26" s="235" t="str">
        <f t="shared" si="4"/>
        <v>:</v>
      </c>
      <c r="BF26" s="235" t="str">
        <f t="shared" si="5"/>
        <v>:</v>
      </c>
      <c r="BG26" s="222"/>
    </row>
    <row r="27" spans="1:79" ht="24" hidden="1">
      <c r="B27" s="1308"/>
      <c r="C27" s="1368"/>
      <c r="D27" s="1368"/>
      <c r="E27" s="1368"/>
      <c r="F27" s="1368"/>
      <c r="G27" s="1368"/>
      <c r="H27" s="1368"/>
      <c r="I27" s="1368"/>
      <c r="J27" s="1368"/>
      <c r="K27" s="1368"/>
      <c r="L27" s="1368"/>
      <c r="M27" s="1368"/>
      <c r="N27" s="1368"/>
      <c r="O27" s="1368"/>
      <c r="P27" s="1368"/>
      <c r="Q27" s="1368"/>
      <c r="R27" s="1368"/>
      <c r="S27" s="1368"/>
      <c r="T27" s="1368"/>
      <c r="U27" s="1368"/>
      <c r="V27" s="1368"/>
      <c r="W27" s="1368"/>
      <c r="X27" s="1368"/>
      <c r="Y27" s="1368"/>
      <c r="Z27" s="1368"/>
      <c r="AA27" s="1368"/>
      <c r="AB27" s="1368"/>
      <c r="AC27" s="1368"/>
      <c r="AD27" s="1368"/>
      <c r="AE27" s="1368"/>
      <c r="AF27" s="1368"/>
      <c r="AG27" s="1368"/>
      <c r="AH27" s="1368"/>
      <c r="AI27" s="1368"/>
      <c r="AJ27" s="1368"/>
      <c r="AK27" s="1368"/>
      <c r="AL27" s="1368"/>
      <c r="AM27" s="1368"/>
      <c r="AN27" s="1368"/>
      <c r="AO27" s="1368"/>
      <c r="AP27" s="1368"/>
      <c r="AQ27" s="1368"/>
      <c r="AR27" s="1368"/>
      <c r="AS27" s="1368"/>
      <c r="AT27" s="1368"/>
      <c r="AU27" s="1368"/>
      <c r="AV27" s="1368"/>
      <c r="AW27" s="1368"/>
      <c r="AX27" s="1368"/>
      <c r="BA27" s="235" t="str">
        <f t="shared" si="0"/>
        <v>:</v>
      </c>
      <c r="BB27" s="235" t="str">
        <f t="shared" si="1"/>
        <v>:</v>
      </c>
      <c r="BC27" s="235" t="str">
        <f t="shared" si="2"/>
        <v>:</v>
      </c>
      <c r="BD27" s="235" t="str">
        <f t="shared" si="3"/>
        <v>:</v>
      </c>
      <c r="BE27" s="235" t="str">
        <f t="shared" si="4"/>
        <v>:</v>
      </c>
      <c r="BF27" s="235" t="str">
        <f t="shared" si="5"/>
        <v>:</v>
      </c>
      <c r="BG27" s="222"/>
    </row>
    <row r="28" spans="1:79" ht="24" hidden="1">
      <c r="B28" s="1308"/>
      <c r="C28" s="1368"/>
      <c r="D28" s="1368"/>
      <c r="E28" s="1368"/>
      <c r="F28" s="1368"/>
      <c r="G28" s="1368"/>
      <c r="H28" s="1368"/>
      <c r="I28" s="1368"/>
      <c r="J28" s="1368"/>
      <c r="K28" s="1368"/>
      <c r="L28" s="1368"/>
      <c r="M28" s="1368"/>
      <c r="N28" s="1368"/>
      <c r="O28" s="1368"/>
      <c r="P28" s="1368"/>
      <c r="Q28" s="1368"/>
      <c r="R28" s="1368"/>
      <c r="S28" s="1368"/>
      <c r="T28" s="1368"/>
      <c r="U28" s="1368"/>
      <c r="V28" s="1368"/>
      <c r="W28" s="1368"/>
      <c r="X28" s="1368"/>
      <c r="Y28" s="1368"/>
      <c r="Z28" s="1368"/>
      <c r="AA28" s="1368"/>
      <c r="AB28" s="1368"/>
      <c r="AC28" s="1368"/>
      <c r="AD28" s="1368"/>
      <c r="AE28" s="1368"/>
      <c r="AF28" s="1368"/>
      <c r="AG28" s="1368"/>
      <c r="AH28" s="1368"/>
      <c r="AI28" s="1368"/>
      <c r="AJ28" s="1368"/>
      <c r="AK28" s="1368"/>
      <c r="AL28" s="1368"/>
      <c r="AM28" s="1368"/>
      <c r="AN28" s="1368"/>
      <c r="AO28" s="1368"/>
      <c r="AP28" s="1368"/>
      <c r="AQ28" s="1368"/>
      <c r="AR28" s="1368"/>
      <c r="AS28" s="1368"/>
      <c r="AT28" s="1368"/>
      <c r="AU28" s="1368"/>
      <c r="AV28" s="1368"/>
      <c r="AW28" s="1368"/>
      <c r="AX28" s="1368"/>
      <c r="BA28" s="235" t="str">
        <f t="shared" si="0"/>
        <v>:</v>
      </c>
      <c r="BB28" s="235" t="str">
        <f t="shared" si="1"/>
        <v>:</v>
      </c>
      <c r="BC28" s="235" t="str">
        <f t="shared" si="2"/>
        <v>:</v>
      </c>
      <c r="BD28" s="235" t="str">
        <f t="shared" si="3"/>
        <v>:</v>
      </c>
      <c r="BE28" s="235" t="str">
        <f t="shared" si="4"/>
        <v>:</v>
      </c>
      <c r="BF28" s="235" t="str">
        <f t="shared" si="5"/>
        <v>:</v>
      </c>
      <c r="BG28" s="222"/>
    </row>
    <row r="29" spans="1:79">
      <c r="BB29" s="229"/>
      <c r="BC29" s="236"/>
      <c r="CA29" s="237"/>
    </row>
    <row r="30" spans="1:79" ht="45" customHeight="1" thickBot="1">
      <c r="B30" s="1356" t="str">
        <f>"２．職員情報　　【総合判定】"&amp;AZ30&amp;IF(AZ30="×","（医師及び看護要員の氏名をそれぞれ１名以上ずつ所定の欄に入力してください。）","")</f>
        <v>２．職員情報　　【総合判定】○</v>
      </c>
      <c r="C30" s="1228"/>
      <c r="D30" s="1228"/>
      <c r="E30" s="1228"/>
      <c r="F30" s="1228"/>
      <c r="G30" s="1228"/>
      <c r="H30" s="1228"/>
      <c r="I30" s="1228"/>
      <c r="J30" s="1228"/>
      <c r="K30" s="1228"/>
      <c r="L30" s="1228"/>
      <c r="M30" s="1228"/>
      <c r="N30" s="1228"/>
      <c r="O30" s="1228"/>
      <c r="P30" s="1228"/>
      <c r="Q30" s="1228"/>
      <c r="R30" s="1228"/>
      <c r="S30" s="1228"/>
      <c r="T30" s="1228"/>
      <c r="U30" s="1228"/>
      <c r="V30" s="1228"/>
      <c r="W30" s="1228"/>
      <c r="X30" s="1228"/>
      <c r="Y30" s="1228"/>
      <c r="Z30" s="1228"/>
      <c r="AA30" s="1228"/>
      <c r="AB30" s="1228"/>
      <c r="AC30" s="1228"/>
      <c r="AD30" s="1228"/>
      <c r="AE30" s="1228"/>
      <c r="AF30" s="1228"/>
      <c r="AG30" s="1228"/>
      <c r="AH30" s="1228"/>
      <c r="AI30" s="1228"/>
      <c r="AJ30" s="1228"/>
      <c r="AK30" s="1228"/>
      <c r="AL30" s="1228"/>
      <c r="AM30" s="1228"/>
      <c r="AN30" s="1228"/>
      <c r="AO30" s="1228"/>
      <c r="AP30" s="1228"/>
      <c r="AQ30" s="1228"/>
      <c r="AR30" s="1228"/>
      <c r="AS30" s="1228"/>
      <c r="AT30" s="1228"/>
      <c r="AU30" s="1228"/>
      <c r="AV30" s="1228"/>
      <c r="AW30" s="1228"/>
      <c r="AX30" s="1228"/>
      <c r="AY30" s="1228"/>
      <c r="AZ30" s="380" t="str">
        <f>IF(AND(AS32&gt;0,AS35&gt;0),"○","×")</f>
        <v>○</v>
      </c>
      <c r="CA30" s="237"/>
    </row>
    <row r="31" spans="1:79" ht="25.5" thickTop="1" thickBot="1">
      <c r="B31" s="1357" t="s">
        <v>1038</v>
      </c>
      <c r="C31" s="1358"/>
      <c r="D31" s="1358"/>
      <c r="E31" s="1359" t="s">
        <v>1039</v>
      </c>
      <c r="F31" s="1360"/>
      <c r="G31" s="1360"/>
      <c r="H31" s="1360"/>
      <c r="I31" s="1360"/>
      <c r="J31" s="1360"/>
      <c r="K31" s="1360"/>
      <c r="L31" s="1360"/>
      <c r="M31" s="1360"/>
      <c r="N31" s="1360"/>
      <c r="O31" s="1360"/>
      <c r="P31" s="1360"/>
      <c r="Q31" s="1360"/>
      <c r="R31" s="1360"/>
      <c r="S31" s="1360"/>
      <c r="T31" s="1360"/>
      <c r="U31" s="1360"/>
      <c r="V31" s="1360"/>
      <c r="W31" s="1360"/>
      <c r="X31" s="1360"/>
      <c r="Y31" s="1360"/>
      <c r="Z31" s="1360"/>
      <c r="AA31" s="1360"/>
      <c r="AB31" s="1360"/>
      <c r="AC31" s="1360"/>
      <c r="AD31" s="1360"/>
      <c r="AE31" s="1360"/>
      <c r="AF31" s="1360"/>
      <c r="AG31" s="1360"/>
      <c r="AH31" s="1360"/>
      <c r="AI31" s="1360"/>
      <c r="AJ31" s="1360"/>
      <c r="AK31" s="1360"/>
      <c r="AL31" s="1360"/>
      <c r="AM31" s="1360"/>
      <c r="AN31" s="1360"/>
      <c r="AO31" s="1360"/>
      <c r="AP31" s="1360"/>
      <c r="AQ31" s="1360"/>
      <c r="AR31" s="1360"/>
      <c r="AS31" s="1361" t="s">
        <v>512</v>
      </c>
      <c r="AT31" s="1362"/>
      <c r="AU31" s="1362"/>
      <c r="AV31" s="1362"/>
      <c r="AW31" s="1363" t="s">
        <v>98</v>
      </c>
      <c r="AX31" s="1364"/>
      <c r="AY31" s="372"/>
      <c r="AZ31" s="1365" t="s">
        <v>1040</v>
      </c>
      <c r="BA31" s="1366"/>
      <c r="BB31" s="1366"/>
      <c r="BC31" s="1366"/>
      <c r="BD31" s="1366"/>
      <c r="BE31" s="1366"/>
      <c r="BF31" s="1366"/>
      <c r="BG31" s="1366"/>
      <c r="BH31" s="1366"/>
      <c r="BI31" s="1366"/>
      <c r="BJ31" s="1366"/>
      <c r="BK31" s="1366"/>
      <c r="BL31" s="1366"/>
      <c r="BM31" s="1366"/>
      <c r="BN31" s="1366"/>
      <c r="BO31" s="1366"/>
      <c r="BP31" s="1367"/>
      <c r="CA31" s="237"/>
    </row>
    <row r="32" spans="1:79" ht="24">
      <c r="B32" s="1310" t="s">
        <v>1041</v>
      </c>
      <c r="C32" s="1311"/>
      <c r="D32" s="1311"/>
      <c r="E32" s="1317" t="s">
        <v>1042</v>
      </c>
      <c r="F32" s="1318"/>
      <c r="G32" s="1318"/>
      <c r="H32" s="1319"/>
      <c r="I32" s="1320" t="s">
        <v>1201</v>
      </c>
      <c r="J32" s="1321"/>
      <c r="K32" s="1321"/>
      <c r="L32" s="1322"/>
      <c r="M32" s="1320"/>
      <c r="N32" s="1321"/>
      <c r="O32" s="1321"/>
      <c r="P32" s="1322"/>
      <c r="Q32" s="1320"/>
      <c r="R32" s="1321"/>
      <c r="S32" s="1321"/>
      <c r="T32" s="1322"/>
      <c r="U32" s="1320"/>
      <c r="V32" s="1321"/>
      <c r="W32" s="1321"/>
      <c r="X32" s="1322"/>
      <c r="Y32" s="1320"/>
      <c r="Z32" s="1321"/>
      <c r="AA32" s="1321"/>
      <c r="AB32" s="1322"/>
      <c r="AC32" s="1320"/>
      <c r="AD32" s="1321"/>
      <c r="AE32" s="1321"/>
      <c r="AF32" s="1322"/>
      <c r="AG32" s="1320"/>
      <c r="AH32" s="1321"/>
      <c r="AI32" s="1321"/>
      <c r="AJ32" s="1322"/>
      <c r="AK32" s="1320"/>
      <c r="AL32" s="1321"/>
      <c r="AM32" s="1321"/>
      <c r="AN32" s="1322"/>
      <c r="AO32" s="1320"/>
      <c r="AP32" s="1321"/>
      <c r="AQ32" s="1321"/>
      <c r="AR32" s="1322"/>
      <c r="AS32" s="1348">
        <f>IF(BR32="",COUNTA(E32:AR34)-1,BR32)</f>
        <v>1</v>
      </c>
      <c r="AT32" s="1349"/>
      <c r="AU32" s="1349"/>
      <c r="AV32" s="1349"/>
      <c r="AW32" s="1354" t="str">
        <f>IF(AS32&gt;0,"○","×")</f>
        <v>○</v>
      </c>
      <c r="AX32" s="1355"/>
      <c r="AY32" s="377"/>
      <c r="AZ32" s="1344" t="str">
        <f xml:space="preserve">
IF(AW32="×",
"【要修正】医師の氏名を１名以上記入してください。"
&amp;CHAR(10)&amp;CHAR(10)&amp;
"　　　　　また、１つの欄に姓と名を併せて入力してください。",
"適切に入力がされました。"
)</f>
        <v>適切に入力がされました。</v>
      </c>
      <c r="BA32" s="1345"/>
      <c r="BB32" s="1345"/>
      <c r="BC32" s="1345"/>
      <c r="BD32" s="1345"/>
      <c r="BE32" s="1345"/>
      <c r="BF32" s="1345"/>
      <c r="BG32" s="1345"/>
      <c r="BH32" s="1345"/>
      <c r="BI32" s="1345"/>
      <c r="BJ32" s="1345"/>
      <c r="BK32" s="1345"/>
      <c r="BL32" s="1345"/>
      <c r="BM32" s="1345"/>
      <c r="BN32" s="1345"/>
      <c r="BO32" s="1345"/>
      <c r="BP32" s="1346"/>
      <c r="BR32" s="438"/>
      <c r="BS32" s="378" t="s">
        <v>1268</v>
      </c>
      <c r="CA32" s="237"/>
    </row>
    <row r="33" spans="2:79" ht="24">
      <c r="B33" s="1312"/>
      <c r="C33" s="1313"/>
      <c r="D33" s="1313"/>
      <c r="E33" s="1323"/>
      <c r="F33" s="1324"/>
      <c r="G33" s="1324"/>
      <c r="H33" s="1325"/>
      <c r="I33" s="1323"/>
      <c r="J33" s="1324"/>
      <c r="K33" s="1324"/>
      <c r="L33" s="1325"/>
      <c r="M33" s="1323"/>
      <c r="N33" s="1324"/>
      <c r="O33" s="1324"/>
      <c r="P33" s="1325"/>
      <c r="Q33" s="1323"/>
      <c r="R33" s="1324"/>
      <c r="S33" s="1324"/>
      <c r="T33" s="1325"/>
      <c r="U33" s="1323"/>
      <c r="V33" s="1324"/>
      <c r="W33" s="1324"/>
      <c r="X33" s="1325"/>
      <c r="Y33" s="1323"/>
      <c r="Z33" s="1324"/>
      <c r="AA33" s="1324"/>
      <c r="AB33" s="1325"/>
      <c r="AC33" s="1323"/>
      <c r="AD33" s="1324"/>
      <c r="AE33" s="1324"/>
      <c r="AF33" s="1325"/>
      <c r="AG33" s="1323"/>
      <c r="AH33" s="1324"/>
      <c r="AI33" s="1324"/>
      <c r="AJ33" s="1325"/>
      <c r="AK33" s="1323"/>
      <c r="AL33" s="1324"/>
      <c r="AM33" s="1324"/>
      <c r="AN33" s="1325"/>
      <c r="AO33" s="1323"/>
      <c r="AP33" s="1324"/>
      <c r="AQ33" s="1324"/>
      <c r="AR33" s="1325"/>
      <c r="AS33" s="1350"/>
      <c r="AT33" s="1351"/>
      <c r="AU33" s="1351"/>
      <c r="AV33" s="1351"/>
      <c r="AW33" s="1340"/>
      <c r="AX33" s="1341"/>
      <c r="AY33" s="377"/>
      <c r="AZ33" s="1347"/>
      <c r="BA33" s="1345"/>
      <c r="BB33" s="1345"/>
      <c r="BC33" s="1345"/>
      <c r="BD33" s="1345"/>
      <c r="BE33" s="1345"/>
      <c r="BF33" s="1345"/>
      <c r="BG33" s="1345"/>
      <c r="BH33" s="1345"/>
      <c r="BI33" s="1345"/>
      <c r="BJ33" s="1345"/>
      <c r="BK33" s="1345"/>
      <c r="BL33" s="1345"/>
      <c r="BM33" s="1345"/>
      <c r="BN33" s="1345"/>
      <c r="BO33" s="1345"/>
      <c r="BP33" s="1346"/>
      <c r="CA33" s="237"/>
    </row>
    <row r="34" spans="2:79" ht="24.75" thickBot="1">
      <c r="B34" s="1315"/>
      <c r="C34" s="1316"/>
      <c r="D34" s="1316"/>
      <c r="E34" s="1305"/>
      <c r="F34" s="1306"/>
      <c r="G34" s="1306"/>
      <c r="H34" s="1307"/>
      <c r="I34" s="1305"/>
      <c r="J34" s="1306"/>
      <c r="K34" s="1306"/>
      <c r="L34" s="1307"/>
      <c r="M34" s="1305"/>
      <c r="N34" s="1306"/>
      <c r="O34" s="1306"/>
      <c r="P34" s="1307"/>
      <c r="Q34" s="1305"/>
      <c r="R34" s="1306"/>
      <c r="S34" s="1306"/>
      <c r="T34" s="1307"/>
      <c r="U34" s="1305"/>
      <c r="V34" s="1306"/>
      <c r="W34" s="1306"/>
      <c r="X34" s="1307"/>
      <c r="Y34" s="1305"/>
      <c r="Z34" s="1306"/>
      <c r="AA34" s="1306"/>
      <c r="AB34" s="1307"/>
      <c r="AC34" s="1305"/>
      <c r="AD34" s="1306"/>
      <c r="AE34" s="1306"/>
      <c r="AF34" s="1307"/>
      <c r="AG34" s="1305"/>
      <c r="AH34" s="1306"/>
      <c r="AI34" s="1306"/>
      <c r="AJ34" s="1307"/>
      <c r="AK34" s="1305"/>
      <c r="AL34" s="1306"/>
      <c r="AM34" s="1306"/>
      <c r="AN34" s="1307"/>
      <c r="AO34" s="1305"/>
      <c r="AP34" s="1306"/>
      <c r="AQ34" s="1306"/>
      <c r="AR34" s="1307"/>
      <c r="AS34" s="1352"/>
      <c r="AT34" s="1353"/>
      <c r="AU34" s="1353"/>
      <c r="AV34" s="1353"/>
      <c r="AW34" s="1340"/>
      <c r="AX34" s="1341"/>
      <c r="AY34" s="377"/>
      <c r="AZ34" s="1347"/>
      <c r="BA34" s="1345"/>
      <c r="BB34" s="1345"/>
      <c r="BC34" s="1345"/>
      <c r="BD34" s="1345"/>
      <c r="BE34" s="1345"/>
      <c r="BF34" s="1345"/>
      <c r="BG34" s="1345"/>
      <c r="BH34" s="1345"/>
      <c r="BI34" s="1345"/>
      <c r="BJ34" s="1345"/>
      <c r="BK34" s="1345"/>
      <c r="BL34" s="1345"/>
      <c r="BM34" s="1345"/>
      <c r="BN34" s="1345"/>
      <c r="BO34" s="1345"/>
      <c r="BP34" s="1346"/>
      <c r="CA34" s="237"/>
    </row>
    <row r="35" spans="2:79" ht="24">
      <c r="B35" s="1310" t="s">
        <v>1271</v>
      </c>
      <c r="C35" s="1311"/>
      <c r="D35" s="1311"/>
      <c r="E35" s="1317" t="s">
        <v>1043</v>
      </c>
      <c r="F35" s="1318"/>
      <c r="G35" s="1318"/>
      <c r="H35" s="1319"/>
      <c r="I35" s="1320" t="s">
        <v>1200</v>
      </c>
      <c r="J35" s="1321"/>
      <c r="K35" s="1321"/>
      <c r="L35" s="1322"/>
      <c r="M35" s="1320" t="s">
        <v>1201</v>
      </c>
      <c r="N35" s="1321"/>
      <c r="O35" s="1321"/>
      <c r="P35" s="1322"/>
      <c r="Q35" s="1320"/>
      <c r="R35" s="1321"/>
      <c r="S35" s="1321"/>
      <c r="T35" s="1322"/>
      <c r="U35" s="1320"/>
      <c r="V35" s="1321"/>
      <c r="W35" s="1321"/>
      <c r="X35" s="1322"/>
      <c r="Y35" s="1320"/>
      <c r="Z35" s="1321"/>
      <c r="AA35" s="1321"/>
      <c r="AB35" s="1322"/>
      <c r="AC35" s="1320"/>
      <c r="AD35" s="1321"/>
      <c r="AE35" s="1321"/>
      <c r="AF35" s="1322"/>
      <c r="AG35" s="1320"/>
      <c r="AH35" s="1321"/>
      <c r="AI35" s="1321"/>
      <c r="AJ35" s="1322"/>
      <c r="AK35" s="1320"/>
      <c r="AL35" s="1321"/>
      <c r="AM35" s="1321"/>
      <c r="AN35" s="1322"/>
      <c r="AO35" s="1320"/>
      <c r="AP35" s="1321"/>
      <c r="AQ35" s="1321"/>
      <c r="AR35" s="1322"/>
      <c r="AS35" s="1348">
        <f>IF(BR35="",COUNTA(E35:AR42)-1,BR35)</f>
        <v>2</v>
      </c>
      <c r="AT35" s="1349"/>
      <c r="AU35" s="1349"/>
      <c r="AV35" s="1349"/>
      <c r="AW35" s="1338" t="str">
        <f>IF(AS35&gt;0,"○","×")</f>
        <v>○</v>
      </c>
      <c r="AX35" s="1339"/>
      <c r="AY35" s="377"/>
      <c r="AZ35" s="1344" t="str">
        <f>IF(AW35="×",
"【要修正】看護要員の氏名を１名以上記入してください。"
&amp;CHAR(10)&amp;CHAR(10)&amp;
"　　　　　また、１つの欄に姓と名を併せて入力してください。",
"適切に入力がされました。")</f>
        <v>適切に入力がされました。</v>
      </c>
      <c r="BA35" s="1345"/>
      <c r="BB35" s="1345"/>
      <c r="BC35" s="1345"/>
      <c r="BD35" s="1345"/>
      <c r="BE35" s="1345"/>
      <c r="BF35" s="1345"/>
      <c r="BG35" s="1345"/>
      <c r="BH35" s="1345"/>
      <c r="BI35" s="1345"/>
      <c r="BJ35" s="1345"/>
      <c r="BK35" s="1345"/>
      <c r="BL35" s="1345"/>
      <c r="BM35" s="1345"/>
      <c r="BN35" s="1345"/>
      <c r="BO35" s="1345"/>
      <c r="BP35" s="1346"/>
      <c r="BR35" s="438"/>
      <c r="BS35" s="378" t="s">
        <v>1272</v>
      </c>
      <c r="CA35" s="237"/>
    </row>
    <row r="36" spans="2:79" ht="24">
      <c r="B36" s="1312"/>
      <c r="C36" s="1313"/>
      <c r="D36" s="1313"/>
      <c r="E36" s="1323"/>
      <c r="F36" s="1324"/>
      <c r="G36" s="1324"/>
      <c r="H36" s="1325"/>
      <c r="I36" s="1323"/>
      <c r="J36" s="1324"/>
      <c r="K36" s="1324"/>
      <c r="L36" s="1325"/>
      <c r="M36" s="1323"/>
      <c r="N36" s="1324"/>
      <c r="O36" s="1324"/>
      <c r="P36" s="1325"/>
      <c r="Q36" s="1323"/>
      <c r="R36" s="1324"/>
      <c r="S36" s="1324"/>
      <c r="T36" s="1325"/>
      <c r="U36" s="1323"/>
      <c r="V36" s="1324"/>
      <c r="W36" s="1324"/>
      <c r="X36" s="1325"/>
      <c r="Y36" s="1323"/>
      <c r="Z36" s="1324"/>
      <c r="AA36" s="1324"/>
      <c r="AB36" s="1325"/>
      <c r="AC36" s="1323"/>
      <c r="AD36" s="1324"/>
      <c r="AE36" s="1324"/>
      <c r="AF36" s="1325"/>
      <c r="AG36" s="1323"/>
      <c r="AH36" s="1324"/>
      <c r="AI36" s="1324"/>
      <c r="AJ36" s="1325"/>
      <c r="AK36" s="1323"/>
      <c r="AL36" s="1324"/>
      <c r="AM36" s="1324"/>
      <c r="AN36" s="1325"/>
      <c r="AO36" s="1323"/>
      <c r="AP36" s="1324"/>
      <c r="AQ36" s="1324"/>
      <c r="AR36" s="1325"/>
      <c r="AS36" s="1350"/>
      <c r="AT36" s="1351"/>
      <c r="AU36" s="1351"/>
      <c r="AV36" s="1351"/>
      <c r="AW36" s="1340"/>
      <c r="AX36" s="1341"/>
      <c r="AY36" s="377"/>
      <c r="AZ36" s="1347"/>
      <c r="BA36" s="1345"/>
      <c r="BB36" s="1345"/>
      <c r="BC36" s="1345"/>
      <c r="BD36" s="1345"/>
      <c r="BE36" s="1345"/>
      <c r="BF36" s="1345"/>
      <c r="BG36" s="1345"/>
      <c r="BH36" s="1345"/>
      <c r="BI36" s="1345"/>
      <c r="BJ36" s="1345"/>
      <c r="BK36" s="1345"/>
      <c r="BL36" s="1345"/>
      <c r="BM36" s="1345"/>
      <c r="BN36" s="1345"/>
      <c r="BO36" s="1345"/>
      <c r="BP36" s="1346"/>
      <c r="CA36" s="237"/>
    </row>
    <row r="37" spans="2:79" ht="24">
      <c r="B37" s="1312"/>
      <c r="C37" s="1313"/>
      <c r="D37" s="1313"/>
      <c r="E37" s="1323"/>
      <c r="F37" s="1324"/>
      <c r="G37" s="1324"/>
      <c r="H37" s="1325"/>
      <c r="I37" s="1323"/>
      <c r="J37" s="1324"/>
      <c r="K37" s="1324"/>
      <c r="L37" s="1325"/>
      <c r="M37" s="1323"/>
      <c r="N37" s="1324"/>
      <c r="O37" s="1324"/>
      <c r="P37" s="1325"/>
      <c r="Q37" s="1323"/>
      <c r="R37" s="1324"/>
      <c r="S37" s="1324"/>
      <c r="T37" s="1325"/>
      <c r="U37" s="1323"/>
      <c r="V37" s="1324"/>
      <c r="W37" s="1324"/>
      <c r="X37" s="1325"/>
      <c r="Y37" s="1323"/>
      <c r="Z37" s="1324"/>
      <c r="AA37" s="1324"/>
      <c r="AB37" s="1325"/>
      <c r="AC37" s="1323"/>
      <c r="AD37" s="1324"/>
      <c r="AE37" s="1324"/>
      <c r="AF37" s="1325"/>
      <c r="AG37" s="1323"/>
      <c r="AH37" s="1324"/>
      <c r="AI37" s="1324"/>
      <c r="AJ37" s="1325"/>
      <c r="AK37" s="1323"/>
      <c r="AL37" s="1324"/>
      <c r="AM37" s="1324"/>
      <c r="AN37" s="1325"/>
      <c r="AO37" s="1323"/>
      <c r="AP37" s="1324"/>
      <c r="AQ37" s="1324"/>
      <c r="AR37" s="1325"/>
      <c r="AS37" s="1350"/>
      <c r="AT37" s="1351"/>
      <c r="AU37" s="1351"/>
      <c r="AV37" s="1351"/>
      <c r="AW37" s="1340"/>
      <c r="AX37" s="1341"/>
      <c r="AY37" s="377"/>
      <c r="AZ37" s="1347"/>
      <c r="BA37" s="1345"/>
      <c r="BB37" s="1345"/>
      <c r="BC37" s="1345"/>
      <c r="BD37" s="1345"/>
      <c r="BE37" s="1345"/>
      <c r="BF37" s="1345"/>
      <c r="BG37" s="1345"/>
      <c r="BH37" s="1345"/>
      <c r="BI37" s="1345"/>
      <c r="BJ37" s="1345"/>
      <c r="BK37" s="1345"/>
      <c r="BL37" s="1345"/>
      <c r="BM37" s="1345"/>
      <c r="BN37" s="1345"/>
      <c r="BO37" s="1345"/>
      <c r="BP37" s="1346"/>
      <c r="CA37" s="237"/>
    </row>
    <row r="38" spans="2:79" ht="24">
      <c r="B38" s="1312"/>
      <c r="C38" s="1313"/>
      <c r="D38" s="1313"/>
      <c r="E38" s="1323"/>
      <c r="F38" s="1324"/>
      <c r="G38" s="1324"/>
      <c r="H38" s="1325"/>
      <c r="I38" s="1323"/>
      <c r="J38" s="1324"/>
      <c r="K38" s="1324"/>
      <c r="L38" s="1325"/>
      <c r="M38" s="1323"/>
      <c r="N38" s="1324"/>
      <c r="O38" s="1324"/>
      <c r="P38" s="1325"/>
      <c r="Q38" s="1323"/>
      <c r="R38" s="1324"/>
      <c r="S38" s="1324"/>
      <c r="T38" s="1325"/>
      <c r="U38" s="1323"/>
      <c r="V38" s="1324"/>
      <c r="W38" s="1324"/>
      <c r="X38" s="1325"/>
      <c r="Y38" s="1323"/>
      <c r="Z38" s="1324"/>
      <c r="AA38" s="1324"/>
      <c r="AB38" s="1325"/>
      <c r="AC38" s="1323"/>
      <c r="AD38" s="1324"/>
      <c r="AE38" s="1324"/>
      <c r="AF38" s="1325"/>
      <c r="AG38" s="1323"/>
      <c r="AH38" s="1324"/>
      <c r="AI38" s="1324"/>
      <c r="AJ38" s="1325"/>
      <c r="AK38" s="1323"/>
      <c r="AL38" s="1324"/>
      <c r="AM38" s="1324"/>
      <c r="AN38" s="1325"/>
      <c r="AO38" s="1323"/>
      <c r="AP38" s="1324"/>
      <c r="AQ38" s="1324"/>
      <c r="AR38" s="1325"/>
      <c r="AS38" s="1350"/>
      <c r="AT38" s="1351"/>
      <c r="AU38" s="1351"/>
      <c r="AV38" s="1351"/>
      <c r="AW38" s="1340"/>
      <c r="AX38" s="1341"/>
      <c r="AY38" s="377"/>
      <c r="AZ38" s="1347"/>
      <c r="BA38" s="1345"/>
      <c r="BB38" s="1345"/>
      <c r="BC38" s="1345"/>
      <c r="BD38" s="1345"/>
      <c r="BE38" s="1345"/>
      <c r="BF38" s="1345"/>
      <c r="BG38" s="1345"/>
      <c r="BH38" s="1345"/>
      <c r="BI38" s="1345"/>
      <c r="BJ38" s="1345"/>
      <c r="BK38" s="1345"/>
      <c r="BL38" s="1345"/>
      <c r="BM38" s="1345"/>
      <c r="BN38" s="1345"/>
      <c r="BO38" s="1345"/>
      <c r="BP38" s="1346"/>
      <c r="CA38" s="237"/>
    </row>
    <row r="39" spans="2:79" ht="24">
      <c r="B39" s="1312"/>
      <c r="C39" s="1313"/>
      <c r="D39" s="1313"/>
      <c r="E39" s="1323"/>
      <c r="F39" s="1324"/>
      <c r="G39" s="1324"/>
      <c r="H39" s="1325"/>
      <c r="I39" s="1323"/>
      <c r="J39" s="1324"/>
      <c r="K39" s="1324"/>
      <c r="L39" s="1325"/>
      <c r="M39" s="1323"/>
      <c r="N39" s="1324"/>
      <c r="O39" s="1324"/>
      <c r="P39" s="1325"/>
      <c r="Q39" s="1323"/>
      <c r="R39" s="1324"/>
      <c r="S39" s="1324"/>
      <c r="T39" s="1325"/>
      <c r="U39" s="1323"/>
      <c r="V39" s="1324"/>
      <c r="W39" s="1324"/>
      <c r="X39" s="1325"/>
      <c r="Y39" s="1323"/>
      <c r="Z39" s="1324"/>
      <c r="AA39" s="1324"/>
      <c r="AB39" s="1325"/>
      <c r="AC39" s="1323"/>
      <c r="AD39" s="1324"/>
      <c r="AE39" s="1324"/>
      <c r="AF39" s="1325"/>
      <c r="AG39" s="1323"/>
      <c r="AH39" s="1324"/>
      <c r="AI39" s="1324"/>
      <c r="AJ39" s="1325"/>
      <c r="AK39" s="1323"/>
      <c r="AL39" s="1324"/>
      <c r="AM39" s="1324"/>
      <c r="AN39" s="1325"/>
      <c r="AO39" s="1323"/>
      <c r="AP39" s="1324"/>
      <c r="AQ39" s="1324"/>
      <c r="AR39" s="1325"/>
      <c r="AS39" s="1350"/>
      <c r="AT39" s="1351"/>
      <c r="AU39" s="1351"/>
      <c r="AV39" s="1351"/>
      <c r="AW39" s="1340"/>
      <c r="AX39" s="1341"/>
      <c r="AY39" s="377"/>
      <c r="AZ39" s="1347"/>
      <c r="BA39" s="1345"/>
      <c r="BB39" s="1345"/>
      <c r="BC39" s="1345"/>
      <c r="BD39" s="1345"/>
      <c r="BE39" s="1345"/>
      <c r="BF39" s="1345"/>
      <c r="BG39" s="1345"/>
      <c r="BH39" s="1345"/>
      <c r="BI39" s="1345"/>
      <c r="BJ39" s="1345"/>
      <c r="BK39" s="1345"/>
      <c r="BL39" s="1345"/>
      <c r="BM39" s="1345"/>
      <c r="BN39" s="1345"/>
      <c r="BO39" s="1345"/>
      <c r="BP39" s="1346"/>
      <c r="CA39" s="237"/>
    </row>
    <row r="40" spans="2:79" ht="24">
      <c r="B40" s="1312"/>
      <c r="C40" s="1313"/>
      <c r="D40" s="1313"/>
      <c r="E40" s="1323"/>
      <c r="F40" s="1324"/>
      <c r="G40" s="1324"/>
      <c r="H40" s="1325"/>
      <c r="I40" s="1323"/>
      <c r="J40" s="1324"/>
      <c r="K40" s="1324"/>
      <c r="L40" s="1325"/>
      <c r="M40" s="1323"/>
      <c r="N40" s="1324"/>
      <c r="O40" s="1324"/>
      <c r="P40" s="1325"/>
      <c r="Q40" s="1323"/>
      <c r="R40" s="1324"/>
      <c r="S40" s="1324"/>
      <c r="T40" s="1325"/>
      <c r="U40" s="1323"/>
      <c r="V40" s="1324"/>
      <c r="W40" s="1324"/>
      <c r="X40" s="1325"/>
      <c r="Y40" s="1323"/>
      <c r="Z40" s="1324"/>
      <c r="AA40" s="1324"/>
      <c r="AB40" s="1325"/>
      <c r="AC40" s="1323"/>
      <c r="AD40" s="1324"/>
      <c r="AE40" s="1324"/>
      <c r="AF40" s="1325"/>
      <c r="AG40" s="1323"/>
      <c r="AH40" s="1324"/>
      <c r="AI40" s="1324"/>
      <c r="AJ40" s="1325"/>
      <c r="AK40" s="1323"/>
      <c r="AL40" s="1324"/>
      <c r="AM40" s="1324"/>
      <c r="AN40" s="1325"/>
      <c r="AO40" s="1323"/>
      <c r="AP40" s="1324"/>
      <c r="AQ40" s="1324"/>
      <c r="AR40" s="1325"/>
      <c r="AS40" s="1350"/>
      <c r="AT40" s="1351"/>
      <c r="AU40" s="1351"/>
      <c r="AV40" s="1351"/>
      <c r="AW40" s="1340"/>
      <c r="AX40" s="1341"/>
      <c r="AY40" s="377"/>
      <c r="AZ40" s="1347"/>
      <c r="BA40" s="1345"/>
      <c r="BB40" s="1345"/>
      <c r="BC40" s="1345"/>
      <c r="BD40" s="1345"/>
      <c r="BE40" s="1345"/>
      <c r="BF40" s="1345"/>
      <c r="BG40" s="1345"/>
      <c r="BH40" s="1345"/>
      <c r="BI40" s="1345"/>
      <c r="BJ40" s="1345"/>
      <c r="BK40" s="1345"/>
      <c r="BL40" s="1345"/>
      <c r="BM40" s="1345"/>
      <c r="BN40" s="1345"/>
      <c r="BO40" s="1345"/>
      <c r="BP40" s="1346"/>
      <c r="CA40" s="237"/>
    </row>
    <row r="41" spans="2:79" ht="24">
      <c r="B41" s="1314"/>
      <c r="C41" s="1313"/>
      <c r="D41" s="1313"/>
      <c r="E41" s="1323"/>
      <c r="F41" s="1336"/>
      <c r="G41" s="1336"/>
      <c r="H41" s="1337"/>
      <c r="I41" s="1323"/>
      <c r="J41" s="1336"/>
      <c r="K41" s="1336"/>
      <c r="L41" s="1337"/>
      <c r="M41" s="1323"/>
      <c r="N41" s="1336"/>
      <c r="O41" s="1336"/>
      <c r="P41" s="1337"/>
      <c r="Q41" s="1323"/>
      <c r="R41" s="1336"/>
      <c r="S41" s="1336"/>
      <c r="T41" s="1337"/>
      <c r="U41" s="1323"/>
      <c r="V41" s="1336"/>
      <c r="W41" s="1336"/>
      <c r="X41" s="1337"/>
      <c r="Y41" s="1323"/>
      <c r="Z41" s="1336"/>
      <c r="AA41" s="1336"/>
      <c r="AB41" s="1337"/>
      <c r="AC41" s="1323"/>
      <c r="AD41" s="1336"/>
      <c r="AE41" s="1336"/>
      <c r="AF41" s="1337"/>
      <c r="AG41" s="1323"/>
      <c r="AH41" s="1336"/>
      <c r="AI41" s="1336"/>
      <c r="AJ41" s="1337"/>
      <c r="AK41" s="1323"/>
      <c r="AL41" s="1336"/>
      <c r="AM41" s="1336"/>
      <c r="AN41" s="1337"/>
      <c r="AO41" s="1323"/>
      <c r="AP41" s="1336"/>
      <c r="AQ41" s="1336"/>
      <c r="AR41" s="1337"/>
      <c r="AS41" s="1350"/>
      <c r="AT41" s="1351"/>
      <c r="AU41" s="1351"/>
      <c r="AV41" s="1351"/>
      <c r="AW41" s="1340"/>
      <c r="AX41" s="1341"/>
      <c r="AY41" s="377"/>
      <c r="AZ41" s="1347"/>
      <c r="BA41" s="1345"/>
      <c r="BB41" s="1345"/>
      <c r="BC41" s="1345"/>
      <c r="BD41" s="1345"/>
      <c r="BE41" s="1345"/>
      <c r="BF41" s="1345"/>
      <c r="BG41" s="1345"/>
      <c r="BH41" s="1345"/>
      <c r="BI41" s="1345"/>
      <c r="BJ41" s="1345"/>
      <c r="BK41" s="1345"/>
      <c r="BL41" s="1345"/>
      <c r="BM41" s="1345"/>
      <c r="BN41" s="1345"/>
      <c r="BO41" s="1345"/>
      <c r="BP41" s="1346"/>
      <c r="CA41" s="237"/>
    </row>
    <row r="42" spans="2:79" ht="24.75" thickBot="1">
      <c r="B42" s="1315"/>
      <c r="C42" s="1316"/>
      <c r="D42" s="1316"/>
      <c r="E42" s="1305"/>
      <c r="F42" s="1306"/>
      <c r="G42" s="1306"/>
      <c r="H42" s="1307"/>
      <c r="I42" s="1305"/>
      <c r="J42" s="1306"/>
      <c r="K42" s="1306"/>
      <c r="L42" s="1307"/>
      <c r="M42" s="1305"/>
      <c r="N42" s="1306"/>
      <c r="O42" s="1306"/>
      <c r="P42" s="1307"/>
      <c r="Q42" s="1305"/>
      <c r="R42" s="1306"/>
      <c r="S42" s="1306"/>
      <c r="T42" s="1307"/>
      <c r="U42" s="1305"/>
      <c r="V42" s="1306"/>
      <c r="W42" s="1306"/>
      <c r="X42" s="1307"/>
      <c r="Y42" s="1305"/>
      <c r="Z42" s="1306"/>
      <c r="AA42" s="1306"/>
      <c r="AB42" s="1307"/>
      <c r="AC42" s="1305"/>
      <c r="AD42" s="1306"/>
      <c r="AE42" s="1306"/>
      <c r="AF42" s="1307"/>
      <c r="AG42" s="1305"/>
      <c r="AH42" s="1306"/>
      <c r="AI42" s="1306"/>
      <c r="AJ42" s="1307"/>
      <c r="AK42" s="1305"/>
      <c r="AL42" s="1306"/>
      <c r="AM42" s="1306"/>
      <c r="AN42" s="1307"/>
      <c r="AO42" s="1305"/>
      <c r="AP42" s="1306"/>
      <c r="AQ42" s="1306"/>
      <c r="AR42" s="1307"/>
      <c r="AS42" s="1352"/>
      <c r="AT42" s="1353"/>
      <c r="AU42" s="1353"/>
      <c r="AV42" s="1353"/>
      <c r="AW42" s="1342"/>
      <c r="AX42" s="1343"/>
      <c r="AY42" s="377"/>
      <c r="AZ42" s="1347"/>
      <c r="BA42" s="1345"/>
      <c r="BB42" s="1345"/>
      <c r="BC42" s="1345"/>
      <c r="BD42" s="1345"/>
      <c r="BE42" s="1345"/>
      <c r="BF42" s="1345"/>
      <c r="BG42" s="1345"/>
      <c r="BH42" s="1345"/>
      <c r="BI42" s="1345"/>
      <c r="BJ42" s="1345"/>
      <c r="BK42" s="1345"/>
      <c r="BL42" s="1345"/>
      <c r="BM42" s="1345"/>
      <c r="BN42" s="1345"/>
      <c r="BO42" s="1345"/>
      <c r="BP42" s="1346"/>
      <c r="CA42" s="237"/>
    </row>
    <row r="43" spans="2:79">
      <c r="AP43" s="378"/>
      <c r="AQ43" s="378"/>
      <c r="AR43" s="378"/>
      <c r="AS43" s="378"/>
      <c r="AT43" s="378"/>
      <c r="AU43" s="378"/>
      <c r="AV43" s="378"/>
      <c r="AW43" s="378"/>
      <c r="AX43" s="378"/>
      <c r="AY43" s="378"/>
      <c r="AZ43" s="378"/>
      <c r="BD43" s="378"/>
      <c r="BE43" s="378"/>
      <c r="BG43" s="378"/>
    </row>
    <row r="44" spans="2:79" s="379" customFormat="1" ht="45" customHeight="1">
      <c r="B44" s="1227" t="str">
        <f>"３．配置情報（コロナ患者入院対応を行う職員分のみ入力すること）　【総合判定】"&amp;AZ44&amp;IF(AZ44="×","（空欄及び赤表示の欄がないようにしてください。）","")</f>
        <v>３．配置情報（コロナ患者入院対応を行う職員分のみ入力すること）　【総合判定】○</v>
      </c>
      <c r="C44" s="1228"/>
      <c r="D44" s="1228"/>
      <c r="E44" s="1228"/>
      <c r="F44" s="1228"/>
      <c r="G44" s="1228"/>
      <c r="H44" s="1228"/>
      <c r="I44" s="1228"/>
      <c r="J44" s="1228"/>
      <c r="K44" s="1228"/>
      <c r="L44" s="1228"/>
      <c r="M44" s="1228"/>
      <c r="N44" s="1228"/>
      <c r="O44" s="1228"/>
      <c r="P44" s="1228"/>
      <c r="Q44" s="1228"/>
      <c r="R44" s="1228"/>
      <c r="S44" s="1228"/>
      <c r="T44" s="1228"/>
      <c r="U44" s="1228"/>
      <c r="V44" s="1228"/>
      <c r="W44" s="1228"/>
      <c r="X44" s="1228"/>
      <c r="Y44" s="1228"/>
      <c r="Z44" s="1228"/>
      <c r="AA44" s="1228"/>
      <c r="AB44" s="1228"/>
      <c r="AC44" s="1228"/>
      <c r="AD44" s="1228"/>
      <c r="AE44" s="1228"/>
      <c r="AF44" s="1228"/>
      <c r="AG44" s="1228"/>
      <c r="AH44" s="1228"/>
      <c r="AI44" s="1228"/>
      <c r="AJ44" s="1228"/>
      <c r="AK44" s="1228"/>
      <c r="AL44" s="1228"/>
      <c r="AM44" s="1228"/>
      <c r="AN44" s="1228"/>
      <c r="AO44" s="1228"/>
      <c r="AP44" s="1228"/>
      <c r="AQ44" s="1228"/>
      <c r="AR44" s="1228"/>
      <c r="AS44" s="1228"/>
      <c r="AT44" s="1228"/>
      <c r="AU44" s="1228"/>
      <c r="AV44" s="1228"/>
      <c r="AW44" s="1228"/>
      <c r="AX44" s="1228"/>
      <c r="AY44" s="1228"/>
      <c r="AZ44" s="238" t="str">
        <f>IF(COUNTIF(AX52:AX64,"○")=2,"○","×")</f>
        <v>○</v>
      </c>
      <c r="BD44" s="238"/>
      <c r="BE44" s="238"/>
      <c r="BF44" s="238"/>
      <c r="BG44" s="238"/>
    </row>
    <row r="45" spans="2:79" ht="48" customHeight="1">
      <c r="B45" s="1308" t="s">
        <v>1168</v>
      </c>
      <c r="C45" s="1309"/>
      <c r="D45" s="1309"/>
      <c r="E45" s="1309"/>
      <c r="F45" s="1309"/>
      <c r="G45" s="1309"/>
      <c r="H45" s="1309"/>
      <c r="I45" s="1309"/>
      <c r="J45" s="1309"/>
      <c r="K45" s="1309"/>
      <c r="L45" s="1309"/>
      <c r="M45" s="1309"/>
      <c r="N45" s="1309"/>
      <c r="O45" s="1309"/>
      <c r="P45" s="1309"/>
      <c r="Q45" s="1309"/>
      <c r="R45" s="1309"/>
      <c r="S45" s="1309"/>
      <c r="T45" s="1309"/>
      <c r="U45" s="1309"/>
      <c r="V45" s="1309"/>
      <c r="W45" s="1309"/>
      <c r="X45" s="1309"/>
      <c r="Y45" s="1309"/>
      <c r="Z45" s="1309"/>
      <c r="AA45" s="1309"/>
      <c r="AB45" s="1309"/>
      <c r="AC45" s="1309"/>
      <c r="AD45" s="1309"/>
      <c r="AE45" s="1309"/>
      <c r="AF45" s="1309"/>
      <c r="AG45" s="1309"/>
      <c r="AH45" s="1309"/>
      <c r="AI45" s="1309"/>
      <c r="AJ45" s="1309"/>
      <c r="AK45" s="1309"/>
      <c r="AL45" s="1309"/>
      <c r="AM45" s="1309"/>
      <c r="AN45" s="1309"/>
      <c r="AO45" s="1309"/>
      <c r="AP45" s="1309"/>
      <c r="AQ45" s="1309"/>
      <c r="AR45" s="1309"/>
      <c r="AS45" s="1309"/>
      <c r="AT45" s="1309"/>
      <c r="AU45" s="1309"/>
      <c r="AV45" s="1309"/>
      <c r="AW45" s="1309"/>
      <c r="AX45" s="239"/>
      <c r="BD45" s="222"/>
      <c r="BE45" s="222"/>
      <c r="BF45" s="222"/>
      <c r="BG45" s="222"/>
    </row>
    <row r="46" spans="2:79" ht="48" customHeight="1">
      <c r="B46" s="1232" t="s">
        <v>1151</v>
      </c>
      <c r="C46" s="1233"/>
      <c r="D46" s="1233"/>
      <c r="E46" s="1233"/>
      <c r="F46" s="1233"/>
      <c r="G46" s="1233"/>
      <c r="H46" s="1233"/>
      <c r="I46" s="1233"/>
      <c r="J46" s="1233"/>
      <c r="K46" s="1233"/>
      <c r="L46" s="1233"/>
      <c r="M46" s="1233"/>
      <c r="N46" s="1233"/>
      <c r="O46" s="1233"/>
      <c r="P46" s="1233"/>
      <c r="Q46" s="1233"/>
      <c r="R46" s="1233"/>
      <c r="S46" s="1233"/>
      <c r="T46" s="1233"/>
      <c r="U46" s="1233"/>
      <c r="V46" s="1233"/>
      <c r="W46" s="1233"/>
      <c r="X46" s="1233"/>
      <c r="Y46" s="1233"/>
      <c r="Z46" s="1233"/>
      <c r="AA46" s="1233"/>
      <c r="AB46" s="1233"/>
      <c r="AC46" s="1233"/>
      <c r="AD46" s="1233"/>
      <c r="AE46" s="1233"/>
      <c r="AF46" s="1233"/>
      <c r="AG46" s="1233"/>
      <c r="AH46" s="1233"/>
      <c r="AI46" s="1233"/>
      <c r="AJ46" s="1233"/>
      <c r="AK46" s="1233"/>
      <c r="AL46" s="1233"/>
      <c r="AM46" s="1233"/>
      <c r="AN46" s="1233"/>
      <c r="AO46" s="1233"/>
      <c r="AP46" s="1233"/>
      <c r="AQ46" s="1233"/>
      <c r="AR46" s="1233"/>
      <c r="AS46" s="1233"/>
      <c r="AT46" s="1233"/>
      <c r="AU46" s="1233"/>
      <c r="AV46" s="1233"/>
      <c r="AW46" s="1233"/>
      <c r="AX46" s="239"/>
      <c r="BD46" s="222"/>
      <c r="BE46" s="222"/>
      <c r="BF46" s="222"/>
      <c r="BG46" s="222"/>
    </row>
    <row r="47" spans="2:79" ht="48" customHeight="1" thickBot="1">
      <c r="B47" s="1232" t="s">
        <v>1044</v>
      </c>
      <c r="C47" s="1231"/>
      <c r="D47" s="1231"/>
      <c r="E47" s="1231"/>
      <c r="F47" s="1231"/>
      <c r="G47" s="1231"/>
      <c r="H47" s="1231"/>
      <c r="I47" s="1231"/>
      <c r="J47" s="1231"/>
      <c r="K47" s="1231"/>
      <c r="L47" s="1231"/>
      <c r="M47" s="1231"/>
      <c r="N47" s="1231"/>
      <c r="O47" s="1231"/>
      <c r="P47" s="1231"/>
      <c r="Q47" s="1231"/>
      <c r="R47" s="1231"/>
      <c r="S47" s="1231"/>
      <c r="T47" s="1231"/>
      <c r="U47" s="1231"/>
      <c r="V47" s="1231"/>
      <c r="W47" s="1231"/>
      <c r="X47" s="1231"/>
      <c r="Y47" s="1231"/>
      <c r="Z47" s="1231"/>
      <c r="AA47" s="1231"/>
      <c r="AB47" s="1231"/>
      <c r="AC47" s="1231"/>
      <c r="AD47" s="1231"/>
      <c r="AE47" s="1231"/>
      <c r="AF47" s="1231"/>
      <c r="AG47" s="1231"/>
      <c r="AH47" s="1231"/>
      <c r="AI47" s="1231"/>
      <c r="AJ47" s="1231"/>
      <c r="AK47" s="1231"/>
      <c r="AL47" s="1231"/>
      <c r="AM47" s="1231"/>
      <c r="AN47" s="1231"/>
      <c r="AO47" s="1231"/>
      <c r="AP47" s="1231"/>
      <c r="AQ47" s="1231"/>
      <c r="AR47" s="1231"/>
      <c r="AS47" s="1231"/>
      <c r="AT47" s="1231"/>
      <c r="AU47" s="1231"/>
      <c r="AV47" s="1231"/>
      <c r="AW47" s="1231"/>
      <c r="AX47" s="1231"/>
      <c r="BD47" s="222"/>
      <c r="BE47" s="222"/>
      <c r="BF47" s="222"/>
      <c r="BG47" s="222"/>
    </row>
    <row r="48" spans="2:79" ht="24.75" thickTop="1">
      <c r="B48" s="1326" t="s">
        <v>1189</v>
      </c>
      <c r="C48" s="1327"/>
      <c r="D48" s="1327"/>
      <c r="E48" s="1327"/>
      <c r="F48" s="1327"/>
      <c r="G48" s="1327"/>
      <c r="H48" s="1327"/>
      <c r="I48" s="1328"/>
      <c r="J48" s="1310" t="s">
        <v>1045</v>
      </c>
      <c r="K48" s="1311"/>
      <c r="L48" s="1311"/>
      <c r="M48" s="1311"/>
      <c r="N48" s="1311"/>
      <c r="O48" s="1311"/>
      <c r="P48" s="1311"/>
      <c r="Q48" s="1311"/>
      <c r="R48" s="1311"/>
      <c r="S48" s="1311"/>
      <c r="T48" s="1311"/>
      <c r="U48" s="1311"/>
      <c r="V48" s="1311"/>
      <c r="W48" s="1311"/>
      <c r="X48" s="1311"/>
      <c r="Y48" s="1311"/>
      <c r="Z48" s="1311"/>
      <c r="AA48" s="1311"/>
      <c r="AB48" s="1311"/>
      <c r="AC48" s="1311"/>
      <c r="AD48" s="1311"/>
      <c r="AE48" s="1311"/>
      <c r="AF48" s="1311"/>
      <c r="AG48" s="1311"/>
      <c r="AH48" s="1311"/>
      <c r="AI48" s="1311"/>
      <c r="AJ48" s="1311"/>
      <c r="AK48" s="1311"/>
      <c r="AL48" s="1311"/>
      <c r="AM48" s="1335"/>
      <c r="AN48" s="1310" t="s">
        <v>1046</v>
      </c>
      <c r="AO48" s="1311"/>
      <c r="AP48" s="1311"/>
      <c r="AQ48" s="1311"/>
      <c r="AR48" s="1311"/>
      <c r="AS48" s="1311"/>
      <c r="AT48" s="1405"/>
      <c r="AU48" s="1381" t="s">
        <v>1047</v>
      </c>
      <c r="AV48" s="1382"/>
      <c r="AW48" s="1383"/>
      <c r="AX48" s="1406" t="s">
        <v>98</v>
      </c>
      <c r="AY48" s="377"/>
      <c r="AZ48" s="1301" t="s">
        <v>1040</v>
      </c>
      <c r="BA48" s="1302"/>
      <c r="BB48" s="1302"/>
      <c r="BC48" s="1302"/>
      <c r="BD48" s="1302"/>
      <c r="BE48" s="1302"/>
      <c r="BF48" s="1302"/>
      <c r="BG48" s="1302"/>
      <c r="BH48" s="1302"/>
      <c r="BI48" s="1302"/>
      <c r="BJ48" s="1302"/>
      <c r="BK48" s="1302"/>
      <c r="BL48" s="1302"/>
      <c r="BM48" s="1302"/>
      <c r="BN48" s="1302"/>
      <c r="BO48" s="1302"/>
      <c r="BP48" s="1302"/>
    </row>
    <row r="49" spans="2:69" ht="18" customHeight="1">
      <c r="B49" s="1329"/>
      <c r="C49" s="1330"/>
      <c r="D49" s="1330"/>
      <c r="E49" s="1330"/>
      <c r="F49" s="1330"/>
      <c r="G49" s="1330"/>
      <c r="H49" s="1330"/>
      <c r="I49" s="1331"/>
      <c r="J49" s="240">
        <v>1</v>
      </c>
      <c r="K49" s="368">
        <v>2</v>
      </c>
      <c r="L49" s="368">
        <v>3</v>
      </c>
      <c r="M49" s="368">
        <v>4</v>
      </c>
      <c r="N49" s="368">
        <v>5</v>
      </c>
      <c r="O49" s="368">
        <v>6</v>
      </c>
      <c r="P49" s="368">
        <v>7</v>
      </c>
      <c r="Q49" s="368">
        <v>8</v>
      </c>
      <c r="R49" s="368">
        <v>9</v>
      </c>
      <c r="S49" s="368">
        <v>10</v>
      </c>
      <c r="T49" s="368">
        <v>11</v>
      </c>
      <c r="U49" s="368">
        <v>12</v>
      </c>
      <c r="V49" s="368">
        <v>13</v>
      </c>
      <c r="W49" s="368">
        <v>14</v>
      </c>
      <c r="X49" s="368">
        <v>15</v>
      </c>
      <c r="Y49" s="368">
        <v>16</v>
      </c>
      <c r="Z49" s="368">
        <v>17</v>
      </c>
      <c r="AA49" s="368">
        <v>18</v>
      </c>
      <c r="AB49" s="368">
        <v>19</v>
      </c>
      <c r="AC49" s="368">
        <v>20</v>
      </c>
      <c r="AD49" s="368">
        <v>21</v>
      </c>
      <c r="AE49" s="368">
        <v>22</v>
      </c>
      <c r="AF49" s="368">
        <v>23</v>
      </c>
      <c r="AG49" s="368">
        <v>24</v>
      </c>
      <c r="AH49" s="368">
        <v>25</v>
      </c>
      <c r="AI49" s="368">
        <v>26</v>
      </c>
      <c r="AJ49" s="368">
        <v>27</v>
      </c>
      <c r="AK49" s="368">
        <v>28</v>
      </c>
      <c r="AL49" s="368">
        <v>29</v>
      </c>
      <c r="AM49" s="241">
        <v>30</v>
      </c>
      <c r="AN49" s="240">
        <v>1</v>
      </c>
      <c r="AO49" s="368">
        <v>2</v>
      </c>
      <c r="AP49" s="368">
        <v>3</v>
      </c>
      <c r="AQ49" s="368">
        <v>4</v>
      </c>
      <c r="AR49" s="368">
        <v>5</v>
      </c>
      <c r="AS49" s="368">
        <v>6</v>
      </c>
      <c r="AT49" s="242">
        <v>7</v>
      </c>
      <c r="AU49" s="1384"/>
      <c r="AV49" s="1385"/>
      <c r="AW49" s="1386"/>
      <c r="AX49" s="1407"/>
      <c r="AY49" s="377"/>
      <c r="AZ49" s="1302"/>
      <c r="BA49" s="1302"/>
      <c r="BB49" s="1302"/>
      <c r="BC49" s="1302"/>
      <c r="BD49" s="1302"/>
      <c r="BE49" s="1302"/>
      <c r="BF49" s="1302"/>
      <c r="BG49" s="1302"/>
      <c r="BH49" s="1302"/>
      <c r="BI49" s="1302"/>
      <c r="BJ49" s="1302"/>
      <c r="BK49" s="1302"/>
      <c r="BL49" s="1302"/>
      <c r="BM49" s="1302"/>
      <c r="BN49" s="1302"/>
      <c r="BO49" s="1302"/>
      <c r="BP49" s="1302"/>
    </row>
    <row r="50" spans="2:69" ht="18" customHeight="1" thickBot="1">
      <c r="B50" s="1329"/>
      <c r="C50" s="1330"/>
      <c r="D50" s="1330"/>
      <c r="E50" s="1330"/>
      <c r="F50" s="1330"/>
      <c r="G50" s="1330"/>
      <c r="H50" s="1330"/>
      <c r="I50" s="1331"/>
      <c r="J50" s="243" t="s">
        <v>1048</v>
      </c>
      <c r="K50" s="244" t="s">
        <v>79</v>
      </c>
      <c r="L50" s="244" t="s">
        <v>69</v>
      </c>
      <c r="M50" s="244" t="s">
        <v>1026</v>
      </c>
      <c r="N50" s="244" t="s">
        <v>1029</v>
      </c>
      <c r="O50" s="244" t="s">
        <v>1031</v>
      </c>
      <c r="P50" s="244" t="s">
        <v>1033</v>
      </c>
      <c r="Q50" s="244" t="s">
        <v>1035</v>
      </c>
      <c r="R50" s="244" t="s">
        <v>70</v>
      </c>
      <c r="S50" s="244" t="s">
        <v>69</v>
      </c>
      <c r="T50" s="244" t="s">
        <v>1026</v>
      </c>
      <c r="U50" s="244" t="s">
        <v>1029</v>
      </c>
      <c r="V50" s="244" t="s">
        <v>1031</v>
      </c>
      <c r="W50" s="244" t="s">
        <v>1033</v>
      </c>
      <c r="X50" s="244" t="s">
        <v>1035</v>
      </c>
      <c r="Y50" s="244" t="s">
        <v>70</v>
      </c>
      <c r="Z50" s="244" t="s">
        <v>69</v>
      </c>
      <c r="AA50" s="244" t="s">
        <v>1026</v>
      </c>
      <c r="AB50" s="244" t="s">
        <v>1029</v>
      </c>
      <c r="AC50" s="244" t="s">
        <v>1031</v>
      </c>
      <c r="AD50" s="244" t="s">
        <v>1033</v>
      </c>
      <c r="AE50" s="244" t="s">
        <v>1035</v>
      </c>
      <c r="AF50" s="244" t="s">
        <v>70</v>
      </c>
      <c r="AG50" s="244" t="s">
        <v>69</v>
      </c>
      <c r="AH50" s="244" t="s">
        <v>1026</v>
      </c>
      <c r="AI50" s="244" t="s">
        <v>1029</v>
      </c>
      <c r="AJ50" s="244" t="s">
        <v>1031</v>
      </c>
      <c r="AK50" s="244" t="s">
        <v>1033</v>
      </c>
      <c r="AL50" s="244" t="s">
        <v>1035</v>
      </c>
      <c r="AM50" s="245" t="s">
        <v>79</v>
      </c>
      <c r="AN50" s="243" t="s">
        <v>1024</v>
      </c>
      <c r="AO50" s="244" t="s">
        <v>1049</v>
      </c>
      <c r="AP50" s="244" t="s">
        <v>1029</v>
      </c>
      <c r="AQ50" s="244" t="s">
        <v>1031</v>
      </c>
      <c r="AR50" s="244" t="s">
        <v>1033</v>
      </c>
      <c r="AS50" s="244" t="s">
        <v>1035</v>
      </c>
      <c r="AT50" s="246" t="s">
        <v>79</v>
      </c>
      <c r="AU50" s="1387">
        <f>IF(AX52="○",COUNTIF(J52:AT52,"&gt;0"),"×")</f>
        <v>29</v>
      </c>
      <c r="AV50" s="1388"/>
      <c r="AW50" s="1389"/>
      <c r="AX50" s="1407"/>
      <c r="AY50" s="377"/>
      <c r="AZ50" s="1302"/>
      <c r="BA50" s="1302"/>
      <c r="BB50" s="1302"/>
      <c r="BC50" s="1302"/>
      <c r="BD50" s="1302"/>
      <c r="BE50" s="1302"/>
      <c r="BF50" s="1302"/>
      <c r="BG50" s="1302"/>
      <c r="BH50" s="1302"/>
      <c r="BI50" s="1302"/>
      <c r="BJ50" s="1302"/>
      <c r="BK50" s="1302"/>
      <c r="BL50" s="1302"/>
      <c r="BM50" s="1302"/>
      <c r="BN50" s="1302"/>
      <c r="BO50" s="1302"/>
      <c r="BP50" s="1302"/>
    </row>
    <row r="51" spans="2:69" ht="24.75" hidden="1" thickBot="1">
      <c r="B51" s="1332"/>
      <c r="C51" s="1333"/>
      <c r="D51" s="1333"/>
      <c r="E51" s="1333"/>
      <c r="F51" s="1333"/>
      <c r="G51" s="1333"/>
      <c r="H51" s="1333"/>
      <c r="I51" s="1334"/>
      <c r="J51" s="247"/>
      <c r="K51" s="248"/>
      <c r="L51" s="248"/>
      <c r="M51" s="248"/>
      <c r="N51" s="248"/>
      <c r="O51" s="248"/>
      <c r="P51" s="248"/>
      <c r="Q51" s="248"/>
      <c r="R51" s="248"/>
      <c r="S51" s="248"/>
      <c r="T51" s="248"/>
      <c r="U51" s="248"/>
      <c r="V51" s="248"/>
      <c r="W51" s="248"/>
      <c r="X51" s="248"/>
      <c r="Y51" s="248"/>
      <c r="Z51" s="248"/>
      <c r="AA51" s="248"/>
      <c r="AB51" s="248"/>
      <c r="AC51" s="248"/>
      <c r="AD51" s="248"/>
      <c r="AE51" s="248"/>
      <c r="AF51" s="248"/>
      <c r="AG51" s="248"/>
      <c r="AH51" s="248"/>
      <c r="AI51" s="248"/>
      <c r="AJ51" s="248"/>
      <c r="AK51" s="248"/>
      <c r="AL51" s="248"/>
      <c r="AM51" s="249"/>
      <c r="AN51" s="247"/>
      <c r="AO51" s="248"/>
      <c r="AP51" s="248"/>
      <c r="AQ51" s="248"/>
      <c r="AR51" s="248"/>
      <c r="AS51" s="248"/>
      <c r="AT51" s="250"/>
      <c r="AU51" s="1303"/>
      <c r="AV51" s="1304"/>
      <c r="AW51" s="1304"/>
      <c r="AX51" s="251" t="s">
        <v>1050</v>
      </c>
      <c r="AY51" s="377"/>
      <c r="AZ51" s="1184" t="s">
        <v>1050</v>
      </c>
      <c r="BA51" s="1291"/>
      <c r="BB51" s="1291"/>
      <c r="BC51" s="1291"/>
      <c r="BD51" s="1291"/>
      <c r="BE51" s="1291"/>
      <c r="BF51" s="1291"/>
      <c r="BG51" s="1291"/>
      <c r="BH51" s="1291"/>
      <c r="BI51" s="1291"/>
      <c r="BJ51" s="1291"/>
      <c r="BK51" s="1291"/>
      <c r="BL51" s="1291"/>
      <c r="BM51" s="1291"/>
      <c r="BN51" s="1291"/>
      <c r="BO51" s="1291"/>
      <c r="BP51" s="1291"/>
    </row>
    <row r="52" spans="2:69" ht="24.75" thickTop="1">
      <c r="B52" s="1287" t="s">
        <v>1150</v>
      </c>
      <c r="C52" s="1288"/>
      <c r="D52" s="1288"/>
      <c r="E52" s="1288"/>
      <c r="F52" s="1288"/>
      <c r="G52" s="1288"/>
      <c r="H52" s="1288"/>
      <c r="I52" s="1288"/>
      <c r="J52" s="288">
        <v>4</v>
      </c>
      <c r="K52" s="289">
        <v>5</v>
      </c>
      <c r="L52" s="289">
        <v>5</v>
      </c>
      <c r="M52" s="289">
        <v>4</v>
      </c>
      <c r="N52" s="289">
        <v>2</v>
      </c>
      <c r="O52" s="289">
        <v>2</v>
      </c>
      <c r="P52" s="289">
        <v>1</v>
      </c>
      <c r="Q52" s="289">
        <v>0</v>
      </c>
      <c r="R52" s="289">
        <v>2</v>
      </c>
      <c r="S52" s="289">
        <v>2</v>
      </c>
      <c r="T52" s="289">
        <v>2</v>
      </c>
      <c r="U52" s="289">
        <v>3</v>
      </c>
      <c r="V52" s="289">
        <v>0</v>
      </c>
      <c r="W52" s="289">
        <v>2</v>
      </c>
      <c r="X52" s="289">
        <v>2</v>
      </c>
      <c r="Y52" s="289">
        <v>2</v>
      </c>
      <c r="Z52" s="289">
        <v>2</v>
      </c>
      <c r="AA52" s="289">
        <v>1</v>
      </c>
      <c r="AB52" s="289">
        <v>0</v>
      </c>
      <c r="AC52" s="289">
        <v>0</v>
      </c>
      <c r="AD52" s="289">
        <v>0</v>
      </c>
      <c r="AE52" s="289">
        <v>2</v>
      </c>
      <c r="AF52" s="289">
        <v>2</v>
      </c>
      <c r="AG52" s="289">
        <v>1</v>
      </c>
      <c r="AH52" s="289">
        <v>0</v>
      </c>
      <c r="AI52" s="289">
        <v>2</v>
      </c>
      <c r="AJ52" s="289">
        <v>0</v>
      </c>
      <c r="AK52" s="289">
        <v>2</v>
      </c>
      <c r="AL52" s="289">
        <v>0</v>
      </c>
      <c r="AM52" s="290">
        <v>1</v>
      </c>
      <c r="AN52" s="288">
        <v>1</v>
      </c>
      <c r="AO52" s="289">
        <v>2</v>
      </c>
      <c r="AP52" s="289">
        <v>2</v>
      </c>
      <c r="AQ52" s="289">
        <v>1</v>
      </c>
      <c r="AR52" s="289">
        <v>2</v>
      </c>
      <c r="AS52" s="289">
        <v>2</v>
      </c>
      <c r="AT52" s="291">
        <v>2</v>
      </c>
      <c r="AU52" s="1289">
        <f>IF(AX52="○",SUM(J52:AT52),"×")</f>
        <v>63</v>
      </c>
      <c r="AV52" s="1290"/>
      <c r="AW52" s="1290"/>
      <c r="AX52" s="1271" t="str">
        <f>IF(COUNTIF(J54:AT54,"○")=37,"○","×")</f>
        <v>○</v>
      </c>
      <c r="AY52" s="377"/>
      <c r="AZ52" s="1285" t="s">
        <v>1051</v>
      </c>
      <c r="BA52" s="1291"/>
      <c r="BB52" s="1291"/>
      <c r="BC52" s="1291"/>
      <c r="BD52" s="1291"/>
      <c r="BE52" s="1291"/>
      <c r="BF52" s="1291"/>
      <c r="BG52" s="1291"/>
      <c r="BH52" s="1291"/>
      <c r="BI52" s="1291"/>
      <c r="BJ52" s="1291"/>
      <c r="BK52" s="1291"/>
      <c r="BL52" s="1291"/>
      <c r="BM52" s="1291"/>
      <c r="BN52" s="1291"/>
      <c r="BO52" s="1291"/>
      <c r="BP52" s="1291"/>
    </row>
    <row r="53" spans="2:69" ht="24">
      <c r="B53" s="1292" t="s">
        <v>1052</v>
      </c>
      <c r="C53" s="1293"/>
      <c r="D53" s="1293"/>
      <c r="E53" s="1293"/>
      <c r="F53" s="1293"/>
      <c r="G53" s="1293"/>
      <c r="H53" s="1293"/>
      <c r="I53" s="1293"/>
      <c r="J53" s="292">
        <v>4</v>
      </c>
      <c r="K53" s="293">
        <v>2</v>
      </c>
      <c r="L53" s="293">
        <v>1</v>
      </c>
      <c r="M53" s="293">
        <v>3</v>
      </c>
      <c r="N53" s="293">
        <v>1</v>
      </c>
      <c r="O53" s="293">
        <v>2</v>
      </c>
      <c r="P53" s="293">
        <v>1</v>
      </c>
      <c r="Q53" s="293">
        <v>0</v>
      </c>
      <c r="R53" s="293">
        <v>1</v>
      </c>
      <c r="S53" s="293">
        <v>1</v>
      </c>
      <c r="T53" s="293">
        <v>0</v>
      </c>
      <c r="U53" s="293">
        <v>3</v>
      </c>
      <c r="V53" s="293">
        <v>0</v>
      </c>
      <c r="W53" s="293">
        <v>1</v>
      </c>
      <c r="X53" s="293">
        <v>1</v>
      </c>
      <c r="Y53" s="293">
        <v>1</v>
      </c>
      <c r="Z53" s="293">
        <v>1</v>
      </c>
      <c r="AA53" s="293">
        <v>1</v>
      </c>
      <c r="AB53" s="293">
        <v>0</v>
      </c>
      <c r="AC53" s="293">
        <v>0</v>
      </c>
      <c r="AD53" s="293">
        <v>0</v>
      </c>
      <c r="AE53" s="293">
        <v>2</v>
      </c>
      <c r="AF53" s="293">
        <v>2</v>
      </c>
      <c r="AG53" s="293">
        <v>0</v>
      </c>
      <c r="AH53" s="293">
        <v>0</v>
      </c>
      <c r="AI53" s="293">
        <v>0</v>
      </c>
      <c r="AJ53" s="293">
        <v>0</v>
      </c>
      <c r="AK53" s="293">
        <v>0</v>
      </c>
      <c r="AL53" s="293">
        <v>0</v>
      </c>
      <c r="AM53" s="294">
        <v>1</v>
      </c>
      <c r="AN53" s="292">
        <v>0</v>
      </c>
      <c r="AO53" s="293">
        <v>0</v>
      </c>
      <c r="AP53" s="293">
        <v>0</v>
      </c>
      <c r="AQ53" s="293">
        <v>1</v>
      </c>
      <c r="AR53" s="293">
        <v>1</v>
      </c>
      <c r="AS53" s="293">
        <v>0</v>
      </c>
      <c r="AT53" s="295">
        <v>1</v>
      </c>
      <c r="AU53" s="1294">
        <f>IF(AX52="○",SUM(J53:AT53),"×")</f>
        <v>32</v>
      </c>
      <c r="AV53" s="1295"/>
      <c r="AW53" s="1295"/>
      <c r="AX53" s="1272"/>
      <c r="AY53" s="377"/>
      <c r="AZ53" s="1247" t="s">
        <v>1053</v>
      </c>
      <c r="BA53" s="1253"/>
      <c r="BB53" s="1253"/>
      <c r="BC53" s="1253"/>
      <c r="BD53" s="1253"/>
      <c r="BE53" s="1253"/>
      <c r="BF53" s="1253"/>
      <c r="BG53" s="1253"/>
      <c r="BH53" s="1253"/>
      <c r="BI53" s="1253"/>
      <c r="BJ53" s="1253"/>
      <c r="BK53" s="1253"/>
      <c r="BL53" s="1253"/>
      <c r="BM53" s="1253"/>
      <c r="BN53" s="1253"/>
      <c r="BO53" s="1253"/>
      <c r="BP53" s="1253"/>
    </row>
    <row r="54" spans="2:69" ht="24.75" thickBot="1">
      <c r="B54" s="1296" t="s">
        <v>98</v>
      </c>
      <c r="C54" s="1297"/>
      <c r="D54" s="1297"/>
      <c r="E54" s="1297"/>
      <c r="F54" s="1297"/>
      <c r="G54" s="1297"/>
      <c r="H54" s="1297"/>
      <c r="I54" s="1297"/>
      <c r="J54" s="252" t="str">
        <f xml:space="preserve">
IF(AND(AND(COUNTA(J52:J53)=2,J52&gt;=J53)),"○",
IF(AND(OR(COUNTA(J52:J53)&lt;&gt;2,J52&lt;J53)),"×",
IF(AND(AND(OR(J52=0,J52=""),OR(J53=0,J53=""))),"○",
IF(AND(OR(J52&lt;&gt;0,J52&lt;&gt;"",J53&lt;&gt;0,J53&lt;&gt;"")),"×"))))</f>
        <v>○</v>
      </c>
      <c r="K54" s="253" t="str">
        <f t="shared" ref="K54:AT54" si="6" xml:space="preserve">
IF(AND(AND(COUNTA(K52:K53)=2,K52&gt;=K53)),"○",
IF(AND(OR(COUNTA(K52:K53)&lt;&gt;2,K52&lt;K53)),"×",
IF(AND(AND(OR(K52=0,K52=""),OR(K53=0,K53=""))),"○",
IF(AND(OR(K52&lt;&gt;0,K52&lt;&gt;"",K53&lt;&gt;0,K53&lt;&gt;"")),"×"))))</f>
        <v>○</v>
      </c>
      <c r="L54" s="253" t="str">
        <f t="shared" si="6"/>
        <v>○</v>
      </c>
      <c r="M54" s="253" t="str">
        <f t="shared" si="6"/>
        <v>○</v>
      </c>
      <c r="N54" s="253" t="str">
        <f t="shared" si="6"/>
        <v>○</v>
      </c>
      <c r="O54" s="253" t="str">
        <f t="shared" si="6"/>
        <v>○</v>
      </c>
      <c r="P54" s="253" t="str">
        <f t="shared" si="6"/>
        <v>○</v>
      </c>
      <c r="Q54" s="253" t="str">
        <f t="shared" si="6"/>
        <v>○</v>
      </c>
      <c r="R54" s="253" t="str">
        <f t="shared" si="6"/>
        <v>○</v>
      </c>
      <c r="S54" s="253" t="str">
        <f t="shared" si="6"/>
        <v>○</v>
      </c>
      <c r="T54" s="253" t="str">
        <f t="shared" si="6"/>
        <v>○</v>
      </c>
      <c r="U54" s="253" t="str">
        <f t="shared" si="6"/>
        <v>○</v>
      </c>
      <c r="V54" s="253" t="str">
        <f t="shared" si="6"/>
        <v>○</v>
      </c>
      <c r="W54" s="253" t="str">
        <f t="shared" si="6"/>
        <v>○</v>
      </c>
      <c r="X54" s="253" t="str">
        <f t="shared" si="6"/>
        <v>○</v>
      </c>
      <c r="Y54" s="253" t="str">
        <f t="shared" si="6"/>
        <v>○</v>
      </c>
      <c r="Z54" s="253" t="str">
        <f t="shared" si="6"/>
        <v>○</v>
      </c>
      <c r="AA54" s="253" t="str">
        <f t="shared" si="6"/>
        <v>○</v>
      </c>
      <c r="AB54" s="253" t="str">
        <f t="shared" si="6"/>
        <v>○</v>
      </c>
      <c r="AC54" s="253" t="str">
        <f t="shared" si="6"/>
        <v>○</v>
      </c>
      <c r="AD54" s="253" t="str">
        <f t="shared" si="6"/>
        <v>○</v>
      </c>
      <c r="AE54" s="253" t="str">
        <f t="shared" si="6"/>
        <v>○</v>
      </c>
      <c r="AF54" s="253" t="str">
        <f t="shared" si="6"/>
        <v>○</v>
      </c>
      <c r="AG54" s="253" t="str">
        <f t="shared" si="6"/>
        <v>○</v>
      </c>
      <c r="AH54" s="253" t="str">
        <f t="shared" si="6"/>
        <v>○</v>
      </c>
      <c r="AI54" s="253" t="str">
        <f t="shared" si="6"/>
        <v>○</v>
      </c>
      <c r="AJ54" s="253" t="str">
        <f t="shared" si="6"/>
        <v>○</v>
      </c>
      <c r="AK54" s="253" t="str">
        <f t="shared" si="6"/>
        <v>○</v>
      </c>
      <c r="AL54" s="253" t="str">
        <f t="shared" si="6"/>
        <v>○</v>
      </c>
      <c r="AM54" s="254" t="str">
        <f t="shared" si="6"/>
        <v>○</v>
      </c>
      <c r="AN54" s="252" t="str">
        <f xml:space="preserve">
IF(AND(AND(COUNTA(AN52:AN53)=2,AN52&gt;=AN53)),"○",
IF(AND(OR(COUNTA(AN52:AN53)&lt;&gt;2,AN52&lt;AN53)),"×",
IF(AND(AND(OR(AN52=0,AN52=""),OR(AN53=0,AN53=""))),"○",
IF(AND(OR(AN52&lt;&gt;0,AN52&lt;&gt;"",AN53&lt;&gt;0,AN53&lt;&gt;"")),"×"))))</f>
        <v>○</v>
      </c>
      <c r="AO54" s="253" t="str">
        <f t="shared" si="6"/>
        <v>○</v>
      </c>
      <c r="AP54" s="253" t="str">
        <f t="shared" si="6"/>
        <v>○</v>
      </c>
      <c r="AQ54" s="253" t="str">
        <f t="shared" si="6"/>
        <v>○</v>
      </c>
      <c r="AR54" s="253" t="str">
        <f t="shared" si="6"/>
        <v>○</v>
      </c>
      <c r="AS54" s="253" t="str">
        <f t="shared" si="6"/>
        <v>○</v>
      </c>
      <c r="AT54" s="255" t="str">
        <f t="shared" si="6"/>
        <v>○</v>
      </c>
      <c r="AU54" s="1298" t="s">
        <v>1050</v>
      </c>
      <c r="AV54" s="1299"/>
      <c r="AW54" s="1300"/>
      <c r="AX54" s="1273"/>
      <c r="AY54" s="377"/>
      <c r="AZ54" s="1260" t="str">
        <f>IF(AX52="○","適切に入力されました。",IF(AX52="×","【要修正】全ての判定欄が「○」になっているか確認してください。(グレー以外は全て入力。赤表示欄がないように。)"))</f>
        <v>適切に入力されました。</v>
      </c>
      <c r="BA54" s="1261"/>
      <c r="BB54" s="1261"/>
      <c r="BC54" s="1261"/>
      <c r="BD54" s="1261"/>
      <c r="BE54" s="1261"/>
      <c r="BF54" s="1261"/>
      <c r="BG54" s="1261"/>
      <c r="BH54" s="1261"/>
      <c r="BI54" s="1261"/>
      <c r="BJ54" s="1261"/>
      <c r="BK54" s="1261"/>
      <c r="BL54" s="1261"/>
      <c r="BM54" s="1261"/>
      <c r="BN54" s="1261"/>
      <c r="BO54" s="1261"/>
      <c r="BP54" s="1262"/>
    </row>
    <row r="55" spans="2:69" ht="18.75" hidden="1" thickTop="1">
      <c r="BA55" s="222"/>
      <c r="BB55" s="222"/>
      <c r="BC55" s="222"/>
      <c r="BD55" s="222"/>
      <c r="BE55" s="222"/>
      <c r="BF55" s="222"/>
      <c r="BG55" s="222"/>
      <c r="BH55" s="222"/>
      <c r="BI55" s="222"/>
      <c r="BJ55" s="222"/>
      <c r="BK55" s="222"/>
      <c r="BL55" s="222"/>
      <c r="BM55" s="222"/>
      <c r="BN55" s="222"/>
      <c r="BO55" s="222"/>
      <c r="BP55" s="222"/>
      <c r="BQ55" s="222"/>
    </row>
    <row r="56" spans="2:69" ht="25.5" thickTop="1" thickBot="1">
      <c r="B56" s="1280" t="s">
        <v>1054</v>
      </c>
      <c r="C56" s="1281"/>
      <c r="D56" s="1281"/>
      <c r="E56" s="1281"/>
      <c r="F56" s="1281"/>
      <c r="G56" s="1281"/>
      <c r="H56" s="1281"/>
      <c r="I56" s="1282"/>
      <c r="J56" s="256">
        <f>IFERROR(ROUNDDOWN(J63/24,1),0)</f>
        <v>0.7</v>
      </c>
      <c r="K56" s="257">
        <f>IFERROR(ROUNDDOWN(K63/24,1),0)</f>
        <v>0.7</v>
      </c>
      <c r="L56" s="257">
        <f t="shared" ref="L56:AT56" si="7">IFERROR(ROUNDDOWN(L63/24,1),0)</f>
        <v>0.7</v>
      </c>
      <c r="M56" s="257">
        <f t="shared" si="7"/>
        <v>0.5</v>
      </c>
      <c r="N56" s="257">
        <f t="shared" si="7"/>
        <v>0.2</v>
      </c>
      <c r="O56" s="257">
        <f t="shared" si="7"/>
        <v>0.2</v>
      </c>
      <c r="P56" s="257">
        <f t="shared" si="7"/>
        <v>0.1</v>
      </c>
      <c r="Q56" s="257">
        <f t="shared" si="7"/>
        <v>0</v>
      </c>
      <c r="R56" s="257">
        <f t="shared" si="7"/>
        <v>0.2</v>
      </c>
      <c r="S56" s="257">
        <f t="shared" si="7"/>
        <v>0.2</v>
      </c>
      <c r="T56" s="257">
        <f t="shared" si="7"/>
        <v>0.2</v>
      </c>
      <c r="U56" s="257">
        <f t="shared" si="7"/>
        <v>0.4</v>
      </c>
      <c r="V56" s="257">
        <f t="shared" si="7"/>
        <v>0</v>
      </c>
      <c r="W56" s="257">
        <f t="shared" si="7"/>
        <v>0.2</v>
      </c>
      <c r="X56" s="257">
        <f t="shared" si="7"/>
        <v>0.2</v>
      </c>
      <c r="Y56" s="257">
        <f t="shared" si="7"/>
        <v>0.2</v>
      </c>
      <c r="Z56" s="257">
        <f t="shared" si="7"/>
        <v>0.2</v>
      </c>
      <c r="AA56" s="257">
        <f t="shared" si="7"/>
        <v>0.1</v>
      </c>
      <c r="AB56" s="257">
        <f t="shared" si="7"/>
        <v>0</v>
      </c>
      <c r="AC56" s="257">
        <f t="shared" si="7"/>
        <v>0</v>
      </c>
      <c r="AD56" s="257">
        <f t="shared" si="7"/>
        <v>0</v>
      </c>
      <c r="AE56" s="257">
        <f t="shared" si="7"/>
        <v>0.2</v>
      </c>
      <c r="AF56" s="257">
        <f t="shared" si="7"/>
        <v>0.2</v>
      </c>
      <c r="AG56" s="257">
        <f t="shared" si="7"/>
        <v>0.1</v>
      </c>
      <c r="AH56" s="257">
        <f t="shared" si="7"/>
        <v>0</v>
      </c>
      <c r="AI56" s="257">
        <f t="shared" si="7"/>
        <v>0.2</v>
      </c>
      <c r="AJ56" s="257">
        <f t="shared" si="7"/>
        <v>0</v>
      </c>
      <c r="AK56" s="257">
        <f t="shared" si="7"/>
        <v>0.2</v>
      </c>
      <c r="AL56" s="257">
        <f t="shared" si="7"/>
        <v>0</v>
      </c>
      <c r="AM56" s="258">
        <f t="shared" si="7"/>
        <v>0.1</v>
      </c>
      <c r="AN56" s="256">
        <f>IFERROR(ROUNDDOWN(AN63/24,1),0)</f>
        <v>0.1</v>
      </c>
      <c r="AO56" s="257">
        <f t="shared" si="7"/>
        <v>0.2</v>
      </c>
      <c r="AP56" s="257">
        <f t="shared" si="7"/>
        <v>0.2</v>
      </c>
      <c r="AQ56" s="257">
        <f t="shared" si="7"/>
        <v>0.1</v>
      </c>
      <c r="AR56" s="257">
        <f t="shared" si="7"/>
        <v>0.2</v>
      </c>
      <c r="AS56" s="257">
        <f t="shared" si="7"/>
        <v>0.2</v>
      </c>
      <c r="AT56" s="259">
        <f t="shared" si="7"/>
        <v>0.2</v>
      </c>
      <c r="AU56" s="1283">
        <f>IF(COUNTIF(AX52:AX64,"○")=2,ROUNDDOWN(SUM(J56:AT56)/(COUNTA(J50:AT50)-COUNTIF(J52:AT52,0)),1),"×")</f>
        <v>0.2</v>
      </c>
      <c r="AV56" s="1284"/>
      <c r="AW56" s="1284"/>
      <c r="AX56" s="260" t="s">
        <v>1050</v>
      </c>
      <c r="AY56" s="377"/>
      <c r="AZ56" s="1285" t="s">
        <v>1182</v>
      </c>
      <c r="BA56" s="1286"/>
      <c r="BB56" s="1286"/>
      <c r="BC56" s="1286"/>
      <c r="BD56" s="1286"/>
      <c r="BE56" s="1286"/>
      <c r="BF56" s="1286"/>
      <c r="BG56" s="1286"/>
      <c r="BH56" s="1286"/>
      <c r="BI56" s="1286"/>
      <c r="BJ56" s="1286"/>
      <c r="BK56" s="1286"/>
      <c r="BL56" s="1286"/>
      <c r="BM56" s="1286"/>
      <c r="BN56" s="1286"/>
      <c r="BO56" s="1286"/>
      <c r="BP56" s="1286"/>
    </row>
    <row r="57" spans="2:69" ht="19.5" hidden="1" thickTop="1">
      <c r="AY57" s="377"/>
      <c r="AZ57" s="377"/>
      <c r="BA57" s="377"/>
      <c r="BB57" s="377"/>
      <c r="BC57" s="377"/>
      <c r="BD57" s="377"/>
      <c r="BE57" s="377"/>
      <c r="BF57" s="377"/>
      <c r="BG57" s="377"/>
      <c r="BH57" s="377"/>
      <c r="BI57" s="377"/>
      <c r="BJ57" s="377"/>
      <c r="BK57" s="377"/>
      <c r="BL57" s="377"/>
      <c r="BM57" s="377"/>
      <c r="BN57" s="377"/>
      <c r="BO57" s="377"/>
      <c r="BP57" s="377"/>
    </row>
    <row r="58" spans="2:69" ht="18.75" hidden="1">
      <c r="AY58" s="377"/>
      <c r="AZ58" s="377"/>
      <c r="BA58" s="377"/>
      <c r="BB58" s="377"/>
      <c r="BC58" s="377"/>
      <c r="BD58" s="377"/>
      <c r="BE58" s="377"/>
      <c r="BF58" s="377"/>
      <c r="BG58" s="377"/>
      <c r="BH58" s="377"/>
      <c r="BI58" s="377"/>
      <c r="BJ58" s="377"/>
      <c r="BK58" s="377"/>
      <c r="BL58" s="377"/>
      <c r="BM58" s="377"/>
      <c r="BN58" s="377"/>
      <c r="BO58" s="377"/>
      <c r="BP58" s="377"/>
    </row>
    <row r="59" spans="2:69" ht="18.75" hidden="1">
      <c r="AY59" s="377"/>
      <c r="AZ59" s="377"/>
      <c r="BA59" s="377"/>
      <c r="BB59" s="377"/>
      <c r="BC59" s="377"/>
      <c r="BD59" s="377"/>
      <c r="BE59" s="377"/>
      <c r="BF59" s="377"/>
      <c r="BG59" s="377"/>
      <c r="BH59" s="377"/>
      <c r="BI59" s="377"/>
      <c r="BJ59" s="377"/>
      <c r="BK59" s="377"/>
      <c r="BL59" s="377"/>
      <c r="BM59" s="377"/>
      <c r="BN59" s="377"/>
      <c r="BO59" s="377"/>
      <c r="BP59" s="377"/>
    </row>
    <row r="60" spans="2:69" ht="19.5" hidden="1" thickBot="1">
      <c r="AY60" s="377"/>
      <c r="AZ60" s="377"/>
      <c r="BA60" s="377"/>
      <c r="BB60" s="377"/>
      <c r="BC60" s="377"/>
      <c r="BD60" s="377"/>
      <c r="BE60" s="377"/>
      <c r="BF60" s="377"/>
      <c r="BG60" s="377"/>
      <c r="BH60" s="377"/>
      <c r="BI60" s="377"/>
      <c r="BJ60" s="377"/>
      <c r="BK60" s="377"/>
      <c r="BL60" s="377"/>
      <c r="BM60" s="377"/>
      <c r="BN60" s="377"/>
      <c r="BO60" s="377"/>
      <c r="BP60" s="377"/>
    </row>
    <row r="61" spans="2:69" ht="24.75" thickTop="1">
      <c r="B61" s="1263" t="s">
        <v>1273</v>
      </c>
      <c r="C61" s="1264"/>
      <c r="D61" s="1264"/>
      <c r="E61" s="1264"/>
      <c r="F61" s="1267" t="s">
        <v>1055</v>
      </c>
      <c r="G61" s="1267"/>
      <c r="H61" s="1267"/>
      <c r="I61" s="1268"/>
      <c r="J61" s="296">
        <v>1</v>
      </c>
      <c r="K61" s="297">
        <v>1</v>
      </c>
      <c r="L61" s="297">
        <v>0</v>
      </c>
      <c r="M61" s="297">
        <v>1</v>
      </c>
      <c r="N61" s="297">
        <v>1</v>
      </c>
      <c r="O61" s="297">
        <v>1</v>
      </c>
      <c r="P61" s="297">
        <v>1</v>
      </c>
      <c r="Q61" s="297">
        <v>1</v>
      </c>
      <c r="R61" s="297">
        <v>1</v>
      </c>
      <c r="S61" s="297">
        <v>1</v>
      </c>
      <c r="T61" s="297">
        <v>1</v>
      </c>
      <c r="U61" s="297">
        <v>1</v>
      </c>
      <c r="V61" s="297">
        <v>1</v>
      </c>
      <c r="W61" s="297">
        <v>1</v>
      </c>
      <c r="X61" s="297">
        <v>1</v>
      </c>
      <c r="Y61" s="297">
        <v>1</v>
      </c>
      <c r="Z61" s="297">
        <v>1</v>
      </c>
      <c r="AA61" s="297">
        <v>1</v>
      </c>
      <c r="AB61" s="297">
        <v>1</v>
      </c>
      <c r="AC61" s="297">
        <v>1</v>
      </c>
      <c r="AD61" s="297">
        <v>1</v>
      </c>
      <c r="AE61" s="297">
        <v>1</v>
      </c>
      <c r="AF61" s="297">
        <v>1</v>
      </c>
      <c r="AG61" s="297">
        <v>1</v>
      </c>
      <c r="AH61" s="297">
        <v>1</v>
      </c>
      <c r="AI61" s="297">
        <v>1</v>
      </c>
      <c r="AJ61" s="297">
        <v>1</v>
      </c>
      <c r="AK61" s="297">
        <v>1</v>
      </c>
      <c r="AL61" s="297">
        <v>1</v>
      </c>
      <c r="AM61" s="298">
        <v>1</v>
      </c>
      <c r="AN61" s="296">
        <v>1</v>
      </c>
      <c r="AO61" s="297">
        <v>1</v>
      </c>
      <c r="AP61" s="297">
        <v>1</v>
      </c>
      <c r="AQ61" s="297">
        <v>1</v>
      </c>
      <c r="AR61" s="297">
        <v>1</v>
      </c>
      <c r="AS61" s="297">
        <v>1</v>
      </c>
      <c r="AT61" s="299">
        <v>1</v>
      </c>
      <c r="AU61" s="1269" t="s">
        <v>1050</v>
      </c>
      <c r="AV61" s="1270"/>
      <c r="AW61" s="1270"/>
      <c r="AX61" s="1271" t="str">
        <f>IF(COUNTIF(J64:AT64,"○")=37,"○","×")</f>
        <v>○</v>
      </c>
      <c r="AY61" s="377"/>
      <c r="AZ61" s="1274" t="str">
        <f>"「２」で入力の看護要員数("&amp;AS35&amp;"名)の範囲内。休診日（グレーのセル）以外は全て入力（０の場合は０）"</f>
        <v>「２」で入力の看護要員数(2名)の範囲内。休診日（グレーのセル）以外は全て入力（０の場合は０）</v>
      </c>
      <c r="BA61" s="1275"/>
      <c r="BB61" s="1275"/>
      <c r="BC61" s="1275"/>
      <c r="BD61" s="1275"/>
      <c r="BE61" s="1275"/>
      <c r="BF61" s="1275"/>
      <c r="BG61" s="1275"/>
      <c r="BH61" s="1275"/>
      <c r="BI61" s="1275"/>
      <c r="BJ61" s="1275"/>
      <c r="BK61" s="1275"/>
      <c r="BL61" s="1275"/>
      <c r="BM61" s="1275"/>
      <c r="BN61" s="1275"/>
      <c r="BO61" s="1275"/>
      <c r="BP61" s="1275"/>
    </row>
    <row r="62" spans="2:69" ht="24">
      <c r="B62" s="1265"/>
      <c r="C62" s="1266"/>
      <c r="D62" s="1266"/>
      <c r="E62" s="1266"/>
      <c r="F62" s="1276" t="s">
        <v>1157</v>
      </c>
      <c r="G62" s="1276"/>
      <c r="H62" s="1276"/>
      <c r="I62" s="1277"/>
      <c r="J62" s="261">
        <f t="shared" ref="J62:AM62" si="8">IF(OR(J54="×",$AZ$14="×"),0,IFERROR(ROUNDUP(J52/$G$18*24,1),0))</f>
        <v>13.799999999999999</v>
      </c>
      <c r="K62" s="262">
        <f t="shared" si="8"/>
        <v>17.200000000000003</v>
      </c>
      <c r="L62" s="262">
        <f t="shared" si="8"/>
        <v>17.200000000000003</v>
      </c>
      <c r="M62" s="262">
        <f t="shared" si="8"/>
        <v>13.799999999999999</v>
      </c>
      <c r="N62" s="262">
        <f t="shared" si="8"/>
        <v>6.8999999999999995</v>
      </c>
      <c r="O62" s="262">
        <f t="shared" si="8"/>
        <v>6.8999999999999995</v>
      </c>
      <c r="P62" s="262">
        <f t="shared" si="8"/>
        <v>3.5</v>
      </c>
      <c r="Q62" s="262">
        <f t="shared" si="8"/>
        <v>0</v>
      </c>
      <c r="R62" s="262">
        <f t="shared" si="8"/>
        <v>6.8999999999999995</v>
      </c>
      <c r="S62" s="262">
        <f t="shared" si="8"/>
        <v>6.8999999999999995</v>
      </c>
      <c r="T62" s="262">
        <f t="shared" si="8"/>
        <v>6.8999999999999995</v>
      </c>
      <c r="U62" s="262">
        <f t="shared" si="8"/>
        <v>10.299999999999999</v>
      </c>
      <c r="V62" s="262">
        <f t="shared" si="8"/>
        <v>0</v>
      </c>
      <c r="W62" s="262">
        <f t="shared" si="8"/>
        <v>6.8999999999999995</v>
      </c>
      <c r="X62" s="262">
        <f t="shared" si="8"/>
        <v>6.8999999999999995</v>
      </c>
      <c r="Y62" s="262">
        <f t="shared" si="8"/>
        <v>6.8999999999999995</v>
      </c>
      <c r="Z62" s="262">
        <f t="shared" si="8"/>
        <v>6.8999999999999995</v>
      </c>
      <c r="AA62" s="262">
        <f t="shared" si="8"/>
        <v>3.5</v>
      </c>
      <c r="AB62" s="262">
        <f t="shared" si="8"/>
        <v>0</v>
      </c>
      <c r="AC62" s="262">
        <f t="shared" si="8"/>
        <v>0</v>
      </c>
      <c r="AD62" s="262">
        <f t="shared" si="8"/>
        <v>0</v>
      </c>
      <c r="AE62" s="262">
        <f t="shared" si="8"/>
        <v>6.8999999999999995</v>
      </c>
      <c r="AF62" s="262">
        <f t="shared" si="8"/>
        <v>6.8999999999999995</v>
      </c>
      <c r="AG62" s="262">
        <f t="shared" si="8"/>
        <v>3.5</v>
      </c>
      <c r="AH62" s="262">
        <f t="shared" si="8"/>
        <v>0</v>
      </c>
      <c r="AI62" s="262">
        <f t="shared" si="8"/>
        <v>6.8999999999999995</v>
      </c>
      <c r="AJ62" s="262">
        <f t="shared" si="8"/>
        <v>0</v>
      </c>
      <c r="AK62" s="262">
        <f t="shared" si="8"/>
        <v>6.8999999999999995</v>
      </c>
      <c r="AL62" s="262">
        <f t="shared" si="8"/>
        <v>0</v>
      </c>
      <c r="AM62" s="263">
        <f t="shared" si="8"/>
        <v>3.5</v>
      </c>
      <c r="AN62" s="264">
        <f t="shared" ref="AN62:AT62" si="9">IF(OR(AN54="×",$AZ$14="×"),0,IFERROR(ROUNDUP(AN52/$L$18*24,1),0))</f>
        <v>3.5</v>
      </c>
      <c r="AO62" s="262">
        <f t="shared" si="9"/>
        <v>6.8999999999999995</v>
      </c>
      <c r="AP62" s="262">
        <f t="shared" si="9"/>
        <v>6.8999999999999995</v>
      </c>
      <c r="AQ62" s="262">
        <f t="shared" si="9"/>
        <v>3.5</v>
      </c>
      <c r="AR62" s="262">
        <f t="shared" si="9"/>
        <v>6.8999999999999995</v>
      </c>
      <c r="AS62" s="262">
        <f t="shared" si="9"/>
        <v>6.8999999999999995</v>
      </c>
      <c r="AT62" s="265">
        <f t="shared" si="9"/>
        <v>6.8999999999999995</v>
      </c>
      <c r="AU62" s="1245" t="s">
        <v>1050</v>
      </c>
      <c r="AV62" s="1246"/>
      <c r="AW62" s="1246"/>
      <c r="AX62" s="1272"/>
      <c r="AY62" s="377"/>
      <c r="AZ62" s="1247" t="s">
        <v>1181</v>
      </c>
      <c r="BA62" s="1248"/>
      <c r="BB62" s="1248"/>
      <c r="BC62" s="1248"/>
      <c r="BD62" s="1248"/>
      <c r="BE62" s="1248"/>
      <c r="BF62" s="1248"/>
      <c r="BG62" s="1248"/>
      <c r="BH62" s="1248"/>
      <c r="BI62" s="1248"/>
      <c r="BJ62" s="1248"/>
      <c r="BK62" s="1248"/>
      <c r="BL62" s="1248"/>
      <c r="BM62" s="1248"/>
      <c r="BN62" s="1248"/>
      <c r="BO62" s="1248"/>
      <c r="BP62" s="1248"/>
    </row>
    <row r="63" spans="2:69" ht="24.75" thickBot="1">
      <c r="B63" s="1185"/>
      <c r="C63" s="1185"/>
      <c r="D63" s="1185"/>
      <c r="E63" s="1185"/>
      <c r="F63" s="1249" t="s">
        <v>1056</v>
      </c>
      <c r="G63" s="1249"/>
      <c r="H63" s="1249"/>
      <c r="I63" s="1250"/>
      <c r="J63" s="300">
        <v>17.2</v>
      </c>
      <c r="K63" s="301">
        <v>18</v>
      </c>
      <c r="L63" s="301">
        <v>18</v>
      </c>
      <c r="M63" s="301">
        <v>14</v>
      </c>
      <c r="N63" s="301">
        <v>7</v>
      </c>
      <c r="O63" s="301">
        <v>7</v>
      </c>
      <c r="P63" s="301">
        <v>4</v>
      </c>
      <c r="Q63" s="301">
        <v>0</v>
      </c>
      <c r="R63" s="301">
        <v>7</v>
      </c>
      <c r="S63" s="301">
        <v>7</v>
      </c>
      <c r="T63" s="301">
        <v>7</v>
      </c>
      <c r="U63" s="301">
        <v>11</v>
      </c>
      <c r="V63" s="301">
        <v>0</v>
      </c>
      <c r="W63" s="301">
        <v>7</v>
      </c>
      <c r="X63" s="301">
        <v>7</v>
      </c>
      <c r="Y63" s="301">
        <v>7</v>
      </c>
      <c r="Z63" s="301">
        <v>7</v>
      </c>
      <c r="AA63" s="301">
        <v>4</v>
      </c>
      <c r="AB63" s="301">
        <v>0</v>
      </c>
      <c r="AC63" s="301">
        <v>0</v>
      </c>
      <c r="AD63" s="301">
        <v>0</v>
      </c>
      <c r="AE63" s="301">
        <v>7</v>
      </c>
      <c r="AF63" s="301">
        <v>7</v>
      </c>
      <c r="AG63" s="301">
        <v>4</v>
      </c>
      <c r="AH63" s="301">
        <v>0</v>
      </c>
      <c r="AI63" s="301">
        <v>7</v>
      </c>
      <c r="AJ63" s="301">
        <v>0</v>
      </c>
      <c r="AK63" s="301">
        <v>7</v>
      </c>
      <c r="AL63" s="301">
        <v>0</v>
      </c>
      <c r="AM63" s="302">
        <v>4</v>
      </c>
      <c r="AN63" s="300">
        <v>4</v>
      </c>
      <c r="AO63" s="301">
        <v>7</v>
      </c>
      <c r="AP63" s="301">
        <v>7</v>
      </c>
      <c r="AQ63" s="301">
        <v>4</v>
      </c>
      <c r="AR63" s="301">
        <v>7</v>
      </c>
      <c r="AS63" s="301">
        <v>7</v>
      </c>
      <c r="AT63" s="303">
        <v>7</v>
      </c>
      <c r="AU63" s="1251">
        <f>IFERROR(ROUNDDOWN(SUM(J63:AT63)/COUNTA(J50:AT50),1),0)</f>
        <v>6.1</v>
      </c>
      <c r="AV63" s="1252"/>
      <c r="AW63" s="1252"/>
      <c r="AX63" s="1272"/>
      <c r="AY63" s="266"/>
      <c r="AZ63" s="1247" t="s">
        <v>1057</v>
      </c>
      <c r="BA63" s="1253"/>
      <c r="BB63" s="1253"/>
      <c r="BC63" s="1253"/>
      <c r="BD63" s="1253"/>
      <c r="BE63" s="1253"/>
      <c r="BF63" s="1253"/>
      <c r="BG63" s="1253"/>
      <c r="BH63" s="1253"/>
      <c r="BI63" s="1253"/>
      <c r="BJ63" s="1253"/>
      <c r="BK63" s="1253"/>
      <c r="BL63" s="1253"/>
      <c r="BM63" s="1253"/>
      <c r="BN63" s="1253"/>
      <c r="BO63" s="1253"/>
      <c r="BP63" s="1253"/>
    </row>
    <row r="64" spans="2:69" ht="24.75" thickBot="1">
      <c r="B64" s="1254" t="s">
        <v>98</v>
      </c>
      <c r="C64" s="1255"/>
      <c r="D64" s="1255"/>
      <c r="E64" s="1255"/>
      <c r="F64" s="1255"/>
      <c r="G64" s="1255"/>
      <c r="H64" s="1255"/>
      <c r="I64" s="1256"/>
      <c r="J64" s="267" t="str">
        <f t="shared" ref="J64:AK64" si="10" xml:space="preserve">
IF(COUNTA(J61,J63)&lt;&gt;2,"×",
IF(AND(J62=0,J63&lt;&gt;0),"×",
IF(AND(COUNTA(J61,J63)=2,J61&lt;=SUM($AS$32:$AV$42),J63&gt;=J62),"○",
IF(AND(COUNTA(J61,J63)=2,OR(J61&gt;SUM($AS$32:$AV$42),J63&lt;J62)),"×"))))</f>
        <v>○</v>
      </c>
      <c r="K64" s="268" t="str">
        <f t="shared" si="10"/>
        <v>○</v>
      </c>
      <c r="L64" s="268" t="str">
        <f t="shared" si="10"/>
        <v>○</v>
      </c>
      <c r="M64" s="268" t="str">
        <f t="shared" si="10"/>
        <v>○</v>
      </c>
      <c r="N64" s="268" t="str">
        <f t="shared" si="10"/>
        <v>○</v>
      </c>
      <c r="O64" s="268" t="str">
        <f t="shared" si="10"/>
        <v>○</v>
      </c>
      <c r="P64" s="268" t="str">
        <f t="shared" si="10"/>
        <v>○</v>
      </c>
      <c r="Q64" s="268" t="str">
        <f t="shared" si="10"/>
        <v>○</v>
      </c>
      <c r="R64" s="268" t="str">
        <f t="shared" si="10"/>
        <v>○</v>
      </c>
      <c r="S64" s="268" t="str">
        <f t="shared" si="10"/>
        <v>○</v>
      </c>
      <c r="T64" s="268" t="str">
        <f t="shared" si="10"/>
        <v>○</v>
      </c>
      <c r="U64" s="268" t="str">
        <f t="shared" si="10"/>
        <v>○</v>
      </c>
      <c r="V64" s="268" t="str">
        <f t="shared" si="10"/>
        <v>○</v>
      </c>
      <c r="W64" s="268" t="str">
        <f t="shared" si="10"/>
        <v>○</v>
      </c>
      <c r="X64" s="268" t="str">
        <f t="shared" si="10"/>
        <v>○</v>
      </c>
      <c r="Y64" s="268" t="str">
        <f t="shared" si="10"/>
        <v>○</v>
      </c>
      <c r="Z64" s="268" t="str">
        <f t="shared" si="10"/>
        <v>○</v>
      </c>
      <c r="AA64" s="268" t="str">
        <f t="shared" si="10"/>
        <v>○</v>
      </c>
      <c r="AB64" s="268" t="str">
        <f t="shared" si="10"/>
        <v>○</v>
      </c>
      <c r="AC64" s="268" t="str">
        <f t="shared" si="10"/>
        <v>○</v>
      </c>
      <c r="AD64" s="268" t="str">
        <f t="shared" si="10"/>
        <v>○</v>
      </c>
      <c r="AE64" s="268" t="str">
        <f t="shared" si="10"/>
        <v>○</v>
      </c>
      <c r="AF64" s="268" t="str">
        <f t="shared" si="10"/>
        <v>○</v>
      </c>
      <c r="AG64" s="268" t="str">
        <f t="shared" si="10"/>
        <v>○</v>
      </c>
      <c r="AH64" s="268" t="str">
        <f t="shared" si="10"/>
        <v>○</v>
      </c>
      <c r="AI64" s="268" t="str">
        <f t="shared" si="10"/>
        <v>○</v>
      </c>
      <c r="AJ64" s="268" t="str">
        <f t="shared" si="10"/>
        <v>○</v>
      </c>
      <c r="AK64" s="268" t="str">
        <f t="shared" si="10"/>
        <v>○</v>
      </c>
      <c r="AL64" s="268" t="str">
        <f t="shared" ref="AL64:AT64" si="11" xml:space="preserve">
IF(COUNTA(AL61,AL63)&lt;&gt;2,"×",
IF(AND(AL62=0,AL63&lt;&gt;0),"×",
IF(AND(COUNTA(AL61,AL63)=2,AL61&lt;=SUM($AS$32:$AV$42),AL63&gt;=AL62),"○",
IF(AND(COUNTA(AL61,AL63)=2,OR(AL61&gt;SUM($AS$32:$AV$42),AL63&lt;AL62)),"×"))))</f>
        <v>○</v>
      </c>
      <c r="AM64" s="269" t="str">
        <f t="shared" si="11"/>
        <v>○</v>
      </c>
      <c r="AN64" s="270" t="str">
        <f t="shared" si="11"/>
        <v>○</v>
      </c>
      <c r="AO64" s="268" t="str">
        <f t="shared" si="11"/>
        <v>○</v>
      </c>
      <c r="AP64" s="268" t="str">
        <f t="shared" si="11"/>
        <v>○</v>
      </c>
      <c r="AQ64" s="268" t="str">
        <f t="shared" si="11"/>
        <v>○</v>
      </c>
      <c r="AR64" s="268" t="str">
        <f t="shared" si="11"/>
        <v>○</v>
      </c>
      <c r="AS64" s="268" t="str">
        <f t="shared" si="11"/>
        <v>○</v>
      </c>
      <c r="AT64" s="268" t="str">
        <f t="shared" si="11"/>
        <v>○</v>
      </c>
      <c r="AU64" s="1257" t="s">
        <v>1050</v>
      </c>
      <c r="AV64" s="1258"/>
      <c r="AW64" s="1259"/>
      <c r="AX64" s="1273"/>
      <c r="AY64" s="266"/>
      <c r="AZ64" s="1260" t="str">
        <f>IF(AX61="○","適切に入力されました。",IF(AX61="×","【要修正】全ての判定欄が「○」になっているか確認してください。(グレー以外は全て入力。赤表示欄がないように。)"))</f>
        <v>適切に入力されました。</v>
      </c>
      <c r="BA64" s="1261"/>
      <c r="BB64" s="1261"/>
      <c r="BC64" s="1261"/>
      <c r="BD64" s="1261"/>
      <c r="BE64" s="1261"/>
      <c r="BF64" s="1261"/>
      <c r="BG64" s="1261"/>
      <c r="BH64" s="1261"/>
      <c r="BI64" s="1261"/>
      <c r="BJ64" s="1261"/>
      <c r="BK64" s="1261"/>
      <c r="BL64" s="1261"/>
      <c r="BM64" s="1261"/>
      <c r="BN64" s="1261"/>
      <c r="BO64" s="1261"/>
      <c r="BP64" s="1262"/>
    </row>
    <row r="65" spans="2:79" ht="19.5" thickTop="1">
      <c r="B65" s="1278" t="s">
        <v>1235</v>
      </c>
      <c r="C65" s="1279"/>
      <c r="D65" s="1279"/>
      <c r="E65" s="1279"/>
      <c r="F65" s="1279"/>
      <c r="G65" s="1279"/>
      <c r="H65" s="1279"/>
      <c r="I65" s="1279"/>
      <c r="J65" s="1279"/>
      <c r="K65" s="1279"/>
      <c r="L65" s="1279"/>
      <c r="M65" s="1279"/>
      <c r="N65" s="1279"/>
      <c r="O65" s="1279"/>
      <c r="P65" s="1279"/>
      <c r="Q65" s="1279"/>
      <c r="R65" s="1279"/>
      <c r="S65" s="1279"/>
      <c r="T65" s="1279"/>
      <c r="U65" s="1279"/>
      <c r="V65" s="1279"/>
      <c r="W65" s="1279"/>
      <c r="X65" s="1279"/>
      <c r="Y65" s="1279"/>
      <c r="Z65" s="1279"/>
      <c r="AA65" s="1279"/>
      <c r="AB65" s="1279"/>
      <c r="AC65" s="1279"/>
      <c r="AD65" s="1279"/>
      <c r="AE65" s="1279"/>
      <c r="AF65" s="1279"/>
      <c r="AG65" s="1279"/>
      <c r="AH65" s="1279"/>
      <c r="AI65" s="1279"/>
      <c r="AJ65" s="1279"/>
      <c r="AK65" s="1279"/>
      <c r="AL65" s="1279"/>
      <c r="AM65" s="1279"/>
      <c r="AN65" s="1279"/>
      <c r="AO65" s="1279"/>
      <c r="AP65" s="1279"/>
      <c r="AQ65" s="1279"/>
      <c r="AR65" s="1279"/>
      <c r="AS65" s="1279"/>
      <c r="AT65" s="1279"/>
      <c r="AU65" s="1279"/>
      <c r="AV65" s="1279"/>
      <c r="AW65" s="1279"/>
      <c r="AX65" s="1279"/>
      <c r="AZ65" s="224"/>
      <c r="BA65" s="1181"/>
      <c r="BB65" s="1181"/>
      <c r="BC65" s="1181"/>
      <c r="BD65" s="271"/>
      <c r="BF65" s="272"/>
      <c r="BG65" s="225"/>
      <c r="BH65" s="273"/>
      <c r="BI65" s="273"/>
      <c r="BJ65" s="274"/>
      <c r="BK65" s="273"/>
      <c r="BL65" s="273"/>
      <c r="BM65" s="225"/>
    </row>
    <row r="66" spans="2:79" s="379" customFormat="1" ht="45" customHeight="1">
      <c r="B66" s="1227" t="str">
        <f>"４．入院患者あたり対応人数及び品目毎の平均着脱使用枚数　【総合判定】"&amp;AZ66&amp;IF(AZ66="×","（空欄及び赤表示の欄がないようにしてください。）","")</f>
        <v>４．入院患者あたり対応人数及び品目毎の平均着脱使用枚数　【総合判定】○</v>
      </c>
      <c r="C66" s="1228"/>
      <c r="D66" s="1228"/>
      <c r="E66" s="1228"/>
      <c r="F66" s="1228"/>
      <c r="G66" s="1228"/>
      <c r="H66" s="1228"/>
      <c r="I66" s="1228"/>
      <c r="J66" s="1228"/>
      <c r="K66" s="1228"/>
      <c r="L66" s="1228"/>
      <c r="M66" s="1228"/>
      <c r="N66" s="1228"/>
      <c r="O66" s="1228"/>
      <c r="P66" s="1228"/>
      <c r="Q66" s="1228"/>
      <c r="R66" s="1228"/>
      <c r="S66" s="1228"/>
      <c r="T66" s="1228"/>
      <c r="U66" s="1228"/>
      <c r="V66" s="1228"/>
      <c r="W66" s="1228"/>
      <c r="X66" s="1228"/>
      <c r="Y66" s="1228"/>
      <c r="Z66" s="1228"/>
      <c r="AA66" s="1228"/>
      <c r="AB66" s="1228"/>
      <c r="AC66" s="1228"/>
      <c r="AD66" s="1228"/>
      <c r="AE66" s="1228"/>
      <c r="AF66" s="1228"/>
      <c r="AG66" s="1228"/>
      <c r="AH66" s="1228"/>
      <c r="AI66" s="1228"/>
      <c r="AJ66" s="1228"/>
      <c r="AK66" s="1228"/>
      <c r="AL66" s="1228"/>
      <c r="AM66" s="1228"/>
      <c r="AN66" s="1228"/>
      <c r="AO66" s="1228"/>
      <c r="AP66" s="1228"/>
      <c r="AQ66" s="1228"/>
      <c r="AR66" s="1228"/>
      <c r="AS66" s="1228"/>
      <c r="AT66" s="1228"/>
      <c r="AU66" s="1228"/>
      <c r="AV66" s="1228"/>
      <c r="AW66" s="1228"/>
      <c r="AX66" s="1228"/>
      <c r="AY66" s="1228"/>
      <c r="AZ66" s="238" t="str">
        <f>IF(SUM(COUNTIF(T76,"○"),COUNTIF(AD83:AE121,"○"))=14,"○","×")</f>
        <v>○</v>
      </c>
      <c r="BA66" s="1229"/>
      <c r="BB66" s="1229"/>
      <c r="BC66" s="1229"/>
      <c r="BD66" s="275"/>
      <c r="BE66" s="276"/>
      <c r="BF66" s="277"/>
      <c r="BG66" s="276"/>
      <c r="BH66" s="278"/>
      <c r="BI66" s="278"/>
      <c r="BJ66" s="279"/>
      <c r="BK66" s="278"/>
      <c r="BL66" s="278"/>
      <c r="BM66" s="276"/>
    </row>
    <row r="67" spans="2:79" ht="24">
      <c r="B67" s="1230" t="s">
        <v>1161</v>
      </c>
      <c r="C67" s="1231"/>
      <c r="D67" s="1231"/>
      <c r="E67" s="1231"/>
      <c r="F67" s="1231"/>
      <c r="G67" s="1231"/>
      <c r="H67" s="1231"/>
      <c r="I67" s="1231"/>
      <c r="J67" s="1231"/>
      <c r="K67" s="1231"/>
      <c r="L67" s="1231"/>
      <c r="M67" s="1231"/>
      <c r="N67" s="1231"/>
      <c r="O67" s="1231"/>
      <c r="P67" s="1231"/>
      <c r="Q67" s="1231"/>
      <c r="R67" s="1231"/>
      <c r="S67" s="1231"/>
      <c r="T67" s="1231"/>
      <c r="U67" s="1231"/>
      <c r="V67" s="1231"/>
      <c r="W67" s="1231"/>
      <c r="X67" s="1231"/>
      <c r="Y67" s="1231"/>
      <c r="Z67" s="1231"/>
      <c r="AA67" s="1231"/>
      <c r="AB67" s="1231"/>
      <c r="AC67" s="1231"/>
      <c r="AD67" s="1231"/>
      <c r="AE67" s="1231"/>
      <c r="AF67" s="1231"/>
      <c r="AG67" s="1231"/>
      <c r="AH67" s="1231"/>
      <c r="AI67" s="1231"/>
      <c r="AJ67" s="1231"/>
      <c r="AK67" s="1231"/>
      <c r="AL67" s="1231"/>
      <c r="AM67" s="1231"/>
      <c r="AN67" s="1231"/>
      <c r="AO67" s="1231"/>
      <c r="AP67" s="1231"/>
      <c r="AQ67" s="1231"/>
      <c r="AR67" s="1231"/>
      <c r="AS67" s="1231"/>
      <c r="AT67" s="1231"/>
      <c r="AU67" s="1231"/>
      <c r="AV67" s="1231"/>
      <c r="AW67" s="1231"/>
      <c r="AX67" s="1231"/>
      <c r="AZ67" s="224"/>
      <c r="BD67" s="271"/>
      <c r="BF67" s="272"/>
      <c r="BG67" s="225"/>
      <c r="BH67" s="273"/>
      <c r="BI67" s="273"/>
      <c r="BJ67" s="274"/>
      <c r="BK67" s="273"/>
      <c r="BL67" s="273"/>
      <c r="BM67" s="225"/>
    </row>
    <row r="68" spans="2:79" ht="48" customHeight="1">
      <c r="B68" s="1232" t="s">
        <v>1158</v>
      </c>
      <c r="C68" s="1233"/>
      <c r="D68" s="1233"/>
      <c r="E68" s="1233"/>
      <c r="F68" s="1233"/>
      <c r="G68" s="1233"/>
      <c r="H68" s="1233"/>
      <c r="I68" s="1233"/>
      <c r="J68" s="1233"/>
      <c r="K68" s="1233"/>
      <c r="L68" s="1233"/>
      <c r="M68" s="1233"/>
      <c r="N68" s="1233"/>
      <c r="O68" s="1233"/>
      <c r="P68" s="1233"/>
      <c r="Q68" s="1233"/>
      <c r="R68" s="1233"/>
      <c r="S68" s="1233"/>
      <c r="T68" s="1233"/>
      <c r="U68" s="1233"/>
      <c r="V68" s="1233"/>
      <c r="W68" s="1233"/>
      <c r="X68" s="1233"/>
      <c r="Y68" s="1233"/>
      <c r="Z68" s="1233"/>
      <c r="AA68" s="1233"/>
      <c r="AB68" s="1233"/>
      <c r="AC68" s="1233"/>
      <c r="AD68" s="1233"/>
      <c r="AE68" s="1233"/>
      <c r="AF68" s="1233"/>
      <c r="AG68" s="1233"/>
      <c r="AH68" s="1233"/>
      <c r="AI68" s="1233"/>
      <c r="AJ68" s="1233"/>
      <c r="AK68" s="1233"/>
      <c r="AL68" s="1233"/>
      <c r="AM68" s="1233"/>
      <c r="AN68" s="1233"/>
      <c r="AO68" s="1233"/>
      <c r="AP68" s="1233"/>
      <c r="AQ68" s="1233"/>
      <c r="AR68" s="1233"/>
      <c r="AS68" s="1233"/>
      <c r="AT68" s="1233"/>
      <c r="AU68" s="1233"/>
      <c r="AV68" s="1233"/>
      <c r="AW68" s="1233"/>
      <c r="AX68" s="1233"/>
      <c r="AZ68" s="224"/>
      <c r="BD68" s="271"/>
      <c r="BF68" s="272"/>
      <c r="BG68" s="225"/>
      <c r="BH68" s="273"/>
      <c r="BI68" s="273"/>
      <c r="BJ68" s="274"/>
      <c r="BK68" s="273"/>
      <c r="BL68" s="273"/>
      <c r="BM68" s="225"/>
    </row>
    <row r="69" spans="2:79" ht="15" customHeight="1" thickBot="1">
      <c r="B69" s="378"/>
      <c r="C69" s="378"/>
      <c r="D69" s="378"/>
      <c r="E69" s="378"/>
      <c r="F69" s="378"/>
      <c r="G69" s="378"/>
      <c r="H69" s="378"/>
      <c r="I69" s="378"/>
      <c r="J69" s="378"/>
      <c r="K69" s="378"/>
      <c r="L69" s="378"/>
      <c r="M69" s="378"/>
      <c r="N69" s="378"/>
      <c r="O69" s="378"/>
      <c r="P69" s="378"/>
      <c r="Q69" s="378"/>
      <c r="R69" s="378"/>
      <c r="S69" s="378"/>
      <c r="T69" s="378"/>
      <c r="U69" s="378"/>
      <c r="V69" s="378"/>
      <c r="W69" s="378"/>
      <c r="X69" s="378"/>
      <c r="Y69" s="378"/>
      <c r="Z69" s="378"/>
      <c r="AA69" s="378"/>
      <c r="AB69" s="378"/>
      <c r="AC69" s="378"/>
      <c r="AD69" s="378"/>
      <c r="AE69" s="378"/>
      <c r="AF69" s="378"/>
      <c r="AG69" s="378"/>
      <c r="AH69" s="378"/>
      <c r="AI69" s="378"/>
      <c r="AJ69" s="378"/>
      <c r="AK69" s="378"/>
      <c r="AL69" s="378"/>
      <c r="AM69" s="378"/>
      <c r="AN69" s="378"/>
      <c r="AO69" s="378"/>
      <c r="CA69" s="237"/>
    </row>
    <row r="70" spans="2:79" ht="24" customHeight="1" thickTop="1">
      <c r="B70" s="1234" t="s">
        <v>1244</v>
      </c>
      <c r="C70" s="1235"/>
      <c r="D70" s="1235"/>
      <c r="E70" s="1235"/>
      <c r="F70" s="1235"/>
      <c r="G70" s="1235"/>
      <c r="H70" s="1235"/>
      <c r="I70" s="1235"/>
      <c r="J70" s="1235"/>
      <c r="K70" s="1235"/>
      <c r="L70" s="1235"/>
      <c r="M70" s="1235"/>
      <c r="N70" s="1235"/>
      <c r="O70" s="1235"/>
      <c r="P70" s="1235"/>
      <c r="Q70" s="1235"/>
      <c r="R70" s="1235"/>
      <c r="S70" s="1235"/>
      <c r="T70" s="1235"/>
      <c r="U70" s="1235"/>
      <c r="V70" s="1235"/>
      <c r="W70" s="1235"/>
      <c r="X70" s="1235"/>
      <c r="Y70" s="1235"/>
      <c r="Z70" s="1235"/>
      <c r="AA70" s="1235"/>
      <c r="AB70" s="1235"/>
      <c r="AC70" s="1235"/>
      <c r="AD70" s="1235"/>
      <c r="AE70" s="1235"/>
      <c r="AF70" s="1235"/>
      <c r="AG70" s="1235"/>
      <c r="AH70" s="1235"/>
      <c r="AI70" s="1235"/>
      <c r="AJ70" s="1235"/>
      <c r="AK70" s="1235"/>
      <c r="AL70" s="1235"/>
      <c r="AM70" s="1235"/>
      <c r="AN70" s="1235"/>
      <c r="AO70" s="1235"/>
      <c r="AP70" s="1235"/>
      <c r="AQ70" s="1235"/>
      <c r="AR70" s="1235"/>
      <c r="AS70" s="1235"/>
      <c r="AT70" s="1235"/>
      <c r="AU70" s="1235"/>
      <c r="AV70" s="1235"/>
      <c r="AW70" s="1236"/>
      <c r="AX70" s="1237"/>
      <c r="AY70" s="378"/>
      <c r="AZ70" s="378"/>
      <c r="BD70" s="378"/>
      <c r="BE70" s="378"/>
      <c r="BG70" s="378"/>
    </row>
    <row r="71" spans="2:79" ht="24" customHeight="1">
      <c r="B71" s="1238"/>
      <c r="C71" s="1239"/>
      <c r="D71" s="1239"/>
      <c r="E71" s="1239"/>
      <c r="F71" s="1239"/>
      <c r="G71" s="1239"/>
      <c r="H71" s="1239"/>
      <c r="I71" s="1239"/>
      <c r="J71" s="1239"/>
      <c r="K71" s="1239"/>
      <c r="L71" s="1239"/>
      <c r="M71" s="1239"/>
      <c r="N71" s="1239"/>
      <c r="O71" s="1239"/>
      <c r="P71" s="1239"/>
      <c r="Q71" s="1239"/>
      <c r="R71" s="1239"/>
      <c r="S71" s="1239"/>
      <c r="T71" s="1239"/>
      <c r="U71" s="1239"/>
      <c r="V71" s="1239"/>
      <c r="W71" s="1239"/>
      <c r="X71" s="1239"/>
      <c r="Y71" s="1239"/>
      <c r="Z71" s="1239"/>
      <c r="AA71" s="1239"/>
      <c r="AB71" s="1239"/>
      <c r="AC71" s="1239"/>
      <c r="AD71" s="1239"/>
      <c r="AE71" s="1239"/>
      <c r="AF71" s="1239"/>
      <c r="AG71" s="1239"/>
      <c r="AH71" s="1239"/>
      <c r="AI71" s="1239"/>
      <c r="AJ71" s="1239"/>
      <c r="AK71" s="1239"/>
      <c r="AL71" s="1239"/>
      <c r="AM71" s="1239"/>
      <c r="AN71" s="1239"/>
      <c r="AO71" s="1239"/>
      <c r="AP71" s="1239"/>
      <c r="AQ71" s="1239"/>
      <c r="AR71" s="1239"/>
      <c r="AS71" s="1239"/>
      <c r="AT71" s="1239"/>
      <c r="AU71" s="1239"/>
      <c r="AV71" s="1239"/>
      <c r="AW71" s="1228"/>
      <c r="AX71" s="1240"/>
      <c r="AY71" s="378"/>
      <c r="AZ71" s="378"/>
      <c r="BD71" s="378"/>
      <c r="BE71" s="378"/>
      <c r="BG71" s="378"/>
    </row>
    <row r="72" spans="2:79" ht="24" customHeight="1">
      <c r="B72" s="1238"/>
      <c r="C72" s="1239"/>
      <c r="D72" s="1239"/>
      <c r="E72" s="1239"/>
      <c r="F72" s="1239"/>
      <c r="G72" s="1239"/>
      <c r="H72" s="1239"/>
      <c r="I72" s="1239"/>
      <c r="J72" s="1239"/>
      <c r="K72" s="1239"/>
      <c r="L72" s="1239"/>
      <c r="M72" s="1239"/>
      <c r="N72" s="1239"/>
      <c r="O72" s="1239"/>
      <c r="P72" s="1239"/>
      <c r="Q72" s="1239"/>
      <c r="R72" s="1239"/>
      <c r="S72" s="1239"/>
      <c r="T72" s="1239"/>
      <c r="U72" s="1239"/>
      <c r="V72" s="1239"/>
      <c r="W72" s="1239"/>
      <c r="X72" s="1239"/>
      <c r="Y72" s="1239"/>
      <c r="Z72" s="1239"/>
      <c r="AA72" s="1239"/>
      <c r="AB72" s="1239"/>
      <c r="AC72" s="1239"/>
      <c r="AD72" s="1239"/>
      <c r="AE72" s="1239"/>
      <c r="AF72" s="1239"/>
      <c r="AG72" s="1239"/>
      <c r="AH72" s="1239"/>
      <c r="AI72" s="1239"/>
      <c r="AJ72" s="1239"/>
      <c r="AK72" s="1239"/>
      <c r="AL72" s="1239"/>
      <c r="AM72" s="1239"/>
      <c r="AN72" s="1239"/>
      <c r="AO72" s="1239"/>
      <c r="AP72" s="1239"/>
      <c r="AQ72" s="1239"/>
      <c r="AR72" s="1239"/>
      <c r="AS72" s="1239"/>
      <c r="AT72" s="1239"/>
      <c r="AU72" s="1239"/>
      <c r="AV72" s="1239"/>
      <c r="AW72" s="1228"/>
      <c r="AX72" s="1240"/>
      <c r="AZ72" s="224"/>
      <c r="BA72" s="1181"/>
      <c r="BB72" s="1181"/>
      <c r="BC72" s="1181"/>
      <c r="BD72" s="271"/>
      <c r="BF72" s="272"/>
      <c r="BG72" s="225"/>
      <c r="BH72" s="273"/>
      <c r="BI72" s="273"/>
      <c r="BJ72" s="274"/>
      <c r="BK72" s="273"/>
      <c r="BL72" s="273"/>
      <c r="BM72" s="225"/>
      <c r="CA72" s="237"/>
    </row>
    <row r="73" spans="2:79" ht="24" customHeight="1" thickBot="1">
      <c r="B73" s="1241"/>
      <c r="C73" s="1242"/>
      <c r="D73" s="1242"/>
      <c r="E73" s="1242"/>
      <c r="F73" s="1242"/>
      <c r="G73" s="1242"/>
      <c r="H73" s="1242"/>
      <c r="I73" s="1242"/>
      <c r="J73" s="1242"/>
      <c r="K73" s="1242"/>
      <c r="L73" s="1242"/>
      <c r="M73" s="1242"/>
      <c r="N73" s="1242"/>
      <c r="O73" s="1242"/>
      <c r="P73" s="1242"/>
      <c r="Q73" s="1242"/>
      <c r="R73" s="1242"/>
      <c r="S73" s="1242"/>
      <c r="T73" s="1242"/>
      <c r="U73" s="1242"/>
      <c r="V73" s="1242"/>
      <c r="W73" s="1242"/>
      <c r="X73" s="1242"/>
      <c r="Y73" s="1242"/>
      <c r="Z73" s="1242"/>
      <c r="AA73" s="1242"/>
      <c r="AB73" s="1242"/>
      <c r="AC73" s="1242"/>
      <c r="AD73" s="1242"/>
      <c r="AE73" s="1242"/>
      <c r="AF73" s="1242"/>
      <c r="AG73" s="1242"/>
      <c r="AH73" s="1242"/>
      <c r="AI73" s="1242"/>
      <c r="AJ73" s="1242"/>
      <c r="AK73" s="1242"/>
      <c r="AL73" s="1242"/>
      <c r="AM73" s="1242"/>
      <c r="AN73" s="1242"/>
      <c r="AO73" s="1242"/>
      <c r="AP73" s="1242"/>
      <c r="AQ73" s="1242"/>
      <c r="AR73" s="1242"/>
      <c r="AS73" s="1242"/>
      <c r="AT73" s="1242"/>
      <c r="AU73" s="1242"/>
      <c r="AV73" s="1242"/>
      <c r="AW73" s="1243"/>
      <c r="AX73" s="1244"/>
      <c r="AZ73" s="224"/>
      <c r="BA73" s="1181"/>
      <c r="BB73" s="1181"/>
      <c r="BC73" s="1181"/>
      <c r="BD73" s="271"/>
      <c r="BF73" s="272"/>
      <c r="BG73" s="225"/>
      <c r="BH73" s="273"/>
      <c r="BI73" s="273"/>
      <c r="BJ73" s="274"/>
      <c r="BK73" s="273"/>
      <c r="BL73" s="273"/>
      <c r="BM73" s="225"/>
      <c r="CA73" s="237"/>
    </row>
    <row r="74" spans="2:79" ht="15" customHeight="1" thickTop="1" thickBot="1">
      <c r="B74" s="378"/>
      <c r="C74" s="378"/>
      <c r="D74" s="378"/>
      <c r="E74" s="378"/>
      <c r="F74" s="378"/>
      <c r="G74" s="378"/>
      <c r="H74" s="378"/>
      <c r="I74" s="378"/>
      <c r="J74" s="378"/>
      <c r="K74" s="378"/>
      <c r="L74" s="378"/>
      <c r="M74" s="378"/>
      <c r="N74" s="378"/>
      <c r="O74" s="378"/>
      <c r="P74" s="378"/>
      <c r="Q74" s="378"/>
      <c r="R74" s="378"/>
      <c r="S74" s="378"/>
      <c r="T74" s="378"/>
      <c r="U74" s="378"/>
      <c r="V74" s="378"/>
      <c r="W74" s="378"/>
      <c r="X74" s="378"/>
      <c r="Y74" s="378"/>
      <c r="Z74" s="378"/>
      <c r="AA74" s="378"/>
      <c r="AB74" s="378"/>
      <c r="AC74" s="378"/>
      <c r="AD74" s="378"/>
      <c r="AE74" s="378"/>
      <c r="AF74" s="378"/>
      <c r="AG74" s="378"/>
      <c r="AH74" s="378"/>
      <c r="AI74" s="378"/>
      <c r="AJ74" s="378"/>
      <c r="AK74" s="378"/>
      <c r="AL74" s="378"/>
      <c r="AM74" s="378"/>
      <c r="AN74" s="378"/>
      <c r="AO74" s="378"/>
      <c r="AZ74" s="224"/>
      <c r="BA74" s="1181"/>
      <c r="BB74" s="1181"/>
      <c r="BC74" s="1181"/>
      <c r="BD74" s="271"/>
      <c r="BF74" s="272"/>
      <c r="BG74" s="225"/>
      <c r="BH74" s="273"/>
      <c r="BI74" s="273"/>
      <c r="BJ74" s="274"/>
      <c r="BK74" s="273"/>
      <c r="BL74" s="273"/>
      <c r="BM74" s="225"/>
      <c r="CA74" s="237"/>
    </row>
    <row r="75" spans="2:79" ht="24" customHeight="1" thickTop="1">
      <c r="B75" s="1184" t="s">
        <v>1159</v>
      </c>
      <c r="C75" s="1390"/>
      <c r="D75" s="1390"/>
      <c r="E75" s="1390"/>
      <c r="F75" s="1390"/>
      <c r="G75" s="1390"/>
      <c r="H75" s="1184" t="s">
        <v>1202</v>
      </c>
      <c r="I75" s="1051"/>
      <c r="J75" s="1051"/>
      <c r="K75" s="1051"/>
      <c r="L75" s="1051"/>
      <c r="M75" s="1051"/>
      <c r="N75" s="1184" t="s">
        <v>1162</v>
      </c>
      <c r="O75" s="1395"/>
      <c r="P75" s="1395"/>
      <c r="Q75" s="1395"/>
      <c r="R75" s="1395"/>
      <c r="S75" s="1396"/>
      <c r="T75" s="1182" t="s">
        <v>98</v>
      </c>
      <c r="U75" s="1183"/>
      <c r="V75" s="378"/>
      <c r="W75" s="378"/>
      <c r="X75" s="1184" t="s">
        <v>1058</v>
      </c>
      <c r="Y75" s="1185"/>
      <c r="Z75" s="1185"/>
      <c r="AA75" s="1185"/>
      <c r="AB75" s="1185"/>
      <c r="AC75" s="1184" t="s">
        <v>1059</v>
      </c>
      <c r="AD75" s="1185"/>
      <c r="AE75" s="1185"/>
      <c r="AF75" s="1185"/>
      <c r="AG75" s="1185"/>
      <c r="AH75" s="378"/>
      <c r="AI75" s="1186" t="str">
        <f>"補助対象期間中の患者数("&amp;X76&amp;"人、N95・ハイラックマスクは"&amp;AC76&amp;"人)＊患者１名あたり平均対応員数(計"&amp;N76&amp;"人)＊品目毎の患者１名あたり使用数で算出されます。"</f>
        <v>補助対象期間中の患者数(63人、N95・ハイラックマスクは32人)＊患者１名あたり平均対応員数(計8人)＊品目毎の患者１名あたり使用数で算出されます。</v>
      </c>
      <c r="AJ75" s="1187"/>
      <c r="AK75" s="1187"/>
      <c r="AL75" s="1187"/>
      <c r="AM75" s="1187"/>
      <c r="AN75" s="1187"/>
      <c r="AO75" s="1187"/>
      <c r="AP75" s="1187"/>
      <c r="AQ75" s="1187"/>
      <c r="AR75" s="1187"/>
      <c r="AS75" s="1187"/>
      <c r="AT75" s="1187"/>
      <c r="AU75" s="1187"/>
      <c r="AV75" s="1187"/>
      <c r="AW75" s="1187"/>
      <c r="AX75" s="1188"/>
      <c r="AZ75" s="224"/>
      <c r="BD75" s="271"/>
      <c r="BF75" s="272"/>
      <c r="BG75" s="225"/>
      <c r="BH75" s="273"/>
      <c r="BI75" s="273"/>
      <c r="BJ75" s="274"/>
      <c r="BK75" s="273"/>
      <c r="BL75" s="273"/>
      <c r="BM75" s="225"/>
      <c r="CA75" s="237"/>
    </row>
    <row r="76" spans="2:79" ht="24" customHeight="1">
      <c r="B76" s="1391">
        <v>4</v>
      </c>
      <c r="C76" s="1392"/>
      <c r="D76" s="1392"/>
      <c r="E76" s="1392"/>
      <c r="F76" s="1392"/>
      <c r="G76" s="1392"/>
      <c r="H76" s="1393">
        <v>2</v>
      </c>
      <c r="I76" s="1394"/>
      <c r="J76" s="1394"/>
      <c r="K76" s="1394"/>
      <c r="L76" s="1394"/>
      <c r="M76" s="1394"/>
      <c r="N76" s="1397">
        <f>SUM(B76*H76)</f>
        <v>8</v>
      </c>
      <c r="O76" s="1398"/>
      <c r="P76" s="1398"/>
      <c r="Q76" s="1398"/>
      <c r="R76" s="1398"/>
      <c r="S76" s="1399"/>
      <c r="T76" s="1204" t="str">
        <f>IF(COUNTA(B76:M77)&lt;2,"×","○")</f>
        <v>○</v>
      </c>
      <c r="U76" s="1205"/>
      <c r="V76" s="378"/>
      <c r="W76" s="378"/>
      <c r="X76" s="1208">
        <f>AU52</f>
        <v>63</v>
      </c>
      <c r="Y76" s="1209"/>
      <c r="Z76" s="1209"/>
      <c r="AA76" s="1209"/>
      <c r="AB76" s="1209"/>
      <c r="AC76" s="1208">
        <f>AU53</f>
        <v>32</v>
      </c>
      <c r="AD76" s="1209"/>
      <c r="AE76" s="1209"/>
      <c r="AF76" s="1209"/>
      <c r="AG76" s="1209"/>
      <c r="AH76" s="378"/>
      <c r="AI76" s="1189"/>
      <c r="AJ76" s="1190"/>
      <c r="AK76" s="1190"/>
      <c r="AL76" s="1190"/>
      <c r="AM76" s="1190"/>
      <c r="AN76" s="1190"/>
      <c r="AO76" s="1190"/>
      <c r="AP76" s="1190"/>
      <c r="AQ76" s="1190"/>
      <c r="AR76" s="1190"/>
      <c r="AS76" s="1190"/>
      <c r="AT76" s="1190"/>
      <c r="AU76" s="1190"/>
      <c r="AV76" s="1190"/>
      <c r="AW76" s="1190"/>
      <c r="AX76" s="1191"/>
      <c r="AZ76" s="224"/>
      <c r="BD76" s="271"/>
      <c r="BF76" s="272"/>
      <c r="BG76" s="225"/>
      <c r="BH76" s="273"/>
      <c r="BI76" s="273"/>
      <c r="BJ76" s="274"/>
      <c r="BK76" s="273"/>
      <c r="BL76" s="273"/>
      <c r="BM76" s="225"/>
      <c r="CA76" s="237"/>
    </row>
    <row r="77" spans="2:79" ht="24" customHeight="1" thickBot="1">
      <c r="B77" s="1392"/>
      <c r="C77" s="1392"/>
      <c r="D77" s="1392"/>
      <c r="E77" s="1392"/>
      <c r="F77" s="1392"/>
      <c r="G77" s="1392"/>
      <c r="H77" s="1394"/>
      <c r="I77" s="1394"/>
      <c r="J77" s="1394"/>
      <c r="K77" s="1394"/>
      <c r="L77" s="1394"/>
      <c r="M77" s="1394"/>
      <c r="N77" s="1398"/>
      <c r="O77" s="1398"/>
      <c r="P77" s="1398"/>
      <c r="Q77" s="1398"/>
      <c r="R77" s="1398"/>
      <c r="S77" s="1399"/>
      <c r="T77" s="1206"/>
      <c r="U77" s="1207"/>
      <c r="V77" s="378"/>
      <c r="W77" s="378"/>
      <c r="X77" s="1209"/>
      <c r="Y77" s="1209"/>
      <c r="Z77" s="1209"/>
      <c r="AA77" s="1209"/>
      <c r="AB77" s="1209"/>
      <c r="AC77" s="1209"/>
      <c r="AD77" s="1209"/>
      <c r="AE77" s="1209"/>
      <c r="AF77" s="1209"/>
      <c r="AG77" s="1209"/>
      <c r="AH77" s="378"/>
      <c r="AI77" s="1192"/>
      <c r="AJ77" s="1193"/>
      <c r="AK77" s="1193"/>
      <c r="AL77" s="1193"/>
      <c r="AM77" s="1193"/>
      <c r="AN77" s="1193"/>
      <c r="AO77" s="1193"/>
      <c r="AP77" s="1193"/>
      <c r="AQ77" s="1193"/>
      <c r="AR77" s="1193"/>
      <c r="AS77" s="1193"/>
      <c r="AT77" s="1193"/>
      <c r="AU77" s="1193"/>
      <c r="AV77" s="1193"/>
      <c r="AW77" s="1193"/>
      <c r="AX77" s="1194"/>
      <c r="AZ77" s="224"/>
      <c r="BD77" s="271"/>
      <c r="BF77" s="272"/>
      <c r="BG77" s="225"/>
      <c r="BH77" s="273"/>
      <c r="BI77" s="273"/>
      <c r="BJ77" s="274"/>
      <c r="BK77" s="273"/>
      <c r="BL77" s="273"/>
      <c r="BM77" s="225"/>
      <c r="CA77" s="237"/>
    </row>
    <row r="78" spans="2:79" ht="15" customHeight="1" thickTop="1" thickBot="1">
      <c r="B78" s="378"/>
      <c r="C78" s="378"/>
      <c r="D78" s="378"/>
      <c r="E78" s="378"/>
      <c r="F78" s="280"/>
      <c r="G78" s="280"/>
      <c r="H78" s="280"/>
      <c r="I78" s="280"/>
      <c r="J78" s="280"/>
      <c r="K78" s="280"/>
      <c r="L78" s="280"/>
      <c r="M78" s="280"/>
      <c r="N78" s="280"/>
      <c r="O78" s="280"/>
      <c r="P78" s="280"/>
      <c r="AI78" s="378"/>
      <c r="AJ78" s="378"/>
      <c r="AK78" s="378"/>
      <c r="AL78" s="378"/>
      <c r="AM78" s="378"/>
      <c r="AN78" s="378"/>
      <c r="AO78" s="378"/>
      <c r="CA78" s="237"/>
    </row>
    <row r="79" spans="2:79" ht="18" customHeight="1" thickTop="1">
      <c r="B79" s="1152" t="s">
        <v>1060</v>
      </c>
      <c r="C79" s="1400"/>
      <c r="D79" s="1400"/>
      <c r="E79" s="1400"/>
      <c r="F79" s="1400"/>
      <c r="G79" s="1400"/>
      <c r="H79" s="1400"/>
      <c r="I79" s="1400"/>
      <c r="J79" s="1400"/>
      <c r="K79" s="1400"/>
      <c r="L79" s="1400"/>
      <c r="M79" s="1400"/>
      <c r="N79" s="1213" t="s">
        <v>1163</v>
      </c>
      <c r="O79" s="1214"/>
      <c r="P79" s="1214"/>
      <c r="Q79" s="1214"/>
      <c r="R79" s="1214"/>
      <c r="S79" s="1214"/>
      <c r="T79" s="1214"/>
      <c r="U79" s="1214"/>
      <c r="V79" s="1214"/>
      <c r="W79" s="1214"/>
      <c r="X79" s="1214"/>
      <c r="Y79" s="1214"/>
      <c r="Z79" s="1215"/>
      <c r="AA79" s="1215"/>
      <c r="AB79" s="1215"/>
      <c r="AC79" s="1216"/>
      <c r="AD79" s="1210" t="s">
        <v>98</v>
      </c>
      <c r="AE79" s="1211"/>
      <c r="AF79" s="1195" t="s">
        <v>61</v>
      </c>
      <c r="AG79" s="1195"/>
      <c r="AH79" s="1195"/>
      <c r="AI79" s="1195"/>
      <c r="AJ79" s="1195"/>
      <c r="AK79" s="1195"/>
      <c r="AL79" s="1195"/>
      <c r="AM79" s="1195"/>
      <c r="AN79" s="1195"/>
      <c r="AO79" s="1195"/>
      <c r="AP79" s="1196"/>
      <c r="AQ79" s="1196"/>
      <c r="AR79" s="1196"/>
      <c r="AS79" s="1196"/>
      <c r="AT79" s="1196"/>
      <c r="AU79" s="1196"/>
      <c r="AV79" s="1196"/>
      <c r="AW79" s="1196"/>
      <c r="AX79" s="1197"/>
    </row>
    <row r="80" spans="2:79" ht="18" customHeight="1" thickBot="1">
      <c r="B80" s="1150"/>
      <c r="C80" s="1401"/>
      <c r="D80" s="1401"/>
      <c r="E80" s="1401"/>
      <c r="F80" s="1401"/>
      <c r="G80" s="1401"/>
      <c r="H80" s="1401"/>
      <c r="I80" s="1401"/>
      <c r="J80" s="1401"/>
      <c r="K80" s="1401"/>
      <c r="L80" s="1401"/>
      <c r="M80" s="1401"/>
      <c r="N80" s="1217"/>
      <c r="O80" s="1218"/>
      <c r="P80" s="1218"/>
      <c r="Q80" s="1218"/>
      <c r="R80" s="1218"/>
      <c r="S80" s="1218"/>
      <c r="T80" s="1218"/>
      <c r="U80" s="1218"/>
      <c r="V80" s="1218"/>
      <c r="W80" s="1218"/>
      <c r="X80" s="1218"/>
      <c r="Y80" s="1218"/>
      <c r="Z80" s="1219"/>
      <c r="AA80" s="1219"/>
      <c r="AB80" s="1219"/>
      <c r="AC80" s="1220"/>
      <c r="AD80" s="1116"/>
      <c r="AE80" s="1212"/>
      <c r="AF80" s="1195"/>
      <c r="AG80" s="1195"/>
      <c r="AH80" s="1195"/>
      <c r="AI80" s="1195"/>
      <c r="AJ80" s="1195"/>
      <c r="AK80" s="1195"/>
      <c r="AL80" s="1195"/>
      <c r="AM80" s="1195"/>
      <c r="AN80" s="1195"/>
      <c r="AO80" s="1195"/>
      <c r="AP80" s="1196"/>
      <c r="AQ80" s="1196"/>
      <c r="AR80" s="1196"/>
      <c r="AS80" s="1196"/>
      <c r="AT80" s="1196"/>
      <c r="AU80" s="1196"/>
      <c r="AV80" s="1196"/>
      <c r="AW80" s="1196"/>
      <c r="AX80" s="1197"/>
    </row>
    <row r="81" spans="2:81" ht="18.75" customHeight="1" thickTop="1">
      <c r="B81" s="1402"/>
      <c r="C81" s="1401"/>
      <c r="D81" s="1401"/>
      <c r="E81" s="1401"/>
      <c r="F81" s="1401"/>
      <c r="G81" s="1401"/>
      <c r="H81" s="1401"/>
      <c r="I81" s="1401"/>
      <c r="J81" s="1401"/>
      <c r="K81" s="1401"/>
      <c r="L81" s="1401"/>
      <c r="M81" s="1401"/>
      <c r="N81" s="1198" t="s">
        <v>1167</v>
      </c>
      <c r="O81" s="1199"/>
      <c r="P81" s="1199"/>
      <c r="Q81" s="1200"/>
      <c r="R81" s="1150" t="s">
        <v>1164</v>
      </c>
      <c r="S81" s="1199"/>
      <c r="T81" s="1199"/>
      <c r="U81" s="1200"/>
      <c r="V81" s="1198" t="s">
        <v>1165</v>
      </c>
      <c r="W81" s="1199"/>
      <c r="X81" s="1199"/>
      <c r="Y81" s="1200"/>
      <c r="Z81" s="1221" t="s">
        <v>1166</v>
      </c>
      <c r="AA81" s="1222"/>
      <c r="AB81" s="1222"/>
      <c r="AC81" s="1223"/>
      <c r="AD81" s="1063"/>
      <c r="AE81" s="1212"/>
      <c r="AF81" s="1195"/>
      <c r="AG81" s="1195"/>
      <c r="AH81" s="1195"/>
      <c r="AI81" s="1195"/>
      <c r="AJ81" s="1195"/>
      <c r="AK81" s="1195"/>
      <c r="AL81" s="1195"/>
      <c r="AM81" s="1195"/>
      <c r="AN81" s="1195"/>
      <c r="AO81" s="1195"/>
      <c r="AP81" s="1196"/>
      <c r="AQ81" s="1196"/>
      <c r="AR81" s="1196"/>
      <c r="AS81" s="1196"/>
      <c r="AT81" s="1196"/>
      <c r="AU81" s="1196"/>
      <c r="AV81" s="1196"/>
      <c r="AW81" s="1196"/>
      <c r="AX81" s="1197"/>
    </row>
    <row r="82" spans="2:81" ht="18.75" customHeight="1">
      <c r="B82" s="1403"/>
      <c r="C82" s="1404"/>
      <c r="D82" s="1404"/>
      <c r="E82" s="1404"/>
      <c r="F82" s="1404"/>
      <c r="G82" s="1404"/>
      <c r="H82" s="1404"/>
      <c r="I82" s="1404"/>
      <c r="J82" s="1404"/>
      <c r="K82" s="1404"/>
      <c r="L82" s="1404"/>
      <c r="M82" s="1404"/>
      <c r="N82" s="1201"/>
      <c r="O82" s="1202"/>
      <c r="P82" s="1202"/>
      <c r="Q82" s="1203"/>
      <c r="R82" s="1201"/>
      <c r="S82" s="1202"/>
      <c r="T82" s="1202"/>
      <c r="U82" s="1203"/>
      <c r="V82" s="1201"/>
      <c r="W82" s="1202"/>
      <c r="X82" s="1202"/>
      <c r="Y82" s="1203"/>
      <c r="Z82" s="1224"/>
      <c r="AA82" s="1225"/>
      <c r="AB82" s="1225"/>
      <c r="AC82" s="1226"/>
      <c r="AD82" s="1063"/>
      <c r="AE82" s="1212"/>
      <c r="AF82" s="1195"/>
      <c r="AG82" s="1195"/>
      <c r="AH82" s="1195"/>
      <c r="AI82" s="1195"/>
      <c r="AJ82" s="1195"/>
      <c r="AK82" s="1195"/>
      <c r="AL82" s="1195"/>
      <c r="AM82" s="1195"/>
      <c r="AN82" s="1195"/>
      <c r="AO82" s="1195"/>
      <c r="AP82" s="1196"/>
      <c r="AQ82" s="1196"/>
      <c r="AR82" s="1196"/>
      <c r="AS82" s="1196"/>
      <c r="AT82" s="1196"/>
      <c r="AU82" s="1196"/>
      <c r="AV82" s="1196"/>
      <c r="AW82" s="1196"/>
      <c r="AX82" s="1197"/>
    </row>
    <row r="83" spans="2:81" ht="18" customHeight="1">
      <c r="B83" s="1152" t="s">
        <v>472</v>
      </c>
      <c r="C83" s="1129"/>
      <c r="D83" s="1129"/>
      <c r="E83" s="1130"/>
      <c r="F83" s="1112" t="s">
        <v>1061</v>
      </c>
      <c r="G83" s="1129"/>
      <c r="H83" s="1129"/>
      <c r="I83" s="1129"/>
      <c r="J83" s="1129"/>
      <c r="K83" s="1129"/>
      <c r="L83" s="1129"/>
      <c r="M83" s="1130"/>
      <c r="N83" s="1137">
        <v>3</v>
      </c>
      <c r="O83" s="1138"/>
      <c r="P83" s="1138"/>
      <c r="Q83" s="1138"/>
      <c r="R83" s="1139">
        <f>$X$76</f>
        <v>63</v>
      </c>
      <c r="S83" s="1140"/>
      <c r="T83" s="1140"/>
      <c r="U83" s="1140"/>
      <c r="V83" s="1141">
        <f>$N$76</f>
        <v>8</v>
      </c>
      <c r="W83" s="1142"/>
      <c r="X83" s="1142"/>
      <c r="Y83" s="1142"/>
      <c r="Z83" s="1143">
        <f>IFERROR(N83*R83*V83,"要修正"&amp;CHAR(10)&amp;"表示不可")</f>
        <v>1512</v>
      </c>
      <c r="AA83" s="1144"/>
      <c r="AB83" s="1144"/>
      <c r="AC83" s="1145"/>
      <c r="AD83" s="1116" t="str">
        <f>IF(COUNTA(N83:U85)=2,"○","×")</f>
        <v>○</v>
      </c>
      <c r="AE83" s="1117"/>
      <c r="AF83" s="1120" t="str">
        <f xml:space="preserve">
IF(COUNTA(N83:U85)&lt;2,"各職種の使用数を入力してください。(０の場合は０を入力)",
IF(AND(COUNTA(N83:U85)=2,N83&lt;=2),"適切に入力されました。",
IF(AND(COUNTA(N83:U85)=2,N83&gt;2),"患者１人あたりスタッフ１名が２枚を超える使用量が入力されているため、着脱を行う手順及び手順毎の数量を下段の欄に記入してください。")))</f>
        <v>患者１人あたりスタッフ１名が２枚を超える使用量が入力されているため、着脱を行う手順及び手順毎の数量を下段の欄に記入してください。</v>
      </c>
      <c r="AG83" s="1121"/>
      <c r="AH83" s="1121"/>
      <c r="AI83" s="1121"/>
      <c r="AJ83" s="1121"/>
      <c r="AK83" s="1121"/>
      <c r="AL83" s="1121"/>
      <c r="AM83" s="1121"/>
      <c r="AN83" s="1121"/>
      <c r="AO83" s="1121"/>
      <c r="AP83" s="1122"/>
      <c r="AQ83" s="1123"/>
      <c r="AR83" s="1123"/>
      <c r="AS83" s="1123"/>
      <c r="AT83" s="1123"/>
      <c r="AU83" s="1123"/>
      <c r="AV83" s="1123"/>
      <c r="AW83" s="1123"/>
      <c r="AX83" s="1124"/>
    </row>
    <row r="84" spans="2:81" ht="18" customHeight="1">
      <c r="B84" s="1131"/>
      <c r="C84" s="1132"/>
      <c r="D84" s="1132"/>
      <c r="E84" s="1133"/>
      <c r="F84" s="1131"/>
      <c r="G84" s="1132"/>
      <c r="H84" s="1132"/>
      <c r="I84" s="1132"/>
      <c r="J84" s="1132"/>
      <c r="K84" s="1132"/>
      <c r="L84" s="1132"/>
      <c r="M84" s="1133"/>
      <c r="N84" s="1175"/>
      <c r="O84" s="1176"/>
      <c r="P84" s="1176"/>
      <c r="Q84" s="1177"/>
      <c r="R84" s="1165"/>
      <c r="S84" s="1166"/>
      <c r="T84" s="1166"/>
      <c r="U84" s="1167"/>
      <c r="V84" s="1141"/>
      <c r="W84" s="1142"/>
      <c r="X84" s="1142"/>
      <c r="Y84" s="1142"/>
      <c r="Z84" s="1143"/>
      <c r="AA84" s="1144"/>
      <c r="AB84" s="1144"/>
      <c r="AC84" s="1145"/>
      <c r="AD84" s="1116"/>
      <c r="AE84" s="1117"/>
      <c r="AF84" s="1120"/>
      <c r="AG84" s="1121"/>
      <c r="AH84" s="1121"/>
      <c r="AI84" s="1121"/>
      <c r="AJ84" s="1121"/>
      <c r="AK84" s="1121"/>
      <c r="AL84" s="1121"/>
      <c r="AM84" s="1121"/>
      <c r="AN84" s="1121"/>
      <c r="AO84" s="1121"/>
      <c r="AP84" s="1122"/>
      <c r="AQ84" s="1123"/>
      <c r="AR84" s="1123"/>
      <c r="AS84" s="1123"/>
      <c r="AT84" s="1123"/>
      <c r="AU84" s="1123"/>
      <c r="AV84" s="1123"/>
      <c r="AW84" s="1123"/>
      <c r="AX84" s="1124"/>
    </row>
    <row r="85" spans="2:81" ht="18" customHeight="1">
      <c r="B85" s="1131"/>
      <c r="C85" s="1132"/>
      <c r="D85" s="1132"/>
      <c r="E85" s="1133"/>
      <c r="F85" s="1134"/>
      <c r="G85" s="1135"/>
      <c r="H85" s="1135"/>
      <c r="I85" s="1135"/>
      <c r="J85" s="1135"/>
      <c r="K85" s="1135"/>
      <c r="L85" s="1135"/>
      <c r="M85" s="1136"/>
      <c r="N85" s="1178"/>
      <c r="O85" s="1179"/>
      <c r="P85" s="1179"/>
      <c r="Q85" s="1180"/>
      <c r="R85" s="1168"/>
      <c r="S85" s="1169"/>
      <c r="T85" s="1169"/>
      <c r="U85" s="1170"/>
      <c r="V85" s="1142"/>
      <c r="W85" s="1142"/>
      <c r="X85" s="1142"/>
      <c r="Y85" s="1142"/>
      <c r="Z85" s="1144"/>
      <c r="AA85" s="1144"/>
      <c r="AB85" s="1144"/>
      <c r="AC85" s="1145"/>
      <c r="AD85" s="1151"/>
      <c r="AE85" s="1117"/>
      <c r="AF85" s="1121"/>
      <c r="AG85" s="1121"/>
      <c r="AH85" s="1121"/>
      <c r="AI85" s="1121"/>
      <c r="AJ85" s="1121"/>
      <c r="AK85" s="1121"/>
      <c r="AL85" s="1121"/>
      <c r="AM85" s="1121"/>
      <c r="AN85" s="1121"/>
      <c r="AO85" s="1121"/>
      <c r="AP85" s="1122"/>
      <c r="AQ85" s="1123"/>
      <c r="AR85" s="1123"/>
      <c r="AS85" s="1123"/>
      <c r="AT85" s="1123"/>
      <c r="AU85" s="1123"/>
      <c r="AV85" s="1123"/>
      <c r="AW85" s="1123"/>
      <c r="AX85" s="1124"/>
    </row>
    <row r="86" spans="2:81" ht="18" customHeight="1">
      <c r="B86" s="1131"/>
      <c r="C86" s="1132"/>
      <c r="D86" s="1132"/>
      <c r="E86" s="1133"/>
      <c r="F86" s="1112" t="s">
        <v>1062</v>
      </c>
      <c r="G86" s="1129"/>
      <c r="H86" s="1129"/>
      <c r="I86" s="1129"/>
      <c r="J86" s="1129"/>
      <c r="K86" s="1129"/>
      <c r="L86" s="1129"/>
      <c r="M86" s="1130"/>
      <c r="N86" s="1172">
        <v>3</v>
      </c>
      <c r="O86" s="1173"/>
      <c r="P86" s="1173"/>
      <c r="Q86" s="1174"/>
      <c r="R86" s="1162">
        <f>$X$76</f>
        <v>63</v>
      </c>
      <c r="S86" s="1163"/>
      <c r="T86" s="1163"/>
      <c r="U86" s="1164"/>
      <c r="V86" s="1141">
        <f>$N$76</f>
        <v>8</v>
      </c>
      <c r="W86" s="1142"/>
      <c r="X86" s="1142"/>
      <c r="Y86" s="1142"/>
      <c r="Z86" s="1143">
        <f>IFERROR(N86*R86*V86,"要修正"&amp;CHAR(10)&amp;"表示不可")</f>
        <v>1512</v>
      </c>
      <c r="AA86" s="1144"/>
      <c r="AB86" s="1144"/>
      <c r="AC86" s="1145"/>
      <c r="AD86" s="1116" t="str">
        <f>IF(COUNTA(N86:U88)=2,"○","×")</f>
        <v>○</v>
      </c>
      <c r="AE86" s="1117"/>
      <c r="AF86" s="1120" t="str">
        <f xml:space="preserve">
IF(COUNTA(N86:U88)&lt;2,"各職種の使用数を入力してください。(０の場合は０を入力)",
IF(AND(COUNTA(N86:U88)=2,N86&lt;=2),"適切に入力されました。",
IF(AND(COUNTA(N86:U88)=2,N86&gt;2),"患者１人あたりスタッフ１名が２枚を超える使用量が入力されているため、着脱を行う手順及び手順毎の数量を下段の欄に記入してください。")))</f>
        <v>患者１人あたりスタッフ１名が２枚を超える使用量が入力されているため、着脱を行う手順及び手順毎の数量を下段の欄に記入してください。</v>
      </c>
      <c r="AG86" s="1121"/>
      <c r="AH86" s="1121"/>
      <c r="AI86" s="1121"/>
      <c r="AJ86" s="1121"/>
      <c r="AK86" s="1121"/>
      <c r="AL86" s="1121"/>
      <c r="AM86" s="1121"/>
      <c r="AN86" s="1121"/>
      <c r="AO86" s="1121"/>
      <c r="AP86" s="1122"/>
      <c r="AQ86" s="1123"/>
      <c r="AR86" s="1123"/>
      <c r="AS86" s="1123"/>
      <c r="AT86" s="1123"/>
      <c r="AU86" s="1123"/>
      <c r="AV86" s="1123"/>
      <c r="AW86" s="1123"/>
      <c r="AX86" s="1124"/>
    </row>
    <row r="87" spans="2:81" ht="18" customHeight="1">
      <c r="B87" s="1131"/>
      <c r="C87" s="1132"/>
      <c r="D87" s="1132"/>
      <c r="E87" s="1133"/>
      <c r="F87" s="1131"/>
      <c r="G87" s="1132"/>
      <c r="H87" s="1132"/>
      <c r="I87" s="1132"/>
      <c r="J87" s="1132"/>
      <c r="K87" s="1132"/>
      <c r="L87" s="1132"/>
      <c r="M87" s="1133"/>
      <c r="N87" s="1175"/>
      <c r="O87" s="1176"/>
      <c r="P87" s="1176"/>
      <c r="Q87" s="1177"/>
      <c r="R87" s="1165"/>
      <c r="S87" s="1166"/>
      <c r="T87" s="1166"/>
      <c r="U87" s="1167"/>
      <c r="V87" s="1141"/>
      <c r="W87" s="1142"/>
      <c r="X87" s="1142"/>
      <c r="Y87" s="1142"/>
      <c r="Z87" s="1143"/>
      <c r="AA87" s="1144"/>
      <c r="AB87" s="1144"/>
      <c r="AC87" s="1145"/>
      <c r="AD87" s="1116"/>
      <c r="AE87" s="1117"/>
      <c r="AF87" s="1120"/>
      <c r="AG87" s="1121"/>
      <c r="AH87" s="1121"/>
      <c r="AI87" s="1121"/>
      <c r="AJ87" s="1121"/>
      <c r="AK87" s="1121"/>
      <c r="AL87" s="1121"/>
      <c r="AM87" s="1121"/>
      <c r="AN87" s="1121"/>
      <c r="AO87" s="1121"/>
      <c r="AP87" s="1122"/>
      <c r="AQ87" s="1123"/>
      <c r="AR87" s="1123"/>
      <c r="AS87" s="1123"/>
      <c r="AT87" s="1123"/>
      <c r="AU87" s="1123"/>
      <c r="AV87" s="1123"/>
      <c r="AW87" s="1123"/>
      <c r="AX87" s="1124"/>
    </row>
    <row r="88" spans="2:81" ht="18" customHeight="1">
      <c r="B88" s="1131"/>
      <c r="C88" s="1132"/>
      <c r="D88" s="1132"/>
      <c r="E88" s="1133"/>
      <c r="F88" s="1134"/>
      <c r="G88" s="1135"/>
      <c r="H88" s="1135"/>
      <c r="I88" s="1135"/>
      <c r="J88" s="1135"/>
      <c r="K88" s="1135"/>
      <c r="L88" s="1135"/>
      <c r="M88" s="1136"/>
      <c r="N88" s="1178"/>
      <c r="O88" s="1179"/>
      <c r="P88" s="1179"/>
      <c r="Q88" s="1180"/>
      <c r="R88" s="1168"/>
      <c r="S88" s="1169"/>
      <c r="T88" s="1169"/>
      <c r="U88" s="1170"/>
      <c r="V88" s="1142"/>
      <c r="W88" s="1142"/>
      <c r="X88" s="1142"/>
      <c r="Y88" s="1142"/>
      <c r="Z88" s="1144"/>
      <c r="AA88" s="1144"/>
      <c r="AB88" s="1144"/>
      <c r="AC88" s="1145"/>
      <c r="AD88" s="1151"/>
      <c r="AE88" s="1117"/>
      <c r="AF88" s="1121"/>
      <c r="AG88" s="1121"/>
      <c r="AH88" s="1121"/>
      <c r="AI88" s="1121"/>
      <c r="AJ88" s="1121"/>
      <c r="AK88" s="1121"/>
      <c r="AL88" s="1121"/>
      <c r="AM88" s="1121"/>
      <c r="AN88" s="1121"/>
      <c r="AO88" s="1121"/>
      <c r="AP88" s="1122"/>
      <c r="AQ88" s="1123"/>
      <c r="AR88" s="1123"/>
      <c r="AS88" s="1123"/>
      <c r="AT88" s="1123"/>
      <c r="AU88" s="1123"/>
      <c r="AV88" s="1123"/>
      <c r="AW88" s="1123"/>
      <c r="AX88" s="1124"/>
      <c r="CC88" s="222"/>
    </row>
    <row r="89" spans="2:81" ht="18" customHeight="1">
      <c r="B89" s="1131"/>
      <c r="C89" s="1132"/>
      <c r="D89" s="1132"/>
      <c r="E89" s="1133"/>
      <c r="F89" s="1146" t="s">
        <v>1063</v>
      </c>
      <c r="G89" s="1129"/>
      <c r="H89" s="1129"/>
      <c r="I89" s="1129"/>
      <c r="J89" s="1129"/>
      <c r="K89" s="1129"/>
      <c r="L89" s="1129"/>
      <c r="M89" s="1130"/>
      <c r="N89" s="1172">
        <v>3</v>
      </c>
      <c r="O89" s="1173"/>
      <c r="P89" s="1173"/>
      <c r="Q89" s="1174"/>
      <c r="R89" s="1162">
        <f>AC76</f>
        <v>32</v>
      </c>
      <c r="S89" s="1163"/>
      <c r="T89" s="1163"/>
      <c r="U89" s="1164"/>
      <c r="V89" s="1141">
        <f>$N$76</f>
        <v>8</v>
      </c>
      <c r="W89" s="1142"/>
      <c r="X89" s="1142"/>
      <c r="Y89" s="1142"/>
      <c r="Z89" s="1143">
        <f>IFERROR(N89*R89*V89,"要修正"&amp;CHAR(10)&amp;"表示不可")</f>
        <v>768</v>
      </c>
      <c r="AA89" s="1144"/>
      <c r="AB89" s="1144"/>
      <c r="AC89" s="1145"/>
      <c r="AD89" s="1116" t="str">
        <f>IF(COUNTA(N89:U91)=2,"○","×")</f>
        <v>○</v>
      </c>
      <c r="AE89" s="1117"/>
      <c r="AF89" s="1120" t="str">
        <f xml:space="preserve">
IF(COUNTA(N89:U91)&lt;2,"各職種の使用数を入力してください。(０の場合は０を入力)",
IF(AND(COUNTA(N89:U91)=2,N89&lt;=2),"適切に入力されました。",
IF(AND(COUNTA(N89:U91)=2,N89&gt;2),"患者１人あたりスタッフ１名が２枚を超える使用量が入力されているため、着脱を行う手順及び手順毎の数量を下段の欄に記入してください。")))</f>
        <v>患者１人あたりスタッフ１名が２枚を超える使用量が入力されているため、着脱を行う手順及び手順毎の数量を下段の欄に記入してください。</v>
      </c>
      <c r="AG89" s="1121"/>
      <c r="AH89" s="1121"/>
      <c r="AI89" s="1121"/>
      <c r="AJ89" s="1121"/>
      <c r="AK89" s="1121"/>
      <c r="AL89" s="1121"/>
      <c r="AM89" s="1121"/>
      <c r="AN89" s="1121"/>
      <c r="AO89" s="1121"/>
      <c r="AP89" s="1122"/>
      <c r="AQ89" s="1123"/>
      <c r="AR89" s="1123"/>
      <c r="AS89" s="1123"/>
      <c r="AT89" s="1123"/>
      <c r="AU89" s="1123"/>
      <c r="AV89" s="1123"/>
      <c r="AW89" s="1123"/>
      <c r="AX89" s="1124"/>
    </row>
    <row r="90" spans="2:81" ht="18" customHeight="1">
      <c r="B90" s="1131"/>
      <c r="C90" s="1132"/>
      <c r="D90" s="1132"/>
      <c r="E90" s="1133"/>
      <c r="F90" s="1131"/>
      <c r="G90" s="1132"/>
      <c r="H90" s="1132"/>
      <c r="I90" s="1132"/>
      <c r="J90" s="1132"/>
      <c r="K90" s="1132"/>
      <c r="L90" s="1132"/>
      <c r="M90" s="1133"/>
      <c r="N90" s="1175"/>
      <c r="O90" s="1176"/>
      <c r="P90" s="1176"/>
      <c r="Q90" s="1177"/>
      <c r="R90" s="1165"/>
      <c r="S90" s="1166"/>
      <c r="T90" s="1166"/>
      <c r="U90" s="1167"/>
      <c r="V90" s="1141"/>
      <c r="W90" s="1142"/>
      <c r="X90" s="1142"/>
      <c r="Y90" s="1142"/>
      <c r="Z90" s="1143"/>
      <c r="AA90" s="1144"/>
      <c r="AB90" s="1144"/>
      <c r="AC90" s="1145"/>
      <c r="AD90" s="1116"/>
      <c r="AE90" s="1117"/>
      <c r="AF90" s="1120"/>
      <c r="AG90" s="1121"/>
      <c r="AH90" s="1121"/>
      <c r="AI90" s="1121"/>
      <c r="AJ90" s="1121"/>
      <c r="AK90" s="1121"/>
      <c r="AL90" s="1121"/>
      <c r="AM90" s="1121"/>
      <c r="AN90" s="1121"/>
      <c r="AO90" s="1121"/>
      <c r="AP90" s="1122"/>
      <c r="AQ90" s="1123"/>
      <c r="AR90" s="1123"/>
      <c r="AS90" s="1123"/>
      <c r="AT90" s="1123"/>
      <c r="AU90" s="1123"/>
      <c r="AV90" s="1123"/>
      <c r="AW90" s="1123"/>
      <c r="AX90" s="1124"/>
    </row>
    <row r="91" spans="2:81" ht="18.75" customHeight="1">
      <c r="B91" s="1134"/>
      <c r="C91" s="1135"/>
      <c r="D91" s="1135"/>
      <c r="E91" s="1136"/>
      <c r="F91" s="1134"/>
      <c r="G91" s="1135"/>
      <c r="H91" s="1135"/>
      <c r="I91" s="1135"/>
      <c r="J91" s="1135"/>
      <c r="K91" s="1135"/>
      <c r="L91" s="1135"/>
      <c r="M91" s="1136"/>
      <c r="N91" s="1178"/>
      <c r="O91" s="1179"/>
      <c r="P91" s="1179"/>
      <c r="Q91" s="1180"/>
      <c r="R91" s="1168"/>
      <c r="S91" s="1169"/>
      <c r="T91" s="1169"/>
      <c r="U91" s="1170"/>
      <c r="V91" s="1142"/>
      <c r="W91" s="1142"/>
      <c r="X91" s="1142"/>
      <c r="Y91" s="1142"/>
      <c r="Z91" s="1144"/>
      <c r="AA91" s="1144"/>
      <c r="AB91" s="1144"/>
      <c r="AC91" s="1145"/>
      <c r="AD91" s="1151"/>
      <c r="AE91" s="1117"/>
      <c r="AF91" s="1121"/>
      <c r="AG91" s="1121"/>
      <c r="AH91" s="1121"/>
      <c r="AI91" s="1121"/>
      <c r="AJ91" s="1121"/>
      <c r="AK91" s="1121"/>
      <c r="AL91" s="1121"/>
      <c r="AM91" s="1121"/>
      <c r="AN91" s="1121"/>
      <c r="AO91" s="1121"/>
      <c r="AP91" s="1122"/>
      <c r="AQ91" s="1123"/>
      <c r="AR91" s="1123"/>
      <c r="AS91" s="1123"/>
      <c r="AT91" s="1123"/>
      <c r="AU91" s="1123"/>
      <c r="AV91" s="1123"/>
      <c r="AW91" s="1123"/>
      <c r="AX91" s="1124"/>
    </row>
    <row r="92" spans="2:81" ht="18.75" customHeight="1">
      <c r="B92" s="1128" t="s">
        <v>474</v>
      </c>
      <c r="C92" s="1129"/>
      <c r="D92" s="1129"/>
      <c r="E92" s="1129"/>
      <c r="F92" s="1129"/>
      <c r="G92" s="1129"/>
      <c r="H92" s="1129"/>
      <c r="I92" s="1129"/>
      <c r="J92" s="1129"/>
      <c r="K92" s="1129"/>
      <c r="L92" s="1129"/>
      <c r="M92" s="1129"/>
      <c r="N92" s="1153">
        <v>2</v>
      </c>
      <c r="O92" s="1154"/>
      <c r="P92" s="1154"/>
      <c r="Q92" s="1155"/>
      <c r="R92" s="1162">
        <f>$X$76</f>
        <v>63</v>
      </c>
      <c r="S92" s="1163"/>
      <c r="T92" s="1163"/>
      <c r="U92" s="1164"/>
      <c r="V92" s="1141">
        <f>$N$76</f>
        <v>8</v>
      </c>
      <c r="W92" s="1142"/>
      <c r="X92" s="1142"/>
      <c r="Y92" s="1142"/>
      <c r="Z92" s="1171">
        <f>IFERROR(N92*R92*V92,"要修正"&amp;CHAR(10)&amp;"表示不可")</f>
        <v>1008</v>
      </c>
      <c r="AA92" s="1144"/>
      <c r="AB92" s="1144"/>
      <c r="AC92" s="1145"/>
      <c r="AD92" s="1116" t="str">
        <f>IF(COUNTA(N92:U94)=2,"○","×")</f>
        <v>○</v>
      </c>
      <c r="AE92" s="1117"/>
      <c r="AF92" s="1120" t="str">
        <f xml:space="preserve">
IF(COUNTA(N92:U94)&lt;2,"各職種の使用数を入力してください。(０の場合は０を入力)",
IF(AND(COUNTA(N92:U94)=2,N92&lt;=1),"適切に入力されました。",
IF(AND(COUNTA(N92:U94)=2,N92&gt;1),"患者１人あたりスタッフ１名が１着を超える使用量が入力されているため、着脱を行う手順及び手順毎の数量を下段の欄に記入してください。")))</f>
        <v>患者１人あたりスタッフ１名が１着を超える使用量が入力されているため、着脱を行う手順及び手順毎の数量を下段の欄に記入してください。</v>
      </c>
      <c r="AG92" s="1121"/>
      <c r="AH92" s="1121"/>
      <c r="AI92" s="1121"/>
      <c r="AJ92" s="1121"/>
      <c r="AK92" s="1121"/>
      <c r="AL92" s="1121"/>
      <c r="AM92" s="1121"/>
      <c r="AN92" s="1121"/>
      <c r="AO92" s="1121"/>
      <c r="AP92" s="1122"/>
      <c r="AQ92" s="1123"/>
      <c r="AR92" s="1123"/>
      <c r="AS92" s="1123"/>
      <c r="AT92" s="1123"/>
      <c r="AU92" s="1123"/>
      <c r="AV92" s="1123"/>
      <c r="AW92" s="1123"/>
      <c r="AX92" s="1124"/>
    </row>
    <row r="93" spans="2:81" ht="18.75" customHeight="1">
      <c r="B93" s="1150"/>
      <c r="C93" s="1132"/>
      <c r="D93" s="1132"/>
      <c r="E93" s="1132"/>
      <c r="F93" s="1132"/>
      <c r="G93" s="1132"/>
      <c r="H93" s="1132"/>
      <c r="I93" s="1132"/>
      <c r="J93" s="1132"/>
      <c r="K93" s="1132"/>
      <c r="L93" s="1132"/>
      <c r="M93" s="1132"/>
      <c r="N93" s="1156"/>
      <c r="O93" s="1157"/>
      <c r="P93" s="1157"/>
      <c r="Q93" s="1158"/>
      <c r="R93" s="1165"/>
      <c r="S93" s="1166"/>
      <c r="T93" s="1166"/>
      <c r="U93" s="1167"/>
      <c r="V93" s="1141"/>
      <c r="W93" s="1142"/>
      <c r="X93" s="1142"/>
      <c r="Y93" s="1142"/>
      <c r="Z93" s="1171"/>
      <c r="AA93" s="1144"/>
      <c r="AB93" s="1144"/>
      <c r="AC93" s="1145"/>
      <c r="AD93" s="1116"/>
      <c r="AE93" s="1117"/>
      <c r="AF93" s="1120"/>
      <c r="AG93" s="1121"/>
      <c r="AH93" s="1121"/>
      <c r="AI93" s="1121"/>
      <c r="AJ93" s="1121"/>
      <c r="AK93" s="1121"/>
      <c r="AL93" s="1121"/>
      <c r="AM93" s="1121"/>
      <c r="AN93" s="1121"/>
      <c r="AO93" s="1121"/>
      <c r="AP93" s="1122"/>
      <c r="AQ93" s="1123"/>
      <c r="AR93" s="1123"/>
      <c r="AS93" s="1123"/>
      <c r="AT93" s="1123"/>
      <c r="AU93" s="1123"/>
      <c r="AV93" s="1123"/>
      <c r="AW93" s="1123"/>
      <c r="AX93" s="1124"/>
    </row>
    <row r="94" spans="2:81" ht="18" customHeight="1">
      <c r="B94" s="1134"/>
      <c r="C94" s="1135"/>
      <c r="D94" s="1135"/>
      <c r="E94" s="1135"/>
      <c r="F94" s="1135"/>
      <c r="G94" s="1135"/>
      <c r="H94" s="1135"/>
      <c r="I94" s="1135"/>
      <c r="J94" s="1135"/>
      <c r="K94" s="1135"/>
      <c r="L94" s="1135"/>
      <c r="M94" s="1135"/>
      <c r="N94" s="1159"/>
      <c r="O94" s="1160"/>
      <c r="P94" s="1160"/>
      <c r="Q94" s="1161"/>
      <c r="R94" s="1168"/>
      <c r="S94" s="1169"/>
      <c r="T94" s="1169"/>
      <c r="U94" s="1170"/>
      <c r="V94" s="1142"/>
      <c r="W94" s="1142"/>
      <c r="X94" s="1142"/>
      <c r="Y94" s="1142"/>
      <c r="Z94" s="1144"/>
      <c r="AA94" s="1144"/>
      <c r="AB94" s="1144"/>
      <c r="AC94" s="1145"/>
      <c r="AD94" s="1151"/>
      <c r="AE94" s="1117"/>
      <c r="AF94" s="1121"/>
      <c r="AG94" s="1121"/>
      <c r="AH94" s="1121"/>
      <c r="AI94" s="1121"/>
      <c r="AJ94" s="1121"/>
      <c r="AK94" s="1121"/>
      <c r="AL94" s="1121"/>
      <c r="AM94" s="1121"/>
      <c r="AN94" s="1121"/>
      <c r="AO94" s="1121"/>
      <c r="AP94" s="1122"/>
      <c r="AQ94" s="1123"/>
      <c r="AR94" s="1123"/>
      <c r="AS94" s="1123"/>
      <c r="AT94" s="1123"/>
      <c r="AU94" s="1123"/>
      <c r="AV94" s="1123"/>
      <c r="AW94" s="1123"/>
      <c r="AX94" s="1124"/>
    </row>
    <row r="95" spans="2:81" ht="18" customHeight="1">
      <c r="B95" s="1128" t="s">
        <v>475</v>
      </c>
      <c r="C95" s="1129"/>
      <c r="D95" s="1129"/>
      <c r="E95" s="1129"/>
      <c r="F95" s="1129"/>
      <c r="G95" s="1129"/>
      <c r="H95" s="1129"/>
      <c r="I95" s="1129"/>
      <c r="J95" s="1129"/>
      <c r="K95" s="1129"/>
      <c r="L95" s="1129"/>
      <c r="M95" s="1129"/>
      <c r="N95" s="1137">
        <v>9</v>
      </c>
      <c r="O95" s="1138"/>
      <c r="P95" s="1138"/>
      <c r="Q95" s="1138"/>
      <c r="R95" s="1139">
        <f>$X$76</f>
        <v>63</v>
      </c>
      <c r="S95" s="1140"/>
      <c r="T95" s="1140"/>
      <c r="U95" s="1140"/>
      <c r="V95" s="1141">
        <f>$N$76</f>
        <v>8</v>
      </c>
      <c r="W95" s="1142"/>
      <c r="X95" s="1142"/>
      <c r="Y95" s="1142"/>
      <c r="Z95" s="1143">
        <f>IFERROR(N95*R95*V95,"要修正"&amp;CHAR(10)&amp;"表示不可")</f>
        <v>4536</v>
      </c>
      <c r="AA95" s="1144"/>
      <c r="AB95" s="1144"/>
      <c r="AC95" s="1145"/>
      <c r="AD95" s="1116" t="str">
        <f>IF(COUNTA(N95:U97)=2,"○","×")</f>
        <v>○</v>
      </c>
      <c r="AE95" s="1117"/>
      <c r="AF95" s="1120" t="str">
        <f xml:space="preserve">
IF(COUNTA(N95:U97)&lt;2,"各職種の使用数を入力してください。(０の場合は０を入力)",
IF(AND(COUNTA(N95:U97)=2,N95&lt;=8),"適切に入力されました。",
IF(AND(COUNTA(N95:U97)=2,N95&gt;8),"患者１人あたりスタッフ１名が４双(8枚)を超える使用量が入力されているため、着脱を行う手順及び手順毎の数量を下段の欄に記入してください。")))</f>
        <v>患者１人あたりスタッフ１名が４双(8枚)を超える使用量が入力されているため、着脱を行う手順及び手順毎の数量を下段の欄に記入してください。</v>
      </c>
      <c r="AG95" s="1121"/>
      <c r="AH95" s="1121"/>
      <c r="AI95" s="1121"/>
      <c r="AJ95" s="1121"/>
      <c r="AK95" s="1121"/>
      <c r="AL95" s="1121"/>
      <c r="AM95" s="1121"/>
      <c r="AN95" s="1121"/>
      <c r="AO95" s="1121"/>
      <c r="AP95" s="1122"/>
      <c r="AQ95" s="1123"/>
      <c r="AR95" s="1123"/>
      <c r="AS95" s="1123"/>
      <c r="AT95" s="1123"/>
      <c r="AU95" s="1123"/>
      <c r="AV95" s="1123"/>
      <c r="AW95" s="1123"/>
      <c r="AX95" s="1124"/>
    </row>
    <row r="96" spans="2:81" ht="18" customHeight="1">
      <c r="B96" s="1150"/>
      <c r="C96" s="1132"/>
      <c r="D96" s="1132"/>
      <c r="E96" s="1132"/>
      <c r="F96" s="1132"/>
      <c r="G96" s="1132"/>
      <c r="H96" s="1132"/>
      <c r="I96" s="1132"/>
      <c r="J96" s="1132"/>
      <c r="K96" s="1132"/>
      <c r="L96" s="1132"/>
      <c r="M96" s="1132"/>
      <c r="N96" s="1137"/>
      <c r="O96" s="1138"/>
      <c r="P96" s="1138"/>
      <c r="Q96" s="1138"/>
      <c r="R96" s="1139"/>
      <c r="S96" s="1140"/>
      <c r="T96" s="1140"/>
      <c r="U96" s="1140"/>
      <c r="V96" s="1141"/>
      <c r="W96" s="1142"/>
      <c r="X96" s="1142"/>
      <c r="Y96" s="1142"/>
      <c r="Z96" s="1143"/>
      <c r="AA96" s="1144"/>
      <c r="AB96" s="1144"/>
      <c r="AC96" s="1145"/>
      <c r="AD96" s="1116"/>
      <c r="AE96" s="1117"/>
      <c r="AF96" s="1120"/>
      <c r="AG96" s="1121"/>
      <c r="AH96" s="1121"/>
      <c r="AI96" s="1121"/>
      <c r="AJ96" s="1121"/>
      <c r="AK96" s="1121"/>
      <c r="AL96" s="1121"/>
      <c r="AM96" s="1121"/>
      <c r="AN96" s="1121"/>
      <c r="AO96" s="1121"/>
      <c r="AP96" s="1122"/>
      <c r="AQ96" s="1123"/>
      <c r="AR96" s="1123"/>
      <c r="AS96" s="1123"/>
      <c r="AT96" s="1123"/>
      <c r="AU96" s="1123"/>
      <c r="AV96" s="1123"/>
      <c r="AW96" s="1123"/>
      <c r="AX96" s="1124"/>
    </row>
    <row r="97" spans="2:50" ht="18" customHeight="1">
      <c r="B97" s="1134"/>
      <c r="C97" s="1135"/>
      <c r="D97" s="1135"/>
      <c r="E97" s="1135"/>
      <c r="F97" s="1135"/>
      <c r="G97" s="1135"/>
      <c r="H97" s="1135"/>
      <c r="I97" s="1135"/>
      <c r="J97" s="1135"/>
      <c r="K97" s="1135"/>
      <c r="L97" s="1135"/>
      <c r="M97" s="1135"/>
      <c r="N97" s="1138"/>
      <c r="O97" s="1138"/>
      <c r="P97" s="1138"/>
      <c r="Q97" s="1138"/>
      <c r="R97" s="1140"/>
      <c r="S97" s="1140"/>
      <c r="T97" s="1140"/>
      <c r="U97" s="1140"/>
      <c r="V97" s="1142"/>
      <c r="W97" s="1142"/>
      <c r="X97" s="1142"/>
      <c r="Y97" s="1142"/>
      <c r="Z97" s="1144"/>
      <c r="AA97" s="1144"/>
      <c r="AB97" s="1144"/>
      <c r="AC97" s="1145"/>
      <c r="AD97" s="1151"/>
      <c r="AE97" s="1117"/>
      <c r="AF97" s="1121"/>
      <c r="AG97" s="1121"/>
      <c r="AH97" s="1121"/>
      <c r="AI97" s="1121"/>
      <c r="AJ97" s="1121"/>
      <c r="AK97" s="1121"/>
      <c r="AL97" s="1121"/>
      <c r="AM97" s="1121"/>
      <c r="AN97" s="1121"/>
      <c r="AO97" s="1121"/>
      <c r="AP97" s="1122"/>
      <c r="AQ97" s="1123"/>
      <c r="AR97" s="1123"/>
      <c r="AS97" s="1123"/>
      <c r="AT97" s="1123"/>
      <c r="AU97" s="1123"/>
      <c r="AV97" s="1123"/>
      <c r="AW97" s="1123"/>
      <c r="AX97" s="1124"/>
    </row>
    <row r="98" spans="2:50" ht="18" customHeight="1">
      <c r="B98" s="1152" t="s">
        <v>473</v>
      </c>
      <c r="C98" s="1129"/>
      <c r="D98" s="1129"/>
      <c r="E98" s="1130"/>
      <c r="F98" s="1146" t="s">
        <v>1064</v>
      </c>
      <c r="G98" s="1129"/>
      <c r="H98" s="1129"/>
      <c r="I98" s="1129"/>
      <c r="J98" s="1129"/>
      <c r="K98" s="1129"/>
      <c r="L98" s="1129"/>
      <c r="M98" s="1130"/>
      <c r="N98" s="1147">
        <v>1</v>
      </c>
      <c r="O98" s="1148"/>
      <c r="P98" s="1148"/>
      <c r="Q98" s="1148"/>
      <c r="R98" s="1139">
        <f>$X$76</f>
        <v>63</v>
      </c>
      <c r="S98" s="1140"/>
      <c r="T98" s="1140"/>
      <c r="U98" s="1140"/>
      <c r="V98" s="1141">
        <f>$N$76</f>
        <v>8</v>
      </c>
      <c r="W98" s="1142"/>
      <c r="X98" s="1142"/>
      <c r="Y98" s="1142"/>
      <c r="Z98" s="1149">
        <f>IFERROR(N98*R98*V98,"要修正"&amp;CHAR(10)&amp;"表示不可")</f>
        <v>504</v>
      </c>
      <c r="AA98" s="1144"/>
      <c r="AB98" s="1144"/>
      <c r="AC98" s="1145"/>
      <c r="AD98" s="1116" t="str">
        <f>IF(COUNTA(N98:U100)=2,"○","×")</f>
        <v>○</v>
      </c>
      <c r="AE98" s="1117"/>
      <c r="AF98" s="1120" t="str">
        <f xml:space="preserve">
IF(COUNTA(N98:U100)&lt;2,"各職種の使用数を入力してください。(０の場合は０を入力)",
IF(AND(COUNTA(N98:U100)=2,N98&lt;=0.5),"適切に入力されました。",
IF(AND(COUNTA(N98:U100)=2,N98&gt;0.5),"リユーサブル品の使い捨てに近い使用のため、着脱を行う手順及び手順毎の数量を下段の欄に記入してください。")))</f>
        <v>リユーサブル品の使い捨てに近い使用のため、着脱を行う手順及び手順毎の数量を下段の欄に記入してください。</v>
      </c>
      <c r="AG98" s="1121"/>
      <c r="AH98" s="1121"/>
      <c r="AI98" s="1121"/>
      <c r="AJ98" s="1121"/>
      <c r="AK98" s="1121"/>
      <c r="AL98" s="1121"/>
      <c r="AM98" s="1121"/>
      <c r="AN98" s="1121"/>
      <c r="AO98" s="1121"/>
      <c r="AP98" s="1122"/>
      <c r="AQ98" s="1123"/>
      <c r="AR98" s="1123"/>
      <c r="AS98" s="1123"/>
      <c r="AT98" s="1123"/>
      <c r="AU98" s="1123"/>
      <c r="AV98" s="1123"/>
      <c r="AW98" s="1123"/>
      <c r="AX98" s="1124"/>
    </row>
    <row r="99" spans="2:50" ht="18" customHeight="1">
      <c r="B99" s="1131"/>
      <c r="C99" s="1132"/>
      <c r="D99" s="1132"/>
      <c r="E99" s="1133"/>
      <c r="F99" s="1131"/>
      <c r="G99" s="1132"/>
      <c r="H99" s="1132"/>
      <c r="I99" s="1132"/>
      <c r="J99" s="1132"/>
      <c r="K99" s="1132"/>
      <c r="L99" s="1132"/>
      <c r="M99" s="1133"/>
      <c r="N99" s="1147"/>
      <c r="O99" s="1148"/>
      <c r="P99" s="1148"/>
      <c r="Q99" s="1148"/>
      <c r="R99" s="1139"/>
      <c r="S99" s="1140"/>
      <c r="T99" s="1140"/>
      <c r="U99" s="1140"/>
      <c r="V99" s="1141"/>
      <c r="W99" s="1142"/>
      <c r="X99" s="1142"/>
      <c r="Y99" s="1142"/>
      <c r="Z99" s="1149"/>
      <c r="AA99" s="1144"/>
      <c r="AB99" s="1144"/>
      <c r="AC99" s="1145"/>
      <c r="AD99" s="1116"/>
      <c r="AE99" s="1117"/>
      <c r="AF99" s="1120"/>
      <c r="AG99" s="1121"/>
      <c r="AH99" s="1121"/>
      <c r="AI99" s="1121"/>
      <c r="AJ99" s="1121"/>
      <c r="AK99" s="1121"/>
      <c r="AL99" s="1121"/>
      <c r="AM99" s="1121"/>
      <c r="AN99" s="1121"/>
      <c r="AO99" s="1121"/>
      <c r="AP99" s="1122"/>
      <c r="AQ99" s="1123"/>
      <c r="AR99" s="1123"/>
      <c r="AS99" s="1123"/>
      <c r="AT99" s="1123"/>
      <c r="AU99" s="1123"/>
      <c r="AV99" s="1123"/>
      <c r="AW99" s="1123"/>
      <c r="AX99" s="1124"/>
    </row>
    <row r="100" spans="2:50" ht="18" customHeight="1">
      <c r="B100" s="1131"/>
      <c r="C100" s="1132"/>
      <c r="D100" s="1132"/>
      <c r="E100" s="1133"/>
      <c r="F100" s="1134"/>
      <c r="G100" s="1135"/>
      <c r="H100" s="1135"/>
      <c r="I100" s="1135"/>
      <c r="J100" s="1135"/>
      <c r="K100" s="1135"/>
      <c r="L100" s="1135"/>
      <c r="M100" s="1136"/>
      <c r="N100" s="1148"/>
      <c r="O100" s="1148"/>
      <c r="P100" s="1148"/>
      <c r="Q100" s="1148"/>
      <c r="R100" s="1140"/>
      <c r="S100" s="1140"/>
      <c r="T100" s="1140"/>
      <c r="U100" s="1140"/>
      <c r="V100" s="1142"/>
      <c r="W100" s="1142"/>
      <c r="X100" s="1142"/>
      <c r="Y100" s="1142"/>
      <c r="Z100" s="1144"/>
      <c r="AA100" s="1144"/>
      <c r="AB100" s="1144"/>
      <c r="AC100" s="1145"/>
      <c r="AD100" s="1151"/>
      <c r="AE100" s="1117"/>
      <c r="AF100" s="1121"/>
      <c r="AG100" s="1121"/>
      <c r="AH100" s="1121"/>
      <c r="AI100" s="1121"/>
      <c r="AJ100" s="1121"/>
      <c r="AK100" s="1121"/>
      <c r="AL100" s="1121"/>
      <c r="AM100" s="1121"/>
      <c r="AN100" s="1121"/>
      <c r="AO100" s="1121"/>
      <c r="AP100" s="1122"/>
      <c r="AQ100" s="1123"/>
      <c r="AR100" s="1123"/>
      <c r="AS100" s="1123"/>
      <c r="AT100" s="1123"/>
      <c r="AU100" s="1123"/>
      <c r="AV100" s="1123"/>
      <c r="AW100" s="1123"/>
      <c r="AX100" s="1124"/>
    </row>
    <row r="101" spans="2:50" ht="18" customHeight="1">
      <c r="B101" s="1131"/>
      <c r="C101" s="1132"/>
      <c r="D101" s="1132"/>
      <c r="E101" s="1133"/>
      <c r="F101" s="1146" t="s">
        <v>1065</v>
      </c>
      <c r="G101" s="1129"/>
      <c r="H101" s="1129"/>
      <c r="I101" s="1129"/>
      <c r="J101" s="1129"/>
      <c r="K101" s="1129"/>
      <c r="L101" s="1129"/>
      <c r="M101" s="1130"/>
      <c r="N101" s="1147">
        <v>1</v>
      </c>
      <c r="O101" s="1148"/>
      <c r="P101" s="1148"/>
      <c r="Q101" s="1148"/>
      <c r="R101" s="1139">
        <f>$X$76</f>
        <v>63</v>
      </c>
      <c r="S101" s="1140"/>
      <c r="T101" s="1140"/>
      <c r="U101" s="1140"/>
      <c r="V101" s="1141">
        <f>$N$76</f>
        <v>8</v>
      </c>
      <c r="W101" s="1142"/>
      <c r="X101" s="1142"/>
      <c r="Y101" s="1142"/>
      <c r="Z101" s="1149">
        <f>IFERROR(N101*R101*V101,"要修正"&amp;CHAR(10)&amp;"表示不可")</f>
        <v>504</v>
      </c>
      <c r="AA101" s="1144"/>
      <c r="AB101" s="1144"/>
      <c r="AC101" s="1145"/>
      <c r="AD101" s="1116" t="str">
        <f>IF(COUNTA(N101:U103)=2,"○","×")</f>
        <v>○</v>
      </c>
      <c r="AE101" s="1117"/>
      <c r="AF101" s="1120" t="str">
        <f xml:space="preserve">
IF(COUNTA(N101:U103)&lt;2,"各職種の使用数を入力してください。(０の場合は０を入力)",
IF(AND(COUNTA(N101:U103)=2,N101&lt;=0.5),"適切に入力されました。",
IF(AND(COUNTA(N101:U103)=2,N101&gt;0.5),"リユーサブル品の使い捨てに近い使用のため、着脱を行う手順及び手順毎の数量を下段の欄に記入してください。")))</f>
        <v>リユーサブル品の使い捨てに近い使用のため、着脱を行う手順及び手順毎の数量を下段の欄に記入してください。</v>
      </c>
      <c r="AG101" s="1121"/>
      <c r="AH101" s="1121"/>
      <c r="AI101" s="1121"/>
      <c r="AJ101" s="1121"/>
      <c r="AK101" s="1121"/>
      <c r="AL101" s="1121"/>
      <c r="AM101" s="1121"/>
      <c r="AN101" s="1121"/>
      <c r="AO101" s="1121"/>
      <c r="AP101" s="1122"/>
      <c r="AQ101" s="1123"/>
      <c r="AR101" s="1123"/>
      <c r="AS101" s="1123"/>
      <c r="AT101" s="1123"/>
      <c r="AU101" s="1123"/>
      <c r="AV101" s="1123"/>
      <c r="AW101" s="1123"/>
      <c r="AX101" s="1124"/>
    </row>
    <row r="102" spans="2:50" ht="18" customHeight="1">
      <c r="B102" s="1131"/>
      <c r="C102" s="1132"/>
      <c r="D102" s="1132"/>
      <c r="E102" s="1133"/>
      <c r="F102" s="1131"/>
      <c r="G102" s="1132"/>
      <c r="H102" s="1132"/>
      <c r="I102" s="1132"/>
      <c r="J102" s="1132"/>
      <c r="K102" s="1132"/>
      <c r="L102" s="1132"/>
      <c r="M102" s="1133"/>
      <c r="N102" s="1147"/>
      <c r="O102" s="1148"/>
      <c r="P102" s="1148"/>
      <c r="Q102" s="1148"/>
      <c r="R102" s="1139"/>
      <c r="S102" s="1140"/>
      <c r="T102" s="1140"/>
      <c r="U102" s="1140"/>
      <c r="V102" s="1141"/>
      <c r="W102" s="1142"/>
      <c r="X102" s="1142"/>
      <c r="Y102" s="1142"/>
      <c r="Z102" s="1149"/>
      <c r="AA102" s="1144"/>
      <c r="AB102" s="1144"/>
      <c r="AC102" s="1145"/>
      <c r="AD102" s="1116"/>
      <c r="AE102" s="1117"/>
      <c r="AF102" s="1120"/>
      <c r="AG102" s="1121"/>
      <c r="AH102" s="1121"/>
      <c r="AI102" s="1121"/>
      <c r="AJ102" s="1121"/>
      <c r="AK102" s="1121"/>
      <c r="AL102" s="1121"/>
      <c r="AM102" s="1121"/>
      <c r="AN102" s="1121"/>
      <c r="AO102" s="1121"/>
      <c r="AP102" s="1122"/>
      <c r="AQ102" s="1123"/>
      <c r="AR102" s="1123"/>
      <c r="AS102" s="1123"/>
      <c r="AT102" s="1123"/>
      <c r="AU102" s="1123"/>
      <c r="AV102" s="1123"/>
      <c r="AW102" s="1123"/>
      <c r="AX102" s="1124"/>
    </row>
    <row r="103" spans="2:50" ht="18" customHeight="1">
      <c r="B103" s="1131"/>
      <c r="C103" s="1132"/>
      <c r="D103" s="1132"/>
      <c r="E103" s="1133"/>
      <c r="F103" s="1134"/>
      <c r="G103" s="1135"/>
      <c r="H103" s="1135"/>
      <c r="I103" s="1135"/>
      <c r="J103" s="1135"/>
      <c r="K103" s="1135"/>
      <c r="L103" s="1135"/>
      <c r="M103" s="1136"/>
      <c r="N103" s="1148"/>
      <c r="O103" s="1148"/>
      <c r="P103" s="1148"/>
      <c r="Q103" s="1148"/>
      <c r="R103" s="1140"/>
      <c r="S103" s="1140"/>
      <c r="T103" s="1140"/>
      <c r="U103" s="1140"/>
      <c r="V103" s="1142"/>
      <c r="W103" s="1142"/>
      <c r="X103" s="1142"/>
      <c r="Y103" s="1142"/>
      <c r="Z103" s="1144"/>
      <c r="AA103" s="1144"/>
      <c r="AB103" s="1144"/>
      <c r="AC103" s="1145"/>
      <c r="AD103" s="1151"/>
      <c r="AE103" s="1117"/>
      <c r="AF103" s="1121"/>
      <c r="AG103" s="1121"/>
      <c r="AH103" s="1121"/>
      <c r="AI103" s="1121"/>
      <c r="AJ103" s="1121"/>
      <c r="AK103" s="1121"/>
      <c r="AL103" s="1121"/>
      <c r="AM103" s="1121"/>
      <c r="AN103" s="1121"/>
      <c r="AO103" s="1121"/>
      <c r="AP103" s="1122"/>
      <c r="AQ103" s="1123"/>
      <c r="AR103" s="1123"/>
      <c r="AS103" s="1123"/>
      <c r="AT103" s="1123"/>
      <c r="AU103" s="1123"/>
      <c r="AV103" s="1123"/>
      <c r="AW103" s="1123"/>
      <c r="AX103" s="1124"/>
    </row>
    <row r="104" spans="2:50" ht="18" customHeight="1">
      <c r="B104" s="1131"/>
      <c r="C104" s="1132"/>
      <c r="D104" s="1132"/>
      <c r="E104" s="1133"/>
      <c r="F104" s="1112" t="s">
        <v>1066</v>
      </c>
      <c r="G104" s="1129"/>
      <c r="H104" s="1129"/>
      <c r="I104" s="1129"/>
      <c r="J104" s="1129"/>
      <c r="K104" s="1129"/>
      <c r="L104" s="1129"/>
      <c r="M104" s="1130"/>
      <c r="N104" s="1147">
        <v>2</v>
      </c>
      <c r="O104" s="1148"/>
      <c r="P104" s="1148"/>
      <c r="Q104" s="1148"/>
      <c r="R104" s="1139">
        <f>$X$76</f>
        <v>63</v>
      </c>
      <c r="S104" s="1140"/>
      <c r="T104" s="1140"/>
      <c r="U104" s="1140"/>
      <c r="V104" s="1141">
        <f>$N$76</f>
        <v>8</v>
      </c>
      <c r="W104" s="1142"/>
      <c r="X104" s="1142"/>
      <c r="Y104" s="1142"/>
      <c r="Z104" s="1149">
        <f>IFERROR(N104*R104*V104,"要修正"&amp;CHAR(10)&amp;"表示不可")</f>
        <v>1008</v>
      </c>
      <c r="AA104" s="1144"/>
      <c r="AB104" s="1144"/>
      <c r="AC104" s="1145"/>
      <c r="AD104" s="1116" t="str">
        <f>IF(COUNTA(N104:U106)=2,"○","×")</f>
        <v>○</v>
      </c>
      <c r="AE104" s="1117"/>
      <c r="AF104" s="1120" t="str">
        <f xml:space="preserve">
IF(COUNTA(N104:U106)&lt;2,"各職種の使用数を入力してください。(０の場合は０を入力)",
IF(AND(COUNTA(N104:U106)=2,N104&lt;=1),"適切に入力されました。",
IF(AND(COUNTA(N104:U106)=2,N104&gt;1),"患者１人あたりスタッフ１名が１個を超える使用量が入力されているため、着脱を行う手順及び手順毎の数量を下段の欄に記入してください。")))</f>
        <v>患者１人あたりスタッフ１名が１個を超える使用量が入力されているため、着脱を行う手順及び手順毎の数量を下段の欄に記入してください。</v>
      </c>
      <c r="AG104" s="1121"/>
      <c r="AH104" s="1121"/>
      <c r="AI104" s="1121"/>
      <c r="AJ104" s="1121"/>
      <c r="AK104" s="1121"/>
      <c r="AL104" s="1121"/>
      <c r="AM104" s="1121"/>
      <c r="AN104" s="1121"/>
      <c r="AO104" s="1121"/>
      <c r="AP104" s="1122"/>
      <c r="AQ104" s="1123"/>
      <c r="AR104" s="1123"/>
      <c r="AS104" s="1123"/>
      <c r="AT104" s="1123"/>
      <c r="AU104" s="1123"/>
      <c r="AV104" s="1123"/>
      <c r="AW104" s="1123"/>
      <c r="AX104" s="1124"/>
    </row>
    <row r="105" spans="2:50" ht="18" customHeight="1">
      <c r="B105" s="1131"/>
      <c r="C105" s="1132"/>
      <c r="D105" s="1132"/>
      <c r="E105" s="1133"/>
      <c r="F105" s="1131"/>
      <c r="G105" s="1132"/>
      <c r="H105" s="1132"/>
      <c r="I105" s="1132"/>
      <c r="J105" s="1132"/>
      <c r="K105" s="1132"/>
      <c r="L105" s="1132"/>
      <c r="M105" s="1133"/>
      <c r="N105" s="1147"/>
      <c r="O105" s="1148"/>
      <c r="P105" s="1148"/>
      <c r="Q105" s="1148"/>
      <c r="R105" s="1139"/>
      <c r="S105" s="1140"/>
      <c r="T105" s="1140"/>
      <c r="U105" s="1140"/>
      <c r="V105" s="1141"/>
      <c r="W105" s="1142"/>
      <c r="X105" s="1142"/>
      <c r="Y105" s="1142"/>
      <c r="Z105" s="1149"/>
      <c r="AA105" s="1144"/>
      <c r="AB105" s="1144"/>
      <c r="AC105" s="1145"/>
      <c r="AD105" s="1116"/>
      <c r="AE105" s="1117"/>
      <c r="AF105" s="1120"/>
      <c r="AG105" s="1121"/>
      <c r="AH105" s="1121"/>
      <c r="AI105" s="1121"/>
      <c r="AJ105" s="1121"/>
      <c r="AK105" s="1121"/>
      <c r="AL105" s="1121"/>
      <c r="AM105" s="1121"/>
      <c r="AN105" s="1121"/>
      <c r="AO105" s="1121"/>
      <c r="AP105" s="1122"/>
      <c r="AQ105" s="1123"/>
      <c r="AR105" s="1123"/>
      <c r="AS105" s="1123"/>
      <c r="AT105" s="1123"/>
      <c r="AU105" s="1123"/>
      <c r="AV105" s="1123"/>
      <c r="AW105" s="1123"/>
      <c r="AX105" s="1124"/>
    </row>
    <row r="106" spans="2:50" ht="18" customHeight="1">
      <c r="B106" s="1134"/>
      <c r="C106" s="1135"/>
      <c r="D106" s="1135"/>
      <c r="E106" s="1136"/>
      <c r="F106" s="1134"/>
      <c r="G106" s="1135"/>
      <c r="H106" s="1135"/>
      <c r="I106" s="1135"/>
      <c r="J106" s="1135"/>
      <c r="K106" s="1135"/>
      <c r="L106" s="1135"/>
      <c r="M106" s="1136"/>
      <c r="N106" s="1148"/>
      <c r="O106" s="1148"/>
      <c r="P106" s="1148"/>
      <c r="Q106" s="1148"/>
      <c r="R106" s="1140"/>
      <c r="S106" s="1140"/>
      <c r="T106" s="1140"/>
      <c r="U106" s="1140"/>
      <c r="V106" s="1142"/>
      <c r="W106" s="1142"/>
      <c r="X106" s="1142"/>
      <c r="Y106" s="1142"/>
      <c r="Z106" s="1144"/>
      <c r="AA106" s="1144"/>
      <c r="AB106" s="1144"/>
      <c r="AC106" s="1145"/>
      <c r="AD106" s="1151"/>
      <c r="AE106" s="1117"/>
      <c r="AF106" s="1121"/>
      <c r="AG106" s="1121"/>
      <c r="AH106" s="1121"/>
      <c r="AI106" s="1121"/>
      <c r="AJ106" s="1121"/>
      <c r="AK106" s="1121"/>
      <c r="AL106" s="1121"/>
      <c r="AM106" s="1121"/>
      <c r="AN106" s="1121"/>
      <c r="AO106" s="1121"/>
      <c r="AP106" s="1122"/>
      <c r="AQ106" s="1123"/>
      <c r="AR106" s="1123"/>
      <c r="AS106" s="1123"/>
      <c r="AT106" s="1123"/>
      <c r="AU106" s="1123"/>
      <c r="AV106" s="1123"/>
      <c r="AW106" s="1123"/>
      <c r="AX106" s="1124"/>
    </row>
    <row r="107" spans="2:50" ht="18" customHeight="1">
      <c r="B107" s="1128" t="s">
        <v>476</v>
      </c>
      <c r="C107" s="1129"/>
      <c r="D107" s="1129"/>
      <c r="E107" s="1129"/>
      <c r="F107" s="1129"/>
      <c r="G107" s="1129"/>
      <c r="H107" s="1129"/>
      <c r="I107" s="1129"/>
      <c r="J107" s="1129"/>
      <c r="K107" s="1129"/>
      <c r="L107" s="1129"/>
      <c r="M107" s="1129"/>
      <c r="N107" s="1137">
        <v>2</v>
      </c>
      <c r="O107" s="1138"/>
      <c r="P107" s="1138"/>
      <c r="Q107" s="1138"/>
      <c r="R107" s="1139">
        <f>$X$76</f>
        <v>63</v>
      </c>
      <c r="S107" s="1140"/>
      <c r="T107" s="1140"/>
      <c r="U107" s="1140"/>
      <c r="V107" s="1141">
        <f>$N$76</f>
        <v>8</v>
      </c>
      <c r="W107" s="1142"/>
      <c r="X107" s="1142"/>
      <c r="Y107" s="1142"/>
      <c r="Z107" s="1143">
        <f>IFERROR(N107*R107*V107,"要修正"&amp;CHAR(10)&amp;"表示不可")</f>
        <v>1008</v>
      </c>
      <c r="AA107" s="1144"/>
      <c r="AB107" s="1144"/>
      <c r="AC107" s="1145"/>
      <c r="AD107" s="1116" t="str">
        <f>IF(COUNTA(N107:U109)=2,"○","×")</f>
        <v>○</v>
      </c>
      <c r="AE107" s="1117"/>
      <c r="AF107" s="1120" t="str">
        <f xml:space="preserve">
IF(COUNTA(N107:U109)&lt;2,"各職種の使用数を入力してください。(０の場合は０を入力)",
IF(AND(COUNTA(N107:U109)=2,N107&lt;=1),"適切に入力されました。",
IF(AND(COUNTA(N107:U109)=2,N107&gt;1),"患者１人あたりスタッフ１名が１枚を超える使用量が入力されているため、着脱を行う手順及び手順毎の数量を下段の欄に記入してください。")))</f>
        <v>患者１人あたりスタッフ１名が１枚を超える使用量が入力されているため、着脱を行う手順及び手順毎の数量を下段の欄に記入してください。</v>
      </c>
      <c r="AG107" s="1121"/>
      <c r="AH107" s="1121"/>
      <c r="AI107" s="1121"/>
      <c r="AJ107" s="1121"/>
      <c r="AK107" s="1121"/>
      <c r="AL107" s="1121"/>
      <c r="AM107" s="1121"/>
      <c r="AN107" s="1121"/>
      <c r="AO107" s="1121"/>
      <c r="AP107" s="1122"/>
      <c r="AQ107" s="1123"/>
      <c r="AR107" s="1123"/>
      <c r="AS107" s="1123"/>
      <c r="AT107" s="1123"/>
      <c r="AU107" s="1123"/>
      <c r="AV107" s="1123"/>
      <c r="AW107" s="1123"/>
      <c r="AX107" s="1124"/>
    </row>
    <row r="108" spans="2:50" ht="18" customHeight="1">
      <c r="B108" s="1150"/>
      <c r="C108" s="1132"/>
      <c r="D108" s="1132"/>
      <c r="E108" s="1132"/>
      <c r="F108" s="1132"/>
      <c r="G108" s="1132"/>
      <c r="H108" s="1132"/>
      <c r="I108" s="1132"/>
      <c r="J108" s="1132"/>
      <c r="K108" s="1132"/>
      <c r="L108" s="1132"/>
      <c r="M108" s="1132"/>
      <c r="N108" s="1137"/>
      <c r="O108" s="1138"/>
      <c r="P108" s="1138"/>
      <c r="Q108" s="1138"/>
      <c r="R108" s="1139"/>
      <c r="S108" s="1140"/>
      <c r="T108" s="1140"/>
      <c r="U108" s="1140"/>
      <c r="V108" s="1141"/>
      <c r="W108" s="1142"/>
      <c r="X108" s="1142"/>
      <c r="Y108" s="1142"/>
      <c r="Z108" s="1143"/>
      <c r="AA108" s="1144"/>
      <c r="AB108" s="1144"/>
      <c r="AC108" s="1145"/>
      <c r="AD108" s="1116"/>
      <c r="AE108" s="1117"/>
      <c r="AF108" s="1120"/>
      <c r="AG108" s="1121"/>
      <c r="AH108" s="1121"/>
      <c r="AI108" s="1121"/>
      <c r="AJ108" s="1121"/>
      <c r="AK108" s="1121"/>
      <c r="AL108" s="1121"/>
      <c r="AM108" s="1121"/>
      <c r="AN108" s="1121"/>
      <c r="AO108" s="1121"/>
      <c r="AP108" s="1122"/>
      <c r="AQ108" s="1123"/>
      <c r="AR108" s="1123"/>
      <c r="AS108" s="1123"/>
      <c r="AT108" s="1123"/>
      <c r="AU108" s="1123"/>
      <c r="AV108" s="1123"/>
      <c r="AW108" s="1123"/>
      <c r="AX108" s="1124"/>
    </row>
    <row r="109" spans="2:50" ht="18" customHeight="1">
      <c r="B109" s="1134"/>
      <c r="C109" s="1135"/>
      <c r="D109" s="1135"/>
      <c r="E109" s="1135"/>
      <c r="F109" s="1135"/>
      <c r="G109" s="1135"/>
      <c r="H109" s="1135"/>
      <c r="I109" s="1135"/>
      <c r="J109" s="1135"/>
      <c r="K109" s="1135"/>
      <c r="L109" s="1135"/>
      <c r="M109" s="1135"/>
      <c r="N109" s="1138"/>
      <c r="O109" s="1138"/>
      <c r="P109" s="1138"/>
      <c r="Q109" s="1138"/>
      <c r="R109" s="1140"/>
      <c r="S109" s="1140"/>
      <c r="T109" s="1140"/>
      <c r="U109" s="1140"/>
      <c r="V109" s="1142"/>
      <c r="W109" s="1142"/>
      <c r="X109" s="1142"/>
      <c r="Y109" s="1142"/>
      <c r="Z109" s="1144"/>
      <c r="AA109" s="1144"/>
      <c r="AB109" s="1144"/>
      <c r="AC109" s="1145"/>
      <c r="AD109" s="1151"/>
      <c r="AE109" s="1117"/>
      <c r="AF109" s="1121"/>
      <c r="AG109" s="1121"/>
      <c r="AH109" s="1121"/>
      <c r="AI109" s="1121"/>
      <c r="AJ109" s="1121"/>
      <c r="AK109" s="1121"/>
      <c r="AL109" s="1121"/>
      <c r="AM109" s="1121"/>
      <c r="AN109" s="1121"/>
      <c r="AO109" s="1121"/>
      <c r="AP109" s="1122"/>
      <c r="AQ109" s="1123"/>
      <c r="AR109" s="1123"/>
      <c r="AS109" s="1123"/>
      <c r="AT109" s="1123"/>
      <c r="AU109" s="1123"/>
      <c r="AV109" s="1123"/>
      <c r="AW109" s="1123"/>
      <c r="AX109" s="1124"/>
    </row>
    <row r="110" spans="2:50" ht="18" customHeight="1">
      <c r="B110" s="1128" t="s">
        <v>1067</v>
      </c>
      <c r="C110" s="1129"/>
      <c r="D110" s="1129"/>
      <c r="E110" s="1130"/>
      <c r="F110" s="1112" t="s">
        <v>1068</v>
      </c>
      <c r="G110" s="1129"/>
      <c r="H110" s="1129"/>
      <c r="I110" s="1129"/>
      <c r="J110" s="1129"/>
      <c r="K110" s="1129"/>
      <c r="L110" s="1129"/>
      <c r="M110" s="1130"/>
      <c r="N110" s="1137">
        <v>2</v>
      </c>
      <c r="O110" s="1138"/>
      <c r="P110" s="1138"/>
      <c r="Q110" s="1138"/>
      <c r="R110" s="1139">
        <f>$X$76</f>
        <v>63</v>
      </c>
      <c r="S110" s="1140"/>
      <c r="T110" s="1140"/>
      <c r="U110" s="1140"/>
      <c r="V110" s="1141">
        <f>$N$76</f>
        <v>8</v>
      </c>
      <c r="W110" s="1142"/>
      <c r="X110" s="1142"/>
      <c r="Y110" s="1142"/>
      <c r="Z110" s="1143">
        <f>IFERROR(N110*R110*V110,"要修正"&amp;CHAR(10)&amp;"表示不可")</f>
        <v>1008</v>
      </c>
      <c r="AA110" s="1144"/>
      <c r="AB110" s="1144"/>
      <c r="AC110" s="1145"/>
      <c r="AD110" s="1116" t="str">
        <f>IF(COUNTA(N110:U112)=2,"○","×")</f>
        <v>○</v>
      </c>
      <c r="AE110" s="1117"/>
      <c r="AF110" s="1120" t="str">
        <f xml:space="preserve">
IF(COUNTA(N110:U112)&lt;2,"各職種の使用数を入力してください。(０の場合は０を入力)",
IF(AND(COUNTA(N110:U112)=2,N110&lt;=1),"適切に入力されました。",
IF(AND(COUNTA(N110:U112)=2,N110&gt;1),"患者１人あたりスタッフ１名が１枚を超える使用量が入力されているため、着脱を行う手順及び手順毎の数量を下段の欄に記入してください。")))</f>
        <v>患者１人あたりスタッフ１名が１枚を超える使用量が入力されているため、着脱を行う手順及び手順毎の数量を下段の欄に記入してください。</v>
      </c>
      <c r="AG110" s="1121"/>
      <c r="AH110" s="1121"/>
      <c r="AI110" s="1121"/>
      <c r="AJ110" s="1121"/>
      <c r="AK110" s="1121"/>
      <c r="AL110" s="1121"/>
      <c r="AM110" s="1121"/>
      <c r="AN110" s="1121"/>
      <c r="AO110" s="1121"/>
      <c r="AP110" s="1122"/>
      <c r="AQ110" s="1123"/>
      <c r="AR110" s="1123"/>
      <c r="AS110" s="1123"/>
      <c r="AT110" s="1123"/>
      <c r="AU110" s="1123"/>
      <c r="AV110" s="1123"/>
      <c r="AW110" s="1123"/>
      <c r="AX110" s="1124"/>
    </row>
    <row r="111" spans="2:50" ht="18" customHeight="1">
      <c r="B111" s="1131"/>
      <c r="C111" s="1132"/>
      <c r="D111" s="1132"/>
      <c r="E111" s="1133"/>
      <c r="F111" s="1131"/>
      <c r="G111" s="1132"/>
      <c r="H111" s="1132"/>
      <c r="I111" s="1132"/>
      <c r="J111" s="1132"/>
      <c r="K111" s="1132"/>
      <c r="L111" s="1132"/>
      <c r="M111" s="1133"/>
      <c r="N111" s="1137"/>
      <c r="O111" s="1138"/>
      <c r="P111" s="1138"/>
      <c r="Q111" s="1138"/>
      <c r="R111" s="1139"/>
      <c r="S111" s="1140"/>
      <c r="T111" s="1140"/>
      <c r="U111" s="1140"/>
      <c r="V111" s="1141"/>
      <c r="W111" s="1142"/>
      <c r="X111" s="1142"/>
      <c r="Y111" s="1142"/>
      <c r="Z111" s="1143"/>
      <c r="AA111" s="1144"/>
      <c r="AB111" s="1144"/>
      <c r="AC111" s="1145"/>
      <c r="AD111" s="1116"/>
      <c r="AE111" s="1117"/>
      <c r="AF111" s="1120"/>
      <c r="AG111" s="1121"/>
      <c r="AH111" s="1121"/>
      <c r="AI111" s="1121"/>
      <c r="AJ111" s="1121"/>
      <c r="AK111" s="1121"/>
      <c r="AL111" s="1121"/>
      <c r="AM111" s="1121"/>
      <c r="AN111" s="1121"/>
      <c r="AO111" s="1121"/>
      <c r="AP111" s="1122"/>
      <c r="AQ111" s="1123"/>
      <c r="AR111" s="1123"/>
      <c r="AS111" s="1123"/>
      <c r="AT111" s="1123"/>
      <c r="AU111" s="1123"/>
      <c r="AV111" s="1123"/>
      <c r="AW111" s="1123"/>
      <c r="AX111" s="1124"/>
    </row>
    <row r="112" spans="2:50" ht="18" customHeight="1">
      <c r="B112" s="1131"/>
      <c r="C112" s="1132"/>
      <c r="D112" s="1132"/>
      <c r="E112" s="1133"/>
      <c r="F112" s="1134"/>
      <c r="G112" s="1135"/>
      <c r="H112" s="1135"/>
      <c r="I112" s="1135"/>
      <c r="J112" s="1135"/>
      <c r="K112" s="1135"/>
      <c r="L112" s="1135"/>
      <c r="M112" s="1136"/>
      <c r="N112" s="1138"/>
      <c r="O112" s="1138"/>
      <c r="P112" s="1138"/>
      <c r="Q112" s="1138"/>
      <c r="R112" s="1140"/>
      <c r="S112" s="1140"/>
      <c r="T112" s="1140"/>
      <c r="U112" s="1140"/>
      <c r="V112" s="1142"/>
      <c r="W112" s="1142"/>
      <c r="X112" s="1142"/>
      <c r="Y112" s="1142"/>
      <c r="Z112" s="1144"/>
      <c r="AA112" s="1144"/>
      <c r="AB112" s="1144"/>
      <c r="AC112" s="1145"/>
      <c r="AD112" s="1151"/>
      <c r="AE112" s="1117"/>
      <c r="AF112" s="1121"/>
      <c r="AG112" s="1121"/>
      <c r="AH112" s="1121"/>
      <c r="AI112" s="1121"/>
      <c r="AJ112" s="1121"/>
      <c r="AK112" s="1121"/>
      <c r="AL112" s="1121"/>
      <c r="AM112" s="1121"/>
      <c r="AN112" s="1121"/>
      <c r="AO112" s="1121"/>
      <c r="AP112" s="1122"/>
      <c r="AQ112" s="1123"/>
      <c r="AR112" s="1123"/>
      <c r="AS112" s="1123"/>
      <c r="AT112" s="1123"/>
      <c r="AU112" s="1123"/>
      <c r="AV112" s="1123"/>
      <c r="AW112" s="1123"/>
      <c r="AX112" s="1124"/>
    </row>
    <row r="113" spans="2:80" ht="18" customHeight="1">
      <c r="B113" s="1131"/>
      <c r="C113" s="1132"/>
      <c r="D113" s="1132"/>
      <c r="E113" s="1133"/>
      <c r="F113" s="1146" t="s">
        <v>1069</v>
      </c>
      <c r="G113" s="1129"/>
      <c r="H113" s="1129"/>
      <c r="I113" s="1129"/>
      <c r="J113" s="1129"/>
      <c r="K113" s="1129"/>
      <c r="L113" s="1129"/>
      <c r="M113" s="1130"/>
      <c r="N113" s="1147">
        <v>2</v>
      </c>
      <c r="O113" s="1148"/>
      <c r="P113" s="1148"/>
      <c r="Q113" s="1148"/>
      <c r="R113" s="1139">
        <f>$X$76</f>
        <v>63</v>
      </c>
      <c r="S113" s="1140"/>
      <c r="T113" s="1140"/>
      <c r="U113" s="1140"/>
      <c r="V113" s="1141">
        <f>$N$76</f>
        <v>8</v>
      </c>
      <c r="W113" s="1142"/>
      <c r="X113" s="1142"/>
      <c r="Y113" s="1142"/>
      <c r="Z113" s="1149">
        <f>IFERROR(N113*R113*V113,"要修正"&amp;CHAR(10)&amp;"表示不可")</f>
        <v>1008</v>
      </c>
      <c r="AA113" s="1144"/>
      <c r="AB113" s="1144"/>
      <c r="AC113" s="1145"/>
      <c r="AD113" s="1116" t="str">
        <f>IF(COUNTA(N113:U115)=2,"○","×")</f>
        <v>○</v>
      </c>
      <c r="AE113" s="1117"/>
      <c r="AF113" s="1120" t="str">
        <f xml:space="preserve">
IF(COUNTA(N113:U115)&lt;2,"各職種の使用数を入力してください。(０の場合は０を入力)",
IF(AND(COUNTA(N113:U115)=2,N113&lt;=0.5),"適切に入力されました。",
IF(AND(COUNTA(N113:U115)=2,N113&gt;0.5),"リユーサブル品の使い捨てに近い使用のため、着脱を行う手順及び手順毎の数量を下段の欄に記入してください。")))</f>
        <v>リユーサブル品の使い捨てに近い使用のため、着脱を行う手順及び手順毎の数量を下段の欄に記入してください。</v>
      </c>
      <c r="AG113" s="1121"/>
      <c r="AH113" s="1121"/>
      <c r="AI113" s="1121"/>
      <c r="AJ113" s="1121"/>
      <c r="AK113" s="1121"/>
      <c r="AL113" s="1121"/>
      <c r="AM113" s="1121"/>
      <c r="AN113" s="1121"/>
      <c r="AO113" s="1121"/>
      <c r="AP113" s="1122"/>
      <c r="AQ113" s="1123"/>
      <c r="AR113" s="1123"/>
      <c r="AS113" s="1123"/>
      <c r="AT113" s="1123"/>
      <c r="AU113" s="1123"/>
      <c r="AV113" s="1123"/>
      <c r="AW113" s="1123"/>
      <c r="AX113" s="1124"/>
    </row>
    <row r="114" spans="2:80" ht="18" customHeight="1">
      <c r="B114" s="1131"/>
      <c r="C114" s="1132"/>
      <c r="D114" s="1132"/>
      <c r="E114" s="1133"/>
      <c r="F114" s="1131"/>
      <c r="G114" s="1132"/>
      <c r="H114" s="1132"/>
      <c r="I114" s="1132"/>
      <c r="J114" s="1132"/>
      <c r="K114" s="1132"/>
      <c r="L114" s="1132"/>
      <c r="M114" s="1133"/>
      <c r="N114" s="1147"/>
      <c r="O114" s="1148"/>
      <c r="P114" s="1148"/>
      <c r="Q114" s="1148"/>
      <c r="R114" s="1139"/>
      <c r="S114" s="1140"/>
      <c r="T114" s="1140"/>
      <c r="U114" s="1140"/>
      <c r="V114" s="1141"/>
      <c r="W114" s="1142"/>
      <c r="X114" s="1142"/>
      <c r="Y114" s="1142"/>
      <c r="Z114" s="1149"/>
      <c r="AA114" s="1144"/>
      <c r="AB114" s="1144"/>
      <c r="AC114" s="1145"/>
      <c r="AD114" s="1116"/>
      <c r="AE114" s="1117"/>
      <c r="AF114" s="1120"/>
      <c r="AG114" s="1121"/>
      <c r="AH114" s="1121"/>
      <c r="AI114" s="1121"/>
      <c r="AJ114" s="1121"/>
      <c r="AK114" s="1121"/>
      <c r="AL114" s="1121"/>
      <c r="AM114" s="1121"/>
      <c r="AN114" s="1121"/>
      <c r="AO114" s="1121"/>
      <c r="AP114" s="1122"/>
      <c r="AQ114" s="1123"/>
      <c r="AR114" s="1123"/>
      <c r="AS114" s="1123"/>
      <c r="AT114" s="1123"/>
      <c r="AU114" s="1123"/>
      <c r="AV114" s="1123"/>
      <c r="AW114" s="1123"/>
      <c r="AX114" s="1124"/>
    </row>
    <row r="115" spans="2:80" ht="18" customHeight="1">
      <c r="B115" s="1131"/>
      <c r="C115" s="1132"/>
      <c r="D115" s="1132"/>
      <c r="E115" s="1133"/>
      <c r="F115" s="1134"/>
      <c r="G115" s="1135"/>
      <c r="H115" s="1135"/>
      <c r="I115" s="1135"/>
      <c r="J115" s="1135"/>
      <c r="K115" s="1135"/>
      <c r="L115" s="1135"/>
      <c r="M115" s="1136"/>
      <c r="N115" s="1148"/>
      <c r="O115" s="1148"/>
      <c r="P115" s="1148"/>
      <c r="Q115" s="1148"/>
      <c r="R115" s="1140"/>
      <c r="S115" s="1140"/>
      <c r="T115" s="1140"/>
      <c r="U115" s="1140"/>
      <c r="V115" s="1142"/>
      <c r="W115" s="1142"/>
      <c r="X115" s="1142"/>
      <c r="Y115" s="1142"/>
      <c r="Z115" s="1144"/>
      <c r="AA115" s="1144"/>
      <c r="AB115" s="1144"/>
      <c r="AC115" s="1145"/>
      <c r="AD115" s="1151"/>
      <c r="AE115" s="1117"/>
      <c r="AF115" s="1121"/>
      <c r="AG115" s="1121"/>
      <c r="AH115" s="1121"/>
      <c r="AI115" s="1121"/>
      <c r="AJ115" s="1121"/>
      <c r="AK115" s="1121"/>
      <c r="AL115" s="1121"/>
      <c r="AM115" s="1121"/>
      <c r="AN115" s="1121"/>
      <c r="AO115" s="1121"/>
      <c r="AP115" s="1122"/>
      <c r="AQ115" s="1123"/>
      <c r="AR115" s="1123"/>
      <c r="AS115" s="1123"/>
      <c r="AT115" s="1123"/>
      <c r="AU115" s="1123"/>
      <c r="AV115" s="1123"/>
      <c r="AW115" s="1123"/>
      <c r="AX115" s="1124"/>
    </row>
    <row r="116" spans="2:80" ht="18" customHeight="1">
      <c r="B116" s="1131"/>
      <c r="C116" s="1132"/>
      <c r="D116" s="1132"/>
      <c r="E116" s="1133"/>
      <c r="F116" s="1112" t="s">
        <v>1070</v>
      </c>
      <c r="G116" s="1129"/>
      <c r="H116" s="1129"/>
      <c r="I116" s="1129"/>
      <c r="J116" s="1129"/>
      <c r="K116" s="1129"/>
      <c r="L116" s="1129"/>
      <c r="M116" s="1130"/>
      <c r="N116" s="1137">
        <v>2</v>
      </c>
      <c r="O116" s="1138"/>
      <c r="P116" s="1138"/>
      <c r="Q116" s="1138"/>
      <c r="R116" s="1139">
        <f>$X$76</f>
        <v>63</v>
      </c>
      <c r="S116" s="1140"/>
      <c r="T116" s="1140"/>
      <c r="U116" s="1140"/>
      <c r="V116" s="1141">
        <f>$N$76</f>
        <v>8</v>
      </c>
      <c r="W116" s="1142"/>
      <c r="X116" s="1142"/>
      <c r="Y116" s="1142"/>
      <c r="Z116" s="1143">
        <f>IFERROR(N116*R116*V116,"要修正"&amp;CHAR(10)&amp;"表示不可")</f>
        <v>1008</v>
      </c>
      <c r="AA116" s="1144"/>
      <c r="AB116" s="1144"/>
      <c r="AC116" s="1145"/>
      <c r="AD116" s="1116" t="str">
        <f>IF(COUNTA(N116:U118)=2,"○","×")</f>
        <v>○</v>
      </c>
      <c r="AE116" s="1117"/>
      <c r="AF116" s="1120" t="str">
        <f xml:space="preserve">
IF(COUNTA(N116:U118)&lt;2,"各職種の使用数を入力してください。(０の場合は０を入力)",
IF(AND(COUNTA(N116:U118)=2,N116&lt;=1),"適切に入力されました。",
IF(AND(COUNTA(N116:U118)=2,N116&gt;1),"患者１人あたりスタッフ１名が１枚を超える使用量が入力されているため、着脱を行う手順及び手順毎の数量を下段の欄に記入してください。")))</f>
        <v>患者１人あたりスタッフ１名が１枚を超える使用量が入力されているため、着脱を行う手順及び手順毎の数量を下段の欄に記入してください。</v>
      </c>
      <c r="AG116" s="1121"/>
      <c r="AH116" s="1121"/>
      <c r="AI116" s="1121"/>
      <c r="AJ116" s="1121"/>
      <c r="AK116" s="1121"/>
      <c r="AL116" s="1121"/>
      <c r="AM116" s="1121"/>
      <c r="AN116" s="1121"/>
      <c r="AO116" s="1121"/>
      <c r="AP116" s="1122"/>
      <c r="AQ116" s="1123"/>
      <c r="AR116" s="1123"/>
      <c r="AS116" s="1123"/>
      <c r="AT116" s="1123"/>
      <c r="AU116" s="1123"/>
      <c r="AV116" s="1123"/>
      <c r="AW116" s="1123"/>
      <c r="AX116" s="1124"/>
    </row>
    <row r="117" spans="2:80" ht="18" customHeight="1">
      <c r="B117" s="1131"/>
      <c r="C117" s="1132"/>
      <c r="D117" s="1132"/>
      <c r="E117" s="1133"/>
      <c r="F117" s="1131"/>
      <c r="G117" s="1132"/>
      <c r="H117" s="1132"/>
      <c r="I117" s="1132"/>
      <c r="J117" s="1132"/>
      <c r="K117" s="1132"/>
      <c r="L117" s="1132"/>
      <c r="M117" s="1133"/>
      <c r="N117" s="1137"/>
      <c r="O117" s="1138"/>
      <c r="P117" s="1138"/>
      <c r="Q117" s="1138"/>
      <c r="R117" s="1139"/>
      <c r="S117" s="1140"/>
      <c r="T117" s="1140"/>
      <c r="U117" s="1140"/>
      <c r="V117" s="1141"/>
      <c r="W117" s="1142"/>
      <c r="X117" s="1142"/>
      <c r="Y117" s="1142"/>
      <c r="Z117" s="1143"/>
      <c r="AA117" s="1144"/>
      <c r="AB117" s="1144"/>
      <c r="AC117" s="1145"/>
      <c r="AD117" s="1116"/>
      <c r="AE117" s="1117"/>
      <c r="AF117" s="1120"/>
      <c r="AG117" s="1121"/>
      <c r="AH117" s="1121"/>
      <c r="AI117" s="1121"/>
      <c r="AJ117" s="1121"/>
      <c r="AK117" s="1121"/>
      <c r="AL117" s="1121"/>
      <c r="AM117" s="1121"/>
      <c r="AN117" s="1121"/>
      <c r="AO117" s="1121"/>
      <c r="AP117" s="1122"/>
      <c r="AQ117" s="1123"/>
      <c r="AR117" s="1123"/>
      <c r="AS117" s="1123"/>
      <c r="AT117" s="1123"/>
      <c r="AU117" s="1123"/>
      <c r="AV117" s="1123"/>
      <c r="AW117" s="1123"/>
      <c r="AX117" s="1124"/>
    </row>
    <row r="118" spans="2:80" ht="18" customHeight="1">
      <c r="B118" s="1131"/>
      <c r="C118" s="1132"/>
      <c r="D118" s="1132"/>
      <c r="E118" s="1133"/>
      <c r="F118" s="1134"/>
      <c r="G118" s="1135"/>
      <c r="H118" s="1135"/>
      <c r="I118" s="1135"/>
      <c r="J118" s="1135"/>
      <c r="K118" s="1135"/>
      <c r="L118" s="1135"/>
      <c r="M118" s="1136"/>
      <c r="N118" s="1138"/>
      <c r="O118" s="1138"/>
      <c r="P118" s="1138"/>
      <c r="Q118" s="1138"/>
      <c r="R118" s="1140"/>
      <c r="S118" s="1140"/>
      <c r="T118" s="1140"/>
      <c r="U118" s="1140"/>
      <c r="V118" s="1142"/>
      <c r="W118" s="1142"/>
      <c r="X118" s="1142"/>
      <c r="Y118" s="1142"/>
      <c r="Z118" s="1144"/>
      <c r="AA118" s="1144"/>
      <c r="AB118" s="1144"/>
      <c r="AC118" s="1145"/>
      <c r="AD118" s="1151"/>
      <c r="AE118" s="1117"/>
      <c r="AF118" s="1121"/>
      <c r="AG118" s="1121"/>
      <c r="AH118" s="1121"/>
      <c r="AI118" s="1121"/>
      <c r="AJ118" s="1121"/>
      <c r="AK118" s="1121"/>
      <c r="AL118" s="1121"/>
      <c r="AM118" s="1121"/>
      <c r="AN118" s="1121"/>
      <c r="AO118" s="1121"/>
      <c r="AP118" s="1122"/>
      <c r="AQ118" s="1123"/>
      <c r="AR118" s="1123"/>
      <c r="AS118" s="1123"/>
      <c r="AT118" s="1123"/>
      <c r="AU118" s="1123"/>
      <c r="AV118" s="1123"/>
      <c r="AW118" s="1123"/>
      <c r="AX118" s="1124"/>
    </row>
    <row r="119" spans="2:80" ht="18" customHeight="1">
      <c r="B119" s="1131"/>
      <c r="C119" s="1132"/>
      <c r="D119" s="1132"/>
      <c r="E119" s="1133"/>
      <c r="F119" s="1146" t="s">
        <v>1071</v>
      </c>
      <c r="G119" s="1129"/>
      <c r="H119" s="1129"/>
      <c r="I119" s="1129"/>
      <c r="J119" s="1129"/>
      <c r="K119" s="1129"/>
      <c r="L119" s="1129"/>
      <c r="M119" s="1130"/>
      <c r="N119" s="1137">
        <v>2</v>
      </c>
      <c r="O119" s="1138"/>
      <c r="P119" s="1138"/>
      <c r="Q119" s="1138"/>
      <c r="R119" s="1139">
        <f>$X$76</f>
        <v>63</v>
      </c>
      <c r="S119" s="1140"/>
      <c r="T119" s="1140"/>
      <c r="U119" s="1140"/>
      <c r="V119" s="1141">
        <f>$N$76</f>
        <v>8</v>
      </c>
      <c r="W119" s="1142"/>
      <c r="X119" s="1142"/>
      <c r="Y119" s="1142"/>
      <c r="Z119" s="1143">
        <f>IFERROR(N119*R119*V119,"要修正"&amp;CHAR(10)&amp;"表示不可")</f>
        <v>1008</v>
      </c>
      <c r="AA119" s="1144"/>
      <c r="AB119" s="1144"/>
      <c r="AC119" s="1145"/>
      <c r="AD119" s="1116" t="str">
        <f>IF(COUNTA(N119:U121)=2,"○","×")</f>
        <v>○</v>
      </c>
      <c r="AE119" s="1117"/>
      <c r="AF119" s="1120" t="str">
        <f xml:space="preserve">
IF(COUNTA(N119:U121)&lt;2,"各職種の使用数を入力してください。(０の場合は０を入力)",
IF(AND(COUNTA(N119:U121)=2,N119&lt;=0.5),"適切に入力されました。",
IF(AND(COUNTA(N119:U121)=2,N119&gt;0.5),"リユーサブル品の使い捨てに近い使用のため、着脱を行う手順及び手順毎の数量を下段の欄に記入してください。")))</f>
        <v>リユーサブル品の使い捨てに近い使用のため、着脱を行う手順及び手順毎の数量を下段の欄に記入してください。</v>
      </c>
      <c r="AG119" s="1121"/>
      <c r="AH119" s="1121"/>
      <c r="AI119" s="1121"/>
      <c r="AJ119" s="1121"/>
      <c r="AK119" s="1121"/>
      <c r="AL119" s="1121"/>
      <c r="AM119" s="1121"/>
      <c r="AN119" s="1121"/>
      <c r="AO119" s="1121"/>
      <c r="AP119" s="1122"/>
      <c r="AQ119" s="1123"/>
      <c r="AR119" s="1123"/>
      <c r="AS119" s="1123"/>
      <c r="AT119" s="1123"/>
      <c r="AU119" s="1123"/>
      <c r="AV119" s="1123"/>
      <c r="AW119" s="1123"/>
      <c r="AX119" s="1124"/>
    </row>
    <row r="120" spans="2:80" ht="18" customHeight="1">
      <c r="B120" s="1131"/>
      <c r="C120" s="1132"/>
      <c r="D120" s="1132"/>
      <c r="E120" s="1133"/>
      <c r="F120" s="1131"/>
      <c r="G120" s="1132"/>
      <c r="H120" s="1132"/>
      <c r="I120" s="1132"/>
      <c r="J120" s="1132"/>
      <c r="K120" s="1132"/>
      <c r="L120" s="1132"/>
      <c r="M120" s="1133"/>
      <c r="N120" s="1137"/>
      <c r="O120" s="1138"/>
      <c r="P120" s="1138"/>
      <c r="Q120" s="1138"/>
      <c r="R120" s="1139"/>
      <c r="S120" s="1140"/>
      <c r="T120" s="1140"/>
      <c r="U120" s="1140"/>
      <c r="V120" s="1141"/>
      <c r="W120" s="1142"/>
      <c r="X120" s="1142"/>
      <c r="Y120" s="1142"/>
      <c r="Z120" s="1143"/>
      <c r="AA120" s="1144"/>
      <c r="AB120" s="1144"/>
      <c r="AC120" s="1145"/>
      <c r="AD120" s="1116"/>
      <c r="AE120" s="1117"/>
      <c r="AF120" s="1120"/>
      <c r="AG120" s="1121"/>
      <c r="AH120" s="1121"/>
      <c r="AI120" s="1121"/>
      <c r="AJ120" s="1121"/>
      <c r="AK120" s="1121"/>
      <c r="AL120" s="1121"/>
      <c r="AM120" s="1121"/>
      <c r="AN120" s="1121"/>
      <c r="AO120" s="1121"/>
      <c r="AP120" s="1122"/>
      <c r="AQ120" s="1123"/>
      <c r="AR120" s="1123"/>
      <c r="AS120" s="1123"/>
      <c r="AT120" s="1123"/>
      <c r="AU120" s="1123"/>
      <c r="AV120" s="1123"/>
      <c r="AW120" s="1123"/>
      <c r="AX120" s="1124"/>
    </row>
    <row r="121" spans="2:80" ht="18" customHeight="1" thickBot="1">
      <c r="B121" s="1134"/>
      <c r="C121" s="1135"/>
      <c r="D121" s="1135"/>
      <c r="E121" s="1136"/>
      <c r="F121" s="1134"/>
      <c r="G121" s="1135"/>
      <c r="H121" s="1135"/>
      <c r="I121" s="1135"/>
      <c r="J121" s="1135"/>
      <c r="K121" s="1135"/>
      <c r="L121" s="1135"/>
      <c r="M121" s="1136"/>
      <c r="N121" s="1138"/>
      <c r="O121" s="1138"/>
      <c r="P121" s="1138"/>
      <c r="Q121" s="1138"/>
      <c r="R121" s="1140"/>
      <c r="S121" s="1140"/>
      <c r="T121" s="1140"/>
      <c r="U121" s="1140"/>
      <c r="V121" s="1142"/>
      <c r="W121" s="1142"/>
      <c r="X121" s="1142"/>
      <c r="Y121" s="1142"/>
      <c r="Z121" s="1144"/>
      <c r="AA121" s="1144"/>
      <c r="AB121" s="1144"/>
      <c r="AC121" s="1145"/>
      <c r="AD121" s="1118"/>
      <c r="AE121" s="1119"/>
      <c r="AF121" s="1121"/>
      <c r="AG121" s="1121"/>
      <c r="AH121" s="1121"/>
      <c r="AI121" s="1121"/>
      <c r="AJ121" s="1121"/>
      <c r="AK121" s="1121"/>
      <c r="AL121" s="1121"/>
      <c r="AM121" s="1121"/>
      <c r="AN121" s="1121"/>
      <c r="AO121" s="1121"/>
      <c r="AP121" s="1122"/>
      <c r="AQ121" s="1123"/>
      <c r="AR121" s="1123"/>
      <c r="AS121" s="1123"/>
      <c r="AT121" s="1123"/>
      <c r="AU121" s="1123"/>
      <c r="AV121" s="1123"/>
      <c r="AW121" s="1123"/>
      <c r="AX121" s="1124"/>
    </row>
    <row r="122" spans="2:80" ht="18.75" thickTop="1"/>
    <row r="123" spans="2:80" ht="24.75" thickBot="1">
      <c r="B123" s="1125" t="s">
        <v>1072</v>
      </c>
      <c r="C123" s="1126"/>
      <c r="D123" s="1126"/>
      <c r="E123" s="1126"/>
      <c r="F123" s="1126"/>
      <c r="G123" s="1126"/>
      <c r="H123" s="1126"/>
      <c r="I123" s="1126"/>
      <c r="J123" s="1126"/>
      <c r="K123" s="1126"/>
      <c r="L123" s="1126"/>
      <c r="M123" s="1126"/>
      <c r="N123" s="1126"/>
      <c r="O123" s="1126"/>
      <c r="P123" s="1126"/>
      <c r="Q123" s="1126"/>
      <c r="R123" s="1126"/>
      <c r="S123" s="1126"/>
      <c r="T123" s="1126"/>
      <c r="U123" s="1126"/>
      <c r="V123" s="1126"/>
      <c r="W123" s="1126"/>
      <c r="X123" s="1126"/>
      <c r="Y123" s="1126"/>
      <c r="Z123" s="1126"/>
      <c r="AA123" s="1126"/>
      <c r="AB123" s="1126"/>
      <c r="AC123" s="1126"/>
      <c r="AD123" s="1126"/>
      <c r="AE123" s="1126"/>
      <c r="AF123" s="1126"/>
      <c r="AG123" s="1126"/>
      <c r="AH123" s="1126"/>
      <c r="AI123" s="1126"/>
      <c r="AJ123" s="1126"/>
      <c r="AK123" s="1126"/>
      <c r="AL123" s="1126"/>
      <c r="AM123" s="1126"/>
      <c r="AN123" s="1126"/>
      <c r="AO123" s="1126"/>
      <c r="AP123" s="1126"/>
      <c r="AQ123" s="1126"/>
      <c r="AR123" s="1126"/>
      <c r="AS123" s="1126"/>
      <c r="AT123" s="1126"/>
      <c r="AU123" s="1127"/>
      <c r="AV123" s="1127"/>
      <c r="AW123" s="1127"/>
      <c r="AX123" s="1127"/>
    </row>
    <row r="124" spans="2:80" ht="18.75" thickTop="1">
      <c r="B124" s="1099" t="s">
        <v>471</v>
      </c>
      <c r="C124" s="1100"/>
      <c r="D124" s="1100"/>
      <c r="E124" s="1100"/>
      <c r="F124" s="1100"/>
      <c r="G124" s="1101"/>
      <c r="H124" s="1101"/>
      <c r="I124" s="1101"/>
      <c r="J124" s="1102"/>
      <c r="K124" s="1107" t="s">
        <v>1167</v>
      </c>
      <c r="L124" s="1108"/>
      <c r="M124" s="1108"/>
      <c r="N124" s="1109"/>
      <c r="O124" s="1109"/>
      <c r="P124" s="1110"/>
      <c r="Q124" s="1112" t="s">
        <v>1073</v>
      </c>
      <c r="R124" s="1101"/>
      <c r="S124" s="1101"/>
      <c r="T124" s="1101"/>
      <c r="U124" s="1101"/>
      <c r="V124" s="1101"/>
      <c r="W124" s="1101"/>
      <c r="X124" s="1101"/>
      <c r="Y124" s="1101"/>
      <c r="Z124" s="1101"/>
      <c r="AA124" s="1101"/>
      <c r="AB124" s="1101"/>
      <c r="AC124" s="1101"/>
      <c r="AD124" s="1101"/>
      <c r="AE124" s="1101"/>
      <c r="AF124" s="1101"/>
      <c r="AG124" s="1101"/>
      <c r="AH124" s="1101"/>
      <c r="AI124" s="1101"/>
      <c r="AJ124" s="1101"/>
      <c r="AK124" s="1101"/>
      <c r="AL124" s="1101"/>
      <c r="AM124" s="1101"/>
      <c r="AN124" s="1101"/>
      <c r="AO124" s="1101"/>
      <c r="AP124" s="1101"/>
      <c r="AQ124" s="1101"/>
      <c r="AR124" s="1101"/>
      <c r="AS124" s="1101"/>
      <c r="AT124" s="1113"/>
      <c r="AU124" s="1093" t="s">
        <v>98</v>
      </c>
      <c r="AV124" s="1094"/>
      <c r="AW124" s="1095"/>
      <c r="AX124" s="1096"/>
    </row>
    <row r="125" spans="2:80">
      <c r="B125" s="1103"/>
      <c r="C125" s="1104"/>
      <c r="D125" s="1104"/>
      <c r="E125" s="1104"/>
      <c r="F125" s="1104"/>
      <c r="G125" s="1105"/>
      <c r="H125" s="1105"/>
      <c r="I125" s="1105"/>
      <c r="J125" s="1106"/>
      <c r="K125" s="1111"/>
      <c r="L125" s="1108"/>
      <c r="M125" s="1108"/>
      <c r="N125" s="1109"/>
      <c r="O125" s="1109"/>
      <c r="P125" s="1110"/>
      <c r="Q125" s="1114"/>
      <c r="R125" s="1105"/>
      <c r="S125" s="1105"/>
      <c r="T125" s="1105"/>
      <c r="U125" s="1105"/>
      <c r="V125" s="1105"/>
      <c r="W125" s="1105"/>
      <c r="X125" s="1105"/>
      <c r="Y125" s="1105"/>
      <c r="Z125" s="1105"/>
      <c r="AA125" s="1105"/>
      <c r="AB125" s="1105"/>
      <c r="AC125" s="1105"/>
      <c r="AD125" s="1105"/>
      <c r="AE125" s="1105"/>
      <c r="AF125" s="1105"/>
      <c r="AG125" s="1105"/>
      <c r="AH125" s="1105"/>
      <c r="AI125" s="1105"/>
      <c r="AJ125" s="1105"/>
      <c r="AK125" s="1105"/>
      <c r="AL125" s="1105"/>
      <c r="AM125" s="1105"/>
      <c r="AN125" s="1105"/>
      <c r="AO125" s="1105"/>
      <c r="AP125" s="1105"/>
      <c r="AQ125" s="1105"/>
      <c r="AR125" s="1105"/>
      <c r="AS125" s="1105"/>
      <c r="AT125" s="1115"/>
      <c r="AU125" s="1097"/>
      <c r="AV125" s="1098"/>
      <c r="AW125" s="1065"/>
      <c r="AX125" s="1066"/>
      <c r="BO125" s="281"/>
      <c r="BP125" s="281"/>
      <c r="BQ125" s="282" t="s">
        <v>535</v>
      </c>
      <c r="BR125" s="282" t="s">
        <v>1018</v>
      </c>
      <c r="BS125" s="282" t="s">
        <v>1019</v>
      </c>
      <c r="BT125" s="282" t="s">
        <v>1074</v>
      </c>
      <c r="BU125" s="282" t="s">
        <v>1075</v>
      </c>
      <c r="BV125" s="281"/>
      <c r="BW125" s="281"/>
      <c r="BX125" s="281"/>
      <c r="BY125" s="281" t="e">
        <f>#REF!</f>
        <v>#REF!</v>
      </c>
      <c r="BZ125" s="281"/>
      <c r="CA125" s="283">
        <v>7</v>
      </c>
      <c r="CB125" s="283" t="s">
        <v>1076</v>
      </c>
    </row>
    <row r="126" spans="2:80">
      <c r="B126" s="1087" t="s">
        <v>1077</v>
      </c>
      <c r="C126" s="1060"/>
      <c r="D126" s="1060"/>
      <c r="E126" s="1060"/>
      <c r="F126" s="1060"/>
      <c r="G126" s="1061"/>
      <c r="H126" s="1061"/>
      <c r="I126" s="1061"/>
      <c r="J126" s="1062"/>
      <c r="K126" s="1072">
        <f>SUM(N83:Q88)</f>
        <v>6</v>
      </c>
      <c r="L126" s="1073"/>
      <c r="M126" s="1073"/>
      <c r="N126" s="1074"/>
      <c r="O126" s="1074"/>
      <c r="P126" s="1075"/>
      <c r="Q126" s="1081">
        <v>1</v>
      </c>
      <c r="R126" s="1082"/>
      <c r="S126" s="1082"/>
      <c r="T126" s="1082"/>
      <c r="U126" s="1082"/>
      <c r="V126" s="1082"/>
      <c r="W126" s="1082"/>
      <c r="X126" s="1082"/>
      <c r="Y126" s="1082"/>
      <c r="Z126" s="1082"/>
      <c r="AA126" s="1082"/>
      <c r="AB126" s="1082"/>
      <c r="AC126" s="1082"/>
      <c r="AD126" s="1082"/>
      <c r="AE126" s="1082"/>
      <c r="AF126" s="1082"/>
      <c r="AG126" s="1082"/>
      <c r="AH126" s="1082"/>
      <c r="AI126" s="1082"/>
      <c r="AJ126" s="1082"/>
      <c r="AK126" s="1082"/>
      <c r="AL126" s="1082"/>
      <c r="AM126" s="1082"/>
      <c r="AN126" s="1082"/>
      <c r="AO126" s="1082"/>
      <c r="AP126" s="1082"/>
      <c r="AQ126" s="1082"/>
      <c r="AR126" s="1082"/>
      <c r="AS126" s="1082"/>
      <c r="AT126" s="1083"/>
      <c r="AU126" s="1063" t="str">
        <f xml:space="preserve">
IF(AND(K126&gt;2,COUNTA(Q126)&lt;&gt;1),"要入力",
IF(AND(K126&gt;2,COUNTA(Q126)=1),"入力済",
IF(K126&lt;=2,"入力"&amp;CHAR(10)&amp;"不要")))</f>
        <v>入力済</v>
      </c>
      <c r="AV126" s="1064"/>
      <c r="AW126" s="1065"/>
      <c r="AX126" s="1066"/>
      <c r="BO126" s="281" t="s">
        <v>1025</v>
      </c>
      <c r="BP126" s="281"/>
      <c r="BQ126" s="284">
        <v>45017</v>
      </c>
      <c r="BR126" s="282" t="str">
        <f>TEXT(BQ126,"aaaa")</f>
        <v>土曜日</v>
      </c>
      <c r="BS126" s="282">
        <f t="shared" ref="BS126:BS163" si="12">VLOOKUP(BR126,$BV$126:$BW$132,2,FALSE)</f>
        <v>0</v>
      </c>
      <c r="BT126" s="281"/>
      <c r="BU126" s="281"/>
      <c r="BV126" s="282" t="s">
        <v>1078</v>
      </c>
      <c r="BW126" s="282">
        <f t="shared" ref="BW126:BW132" si="13">E22</f>
        <v>0</v>
      </c>
      <c r="BX126" s="281"/>
      <c r="BY126" s="281" t="e">
        <f>#REF!</f>
        <v>#REF!</v>
      </c>
      <c r="BZ126" s="281"/>
      <c r="CA126" s="283">
        <v>8</v>
      </c>
      <c r="CB126" s="283">
        <v>15</v>
      </c>
    </row>
    <row r="127" spans="2:80">
      <c r="B127" s="1059"/>
      <c r="C127" s="1060"/>
      <c r="D127" s="1060"/>
      <c r="E127" s="1060"/>
      <c r="F127" s="1060"/>
      <c r="G127" s="1061"/>
      <c r="H127" s="1061"/>
      <c r="I127" s="1061"/>
      <c r="J127" s="1062"/>
      <c r="K127" s="1076"/>
      <c r="L127" s="1073"/>
      <c r="M127" s="1073"/>
      <c r="N127" s="1074"/>
      <c r="O127" s="1074"/>
      <c r="P127" s="1075"/>
      <c r="Q127" s="1084"/>
      <c r="R127" s="1085"/>
      <c r="S127" s="1085"/>
      <c r="T127" s="1085"/>
      <c r="U127" s="1085"/>
      <c r="V127" s="1085"/>
      <c r="W127" s="1085"/>
      <c r="X127" s="1085"/>
      <c r="Y127" s="1085"/>
      <c r="Z127" s="1085"/>
      <c r="AA127" s="1085"/>
      <c r="AB127" s="1085"/>
      <c r="AC127" s="1085"/>
      <c r="AD127" s="1085"/>
      <c r="AE127" s="1085"/>
      <c r="AF127" s="1085"/>
      <c r="AG127" s="1085"/>
      <c r="AH127" s="1085"/>
      <c r="AI127" s="1085"/>
      <c r="AJ127" s="1085"/>
      <c r="AK127" s="1085"/>
      <c r="AL127" s="1085"/>
      <c r="AM127" s="1085"/>
      <c r="AN127" s="1085"/>
      <c r="AO127" s="1085"/>
      <c r="AP127" s="1085"/>
      <c r="AQ127" s="1085"/>
      <c r="AR127" s="1085"/>
      <c r="AS127" s="1085"/>
      <c r="AT127" s="1086"/>
      <c r="AU127" s="1063"/>
      <c r="AV127" s="1064"/>
      <c r="AW127" s="1065"/>
      <c r="AX127" s="1066"/>
      <c r="BO127" s="281" t="s">
        <v>1028</v>
      </c>
      <c r="BP127" s="281"/>
      <c r="BQ127" s="284">
        <v>45018</v>
      </c>
      <c r="BR127" s="282" t="str">
        <f t="shared" ref="BR127:BR170" si="14">TEXT(BQ127,"aaaa")</f>
        <v>日曜日</v>
      </c>
      <c r="BS127" s="282">
        <f t="shared" si="12"/>
        <v>0</v>
      </c>
      <c r="BT127" s="281"/>
      <c r="BU127" s="281"/>
      <c r="BV127" s="282" t="s">
        <v>1027</v>
      </c>
      <c r="BW127" s="282">
        <f t="shared" si="13"/>
        <v>0</v>
      </c>
      <c r="BX127" s="281"/>
      <c r="BY127" s="281" t="e">
        <f>#REF!</f>
        <v>#REF!</v>
      </c>
      <c r="BZ127" s="281"/>
      <c r="CA127" s="283">
        <v>9</v>
      </c>
      <c r="CB127" s="283">
        <v>30</v>
      </c>
    </row>
    <row r="128" spans="2:80">
      <c r="B128" s="1059" t="s">
        <v>1079</v>
      </c>
      <c r="C128" s="1060"/>
      <c r="D128" s="1060"/>
      <c r="E128" s="1060"/>
      <c r="F128" s="1060"/>
      <c r="G128" s="1061"/>
      <c r="H128" s="1061"/>
      <c r="I128" s="1061"/>
      <c r="J128" s="1062"/>
      <c r="K128" s="1072">
        <f>N89</f>
        <v>3</v>
      </c>
      <c r="L128" s="1073"/>
      <c r="M128" s="1073"/>
      <c r="N128" s="1074"/>
      <c r="O128" s="1074"/>
      <c r="P128" s="1075"/>
      <c r="Q128" s="1081"/>
      <c r="R128" s="1082"/>
      <c r="S128" s="1082"/>
      <c r="T128" s="1082"/>
      <c r="U128" s="1082"/>
      <c r="V128" s="1082"/>
      <c r="W128" s="1082"/>
      <c r="X128" s="1082"/>
      <c r="Y128" s="1082"/>
      <c r="Z128" s="1082"/>
      <c r="AA128" s="1082"/>
      <c r="AB128" s="1082"/>
      <c r="AC128" s="1082"/>
      <c r="AD128" s="1082"/>
      <c r="AE128" s="1082"/>
      <c r="AF128" s="1082"/>
      <c r="AG128" s="1082"/>
      <c r="AH128" s="1082"/>
      <c r="AI128" s="1082"/>
      <c r="AJ128" s="1082"/>
      <c r="AK128" s="1082"/>
      <c r="AL128" s="1082"/>
      <c r="AM128" s="1082"/>
      <c r="AN128" s="1082"/>
      <c r="AO128" s="1082"/>
      <c r="AP128" s="1082"/>
      <c r="AQ128" s="1082"/>
      <c r="AR128" s="1082"/>
      <c r="AS128" s="1082"/>
      <c r="AT128" s="1083"/>
      <c r="AU128" s="1063" t="str">
        <f xml:space="preserve">
IF(AND(K128&gt;2,COUNTA(Q128)&lt;&gt;1),"要入力",
IF(AND(K128&gt;2,COUNTA(Q128)=1),"入力済",
IF(K128&lt;=2,"入力"&amp;CHAR(10)&amp;"不要")))</f>
        <v>要入力</v>
      </c>
      <c r="AV128" s="1064"/>
      <c r="AW128" s="1065"/>
      <c r="AX128" s="1066"/>
      <c r="BO128" s="281"/>
      <c r="BP128" s="281"/>
      <c r="BQ128" s="284">
        <v>45019</v>
      </c>
      <c r="BR128" s="282" t="str">
        <f t="shared" si="14"/>
        <v>月曜日</v>
      </c>
      <c r="BS128" s="282">
        <f t="shared" si="12"/>
        <v>0</v>
      </c>
      <c r="BT128" s="281"/>
      <c r="BU128" s="281"/>
      <c r="BV128" s="282" t="s">
        <v>1030</v>
      </c>
      <c r="BW128" s="282">
        <f t="shared" si="13"/>
        <v>0</v>
      </c>
      <c r="BX128" s="281"/>
      <c r="BY128" s="281" t="e">
        <f>#REF!</f>
        <v>#REF!</v>
      </c>
      <c r="BZ128" s="281"/>
      <c r="CA128" s="283">
        <v>10</v>
      </c>
      <c r="CB128" s="283">
        <v>45</v>
      </c>
    </row>
    <row r="129" spans="2:80">
      <c r="B129" s="1059"/>
      <c r="C129" s="1060"/>
      <c r="D129" s="1060"/>
      <c r="E129" s="1060"/>
      <c r="F129" s="1060"/>
      <c r="G129" s="1061"/>
      <c r="H129" s="1061"/>
      <c r="I129" s="1061"/>
      <c r="J129" s="1062"/>
      <c r="K129" s="1076"/>
      <c r="L129" s="1073"/>
      <c r="M129" s="1073"/>
      <c r="N129" s="1074"/>
      <c r="O129" s="1074"/>
      <c r="P129" s="1075"/>
      <c r="Q129" s="1084"/>
      <c r="R129" s="1085"/>
      <c r="S129" s="1085"/>
      <c r="T129" s="1085"/>
      <c r="U129" s="1085"/>
      <c r="V129" s="1085"/>
      <c r="W129" s="1085"/>
      <c r="X129" s="1085"/>
      <c r="Y129" s="1085"/>
      <c r="Z129" s="1085"/>
      <c r="AA129" s="1085"/>
      <c r="AB129" s="1085"/>
      <c r="AC129" s="1085"/>
      <c r="AD129" s="1085"/>
      <c r="AE129" s="1085"/>
      <c r="AF129" s="1085"/>
      <c r="AG129" s="1085"/>
      <c r="AH129" s="1085"/>
      <c r="AI129" s="1085"/>
      <c r="AJ129" s="1085"/>
      <c r="AK129" s="1085"/>
      <c r="AL129" s="1085"/>
      <c r="AM129" s="1085"/>
      <c r="AN129" s="1085"/>
      <c r="AO129" s="1085"/>
      <c r="AP129" s="1085"/>
      <c r="AQ129" s="1085"/>
      <c r="AR129" s="1085"/>
      <c r="AS129" s="1085"/>
      <c r="AT129" s="1086"/>
      <c r="AU129" s="1063"/>
      <c r="AV129" s="1064"/>
      <c r="AW129" s="1065"/>
      <c r="AX129" s="1066"/>
      <c r="BO129" s="281" t="s">
        <v>1080</v>
      </c>
      <c r="BP129" s="281"/>
      <c r="BQ129" s="284">
        <v>45020</v>
      </c>
      <c r="BR129" s="282" t="str">
        <f t="shared" si="14"/>
        <v>火曜日</v>
      </c>
      <c r="BS129" s="282">
        <f t="shared" si="12"/>
        <v>0</v>
      </c>
      <c r="BT129" s="281"/>
      <c r="BU129" s="281"/>
      <c r="BV129" s="282" t="s">
        <v>1032</v>
      </c>
      <c r="BW129" s="282">
        <f t="shared" si="13"/>
        <v>0</v>
      </c>
      <c r="BX129" s="281"/>
      <c r="BY129" s="281" t="e">
        <f>#REF!</f>
        <v>#REF!</v>
      </c>
      <c r="BZ129" s="281"/>
      <c r="CA129" s="283">
        <v>11</v>
      </c>
      <c r="CB129" s="282"/>
    </row>
    <row r="130" spans="2:80">
      <c r="B130" s="1087" t="s">
        <v>474</v>
      </c>
      <c r="C130" s="1060"/>
      <c r="D130" s="1060"/>
      <c r="E130" s="1060"/>
      <c r="F130" s="1060"/>
      <c r="G130" s="1061"/>
      <c r="H130" s="1061"/>
      <c r="I130" s="1061"/>
      <c r="J130" s="1062"/>
      <c r="K130" s="1088">
        <f>N92</f>
        <v>2</v>
      </c>
      <c r="L130" s="1089"/>
      <c r="M130" s="1089"/>
      <c r="N130" s="1090"/>
      <c r="O130" s="1090"/>
      <c r="P130" s="1091"/>
      <c r="Q130" s="1081"/>
      <c r="R130" s="1082"/>
      <c r="S130" s="1082"/>
      <c r="T130" s="1082"/>
      <c r="U130" s="1082"/>
      <c r="V130" s="1082"/>
      <c r="W130" s="1082"/>
      <c r="X130" s="1082"/>
      <c r="Y130" s="1082"/>
      <c r="Z130" s="1082"/>
      <c r="AA130" s="1082"/>
      <c r="AB130" s="1082"/>
      <c r="AC130" s="1082"/>
      <c r="AD130" s="1082"/>
      <c r="AE130" s="1082"/>
      <c r="AF130" s="1082"/>
      <c r="AG130" s="1082"/>
      <c r="AH130" s="1082"/>
      <c r="AI130" s="1082"/>
      <c r="AJ130" s="1082"/>
      <c r="AK130" s="1082"/>
      <c r="AL130" s="1082"/>
      <c r="AM130" s="1082"/>
      <c r="AN130" s="1082"/>
      <c r="AO130" s="1082"/>
      <c r="AP130" s="1082"/>
      <c r="AQ130" s="1082"/>
      <c r="AR130" s="1082"/>
      <c r="AS130" s="1082"/>
      <c r="AT130" s="1083"/>
      <c r="AU130" s="1063" t="str">
        <f xml:space="preserve">
IF(AND(K130&gt;2,COUNTA(Q130)&lt;&gt;1),"要入力",
IF(AND(K130&gt;2,COUNTA(Q130)=1),"入力済",
IF(K130&lt;=2,"入力"&amp;CHAR(10)&amp;"不要")))</f>
        <v>入力
不要</v>
      </c>
      <c r="AV130" s="1064"/>
      <c r="AW130" s="1065"/>
      <c r="AX130" s="1066"/>
      <c r="BO130" s="285" t="s">
        <v>1081</v>
      </c>
      <c r="BP130" s="282"/>
      <c r="BQ130" s="284">
        <v>45021</v>
      </c>
      <c r="BR130" s="282" t="str">
        <f t="shared" si="14"/>
        <v>水曜日</v>
      </c>
      <c r="BS130" s="282">
        <f t="shared" si="12"/>
        <v>0</v>
      </c>
      <c r="BT130" s="282"/>
      <c r="BU130" s="282"/>
      <c r="BV130" s="282" t="s">
        <v>1034</v>
      </c>
      <c r="BW130" s="282">
        <f t="shared" si="13"/>
        <v>0</v>
      </c>
      <c r="BX130" s="282"/>
      <c r="BY130" s="281" t="e">
        <f>#REF!</f>
        <v>#REF!</v>
      </c>
      <c r="BZ130" s="282"/>
      <c r="CA130" s="283">
        <v>12</v>
      </c>
      <c r="CB130" s="282"/>
    </row>
    <row r="131" spans="2:80">
      <c r="B131" s="1059"/>
      <c r="C131" s="1060"/>
      <c r="D131" s="1060"/>
      <c r="E131" s="1060"/>
      <c r="F131" s="1060"/>
      <c r="G131" s="1061"/>
      <c r="H131" s="1061"/>
      <c r="I131" s="1061"/>
      <c r="J131" s="1062"/>
      <c r="K131" s="1092"/>
      <c r="L131" s="1089"/>
      <c r="M131" s="1089"/>
      <c r="N131" s="1090"/>
      <c r="O131" s="1090"/>
      <c r="P131" s="1091"/>
      <c r="Q131" s="1084"/>
      <c r="R131" s="1085"/>
      <c r="S131" s="1085"/>
      <c r="T131" s="1085"/>
      <c r="U131" s="1085"/>
      <c r="V131" s="1085"/>
      <c r="W131" s="1085"/>
      <c r="X131" s="1085"/>
      <c r="Y131" s="1085"/>
      <c r="Z131" s="1085"/>
      <c r="AA131" s="1085"/>
      <c r="AB131" s="1085"/>
      <c r="AC131" s="1085"/>
      <c r="AD131" s="1085"/>
      <c r="AE131" s="1085"/>
      <c r="AF131" s="1085"/>
      <c r="AG131" s="1085"/>
      <c r="AH131" s="1085"/>
      <c r="AI131" s="1085"/>
      <c r="AJ131" s="1085"/>
      <c r="AK131" s="1085"/>
      <c r="AL131" s="1085"/>
      <c r="AM131" s="1085"/>
      <c r="AN131" s="1085"/>
      <c r="AO131" s="1085"/>
      <c r="AP131" s="1085"/>
      <c r="AQ131" s="1085"/>
      <c r="AR131" s="1085"/>
      <c r="AS131" s="1085"/>
      <c r="AT131" s="1086"/>
      <c r="AU131" s="1063"/>
      <c r="AV131" s="1064"/>
      <c r="AW131" s="1065"/>
      <c r="AX131" s="1066"/>
      <c r="BO131" s="281" t="s">
        <v>1082</v>
      </c>
      <c r="BP131" s="281"/>
      <c r="BQ131" s="284">
        <v>45022</v>
      </c>
      <c r="BR131" s="282" t="str">
        <f t="shared" si="14"/>
        <v>木曜日</v>
      </c>
      <c r="BS131" s="282">
        <f t="shared" si="12"/>
        <v>0</v>
      </c>
      <c r="BT131" s="281"/>
      <c r="BU131" s="281"/>
      <c r="BV131" s="282" t="s">
        <v>1036</v>
      </c>
      <c r="BW131" s="282">
        <f t="shared" si="13"/>
        <v>0</v>
      </c>
      <c r="BX131" s="281"/>
      <c r="BY131" s="281" t="e">
        <f>#REF!</f>
        <v>#REF!</v>
      </c>
      <c r="BZ131" s="281"/>
      <c r="CA131" s="283">
        <v>13</v>
      </c>
      <c r="CB131" s="282"/>
    </row>
    <row r="132" spans="2:80">
      <c r="B132" s="1059" t="s">
        <v>475</v>
      </c>
      <c r="C132" s="1060"/>
      <c r="D132" s="1060"/>
      <c r="E132" s="1060"/>
      <c r="F132" s="1060"/>
      <c r="G132" s="1061"/>
      <c r="H132" s="1061"/>
      <c r="I132" s="1061"/>
      <c r="J132" s="1062"/>
      <c r="K132" s="1072">
        <f>N95</f>
        <v>9</v>
      </c>
      <c r="L132" s="1073"/>
      <c r="M132" s="1073"/>
      <c r="N132" s="1074"/>
      <c r="O132" s="1074"/>
      <c r="P132" s="1075"/>
      <c r="Q132" s="1081">
        <v>1</v>
      </c>
      <c r="R132" s="1082"/>
      <c r="S132" s="1082"/>
      <c r="T132" s="1082"/>
      <c r="U132" s="1082"/>
      <c r="V132" s="1082"/>
      <c r="W132" s="1082"/>
      <c r="X132" s="1082"/>
      <c r="Y132" s="1082"/>
      <c r="Z132" s="1082"/>
      <c r="AA132" s="1082"/>
      <c r="AB132" s="1082"/>
      <c r="AC132" s="1082"/>
      <c r="AD132" s="1082"/>
      <c r="AE132" s="1082"/>
      <c r="AF132" s="1082"/>
      <c r="AG132" s="1082"/>
      <c r="AH132" s="1082"/>
      <c r="AI132" s="1082"/>
      <c r="AJ132" s="1082"/>
      <c r="AK132" s="1082"/>
      <c r="AL132" s="1082"/>
      <c r="AM132" s="1082"/>
      <c r="AN132" s="1082"/>
      <c r="AO132" s="1082"/>
      <c r="AP132" s="1082"/>
      <c r="AQ132" s="1082"/>
      <c r="AR132" s="1082"/>
      <c r="AS132" s="1082"/>
      <c r="AT132" s="1083"/>
      <c r="AU132" s="1063" t="str">
        <f xml:space="preserve">
IF(AND(K132&gt;8,COUNTA(Q132)&lt;&gt;1),"要入力",
IF(AND(K132&gt;8,COUNTA(Q132)=1),"入力済",
IF(K132&lt;=8,"入力"&amp;CHAR(10)&amp;"不要")))</f>
        <v>入力済</v>
      </c>
      <c r="AV132" s="1064"/>
      <c r="AW132" s="1065"/>
      <c r="AX132" s="1066"/>
      <c r="BO132" s="281" t="s">
        <v>1083</v>
      </c>
      <c r="BP132" s="286"/>
      <c r="BQ132" s="284">
        <v>45023</v>
      </c>
      <c r="BR132" s="282" t="str">
        <f t="shared" si="14"/>
        <v>金曜日</v>
      </c>
      <c r="BS132" s="282">
        <f t="shared" si="12"/>
        <v>0</v>
      </c>
      <c r="BT132" s="281"/>
      <c r="BU132" s="281"/>
      <c r="BV132" s="282" t="s">
        <v>1037</v>
      </c>
      <c r="BW132" s="282">
        <f t="shared" si="13"/>
        <v>0</v>
      </c>
      <c r="BX132" s="281"/>
      <c r="BY132" s="281" t="e">
        <f>#REF!</f>
        <v>#REF!</v>
      </c>
      <c r="BZ132" s="281"/>
      <c r="CA132" s="283">
        <v>14</v>
      </c>
      <c r="CB132" s="282"/>
    </row>
    <row r="133" spans="2:80">
      <c r="B133" s="1059"/>
      <c r="C133" s="1060"/>
      <c r="D133" s="1060"/>
      <c r="E133" s="1060"/>
      <c r="F133" s="1060"/>
      <c r="G133" s="1061"/>
      <c r="H133" s="1061"/>
      <c r="I133" s="1061"/>
      <c r="J133" s="1062"/>
      <c r="K133" s="1076"/>
      <c r="L133" s="1073"/>
      <c r="M133" s="1073"/>
      <c r="N133" s="1074"/>
      <c r="O133" s="1074"/>
      <c r="P133" s="1075"/>
      <c r="Q133" s="1084"/>
      <c r="R133" s="1085"/>
      <c r="S133" s="1085"/>
      <c r="T133" s="1085"/>
      <c r="U133" s="1085"/>
      <c r="V133" s="1085"/>
      <c r="W133" s="1085"/>
      <c r="X133" s="1085"/>
      <c r="Y133" s="1085"/>
      <c r="Z133" s="1085"/>
      <c r="AA133" s="1085"/>
      <c r="AB133" s="1085"/>
      <c r="AC133" s="1085"/>
      <c r="AD133" s="1085"/>
      <c r="AE133" s="1085"/>
      <c r="AF133" s="1085"/>
      <c r="AG133" s="1085"/>
      <c r="AH133" s="1085"/>
      <c r="AI133" s="1085"/>
      <c r="AJ133" s="1085"/>
      <c r="AK133" s="1085"/>
      <c r="AL133" s="1085"/>
      <c r="AM133" s="1085"/>
      <c r="AN133" s="1085"/>
      <c r="AO133" s="1085"/>
      <c r="AP133" s="1085"/>
      <c r="AQ133" s="1085"/>
      <c r="AR133" s="1085"/>
      <c r="AS133" s="1085"/>
      <c r="AT133" s="1086"/>
      <c r="AU133" s="1063"/>
      <c r="AV133" s="1064"/>
      <c r="AW133" s="1065"/>
      <c r="AX133" s="1066"/>
      <c r="BO133" s="281" t="s">
        <v>1084</v>
      </c>
      <c r="BP133" s="281"/>
      <c r="BQ133" s="284">
        <v>45024</v>
      </c>
      <c r="BR133" s="282" t="str">
        <f t="shared" si="14"/>
        <v>土曜日</v>
      </c>
      <c r="BS133" s="282">
        <f t="shared" si="12"/>
        <v>0</v>
      </c>
      <c r="BT133" s="281"/>
      <c r="BU133" s="281"/>
      <c r="BV133" s="281"/>
      <c r="BW133" s="281"/>
      <c r="BX133" s="281"/>
      <c r="BY133" s="281" t="e">
        <f>#REF!</f>
        <v>#REF!</v>
      </c>
      <c r="BZ133" s="281"/>
      <c r="CA133" s="283">
        <v>15</v>
      </c>
      <c r="CB133" s="282"/>
    </row>
    <row r="134" spans="2:80">
      <c r="B134" s="1087" t="s">
        <v>1085</v>
      </c>
      <c r="C134" s="1060"/>
      <c r="D134" s="1060"/>
      <c r="E134" s="1060"/>
      <c r="F134" s="1060"/>
      <c r="G134" s="1061"/>
      <c r="H134" s="1061"/>
      <c r="I134" s="1061"/>
      <c r="J134" s="1062"/>
      <c r="K134" s="1067">
        <f>N98</f>
        <v>1</v>
      </c>
      <c r="L134" s="1068"/>
      <c r="M134" s="1068"/>
      <c r="N134" s="1069"/>
      <c r="O134" s="1069"/>
      <c r="P134" s="1070"/>
      <c r="Q134" s="1081"/>
      <c r="R134" s="1082"/>
      <c r="S134" s="1082"/>
      <c r="T134" s="1082"/>
      <c r="U134" s="1082"/>
      <c r="V134" s="1082"/>
      <c r="W134" s="1082"/>
      <c r="X134" s="1082"/>
      <c r="Y134" s="1082"/>
      <c r="Z134" s="1082"/>
      <c r="AA134" s="1082"/>
      <c r="AB134" s="1082"/>
      <c r="AC134" s="1082"/>
      <c r="AD134" s="1082"/>
      <c r="AE134" s="1082"/>
      <c r="AF134" s="1082"/>
      <c r="AG134" s="1082"/>
      <c r="AH134" s="1082"/>
      <c r="AI134" s="1082"/>
      <c r="AJ134" s="1082"/>
      <c r="AK134" s="1082"/>
      <c r="AL134" s="1082"/>
      <c r="AM134" s="1082"/>
      <c r="AN134" s="1082"/>
      <c r="AO134" s="1082"/>
      <c r="AP134" s="1082"/>
      <c r="AQ134" s="1082"/>
      <c r="AR134" s="1082"/>
      <c r="AS134" s="1082"/>
      <c r="AT134" s="1083"/>
      <c r="AU134" s="1063" t="str">
        <f xml:space="preserve">
IF(AND(K134&gt;0.5,COUNTA(Q134)&lt;&gt;1),"要入力",
IF(AND(K134&gt;0.5,COUNTA(Q134)=1),"入力済",
IF(K134&lt;=0.5,"入力"&amp;CHAR(10)&amp;"不要")))</f>
        <v>要入力</v>
      </c>
      <c r="AV134" s="1064"/>
      <c r="AW134" s="1065"/>
      <c r="AX134" s="1066"/>
      <c r="BO134" s="281"/>
      <c r="BP134" s="281"/>
      <c r="BQ134" s="284">
        <v>45025</v>
      </c>
      <c r="BR134" s="282" t="str">
        <f t="shared" si="14"/>
        <v>日曜日</v>
      </c>
      <c r="BS134" s="282">
        <f t="shared" si="12"/>
        <v>0</v>
      </c>
      <c r="BT134" s="281"/>
      <c r="BU134" s="281"/>
      <c r="BV134" s="282" t="s">
        <v>1086</v>
      </c>
      <c r="BW134" s="281"/>
      <c r="BX134" s="281"/>
      <c r="BY134" s="281" t="e">
        <f>#REF!</f>
        <v>#REF!</v>
      </c>
      <c r="BZ134" s="281"/>
      <c r="CA134" s="283">
        <v>16</v>
      </c>
      <c r="CB134" s="282"/>
    </row>
    <row r="135" spans="2:80">
      <c r="B135" s="1059"/>
      <c r="C135" s="1060"/>
      <c r="D135" s="1060"/>
      <c r="E135" s="1060"/>
      <c r="F135" s="1060"/>
      <c r="G135" s="1061"/>
      <c r="H135" s="1061"/>
      <c r="I135" s="1061"/>
      <c r="J135" s="1062"/>
      <c r="K135" s="1071"/>
      <c r="L135" s="1068"/>
      <c r="M135" s="1068"/>
      <c r="N135" s="1069"/>
      <c r="O135" s="1069"/>
      <c r="P135" s="1070"/>
      <c r="Q135" s="1084"/>
      <c r="R135" s="1085"/>
      <c r="S135" s="1085"/>
      <c r="T135" s="1085"/>
      <c r="U135" s="1085"/>
      <c r="V135" s="1085"/>
      <c r="W135" s="1085"/>
      <c r="X135" s="1085"/>
      <c r="Y135" s="1085"/>
      <c r="Z135" s="1085"/>
      <c r="AA135" s="1085"/>
      <c r="AB135" s="1085"/>
      <c r="AC135" s="1085"/>
      <c r="AD135" s="1085"/>
      <c r="AE135" s="1085"/>
      <c r="AF135" s="1085"/>
      <c r="AG135" s="1085"/>
      <c r="AH135" s="1085"/>
      <c r="AI135" s="1085"/>
      <c r="AJ135" s="1085"/>
      <c r="AK135" s="1085"/>
      <c r="AL135" s="1085"/>
      <c r="AM135" s="1085"/>
      <c r="AN135" s="1085"/>
      <c r="AO135" s="1085"/>
      <c r="AP135" s="1085"/>
      <c r="AQ135" s="1085"/>
      <c r="AR135" s="1085"/>
      <c r="AS135" s="1085"/>
      <c r="AT135" s="1086"/>
      <c r="AU135" s="1063"/>
      <c r="AV135" s="1064"/>
      <c r="AW135" s="1065"/>
      <c r="AX135" s="1066"/>
      <c r="BO135" s="281"/>
      <c r="BP135" s="281"/>
      <c r="BQ135" s="284">
        <v>45026</v>
      </c>
      <c r="BR135" s="282" t="str">
        <f t="shared" si="14"/>
        <v>月曜日</v>
      </c>
      <c r="BS135" s="282">
        <f t="shared" si="12"/>
        <v>0</v>
      </c>
      <c r="BT135" s="281"/>
      <c r="BU135" s="281"/>
      <c r="BV135" s="282" t="s">
        <v>1274</v>
      </c>
      <c r="BW135" s="281"/>
      <c r="BX135" s="281"/>
      <c r="BY135" s="281" t="e">
        <f>#REF!</f>
        <v>#REF!</v>
      </c>
      <c r="BZ135" s="281"/>
      <c r="CA135" s="283">
        <v>17</v>
      </c>
      <c r="CB135" s="282"/>
    </row>
    <row r="136" spans="2:80">
      <c r="B136" s="1059" t="s">
        <v>1087</v>
      </c>
      <c r="C136" s="1060"/>
      <c r="D136" s="1060"/>
      <c r="E136" s="1060"/>
      <c r="F136" s="1060"/>
      <c r="G136" s="1061"/>
      <c r="H136" s="1061"/>
      <c r="I136" s="1061"/>
      <c r="J136" s="1062"/>
      <c r="K136" s="1067">
        <f>N101</f>
        <v>1</v>
      </c>
      <c r="L136" s="1068"/>
      <c r="M136" s="1068"/>
      <c r="N136" s="1069"/>
      <c r="O136" s="1069"/>
      <c r="P136" s="1070"/>
      <c r="Q136" s="1081"/>
      <c r="R136" s="1082"/>
      <c r="S136" s="1082"/>
      <c r="T136" s="1082"/>
      <c r="U136" s="1082"/>
      <c r="V136" s="1082"/>
      <c r="W136" s="1082"/>
      <c r="X136" s="1082"/>
      <c r="Y136" s="1082"/>
      <c r="Z136" s="1082"/>
      <c r="AA136" s="1082"/>
      <c r="AB136" s="1082"/>
      <c r="AC136" s="1082"/>
      <c r="AD136" s="1082"/>
      <c r="AE136" s="1082"/>
      <c r="AF136" s="1082"/>
      <c r="AG136" s="1082"/>
      <c r="AH136" s="1082"/>
      <c r="AI136" s="1082"/>
      <c r="AJ136" s="1082"/>
      <c r="AK136" s="1082"/>
      <c r="AL136" s="1082"/>
      <c r="AM136" s="1082"/>
      <c r="AN136" s="1082"/>
      <c r="AO136" s="1082"/>
      <c r="AP136" s="1082"/>
      <c r="AQ136" s="1082"/>
      <c r="AR136" s="1082"/>
      <c r="AS136" s="1082"/>
      <c r="AT136" s="1083"/>
      <c r="AU136" s="1063" t="str">
        <f xml:space="preserve">
IF(AND(K136&gt;0.5,COUNTA(Q136)&lt;&gt;1),"要入力",
IF(AND(K136&gt;0.5,COUNTA(Q136)=1),"入力済",
IF(K136&lt;=0.5,"入力"&amp;CHAR(10)&amp;"不要")))</f>
        <v>要入力</v>
      </c>
      <c r="AV136" s="1064"/>
      <c r="AW136" s="1065"/>
      <c r="AX136" s="1066"/>
      <c r="BO136" s="281"/>
      <c r="BP136" s="281"/>
      <c r="BQ136" s="284">
        <v>45027</v>
      </c>
      <c r="BR136" s="282" t="str">
        <f t="shared" si="14"/>
        <v>火曜日</v>
      </c>
      <c r="BS136" s="282">
        <f t="shared" si="12"/>
        <v>0</v>
      </c>
      <c r="BT136" s="281"/>
      <c r="BU136" s="281"/>
      <c r="BV136" s="282"/>
      <c r="BW136" s="281"/>
      <c r="BX136" s="281"/>
      <c r="BY136" s="281" t="e">
        <f>#REF!</f>
        <v>#REF!</v>
      </c>
      <c r="BZ136" s="281"/>
      <c r="CA136" s="283">
        <v>18</v>
      </c>
      <c r="CB136" s="282"/>
    </row>
    <row r="137" spans="2:80">
      <c r="B137" s="1059"/>
      <c r="C137" s="1060"/>
      <c r="D137" s="1060"/>
      <c r="E137" s="1060"/>
      <c r="F137" s="1060"/>
      <c r="G137" s="1061"/>
      <c r="H137" s="1061"/>
      <c r="I137" s="1061"/>
      <c r="J137" s="1062"/>
      <c r="K137" s="1071"/>
      <c r="L137" s="1068"/>
      <c r="M137" s="1068"/>
      <c r="N137" s="1069"/>
      <c r="O137" s="1069"/>
      <c r="P137" s="1070"/>
      <c r="Q137" s="1084"/>
      <c r="R137" s="1085"/>
      <c r="S137" s="1085"/>
      <c r="T137" s="1085"/>
      <c r="U137" s="1085"/>
      <c r="V137" s="1085"/>
      <c r="W137" s="1085"/>
      <c r="X137" s="1085"/>
      <c r="Y137" s="1085"/>
      <c r="Z137" s="1085"/>
      <c r="AA137" s="1085"/>
      <c r="AB137" s="1085"/>
      <c r="AC137" s="1085"/>
      <c r="AD137" s="1085"/>
      <c r="AE137" s="1085"/>
      <c r="AF137" s="1085"/>
      <c r="AG137" s="1085"/>
      <c r="AH137" s="1085"/>
      <c r="AI137" s="1085"/>
      <c r="AJ137" s="1085"/>
      <c r="AK137" s="1085"/>
      <c r="AL137" s="1085"/>
      <c r="AM137" s="1085"/>
      <c r="AN137" s="1085"/>
      <c r="AO137" s="1085"/>
      <c r="AP137" s="1085"/>
      <c r="AQ137" s="1085"/>
      <c r="AR137" s="1085"/>
      <c r="AS137" s="1085"/>
      <c r="AT137" s="1086"/>
      <c r="AU137" s="1063"/>
      <c r="AV137" s="1064"/>
      <c r="AW137" s="1065"/>
      <c r="AX137" s="1066"/>
      <c r="BO137" s="281"/>
      <c r="BP137" s="281"/>
      <c r="BQ137" s="284">
        <v>45028</v>
      </c>
      <c r="BR137" s="282" t="str">
        <f t="shared" si="14"/>
        <v>水曜日</v>
      </c>
      <c r="BS137" s="282">
        <f t="shared" si="12"/>
        <v>0</v>
      </c>
      <c r="BT137" s="281"/>
      <c r="BU137" s="281"/>
      <c r="BV137" s="281"/>
      <c r="BW137" s="281"/>
      <c r="BX137" s="281"/>
      <c r="BY137" s="281"/>
      <c r="BZ137" s="281"/>
      <c r="CA137" s="283">
        <v>19</v>
      </c>
      <c r="CB137" s="282"/>
    </row>
    <row r="138" spans="2:80">
      <c r="B138" s="1059" t="s">
        <v>1088</v>
      </c>
      <c r="C138" s="1060"/>
      <c r="D138" s="1060"/>
      <c r="E138" s="1060"/>
      <c r="F138" s="1060"/>
      <c r="G138" s="1061"/>
      <c r="H138" s="1061"/>
      <c r="I138" s="1061"/>
      <c r="J138" s="1062"/>
      <c r="K138" s="1067">
        <f>N104</f>
        <v>2</v>
      </c>
      <c r="L138" s="1068"/>
      <c r="M138" s="1068"/>
      <c r="N138" s="1069"/>
      <c r="O138" s="1069"/>
      <c r="P138" s="1070"/>
      <c r="Q138" s="1081"/>
      <c r="R138" s="1082"/>
      <c r="S138" s="1082"/>
      <c r="T138" s="1082"/>
      <c r="U138" s="1082"/>
      <c r="V138" s="1082"/>
      <c r="W138" s="1082"/>
      <c r="X138" s="1082"/>
      <c r="Y138" s="1082"/>
      <c r="Z138" s="1082"/>
      <c r="AA138" s="1082"/>
      <c r="AB138" s="1082"/>
      <c r="AC138" s="1082"/>
      <c r="AD138" s="1082"/>
      <c r="AE138" s="1082"/>
      <c r="AF138" s="1082"/>
      <c r="AG138" s="1082"/>
      <c r="AH138" s="1082"/>
      <c r="AI138" s="1082"/>
      <c r="AJ138" s="1082"/>
      <c r="AK138" s="1082"/>
      <c r="AL138" s="1082"/>
      <c r="AM138" s="1082"/>
      <c r="AN138" s="1082"/>
      <c r="AO138" s="1082"/>
      <c r="AP138" s="1082"/>
      <c r="AQ138" s="1082"/>
      <c r="AR138" s="1082"/>
      <c r="AS138" s="1082"/>
      <c r="AT138" s="1083"/>
      <c r="AU138" s="1063" t="str">
        <f xml:space="preserve">
IF(AND(K138&gt;2,COUNTA(Q138)&lt;&gt;1),"要入力",
IF(AND(K138&gt;2,COUNTA(Q138)=1),"入力済",
IF(K138&lt;=2,"入力"&amp;CHAR(10)&amp;"不要")))</f>
        <v>入力
不要</v>
      </c>
      <c r="AV138" s="1064"/>
      <c r="AW138" s="1065"/>
      <c r="AX138" s="1066"/>
      <c r="BO138" s="281"/>
      <c r="BP138" s="281"/>
      <c r="BQ138" s="284">
        <v>45029</v>
      </c>
      <c r="BR138" s="282" t="str">
        <f t="shared" si="14"/>
        <v>木曜日</v>
      </c>
      <c r="BS138" s="282">
        <f t="shared" si="12"/>
        <v>0</v>
      </c>
      <c r="BT138" s="281"/>
      <c r="BU138" s="281"/>
      <c r="BV138" s="281"/>
      <c r="BW138" s="281"/>
      <c r="BX138" s="281"/>
      <c r="BY138" s="281"/>
      <c r="BZ138" s="281"/>
      <c r="CA138" s="283">
        <v>20</v>
      </c>
      <c r="CB138" s="282"/>
    </row>
    <row r="139" spans="2:80">
      <c r="B139" s="1059"/>
      <c r="C139" s="1060"/>
      <c r="D139" s="1060"/>
      <c r="E139" s="1060"/>
      <c r="F139" s="1060"/>
      <c r="G139" s="1061"/>
      <c r="H139" s="1061"/>
      <c r="I139" s="1061"/>
      <c r="J139" s="1062"/>
      <c r="K139" s="1071"/>
      <c r="L139" s="1068"/>
      <c r="M139" s="1068"/>
      <c r="N139" s="1069"/>
      <c r="O139" s="1069"/>
      <c r="P139" s="1070"/>
      <c r="Q139" s="1084"/>
      <c r="R139" s="1085"/>
      <c r="S139" s="1085"/>
      <c r="T139" s="1085"/>
      <c r="U139" s="1085"/>
      <c r="V139" s="1085"/>
      <c r="W139" s="1085"/>
      <c r="X139" s="1085"/>
      <c r="Y139" s="1085"/>
      <c r="Z139" s="1085"/>
      <c r="AA139" s="1085"/>
      <c r="AB139" s="1085"/>
      <c r="AC139" s="1085"/>
      <c r="AD139" s="1085"/>
      <c r="AE139" s="1085"/>
      <c r="AF139" s="1085"/>
      <c r="AG139" s="1085"/>
      <c r="AH139" s="1085"/>
      <c r="AI139" s="1085"/>
      <c r="AJ139" s="1085"/>
      <c r="AK139" s="1085"/>
      <c r="AL139" s="1085"/>
      <c r="AM139" s="1085"/>
      <c r="AN139" s="1085"/>
      <c r="AO139" s="1085"/>
      <c r="AP139" s="1085"/>
      <c r="AQ139" s="1085"/>
      <c r="AR139" s="1085"/>
      <c r="AS139" s="1085"/>
      <c r="AT139" s="1086"/>
      <c r="AU139" s="1063"/>
      <c r="AV139" s="1064"/>
      <c r="AW139" s="1065"/>
      <c r="AX139" s="1066"/>
      <c r="BO139" s="281"/>
      <c r="BP139" s="281"/>
      <c r="BQ139" s="284">
        <v>45030</v>
      </c>
      <c r="BR139" s="282" t="str">
        <f t="shared" si="14"/>
        <v>金曜日</v>
      </c>
      <c r="BS139" s="282">
        <f t="shared" si="12"/>
        <v>0</v>
      </c>
      <c r="BT139" s="281"/>
      <c r="BU139" s="281"/>
      <c r="BV139" s="281"/>
      <c r="BW139" s="281"/>
      <c r="BX139" s="281"/>
      <c r="BY139" s="281"/>
      <c r="BZ139" s="281"/>
      <c r="CA139" s="283">
        <v>21</v>
      </c>
      <c r="CB139" s="282"/>
    </row>
    <row r="140" spans="2:80">
      <c r="B140" s="1059" t="s">
        <v>476</v>
      </c>
      <c r="C140" s="1060"/>
      <c r="D140" s="1060"/>
      <c r="E140" s="1060"/>
      <c r="F140" s="1060"/>
      <c r="G140" s="1061"/>
      <c r="H140" s="1061"/>
      <c r="I140" s="1061"/>
      <c r="J140" s="1062"/>
      <c r="K140" s="1072">
        <f>N107</f>
        <v>2</v>
      </c>
      <c r="L140" s="1073"/>
      <c r="M140" s="1073"/>
      <c r="N140" s="1074"/>
      <c r="O140" s="1074"/>
      <c r="P140" s="1075"/>
      <c r="Q140" s="1081">
        <v>1</v>
      </c>
      <c r="R140" s="1082"/>
      <c r="S140" s="1082"/>
      <c r="T140" s="1082"/>
      <c r="U140" s="1082"/>
      <c r="V140" s="1082"/>
      <c r="W140" s="1082"/>
      <c r="X140" s="1082"/>
      <c r="Y140" s="1082"/>
      <c r="Z140" s="1082"/>
      <c r="AA140" s="1082"/>
      <c r="AB140" s="1082"/>
      <c r="AC140" s="1082"/>
      <c r="AD140" s="1082"/>
      <c r="AE140" s="1082"/>
      <c r="AF140" s="1082"/>
      <c r="AG140" s="1082"/>
      <c r="AH140" s="1082"/>
      <c r="AI140" s="1082"/>
      <c r="AJ140" s="1082"/>
      <c r="AK140" s="1082"/>
      <c r="AL140" s="1082"/>
      <c r="AM140" s="1082"/>
      <c r="AN140" s="1082"/>
      <c r="AO140" s="1082"/>
      <c r="AP140" s="1082"/>
      <c r="AQ140" s="1082"/>
      <c r="AR140" s="1082"/>
      <c r="AS140" s="1082"/>
      <c r="AT140" s="1083"/>
      <c r="AU140" s="1063" t="str">
        <f xml:space="preserve">
IF(AND(K140&gt;2,COUNTA(Q140)&lt;&gt;1),"要入力",
IF(AND(K140&gt;2,COUNTA(Q140)=1),"入力済",
IF(K140&lt;=2,"入力"&amp;CHAR(10)&amp;"不要")))</f>
        <v>入力
不要</v>
      </c>
      <c r="AV140" s="1064"/>
      <c r="AW140" s="1065"/>
      <c r="AX140" s="1066"/>
      <c r="BO140" s="281"/>
      <c r="BP140" s="281"/>
      <c r="BQ140" s="284">
        <v>45031</v>
      </c>
      <c r="BR140" s="282" t="str">
        <f t="shared" si="14"/>
        <v>土曜日</v>
      </c>
      <c r="BS140" s="282">
        <f t="shared" si="12"/>
        <v>0</v>
      </c>
      <c r="BT140" s="281"/>
      <c r="BU140" s="281"/>
      <c r="BV140" s="281"/>
      <c r="BW140" s="281"/>
      <c r="BX140" s="281"/>
      <c r="BY140" s="281"/>
      <c r="BZ140" s="281"/>
      <c r="CA140" s="283">
        <v>22</v>
      </c>
      <c r="CB140" s="282"/>
    </row>
    <row r="141" spans="2:80">
      <c r="B141" s="1059"/>
      <c r="C141" s="1060"/>
      <c r="D141" s="1060"/>
      <c r="E141" s="1060"/>
      <c r="F141" s="1060"/>
      <c r="G141" s="1061"/>
      <c r="H141" s="1061"/>
      <c r="I141" s="1061"/>
      <c r="J141" s="1062"/>
      <c r="K141" s="1076"/>
      <c r="L141" s="1073"/>
      <c r="M141" s="1073"/>
      <c r="N141" s="1074"/>
      <c r="O141" s="1074"/>
      <c r="P141" s="1075"/>
      <c r="Q141" s="1084"/>
      <c r="R141" s="1085"/>
      <c r="S141" s="1085"/>
      <c r="T141" s="1085"/>
      <c r="U141" s="1085"/>
      <c r="V141" s="1085"/>
      <c r="W141" s="1085"/>
      <c r="X141" s="1085"/>
      <c r="Y141" s="1085"/>
      <c r="Z141" s="1085"/>
      <c r="AA141" s="1085"/>
      <c r="AB141" s="1085"/>
      <c r="AC141" s="1085"/>
      <c r="AD141" s="1085"/>
      <c r="AE141" s="1085"/>
      <c r="AF141" s="1085"/>
      <c r="AG141" s="1085"/>
      <c r="AH141" s="1085"/>
      <c r="AI141" s="1085"/>
      <c r="AJ141" s="1085"/>
      <c r="AK141" s="1085"/>
      <c r="AL141" s="1085"/>
      <c r="AM141" s="1085"/>
      <c r="AN141" s="1085"/>
      <c r="AO141" s="1085"/>
      <c r="AP141" s="1085"/>
      <c r="AQ141" s="1085"/>
      <c r="AR141" s="1085"/>
      <c r="AS141" s="1085"/>
      <c r="AT141" s="1086"/>
      <c r="AU141" s="1063"/>
      <c r="AV141" s="1064"/>
      <c r="AW141" s="1065"/>
      <c r="AX141" s="1066"/>
      <c r="BO141" s="281"/>
      <c r="BP141" s="281"/>
      <c r="BQ141" s="284">
        <v>45032</v>
      </c>
      <c r="BR141" s="282" t="str">
        <f t="shared" si="14"/>
        <v>日曜日</v>
      </c>
      <c r="BS141" s="282">
        <f t="shared" si="12"/>
        <v>0</v>
      </c>
      <c r="BT141" s="281"/>
      <c r="BU141" s="281"/>
      <c r="BV141" s="281"/>
      <c r="BW141" s="281"/>
      <c r="BX141" s="281"/>
      <c r="BY141" s="281"/>
      <c r="BZ141" s="281"/>
      <c r="CA141" s="283">
        <v>23</v>
      </c>
      <c r="CB141" s="282"/>
    </row>
    <row r="142" spans="2:80">
      <c r="B142" s="1059" t="s">
        <v>1089</v>
      </c>
      <c r="C142" s="1060"/>
      <c r="D142" s="1060"/>
      <c r="E142" s="1060"/>
      <c r="F142" s="1060"/>
      <c r="G142" s="1061"/>
      <c r="H142" s="1061"/>
      <c r="I142" s="1061"/>
      <c r="J142" s="1062"/>
      <c r="K142" s="1072">
        <f>N110</f>
        <v>2</v>
      </c>
      <c r="L142" s="1073"/>
      <c r="M142" s="1073"/>
      <c r="N142" s="1074"/>
      <c r="O142" s="1074"/>
      <c r="P142" s="1075"/>
      <c r="Q142" s="1081"/>
      <c r="R142" s="1082"/>
      <c r="S142" s="1082"/>
      <c r="T142" s="1082"/>
      <c r="U142" s="1082"/>
      <c r="V142" s="1082"/>
      <c r="W142" s="1082"/>
      <c r="X142" s="1082"/>
      <c r="Y142" s="1082"/>
      <c r="Z142" s="1082"/>
      <c r="AA142" s="1082"/>
      <c r="AB142" s="1082"/>
      <c r="AC142" s="1082"/>
      <c r="AD142" s="1082"/>
      <c r="AE142" s="1082"/>
      <c r="AF142" s="1082"/>
      <c r="AG142" s="1082"/>
      <c r="AH142" s="1082"/>
      <c r="AI142" s="1082"/>
      <c r="AJ142" s="1082"/>
      <c r="AK142" s="1082"/>
      <c r="AL142" s="1082"/>
      <c r="AM142" s="1082"/>
      <c r="AN142" s="1082"/>
      <c r="AO142" s="1082"/>
      <c r="AP142" s="1082"/>
      <c r="AQ142" s="1082"/>
      <c r="AR142" s="1082"/>
      <c r="AS142" s="1082"/>
      <c r="AT142" s="1083"/>
      <c r="AU142" s="1063" t="str">
        <f xml:space="preserve">
IF(AND(K142&gt;2,COUNTA(Q142)&lt;&gt;1),"要入力",
IF(AND(K142&gt;2,COUNTA(Q142)=1),"入力済",
IF(K142&lt;=2,"入力"&amp;CHAR(10)&amp;"不要")))</f>
        <v>入力
不要</v>
      </c>
      <c r="AV142" s="1064"/>
      <c r="AW142" s="1065"/>
      <c r="AX142" s="1066"/>
      <c r="BO142" s="281"/>
      <c r="BP142" s="281"/>
      <c r="BQ142" s="284">
        <v>45033</v>
      </c>
      <c r="BR142" s="282" t="str">
        <f t="shared" si="14"/>
        <v>月曜日</v>
      </c>
      <c r="BS142" s="282">
        <f t="shared" si="12"/>
        <v>0</v>
      </c>
      <c r="BT142" s="281"/>
      <c r="BU142" s="281"/>
      <c r="BV142" s="281"/>
      <c r="BW142" s="281"/>
      <c r="BX142" s="281"/>
      <c r="BY142" s="281"/>
      <c r="BZ142" s="281"/>
      <c r="CA142" s="283">
        <v>24</v>
      </c>
      <c r="CB142" s="282"/>
    </row>
    <row r="143" spans="2:80">
      <c r="B143" s="1059"/>
      <c r="C143" s="1060"/>
      <c r="D143" s="1060"/>
      <c r="E143" s="1060"/>
      <c r="F143" s="1060"/>
      <c r="G143" s="1061"/>
      <c r="H143" s="1061"/>
      <c r="I143" s="1061"/>
      <c r="J143" s="1062"/>
      <c r="K143" s="1076"/>
      <c r="L143" s="1073"/>
      <c r="M143" s="1073"/>
      <c r="N143" s="1074"/>
      <c r="O143" s="1074"/>
      <c r="P143" s="1075"/>
      <c r="Q143" s="1084"/>
      <c r="R143" s="1085"/>
      <c r="S143" s="1085"/>
      <c r="T143" s="1085"/>
      <c r="U143" s="1085"/>
      <c r="V143" s="1085"/>
      <c r="W143" s="1085"/>
      <c r="X143" s="1085"/>
      <c r="Y143" s="1085"/>
      <c r="Z143" s="1085"/>
      <c r="AA143" s="1085"/>
      <c r="AB143" s="1085"/>
      <c r="AC143" s="1085"/>
      <c r="AD143" s="1085"/>
      <c r="AE143" s="1085"/>
      <c r="AF143" s="1085"/>
      <c r="AG143" s="1085"/>
      <c r="AH143" s="1085"/>
      <c r="AI143" s="1085"/>
      <c r="AJ143" s="1085"/>
      <c r="AK143" s="1085"/>
      <c r="AL143" s="1085"/>
      <c r="AM143" s="1085"/>
      <c r="AN143" s="1085"/>
      <c r="AO143" s="1085"/>
      <c r="AP143" s="1085"/>
      <c r="AQ143" s="1085"/>
      <c r="AR143" s="1085"/>
      <c r="AS143" s="1085"/>
      <c r="AT143" s="1086"/>
      <c r="AU143" s="1063"/>
      <c r="AV143" s="1064"/>
      <c r="AW143" s="1065"/>
      <c r="AX143" s="1066"/>
      <c r="BO143" s="281"/>
      <c r="BP143" s="281"/>
      <c r="BQ143" s="284">
        <v>45034</v>
      </c>
      <c r="BR143" s="282" t="str">
        <f t="shared" si="14"/>
        <v>火曜日</v>
      </c>
      <c r="BS143" s="282">
        <f t="shared" si="12"/>
        <v>0</v>
      </c>
      <c r="BT143" s="281"/>
      <c r="BU143" s="281"/>
      <c r="BV143" s="281"/>
      <c r="BW143" s="281"/>
      <c r="BX143" s="281"/>
      <c r="BY143" s="281"/>
      <c r="BZ143" s="281"/>
      <c r="CA143" s="283">
        <v>25</v>
      </c>
      <c r="CB143" s="282"/>
    </row>
    <row r="144" spans="2:80">
      <c r="B144" s="1059" t="s">
        <v>1090</v>
      </c>
      <c r="C144" s="1060"/>
      <c r="D144" s="1060"/>
      <c r="E144" s="1060"/>
      <c r="F144" s="1060"/>
      <c r="G144" s="1061"/>
      <c r="H144" s="1061"/>
      <c r="I144" s="1061"/>
      <c r="J144" s="1062"/>
      <c r="K144" s="1067">
        <f>N113</f>
        <v>2</v>
      </c>
      <c r="L144" s="1068"/>
      <c r="M144" s="1068"/>
      <c r="N144" s="1069"/>
      <c r="O144" s="1069"/>
      <c r="P144" s="1070"/>
      <c r="Q144" s="1081"/>
      <c r="R144" s="1082"/>
      <c r="S144" s="1082"/>
      <c r="T144" s="1082"/>
      <c r="U144" s="1082"/>
      <c r="V144" s="1082"/>
      <c r="W144" s="1082"/>
      <c r="X144" s="1082"/>
      <c r="Y144" s="1082"/>
      <c r="Z144" s="1082"/>
      <c r="AA144" s="1082"/>
      <c r="AB144" s="1082"/>
      <c r="AC144" s="1082"/>
      <c r="AD144" s="1082"/>
      <c r="AE144" s="1082"/>
      <c r="AF144" s="1082"/>
      <c r="AG144" s="1082"/>
      <c r="AH144" s="1082"/>
      <c r="AI144" s="1082"/>
      <c r="AJ144" s="1082"/>
      <c r="AK144" s="1082"/>
      <c r="AL144" s="1082"/>
      <c r="AM144" s="1082"/>
      <c r="AN144" s="1082"/>
      <c r="AO144" s="1082"/>
      <c r="AP144" s="1082"/>
      <c r="AQ144" s="1082"/>
      <c r="AR144" s="1082"/>
      <c r="AS144" s="1082"/>
      <c r="AT144" s="1083"/>
      <c r="AU144" s="1063" t="str">
        <f xml:space="preserve">
IF(AND(K144&gt;0.5,COUNTA(Q144)&lt;&gt;1),"要入力",
IF(AND(K144&gt;0.5,COUNTA(Q144)=1),"入力済",
IF(K144&lt;=0.5,"入力"&amp;CHAR(10)&amp;"不要")))</f>
        <v>要入力</v>
      </c>
      <c r="AV144" s="1064"/>
      <c r="AW144" s="1065"/>
      <c r="AX144" s="1066"/>
      <c r="BO144" s="281"/>
      <c r="BP144" s="281"/>
      <c r="BQ144" s="284">
        <v>45035</v>
      </c>
      <c r="BR144" s="282" t="str">
        <f t="shared" si="14"/>
        <v>水曜日</v>
      </c>
      <c r="BS144" s="282">
        <f t="shared" si="12"/>
        <v>0</v>
      </c>
      <c r="BT144" s="281"/>
      <c r="BU144" s="281"/>
      <c r="BV144" s="281"/>
      <c r="BW144" s="281"/>
      <c r="BX144" s="281"/>
      <c r="BY144" s="281"/>
      <c r="BZ144" s="281"/>
      <c r="CA144" s="283">
        <v>26</v>
      </c>
      <c r="CB144" s="282"/>
    </row>
    <row r="145" spans="2:80">
      <c r="B145" s="1059"/>
      <c r="C145" s="1060"/>
      <c r="D145" s="1060"/>
      <c r="E145" s="1060"/>
      <c r="F145" s="1060"/>
      <c r="G145" s="1061"/>
      <c r="H145" s="1061"/>
      <c r="I145" s="1061"/>
      <c r="J145" s="1062"/>
      <c r="K145" s="1071"/>
      <c r="L145" s="1068"/>
      <c r="M145" s="1068"/>
      <c r="N145" s="1069"/>
      <c r="O145" s="1069"/>
      <c r="P145" s="1070"/>
      <c r="Q145" s="1084"/>
      <c r="R145" s="1085"/>
      <c r="S145" s="1085"/>
      <c r="T145" s="1085"/>
      <c r="U145" s="1085"/>
      <c r="V145" s="1085"/>
      <c r="W145" s="1085"/>
      <c r="X145" s="1085"/>
      <c r="Y145" s="1085"/>
      <c r="Z145" s="1085"/>
      <c r="AA145" s="1085"/>
      <c r="AB145" s="1085"/>
      <c r="AC145" s="1085"/>
      <c r="AD145" s="1085"/>
      <c r="AE145" s="1085"/>
      <c r="AF145" s="1085"/>
      <c r="AG145" s="1085"/>
      <c r="AH145" s="1085"/>
      <c r="AI145" s="1085"/>
      <c r="AJ145" s="1085"/>
      <c r="AK145" s="1085"/>
      <c r="AL145" s="1085"/>
      <c r="AM145" s="1085"/>
      <c r="AN145" s="1085"/>
      <c r="AO145" s="1085"/>
      <c r="AP145" s="1085"/>
      <c r="AQ145" s="1085"/>
      <c r="AR145" s="1085"/>
      <c r="AS145" s="1085"/>
      <c r="AT145" s="1086"/>
      <c r="AU145" s="1063"/>
      <c r="AV145" s="1064"/>
      <c r="AW145" s="1065"/>
      <c r="AX145" s="1066"/>
      <c r="BO145" s="281"/>
      <c r="BP145" s="281"/>
      <c r="BQ145" s="284">
        <v>45036</v>
      </c>
      <c r="BR145" s="282" t="str">
        <f t="shared" si="14"/>
        <v>木曜日</v>
      </c>
      <c r="BS145" s="282">
        <f t="shared" si="12"/>
        <v>0</v>
      </c>
      <c r="BT145" s="281"/>
      <c r="BU145" s="281"/>
      <c r="BV145" s="281"/>
      <c r="BW145" s="281"/>
      <c r="BX145" s="281"/>
      <c r="BY145" s="281"/>
      <c r="BZ145" s="281"/>
      <c r="CA145" s="283">
        <v>27</v>
      </c>
      <c r="CB145" s="282"/>
    </row>
    <row r="146" spans="2:80">
      <c r="B146" s="1059" t="s">
        <v>1091</v>
      </c>
      <c r="C146" s="1060"/>
      <c r="D146" s="1060"/>
      <c r="E146" s="1060"/>
      <c r="F146" s="1060"/>
      <c r="G146" s="1061"/>
      <c r="H146" s="1061"/>
      <c r="I146" s="1061"/>
      <c r="J146" s="1062"/>
      <c r="K146" s="1072">
        <f>N116</f>
        <v>2</v>
      </c>
      <c r="L146" s="1073"/>
      <c r="M146" s="1073"/>
      <c r="N146" s="1074"/>
      <c r="O146" s="1074"/>
      <c r="P146" s="1075"/>
      <c r="Q146" s="1081"/>
      <c r="R146" s="1082"/>
      <c r="S146" s="1082"/>
      <c r="T146" s="1082"/>
      <c r="U146" s="1082"/>
      <c r="V146" s="1082"/>
      <c r="W146" s="1082"/>
      <c r="X146" s="1082"/>
      <c r="Y146" s="1082"/>
      <c r="Z146" s="1082"/>
      <c r="AA146" s="1082"/>
      <c r="AB146" s="1082"/>
      <c r="AC146" s="1082"/>
      <c r="AD146" s="1082"/>
      <c r="AE146" s="1082"/>
      <c r="AF146" s="1082"/>
      <c r="AG146" s="1082"/>
      <c r="AH146" s="1082"/>
      <c r="AI146" s="1082"/>
      <c r="AJ146" s="1082"/>
      <c r="AK146" s="1082"/>
      <c r="AL146" s="1082"/>
      <c r="AM146" s="1082"/>
      <c r="AN146" s="1082"/>
      <c r="AO146" s="1082"/>
      <c r="AP146" s="1082"/>
      <c r="AQ146" s="1082"/>
      <c r="AR146" s="1082"/>
      <c r="AS146" s="1082"/>
      <c r="AT146" s="1083"/>
      <c r="AU146" s="1063" t="str">
        <f xml:space="preserve">
IF(AND(K146&gt;2,COUNTA(Q146)&lt;&gt;1),"要入力",
IF(AND(K146&gt;2,COUNTA(Q146)=1),"入力済",
IF(K146&lt;=2,"入力"&amp;CHAR(10)&amp;"不要")))</f>
        <v>入力
不要</v>
      </c>
      <c r="AV146" s="1064"/>
      <c r="AW146" s="1065"/>
      <c r="AX146" s="1066"/>
      <c r="BO146" s="281"/>
      <c r="BP146" s="281"/>
      <c r="BQ146" s="284">
        <v>45037</v>
      </c>
      <c r="BR146" s="282" t="str">
        <f t="shared" si="14"/>
        <v>金曜日</v>
      </c>
      <c r="BS146" s="282">
        <f t="shared" si="12"/>
        <v>0</v>
      </c>
      <c r="BT146" s="281"/>
      <c r="BU146" s="281"/>
      <c r="BV146" s="281"/>
      <c r="BW146" s="281"/>
      <c r="BX146" s="281"/>
      <c r="BY146" s="281"/>
      <c r="BZ146" s="281"/>
      <c r="CA146" s="283">
        <v>28</v>
      </c>
      <c r="CB146" s="282"/>
    </row>
    <row r="147" spans="2:80">
      <c r="B147" s="1059"/>
      <c r="C147" s="1060"/>
      <c r="D147" s="1060"/>
      <c r="E147" s="1060"/>
      <c r="F147" s="1060"/>
      <c r="G147" s="1061"/>
      <c r="H147" s="1061"/>
      <c r="I147" s="1061"/>
      <c r="J147" s="1062"/>
      <c r="K147" s="1076"/>
      <c r="L147" s="1073"/>
      <c r="M147" s="1073"/>
      <c r="N147" s="1074"/>
      <c r="O147" s="1074"/>
      <c r="P147" s="1075"/>
      <c r="Q147" s="1084"/>
      <c r="R147" s="1085"/>
      <c r="S147" s="1085"/>
      <c r="T147" s="1085"/>
      <c r="U147" s="1085"/>
      <c r="V147" s="1085"/>
      <c r="W147" s="1085"/>
      <c r="X147" s="1085"/>
      <c r="Y147" s="1085"/>
      <c r="Z147" s="1085"/>
      <c r="AA147" s="1085"/>
      <c r="AB147" s="1085"/>
      <c r="AC147" s="1085"/>
      <c r="AD147" s="1085"/>
      <c r="AE147" s="1085"/>
      <c r="AF147" s="1085"/>
      <c r="AG147" s="1085"/>
      <c r="AH147" s="1085"/>
      <c r="AI147" s="1085"/>
      <c r="AJ147" s="1085"/>
      <c r="AK147" s="1085"/>
      <c r="AL147" s="1085"/>
      <c r="AM147" s="1085"/>
      <c r="AN147" s="1085"/>
      <c r="AO147" s="1085"/>
      <c r="AP147" s="1085"/>
      <c r="AQ147" s="1085"/>
      <c r="AR147" s="1085"/>
      <c r="AS147" s="1085"/>
      <c r="AT147" s="1086"/>
      <c r="AU147" s="1063"/>
      <c r="AV147" s="1064"/>
      <c r="AW147" s="1065"/>
      <c r="AX147" s="1066"/>
      <c r="BO147" s="281"/>
      <c r="BP147" s="281"/>
      <c r="BQ147" s="284">
        <v>45038</v>
      </c>
      <c r="BR147" s="282" t="str">
        <f t="shared" si="14"/>
        <v>土曜日</v>
      </c>
      <c r="BS147" s="282">
        <f t="shared" si="12"/>
        <v>0</v>
      </c>
      <c r="BT147" s="281"/>
      <c r="BU147" s="281"/>
      <c r="BV147" s="281"/>
      <c r="BW147" s="281"/>
      <c r="BX147" s="281"/>
      <c r="BY147" s="281"/>
      <c r="BZ147" s="281"/>
      <c r="CA147" s="283">
        <v>29</v>
      </c>
      <c r="CB147" s="282"/>
    </row>
    <row r="148" spans="2:80">
      <c r="B148" s="1059" t="s">
        <v>1092</v>
      </c>
      <c r="C148" s="1060"/>
      <c r="D148" s="1060"/>
      <c r="E148" s="1060"/>
      <c r="F148" s="1060"/>
      <c r="G148" s="1061"/>
      <c r="H148" s="1061"/>
      <c r="I148" s="1061"/>
      <c r="J148" s="1062"/>
      <c r="K148" s="1072">
        <f>N119</f>
        <v>2</v>
      </c>
      <c r="L148" s="1073"/>
      <c r="M148" s="1073"/>
      <c r="N148" s="1074"/>
      <c r="O148" s="1074"/>
      <c r="P148" s="1075"/>
      <c r="Q148" s="1081">
        <v>1</v>
      </c>
      <c r="R148" s="1082"/>
      <c r="S148" s="1082"/>
      <c r="T148" s="1082"/>
      <c r="U148" s="1082"/>
      <c r="V148" s="1082"/>
      <c r="W148" s="1082"/>
      <c r="X148" s="1082"/>
      <c r="Y148" s="1082"/>
      <c r="Z148" s="1082"/>
      <c r="AA148" s="1082"/>
      <c r="AB148" s="1082"/>
      <c r="AC148" s="1082"/>
      <c r="AD148" s="1082"/>
      <c r="AE148" s="1082"/>
      <c r="AF148" s="1082"/>
      <c r="AG148" s="1082"/>
      <c r="AH148" s="1082"/>
      <c r="AI148" s="1082"/>
      <c r="AJ148" s="1082"/>
      <c r="AK148" s="1082"/>
      <c r="AL148" s="1082"/>
      <c r="AM148" s="1082"/>
      <c r="AN148" s="1082"/>
      <c r="AO148" s="1082"/>
      <c r="AP148" s="1082"/>
      <c r="AQ148" s="1082"/>
      <c r="AR148" s="1082"/>
      <c r="AS148" s="1082"/>
      <c r="AT148" s="1083"/>
      <c r="AU148" s="1063" t="str">
        <f xml:space="preserve">
IF(AND(K148&gt;0.5,COUNTA(Q148)&lt;&gt;1),"要入力",
IF(AND(K148&gt;0.5,COUNTA(Q148)=1),"入力済",
IF(K148&lt;=0.5,"入力"&amp;CHAR(10)&amp;"不要")))</f>
        <v>入力済</v>
      </c>
      <c r="AV148" s="1064"/>
      <c r="AW148" s="1065"/>
      <c r="AX148" s="1066"/>
      <c r="BO148" s="281"/>
      <c r="BP148" s="281"/>
      <c r="BQ148" s="284">
        <v>45039</v>
      </c>
      <c r="BR148" s="282" t="str">
        <f t="shared" si="14"/>
        <v>日曜日</v>
      </c>
      <c r="BS148" s="282">
        <f t="shared" si="12"/>
        <v>0</v>
      </c>
      <c r="BT148" s="281"/>
      <c r="BU148" s="281"/>
      <c r="BV148" s="281"/>
      <c r="BW148" s="281"/>
      <c r="BX148" s="281"/>
      <c r="BY148" s="281"/>
      <c r="BZ148" s="281"/>
      <c r="CA148" s="283">
        <v>30</v>
      </c>
      <c r="CB148" s="282"/>
    </row>
    <row r="149" spans="2:80" ht="18.75" thickBot="1">
      <c r="B149" s="1059"/>
      <c r="C149" s="1060"/>
      <c r="D149" s="1060"/>
      <c r="E149" s="1060"/>
      <c r="F149" s="1060"/>
      <c r="G149" s="1061"/>
      <c r="H149" s="1061"/>
      <c r="I149" s="1061"/>
      <c r="J149" s="1062"/>
      <c r="K149" s="1076"/>
      <c r="L149" s="1073"/>
      <c r="M149" s="1073"/>
      <c r="N149" s="1074"/>
      <c r="O149" s="1074"/>
      <c r="P149" s="1075"/>
      <c r="Q149" s="1084"/>
      <c r="R149" s="1085"/>
      <c r="S149" s="1085"/>
      <c r="T149" s="1085"/>
      <c r="U149" s="1085"/>
      <c r="V149" s="1085"/>
      <c r="W149" s="1085"/>
      <c r="X149" s="1085"/>
      <c r="Y149" s="1085"/>
      <c r="Z149" s="1085"/>
      <c r="AA149" s="1085"/>
      <c r="AB149" s="1085"/>
      <c r="AC149" s="1085"/>
      <c r="AD149" s="1085"/>
      <c r="AE149" s="1085"/>
      <c r="AF149" s="1085"/>
      <c r="AG149" s="1085"/>
      <c r="AH149" s="1085"/>
      <c r="AI149" s="1085"/>
      <c r="AJ149" s="1085"/>
      <c r="AK149" s="1085"/>
      <c r="AL149" s="1085"/>
      <c r="AM149" s="1085"/>
      <c r="AN149" s="1085"/>
      <c r="AO149" s="1085"/>
      <c r="AP149" s="1085"/>
      <c r="AQ149" s="1085"/>
      <c r="AR149" s="1085"/>
      <c r="AS149" s="1085"/>
      <c r="AT149" s="1086"/>
      <c r="AU149" s="1077"/>
      <c r="AV149" s="1078"/>
      <c r="AW149" s="1079"/>
      <c r="AX149" s="1080"/>
      <c r="BO149" s="281"/>
      <c r="BP149" s="281"/>
      <c r="BQ149" s="284">
        <v>45040</v>
      </c>
      <c r="BR149" s="282" t="str">
        <f t="shared" si="14"/>
        <v>月曜日</v>
      </c>
      <c r="BS149" s="282">
        <f t="shared" si="12"/>
        <v>0</v>
      </c>
      <c r="BT149" s="281"/>
      <c r="BU149" s="281"/>
      <c r="BV149" s="281"/>
      <c r="BW149" s="281"/>
      <c r="BX149" s="281"/>
      <c r="BY149" s="281"/>
      <c r="BZ149" s="281"/>
      <c r="CA149" s="287"/>
      <c r="CB149" s="281"/>
    </row>
    <row r="150" spans="2:80" ht="18.75" thickTop="1">
      <c r="BO150" s="281"/>
      <c r="BP150" s="281"/>
      <c r="BQ150" s="284">
        <v>45041</v>
      </c>
      <c r="BR150" s="282" t="str">
        <f t="shared" si="14"/>
        <v>火曜日</v>
      </c>
      <c r="BS150" s="282">
        <f t="shared" si="12"/>
        <v>0</v>
      </c>
      <c r="BT150" s="281"/>
      <c r="BU150" s="281"/>
      <c r="BV150" s="281"/>
      <c r="BW150" s="281"/>
      <c r="BX150" s="281"/>
      <c r="BY150" s="281"/>
      <c r="BZ150" s="281"/>
      <c r="CA150" s="287"/>
      <c r="CB150" s="281"/>
    </row>
    <row r="151" spans="2:80">
      <c r="BO151" s="281"/>
      <c r="BP151" s="281"/>
      <c r="BQ151" s="284">
        <v>45042</v>
      </c>
      <c r="BR151" s="282" t="str">
        <f t="shared" si="14"/>
        <v>水曜日</v>
      </c>
      <c r="BS151" s="282">
        <f t="shared" si="12"/>
        <v>0</v>
      </c>
      <c r="BT151" s="281"/>
      <c r="BU151" s="281"/>
      <c r="BV151" s="281"/>
      <c r="BW151" s="281"/>
      <c r="BX151" s="281"/>
      <c r="BY151" s="281"/>
      <c r="BZ151" s="281"/>
      <c r="CA151" s="287"/>
      <c r="CB151" s="281"/>
    </row>
    <row r="152" spans="2:80">
      <c r="BO152" s="281"/>
      <c r="BP152" s="281"/>
      <c r="BQ152" s="284">
        <v>45043</v>
      </c>
      <c r="BR152" s="282" t="str">
        <f t="shared" si="14"/>
        <v>木曜日</v>
      </c>
      <c r="BS152" s="282">
        <f t="shared" si="12"/>
        <v>0</v>
      </c>
      <c r="BT152" s="281"/>
      <c r="BU152" s="281"/>
      <c r="BV152" s="281"/>
      <c r="BW152" s="281"/>
      <c r="BX152" s="281"/>
      <c r="BY152" s="281"/>
      <c r="BZ152" s="281"/>
      <c r="CA152" s="287"/>
      <c r="CB152" s="281"/>
    </row>
    <row r="153" spans="2:80">
      <c r="BO153" s="281"/>
      <c r="BP153" s="281"/>
      <c r="BQ153" s="284">
        <v>45044</v>
      </c>
      <c r="BR153" s="282" t="str">
        <f t="shared" si="14"/>
        <v>金曜日</v>
      </c>
      <c r="BS153" s="282">
        <f t="shared" si="12"/>
        <v>0</v>
      </c>
      <c r="BT153" s="281"/>
      <c r="BU153" s="281"/>
      <c r="BV153" s="281"/>
      <c r="BW153" s="281"/>
      <c r="BX153" s="281"/>
      <c r="BY153" s="281"/>
      <c r="BZ153" s="281"/>
      <c r="CA153" s="287"/>
      <c r="CB153" s="281"/>
    </row>
    <row r="154" spans="2:80">
      <c r="BO154" s="281"/>
      <c r="BP154" s="281"/>
      <c r="BQ154" s="284">
        <v>45045</v>
      </c>
      <c r="BR154" s="282" t="str">
        <f t="shared" si="14"/>
        <v>土曜日</v>
      </c>
      <c r="BS154" s="282">
        <f t="shared" si="12"/>
        <v>0</v>
      </c>
      <c r="BT154" s="281"/>
      <c r="BU154" s="281"/>
      <c r="BV154" s="281"/>
      <c r="BW154" s="281"/>
      <c r="BX154" s="281"/>
      <c r="BY154" s="281"/>
      <c r="BZ154" s="281"/>
      <c r="CA154" s="287"/>
      <c r="CB154" s="281"/>
    </row>
    <row r="155" spans="2:80">
      <c r="BO155" s="281"/>
      <c r="BP155" s="281"/>
      <c r="BQ155" s="284">
        <v>45046</v>
      </c>
      <c r="BR155" s="282" t="str">
        <f t="shared" si="14"/>
        <v>日曜日</v>
      </c>
      <c r="BS155" s="282">
        <f t="shared" si="12"/>
        <v>0</v>
      </c>
      <c r="BT155" s="281"/>
      <c r="BU155" s="281"/>
      <c r="BV155" s="281"/>
      <c r="BW155" s="281"/>
      <c r="BX155" s="281"/>
      <c r="BY155" s="281"/>
      <c r="BZ155" s="281"/>
      <c r="CA155" s="287"/>
      <c r="CB155" s="281"/>
    </row>
    <row r="156" spans="2:80">
      <c r="BO156" s="281"/>
      <c r="BP156" s="281"/>
      <c r="BQ156" s="284">
        <v>45047</v>
      </c>
      <c r="BR156" s="282" t="str">
        <f t="shared" si="14"/>
        <v>月曜日</v>
      </c>
      <c r="BS156" s="282">
        <f t="shared" si="12"/>
        <v>0</v>
      </c>
      <c r="BT156" s="281"/>
      <c r="BU156" s="281"/>
      <c r="BV156" s="281"/>
      <c r="BW156" s="281"/>
      <c r="BX156" s="281"/>
      <c r="BY156" s="281"/>
      <c r="BZ156" s="281"/>
      <c r="CA156" s="287"/>
      <c r="CB156" s="281"/>
    </row>
    <row r="157" spans="2:80">
      <c r="BO157" s="281"/>
      <c r="BP157" s="281"/>
      <c r="BQ157" s="284">
        <v>45048</v>
      </c>
      <c r="BR157" s="282" t="str">
        <f t="shared" si="14"/>
        <v>火曜日</v>
      </c>
      <c r="BS157" s="282">
        <f t="shared" si="12"/>
        <v>0</v>
      </c>
      <c r="BT157" s="281"/>
      <c r="BU157" s="281"/>
      <c r="BV157" s="281"/>
      <c r="BW157" s="281"/>
      <c r="BX157" s="281"/>
      <c r="BY157" s="281"/>
      <c r="BZ157" s="281"/>
      <c r="CA157" s="287"/>
      <c r="CB157" s="281"/>
    </row>
    <row r="158" spans="2:80">
      <c r="BO158" s="281"/>
      <c r="BP158" s="281"/>
      <c r="BQ158" s="284">
        <v>45049</v>
      </c>
      <c r="BR158" s="282" t="str">
        <f t="shared" si="14"/>
        <v>水曜日</v>
      </c>
      <c r="BS158" s="282">
        <f t="shared" si="12"/>
        <v>0</v>
      </c>
      <c r="BT158" s="281"/>
      <c r="BU158" s="281"/>
      <c r="BV158" s="281"/>
      <c r="BW158" s="281"/>
      <c r="BX158" s="281"/>
      <c r="BY158" s="281"/>
      <c r="BZ158" s="281"/>
      <c r="CA158" s="287"/>
      <c r="CB158" s="281"/>
    </row>
    <row r="159" spans="2:80">
      <c r="BO159" s="281"/>
      <c r="BP159" s="281"/>
      <c r="BQ159" s="284">
        <v>45050</v>
      </c>
      <c r="BR159" s="282" t="str">
        <f t="shared" si="14"/>
        <v>木曜日</v>
      </c>
      <c r="BS159" s="282">
        <f t="shared" si="12"/>
        <v>0</v>
      </c>
      <c r="BT159" s="281"/>
      <c r="BU159" s="281"/>
      <c r="BV159" s="281"/>
      <c r="BW159" s="281"/>
      <c r="BX159" s="281"/>
      <c r="BY159" s="281"/>
      <c r="BZ159" s="281"/>
      <c r="CA159" s="287"/>
      <c r="CB159" s="281"/>
    </row>
    <row r="160" spans="2:80">
      <c r="BO160" s="281"/>
      <c r="BP160" s="281"/>
      <c r="BQ160" s="284">
        <v>45051</v>
      </c>
      <c r="BR160" s="282" t="str">
        <f t="shared" si="14"/>
        <v>金曜日</v>
      </c>
      <c r="BS160" s="282">
        <f t="shared" si="12"/>
        <v>0</v>
      </c>
      <c r="BT160" s="281"/>
      <c r="BU160" s="281"/>
      <c r="BV160" s="281"/>
      <c r="BW160" s="281"/>
      <c r="BX160" s="281"/>
      <c r="BY160" s="281"/>
      <c r="BZ160" s="281"/>
      <c r="CA160" s="287"/>
      <c r="CB160" s="281"/>
    </row>
    <row r="161" spans="67:80">
      <c r="BO161" s="281"/>
      <c r="BP161" s="281"/>
      <c r="BQ161" s="284">
        <v>45052</v>
      </c>
      <c r="BR161" s="282" t="str">
        <f t="shared" si="14"/>
        <v>土曜日</v>
      </c>
      <c r="BS161" s="282">
        <f t="shared" si="12"/>
        <v>0</v>
      </c>
      <c r="BT161" s="281"/>
      <c r="BU161" s="281"/>
      <c r="BV161" s="281"/>
      <c r="BW161" s="281"/>
      <c r="BX161" s="281"/>
      <c r="BY161" s="281"/>
      <c r="BZ161" s="281"/>
      <c r="CA161" s="287"/>
      <c r="CB161" s="281"/>
    </row>
    <row r="162" spans="67:80">
      <c r="BO162" s="281"/>
      <c r="BP162" s="281"/>
      <c r="BQ162" s="284">
        <v>45053</v>
      </c>
      <c r="BR162" s="282" t="str">
        <f t="shared" si="14"/>
        <v>日曜日</v>
      </c>
      <c r="BS162" s="282">
        <f t="shared" si="12"/>
        <v>0</v>
      </c>
      <c r="BT162" s="281"/>
      <c r="BU162" s="281"/>
      <c r="BV162" s="281"/>
      <c r="BW162" s="281"/>
      <c r="BX162" s="281"/>
      <c r="BY162" s="281"/>
      <c r="BZ162" s="281"/>
      <c r="CA162" s="287"/>
      <c r="CB162" s="281"/>
    </row>
    <row r="163" spans="67:80">
      <c r="BO163" s="281"/>
      <c r="BP163" s="281"/>
      <c r="BQ163" s="284"/>
      <c r="BR163" s="282" t="str">
        <f>TEXT(BQ163,"aaaa")</f>
        <v>土曜日</v>
      </c>
      <c r="BS163" s="282">
        <f t="shared" si="12"/>
        <v>0</v>
      </c>
      <c r="BT163" s="281"/>
      <c r="BU163" s="281"/>
      <c r="BV163" s="281"/>
      <c r="BW163" s="281"/>
      <c r="BX163" s="281"/>
      <c r="BY163" s="281"/>
      <c r="BZ163" s="281"/>
      <c r="CA163" s="287"/>
      <c r="CB163" s="281"/>
    </row>
    <row r="164" spans="67:80">
      <c r="BO164" s="281"/>
      <c r="BP164" s="281"/>
      <c r="BQ164" s="284"/>
      <c r="BR164" s="282"/>
      <c r="BS164" s="282"/>
      <c r="BT164" s="281"/>
      <c r="BU164" s="281"/>
      <c r="BV164" s="281"/>
      <c r="BW164" s="281"/>
      <c r="BX164" s="281"/>
      <c r="BY164" s="281"/>
      <c r="BZ164" s="281"/>
      <c r="CA164" s="287"/>
      <c r="CB164" s="281"/>
    </row>
    <row r="165" spans="67:80">
      <c r="BO165" s="281"/>
      <c r="BP165" s="281"/>
      <c r="BQ165" s="284"/>
      <c r="BR165" s="282" t="str">
        <f t="shared" si="14"/>
        <v>土曜日</v>
      </c>
      <c r="BS165" s="282">
        <f t="shared" ref="BS165:BS170" si="15">VLOOKUP(BR165,$BV$126:$BW$132,2,FALSE)</f>
        <v>0</v>
      </c>
      <c r="BT165" s="281"/>
      <c r="BU165" s="281"/>
      <c r="BV165" s="281"/>
      <c r="BW165" s="281"/>
      <c r="BX165" s="281"/>
      <c r="BY165" s="281"/>
      <c r="BZ165" s="281"/>
      <c r="CA165" s="287"/>
      <c r="CB165" s="281"/>
    </row>
    <row r="166" spans="67:80">
      <c r="BO166" s="281"/>
      <c r="BP166" s="281"/>
      <c r="BQ166" s="284"/>
      <c r="BR166" s="282" t="str">
        <f t="shared" si="14"/>
        <v>土曜日</v>
      </c>
      <c r="BS166" s="282">
        <f t="shared" si="15"/>
        <v>0</v>
      </c>
      <c r="BT166" s="281"/>
      <c r="BU166" s="281"/>
      <c r="BV166" s="281"/>
      <c r="BW166" s="281"/>
      <c r="BX166" s="281"/>
      <c r="BY166" s="281"/>
      <c r="BZ166" s="281"/>
      <c r="CA166" s="287"/>
      <c r="CB166" s="281"/>
    </row>
    <row r="167" spans="67:80">
      <c r="BO167" s="281"/>
      <c r="BP167" s="281"/>
      <c r="BQ167" s="284"/>
      <c r="BR167" s="282" t="str">
        <f t="shared" si="14"/>
        <v>土曜日</v>
      </c>
      <c r="BS167" s="282">
        <f t="shared" si="15"/>
        <v>0</v>
      </c>
      <c r="BT167" s="281"/>
      <c r="BU167" s="281"/>
      <c r="BV167" s="281"/>
      <c r="BW167" s="281"/>
      <c r="BX167" s="281"/>
      <c r="BY167" s="281"/>
      <c r="BZ167" s="281"/>
      <c r="CA167" s="287"/>
      <c r="CB167" s="281"/>
    </row>
    <row r="168" spans="67:80">
      <c r="BO168" s="281"/>
      <c r="BP168" s="281"/>
      <c r="BQ168" s="284"/>
      <c r="BR168" s="282" t="str">
        <f t="shared" si="14"/>
        <v>土曜日</v>
      </c>
      <c r="BS168" s="282">
        <f t="shared" si="15"/>
        <v>0</v>
      </c>
      <c r="BT168" s="281"/>
      <c r="BU168" s="281"/>
      <c r="BV168" s="281"/>
      <c r="BW168" s="281"/>
      <c r="BX168" s="281"/>
      <c r="BY168" s="281"/>
      <c r="BZ168" s="281"/>
      <c r="CA168" s="287"/>
      <c r="CB168" s="281"/>
    </row>
    <row r="169" spans="67:80">
      <c r="BO169" s="281"/>
      <c r="BP169" s="281"/>
      <c r="BQ169" s="284"/>
      <c r="BR169" s="282" t="str">
        <f t="shared" si="14"/>
        <v>土曜日</v>
      </c>
      <c r="BS169" s="282">
        <f t="shared" si="15"/>
        <v>0</v>
      </c>
      <c r="BT169" s="281"/>
      <c r="BU169" s="281"/>
      <c r="BV169" s="281"/>
      <c r="BW169" s="281"/>
      <c r="BX169" s="281"/>
      <c r="BY169" s="281"/>
      <c r="BZ169" s="281"/>
      <c r="CA169" s="287"/>
      <c r="CB169" s="281"/>
    </row>
    <row r="170" spans="67:80">
      <c r="BO170" s="281"/>
      <c r="BP170" s="281"/>
      <c r="BQ170" s="284"/>
      <c r="BR170" s="282" t="str">
        <f t="shared" si="14"/>
        <v>土曜日</v>
      </c>
      <c r="BS170" s="282">
        <f t="shared" si="15"/>
        <v>0</v>
      </c>
      <c r="BT170" s="281"/>
      <c r="BU170" s="281"/>
      <c r="BV170" s="281"/>
      <c r="BW170" s="281"/>
      <c r="BX170" s="281"/>
      <c r="BY170" s="281"/>
      <c r="BZ170" s="281"/>
      <c r="CA170" s="287"/>
      <c r="CB170" s="281"/>
    </row>
  </sheetData>
  <mergeCells count="366">
    <mergeCell ref="AD110:AE112"/>
    <mergeCell ref="AF110:AX112"/>
    <mergeCell ref="AD113:AE115"/>
    <mergeCell ref="AF113:AX115"/>
    <mergeCell ref="AD116:AE118"/>
    <mergeCell ref="AF116:AX118"/>
    <mergeCell ref="AU48:AW49"/>
    <mergeCell ref="AU50:AW50"/>
    <mergeCell ref="B75:G75"/>
    <mergeCell ref="B76:G77"/>
    <mergeCell ref="H75:M75"/>
    <mergeCell ref="H76:M77"/>
    <mergeCell ref="N75:S75"/>
    <mergeCell ref="N76:S77"/>
    <mergeCell ref="F83:M85"/>
    <mergeCell ref="N83:Q85"/>
    <mergeCell ref="R83:U85"/>
    <mergeCell ref="B79:M82"/>
    <mergeCell ref="B83:E91"/>
    <mergeCell ref="F89:M91"/>
    <mergeCell ref="N89:Q91"/>
    <mergeCell ref="R89:U91"/>
    <mergeCell ref="AN48:AT48"/>
    <mergeCell ref="AX48:AX50"/>
    <mergeCell ref="B9:AX9"/>
    <mergeCell ref="B10:AX11"/>
    <mergeCell ref="B12:AX12"/>
    <mergeCell ref="B14:AY14"/>
    <mergeCell ref="A2:AY2"/>
    <mergeCell ref="B4:AX4"/>
    <mergeCell ref="B5:AX5"/>
    <mergeCell ref="B6:AX6"/>
    <mergeCell ref="B7:AX7"/>
    <mergeCell ref="B8:AX8"/>
    <mergeCell ref="B30:AY30"/>
    <mergeCell ref="B31:D31"/>
    <mergeCell ref="E31:AR31"/>
    <mergeCell ref="AS31:AV31"/>
    <mergeCell ref="AW31:AX31"/>
    <mergeCell ref="AZ31:BP31"/>
    <mergeCell ref="B27:AX27"/>
    <mergeCell ref="B28:AX28"/>
    <mergeCell ref="BA19:BE19"/>
    <mergeCell ref="BA20:BE20"/>
    <mergeCell ref="B32:D34"/>
    <mergeCell ref="E32:H32"/>
    <mergeCell ref="I32:L32"/>
    <mergeCell ref="M32:P32"/>
    <mergeCell ref="Q32:T32"/>
    <mergeCell ref="U32:X32"/>
    <mergeCell ref="E34:H34"/>
    <mergeCell ref="I34:L34"/>
    <mergeCell ref="M34:P34"/>
    <mergeCell ref="Q34:T34"/>
    <mergeCell ref="U34:X34"/>
    <mergeCell ref="Y34:AB34"/>
    <mergeCell ref="AC34:AF34"/>
    <mergeCell ref="AG34:AJ34"/>
    <mergeCell ref="AK34:AN34"/>
    <mergeCell ref="AO34:AR34"/>
    <mergeCell ref="AW32:AX34"/>
    <mergeCell ref="AZ32:BP34"/>
    <mergeCell ref="E33:H33"/>
    <mergeCell ref="I33:L33"/>
    <mergeCell ref="M33:P33"/>
    <mergeCell ref="Q33:T33"/>
    <mergeCell ref="U33:X33"/>
    <mergeCell ref="Y33:AB33"/>
    <mergeCell ref="AC33:AF33"/>
    <mergeCell ref="AG33:AJ33"/>
    <mergeCell ref="Y32:AB32"/>
    <mergeCell ref="AC32:AF32"/>
    <mergeCell ref="AG32:AJ32"/>
    <mergeCell ref="AK32:AN32"/>
    <mergeCell ref="AO32:AR32"/>
    <mergeCell ref="AS32:AV34"/>
    <mergeCell ref="AK33:AN33"/>
    <mergeCell ref="AO33:AR33"/>
    <mergeCell ref="U37:X37"/>
    <mergeCell ref="Y37:AB37"/>
    <mergeCell ref="AC37:AF37"/>
    <mergeCell ref="AG37:AJ37"/>
    <mergeCell ref="AK37:AN37"/>
    <mergeCell ref="AO37:AR37"/>
    <mergeCell ref="AW35:AX42"/>
    <mergeCell ref="AZ35:BP42"/>
    <mergeCell ref="E36:H36"/>
    <mergeCell ref="I36:L36"/>
    <mergeCell ref="M36:P36"/>
    <mergeCell ref="Q36:T36"/>
    <mergeCell ref="U36:X36"/>
    <mergeCell ref="Y36:AB36"/>
    <mergeCell ref="AC36:AF36"/>
    <mergeCell ref="AG36:AJ36"/>
    <mergeCell ref="Y35:AB35"/>
    <mergeCell ref="AC35:AF35"/>
    <mergeCell ref="AG35:AJ35"/>
    <mergeCell ref="AK35:AN35"/>
    <mergeCell ref="AO35:AR35"/>
    <mergeCell ref="AS35:AV42"/>
    <mergeCell ref="AK36:AN36"/>
    <mergeCell ref="AO36:AR36"/>
    <mergeCell ref="AK40:AN40"/>
    <mergeCell ref="AK38:AN38"/>
    <mergeCell ref="AO38:AR38"/>
    <mergeCell ref="E39:H39"/>
    <mergeCell ref="I39:L39"/>
    <mergeCell ref="M39:P39"/>
    <mergeCell ref="Q39:T39"/>
    <mergeCell ref="U39:X39"/>
    <mergeCell ref="Y39:AB39"/>
    <mergeCell ref="AC39:AF39"/>
    <mergeCell ref="AG39:AJ39"/>
    <mergeCell ref="E38:H38"/>
    <mergeCell ref="I38:L38"/>
    <mergeCell ref="M38:P38"/>
    <mergeCell ref="Q38:T38"/>
    <mergeCell ref="U38:X38"/>
    <mergeCell ref="Y38:AB38"/>
    <mergeCell ref="AC38:AF38"/>
    <mergeCell ref="AG38:AJ38"/>
    <mergeCell ref="AK39:AN39"/>
    <mergeCell ref="AO39:AR39"/>
    <mergeCell ref="Y42:AB42"/>
    <mergeCell ref="AC42:AF42"/>
    <mergeCell ref="AG42:AJ42"/>
    <mergeCell ref="B48:I51"/>
    <mergeCell ref="J48:AM48"/>
    <mergeCell ref="AO40:AR40"/>
    <mergeCell ref="E41:H41"/>
    <mergeCell ref="I41:L41"/>
    <mergeCell ref="M41:P41"/>
    <mergeCell ref="Q41:T41"/>
    <mergeCell ref="U41:X41"/>
    <mergeCell ref="Y41:AB41"/>
    <mergeCell ref="AC41:AF41"/>
    <mergeCell ref="AG41:AJ41"/>
    <mergeCell ref="AK41:AN41"/>
    <mergeCell ref="AO41:AR41"/>
    <mergeCell ref="E40:H40"/>
    <mergeCell ref="I40:L40"/>
    <mergeCell ref="M40:P40"/>
    <mergeCell ref="Q40:T40"/>
    <mergeCell ref="U40:X40"/>
    <mergeCell ref="Y40:AB40"/>
    <mergeCell ref="AC40:AF40"/>
    <mergeCell ref="AG40:AJ40"/>
    <mergeCell ref="AZ48:BP50"/>
    <mergeCell ref="AU51:AW51"/>
    <mergeCell ref="AZ51:BP51"/>
    <mergeCell ref="AK42:AN42"/>
    <mergeCell ref="AO42:AR42"/>
    <mergeCell ref="B44:AY44"/>
    <mergeCell ref="B45:AW45"/>
    <mergeCell ref="B46:AW46"/>
    <mergeCell ref="B47:AX47"/>
    <mergeCell ref="B35:D42"/>
    <mergeCell ref="E35:H35"/>
    <mergeCell ref="I35:L35"/>
    <mergeCell ref="M35:P35"/>
    <mergeCell ref="Q35:T35"/>
    <mergeCell ref="U35:X35"/>
    <mergeCell ref="E37:H37"/>
    <mergeCell ref="I37:L37"/>
    <mergeCell ref="M37:P37"/>
    <mergeCell ref="Q37:T37"/>
    <mergeCell ref="E42:H42"/>
    <mergeCell ref="I42:L42"/>
    <mergeCell ref="M42:P42"/>
    <mergeCell ref="Q42:T42"/>
    <mergeCell ref="U42:X42"/>
    <mergeCell ref="B56:I56"/>
    <mergeCell ref="AU56:AW56"/>
    <mergeCell ref="AZ56:BP56"/>
    <mergeCell ref="B52:I52"/>
    <mergeCell ref="AU52:AW52"/>
    <mergeCell ref="AX52:AX54"/>
    <mergeCell ref="AZ52:BP52"/>
    <mergeCell ref="B53:I53"/>
    <mergeCell ref="AU53:AW53"/>
    <mergeCell ref="AZ53:BP53"/>
    <mergeCell ref="B54:I54"/>
    <mergeCell ref="AU54:AW54"/>
    <mergeCell ref="AZ54:BP54"/>
    <mergeCell ref="BA65:BC65"/>
    <mergeCell ref="B66:AY66"/>
    <mergeCell ref="BA66:BC66"/>
    <mergeCell ref="B67:AX67"/>
    <mergeCell ref="B68:AX68"/>
    <mergeCell ref="B70:AX73"/>
    <mergeCell ref="BA72:BC72"/>
    <mergeCell ref="BA73:BC73"/>
    <mergeCell ref="AU62:AW62"/>
    <mergeCell ref="AZ62:BP62"/>
    <mergeCell ref="F63:I63"/>
    <mergeCell ref="AU63:AW63"/>
    <mergeCell ref="AZ63:BP63"/>
    <mergeCell ref="B64:I64"/>
    <mergeCell ref="AU64:AW64"/>
    <mergeCell ref="AZ64:BP64"/>
    <mergeCell ref="B61:E63"/>
    <mergeCell ref="F61:I61"/>
    <mergeCell ref="AU61:AW61"/>
    <mergeCell ref="AX61:AX64"/>
    <mergeCell ref="AZ61:BP61"/>
    <mergeCell ref="F62:I62"/>
    <mergeCell ref="B65:AX65"/>
    <mergeCell ref="BA74:BC74"/>
    <mergeCell ref="T75:U75"/>
    <mergeCell ref="X75:AB75"/>
    <mergeCell ref="AC75:AG75"/>
    <mergeCell ref="AI75:AX77"/>
    <mergeCell ref="AF79:AX82"/>
    <mergeCell ref="N81:Q82"/>
    <mergeCell ref="R81:U82"/>
    <mergeCell ref="V81:Y82"/>
    <mergeCell ref="T76:U77"/>
    <mergeCell ref="X76:AB77"/>
    <mergeCell ref="AC76:AG77"/>
    <mergeCell ref="AD79:AE82"/>
    <mergeCell ref="N79:AC80"/>
    <mergeCell ref="Z81:AC82"/>
    <mergeCell ref="AD83:AE85"/>
    <mergeCell ref="AF83:AX85"/>
    <mergeCell ref="F86:M88"/>
    <mergeCell ref="N86:Q88"/>
    <mergeCell ref="R86:U88"/>
    <mergeCell ref="V86:Y88"/>
    <mergeCell ref="Z86:AC88"/>
    <mergeCell ref="AD86:AE88"/>
    <mergeCell ref="AF86:AX88"/>
    <mergeCell ref="V83:Y85"/>
    <mergeCell ref="Z83:AC85"/>
    <mergeCell ref="F101:M103"/>
    <mergeCell ref="B95:M97"/>
    <mergeCell ref="N95:Q97"/>
    <mergeCell ref="R95:U97"/>
    <mergeCell ref="V95:Y97"/>
    <mergeCell ref="Z95:AC97"/>
    <mergeCell ref="AD95:AE97"/>
    <mergeCell ref="AF104:AX106"/>
    <mergeCell ref="V89:Y91"/>
    <mergeCell ref="Z89:AC91"/>
    <mergeCell ref="AD89:AE91"/>
    <mergeCell ref="AF89:AX91"/>
    <mergeCell ref="N92:Q94"/>
    <mergeCell ref="R92:U94"/>
    <mergeCell ref="V92:Y94"/>
    <mergeCell ref="Z92:AC94"/>
    <mergeCell ref="AD92:AE94"/>
    <mergeCell ref="AF92:AX94"/>
    <mergeCell ref="AD107:AE109"/>
    <mergeCell ref="AF107:AX109"/>
    <mergeCell ref="F104:M106"/>
    <mergeCell ref="N104:Q106"/>
    <mergeCell ref="R104:U106"/>
    <mergeCell ref="V104:Y106"/>
    <mergeCell ref="Z104:AC106"/>
    <mergeCell ref="AD104:AE106"/>
    <mergeCell ref="B92:M94"/>
    <mergeCell ref="N101:Q103"/>
    <mergeCell ref="R101:U103"/>
    <mergeCell ref="V101:Y103"/>
    <mergeCell ref="Z101:AC103"/>
    <mergeCell ref="AD101:AE103"/>
    <mergeCell ref="AF101:AX103"/>
    <mergeCell ref="AF95:AX97"/>
    <mergeCell ref="B98:E106"/>
    <mergeCell ref="F98:M100"/>
    <mergeCell ref="N98:Q100"/>
    <mergeCell ref="R98:U100"/>
    <mergeCell ref="V98:Y100"/>
    <mergeCell ref="Z98:AC100"/>
    <mergeCell ref="AD98:AE100"/>
    <mergeCell ref="AF98:AX100"/>
    <mergeCell ref="Z113:AC115"/>
    <mergeCell ref="F119:M121"/>
    <mergeCell ref="N119:Q121"/>
    <mergeCell ref="R119:U121"/>
    <mergeCell ref="V119:Y121"/>
    <mergeCell ref="Z119:AC121"/>
    <mergeCell ref="B107:M109"/>
    <mergeCell ref="N107:Q109"/>
    <mergeCell ref="R107:U109"/>
    <mergeCell ref="V107:Y109"/>
    <mergeCell ref="Z107:AC109"/>
    <mergeCell ref="AD119:AE121"/>
    <mergeCell ref="AF119:AX121"/>
    <mergeCell ref="B123:AX123"/>
    <mergeCell ref="B126:J127"/>
    <mergeCell ref="B128:J129"/>
    <mergeCell ref="AU126:AX127"/>
    <mergeCell ref="AU128:AX129"/>
    <mergeCell ref="K126:P127"/>
    <mergeCell ref="K128:P129"/>
    <mergeCell ref="B110:E121"/>
    <mergeCell ref="F110:M112"/>
    <mergeCell ref="N110:Q112"/>
    <mergeCell ref="R110:U112"/>
    <mergeCell ref="V110:Y112"/>
    <mergeCell ref="Z110:AC112"/>
    <mergeCell ref="F116:M118"/>
    <mergeCell ref="N116:Q118"/>
    <mergeCell ref="R116:U118"/>
    <mergeCell ref="V116:Y118"/>
    <mergeCell ref="Z116:AC118"/>
    <mergeCell ref="F113:M115"/>
    <mergeCell ref="N113:Q115"/>
    <mergeCell ref="R113:U115"/>
    <mergeCell ref="V113:Y115"/>
    <mergeCell ref="B130:J131"/>
    <mergeCell ref="B132:J133"/>
    <mergeCell ref="AU130:AX131"/>
    <mergeCell ref="AU132:AX133"/>
    <mergeCell ref="K132:P133"/>
    <mergeCell ref="K130:P131"/>
    <mergeCell ref="AU124:AX125"/>
    <mergeCell ref="B124:J125"/>
    <mergeCell ref="K124:P125"/>
    <mergeCell ref="Q124:AT125"/>
    <mergeCell ref="Q126:AT127"/>
    <mergeCell ref="Q128:AT129"/>
    <mergeCell ref="Q130:AT131"/>
    <mergeCell ref="Q132:AT133"/>
    <mergeCell ref="B134:J135"/>
    <mergeCell ref="B136:J137"/>
    <mergeCell ref="AU134:AX135"/>
    <mergeCell ref="AU136:AX137"/>
    <mergeCell ref="K136:P137"/>
    <mergeCell ref="K134:P135"/>
    <mergeCell ref="B138:J139"/>
    <mergeCell ref="B140:J141"/>
    <mergeCell ref="AU138:AX139"/>
    <mergeCell ref="AU140:AX141"/>
    <mergeCell ref="K140:P141"/>
    <mergeCell ref="K138:P139"/>
    <mergeCell ref="Q134:AT135"/>
    <mergeCell ref="Q136:AT137"/>
    <mergeCell ref="Q138:AT139"/>
    <mergeCell ref="Q140:AT141"/>
    <mergeCell ref="B142:J143"/>
    <mergeCell ref="B144:J145"/>
    <mergeCell ref="AU142:AX143"/>
    <mergeCell ref="AU144:AX145"/>
    <mergeCell ref="K144:P145"/>
    <mergeCell ref="K142:P143"/>
    <mergeCell ref="B146:J147"/>
    <mergeCell ref="B148:J149"/>
    <mergeCell ref="AU146:AX147"/>
    <mergeCell ref="AU148:AX149"/>
    <mergeCell ref="K148:P149"/>
    <mergeCell ref="K146:P147"/>
    <mergeCell ref="Q144:AT145"/>
    <mergeCell ref="Q146:AT147"/>
    <mergeCell ref="Q148:AT149"/>
    <mergeCell ref="Q142:AT143"/>
    <mergeCell ref="B16:F17"/>
    <mergeCell ref="B18:F19"/>
    <mergeCell ref="G16:K17"/>
    <mergeCell ref="L16:P17"/>
    <mergeCell ref="G18:H19"/>
    <mergeCell ref="J18:K19"/>
    <mergeCell ref="L18:M19"/>
    <mergeCell ref="O18:P19"/>
    <mergeCell ref="I18:I19"/>
    <mergeCell ref="N18:N19"/>
  </mergeCells>
  <phoneticPr fontId="9"/>
  <conditionalFormatting sqref="J51:AT51">
    <cfRule type="containsText" dxfId="353" priority="177" operator="containsText" text="休">
      <formula>NOT(ISERROR(SEARCH("休",J51)))</formula>
    </cfRule>
  </conditionalFormatting>
  <conditionalFormatting sqref="J49:J51">
    <cfRule type="expression" dxfId="352" priority="170">
      <formula>$J$51="休"</formula>
    </cfRule>
    <cfRule type="expression" dxfId="351" priority="176">
      <formula>$J$51="休"</formula>
    </cfRule>
  </conditionalFormatting>
  <conditionalFormatting sqref="K49:K51">
    <cfRule type="expression" dxfId="350" priority="175">
      <formula>$K$51="休"</formula>
    </cfRule>
  </conditionalFormatting>
  <conditionalFormatting sqref="L49:L51">
    <cfRule type="expression" dxfId="349" priority="171">
      <formula>$L$51="休"</formula>
    </cfRule>
    <cfRule type="expression" priority="174">
      <formula>$L$51="休"</formula>
    </cfRule>
  </conditionalFormatting>
  <conditionalFormatting sqref="M49:M51">
    <cfRule type="expression" dxfId="348" priority="169">
      <formula>$M$51="休"</formula>
    </cfRule>
  </conditionalFormatting>
  <conditionalFormatting sqref="N49:N51">
    <cfRule type="expression" dxfId="347" priority="173">
      <formula>$N$51="休"</formula>
    </cfRule>
  </conditionalFormatting>
  <conditionalFormatting sqref="O49:O51">
    <cfRule type="expression" dxfId="346" priority="172">
      <formula>$O$51="休"</formula>
    </cfRule>
  </conditionalFormatting>
  <conditionalFormatting sqref="P49:P51">
    <cfRule type="expression" dxfId="345" priority="168">
      <formula>$P$51="休"</formula>
    </cfRule>
  </conditionalFormatting>
  <conditionalFormatting sqref="Q49:Q51">
    <cfRule type="expression" dxfId="344" priority="167">
      <formula>$Q$51="休"</formula>
    </cfRule>
  </conditionalFormatting>
  <conditionalFormatting sqref="R49:R51">
    <cfRule type="expression" dxfId="343" priority="166">
      <formula>$R$51="休"</formula>
    </cfRule>
  </conditionalFormatting>
  <conditionalFormatting sqref="S49:S51">
    <cfRule type="expression" dxfId="342" priority="165">
      <formula>$S$51="休"</formula>
    </cfRule>
  </conditionalFormatting>
  <conditionalFormatting sqref="T49:T51">
    <cfRule type="expression" dxfId="341" priority="164">
      <formula>$T$51="休"</formula>
    </cfRule>
  </conditionalFormatting>
  <conditionalFormatting sqref="U49:U51">
    <cfRule type="expression" dxfId="340" priority="163">
      <formula>$U$51="休"</formula>
    </cfRule>
  </conditionalFormatting>
  <conditionalFormatting sqref="V49:V51">
    <cfRule type="expression" dxfId="339" priority="162">
      <formula>$V$51="休"</formula>
    </cfRule>
  </conditionalFormatting>
  <conditionalFormatting sqref="W49:W51">
    <cfRule type="expression" dxfId="338" priority="161">
      <formula>$W$51="休"</formula>
    </cfRule>
  </conditionalFormatting>
  <conditionalFormatting sqref="X49:X51">
    <cfRule type="expression" dxfId="337" priority="160">
      <formula>$X$51="休"</formula>
    </cfRule>
  </conditionalFormatting>
  <conditionalFormatting sqref="Y49:Y51">
    <cfRule type="expression" dxfId="336" priority="159">
      <formula>$Y$51="休"</formula>
    </cfRule>
  </conditionalFormatting>
  <conditionalFormatting sqref="Z49:Z51">
    <cfRule type="expression" dxfId="335" priority="158">
      <formula>$Z$51="休"</formula>
    </cfRule>
  </conditionalFormatting>
  <conditionalFormatting sqref="AA49:AA51">
    <cfRule type="expression" dxfId="334" priority="157">
      <formula>$AA$51="休"</formula>
    </cfRule>
  </conditionalFormatting>
  <conditionalFormatting sqref="AB49:AB51">
    <cfRule type="expression" dxfId="333" priority="156">
      <formula>$AB$51="休"</formula>
    </cfRule>
  </conditionalFormatting>
  <conditionalFormatting sqref="AC49:AC51">
    <cfRule type="expression" dxfId="332" priority="155">
      <formula>$AC$51="休"</formula>
    </cfRule>
  </conditionalFormatting>
  <conditionalFormatting sqref="AD49:AD51">
    <cfRule type="expression" dxfId="331" priority="154">
      <formula>$AD$51="休"</formula>
    </cfRule>
  </conditionalFormatting>
  <conditionalFormatting sqref="AE49:AE51">
    <cfRule type="expression" dxfId="330" priority="153">
      <formula>$AE$51="休"</formula>
    </cfRule>
  </conditionalFormatting>
  <conditionalFormatting sqref="AF49:AF51">
    <cfRule type="expression" dxfId="329" priority="152">
      <formula>$AF$51="休"</formula>
    </cfRule>
  </conditionalFormatting>
  <conditionalFormatting sqref="AG49:AG51">
    <cfRule type="expression" dxfId="328" priority="151">
      <formula>$AG$51="休"</formula>
    </cfRule>
  </conditionalFormatting>
  <conditionalFormatting sqref="AH49:AH51">
    <cfRule type="expression" dxfId="327" priority="150">
      <formula>$AH$51="休"</formula>
    </cfRule>
  </conditionalFormatting>
  <conditionalFormatting sqref="AI49:AI51">
    <cfRule type="expression" dxfId="326" priority="149">
      <formula>$AI$51="休"</formula>
    </cfRule>
  </conditionalFormatting>
  <conditionalFormatting sqref="AJ49:AJ51">
    <cfRule type="expression" dxfId="325" priority="148">
      <formula>$AJ$51="休"</formula>
    </cfRule>
  </conditionalFormatting>
  <conditionalFormatting sqref="AK49:AK51">
    <cfRule type="expression" dxfId="324" priority="147">
      <formula>$AK$51="休"</formula>
    </cfRule>
  </conditionalFormatting>
  <conditionalFormatting sqref="AL49:AL51">
    <cfRule type="expression" dxfId="323" priority="146">
      <formula>$AL$51="休"</formula>
    </cfRule>
  </conditionalFormatting>
  <conditionalFormatting sqref="AM49:AM51">
    <cfRule type="expression" dxfId="322" priority="145">
      <formula>$AM$51="休"</formula>
    </cfRule>
  </conditionalFormatting>
  <conditionalFormatting sqref="AN49:AN51">
    <cfRule type="expression" dxfId="321" priority="144">
      <formula>$AN$51="休"</formula>
    </cfRule>
  </conditionalFormatting>
  <conditionalFormatting sqref="AO49:AO51">
    <cfRule type="expression" dxfId="320" priority="143">
      <formula>$AO$51="休"</formula>
    </cfRule>
  </conditionalFormatting>
  <conditionalFormatting sqref="AP49:AP51">
    <cfRule type="expression" dxfId="319" priority="142">
      <formula>$AP$51="休"</formula>
    </cfRule>
  </conditionalFormatting>
  <conditionalFormatting sqref="AQ49:AQ51">
    <cfRule type="expression" dxfId="318" priority="141">
      <formula>$AQ$51="休"</formula>
    </cfRule>
  </conditionalFormatting>
  <conditionalFormatting sqref="AR49:AR51">
    <cfRule type="expression" dxfId="317" priority="140">
      <formula>$AR$51="休"</formula>
    </cfRule>
  </conditionalFormatting>
  <conditionalFormatting sqref="AS49:AS51">
    <cfRule type="expression" dxfId="316" priority="139">
      <formula>$AS$51="休"</formula>
    </cfRule>
  </conditionalFormatting>
  <conditionalFormatting sqref="AT49:AT51">
    <cfRule type="expression" dxfId="315" priority="138">
      <formula>$AT$51="休"</formula>
    </cfRule>
  </conditionalFormatting>
  <conditionalFormatting sqref="AX56 AX51:AX52 AW32:AX42">
    <cfRule type="containsText" dxfId="314" priority="137" operator="containsText" text="×">
      <formula>NOT(ISERROR(SEARCH("×",AW32)))</formula>
    </cfRule>
  </conditionalFormatting>
  <conditionalFormatting sqref="B14:AY14">
    <cfRule type="containsText" dxfId="313" priority="134" operator="containsText" text="×">
      <formula>NOT(ISERROR(SEARCH("×",B14)))</formula>
    </cfRule>
  </conditionalFormatting>
  <conditionalFormatting sqref="B30:AY30">
    <cfRule type="containsText" dxfId="312" priority="133" operator="containsText" text="×">
      <formula>NOT(ISERROR(SEARCH("×",B30)))</formula>
    </cfRule>
  </conditionalFormatting>
  <conditionalFormatting sqref="B44:AY44">
    <cfRule type="containsText" dxfId="311" priority="132" operator="containsText" text="×">
      <formula>NOT(ISERROR(SEARCH("×",B44)))</formula>
    </cfRule>
  </conditionalFormatting>
  <conditionalFormatting sqref="AD83:AE121">
    <cfRule type="containsText" dxfId="310" priority="128" operator="containsText" text="×">
      <formula>NOT(ISERROR(SEARCH("×",AD83)))</formula>
    </cfRule>
  </conditionalFormatting>
  <conditionalFormatting sqref="N83:Q85">
    <cfRule type="cellIs" dxfId="309" priority="127" operator="greaterThan">
      <formula>2</formula>
    </cfRule>
  </conditionalFormatting>
  <conditionalFormatting sqref="N86:Q88">
    <cfRule type="cellIs" dxfId="308" priority="126" operator="greaterThan">
      <formula>2</formula>
    </cfRule>
  </conditionalFormatting>
  <conditionalFormatting sqref="N89:Q91">
    <cfRule type="cellIs" dxfId="307" priority="125" operator="greaterThan">
      <formula>2</formula>
    </cfRule>
  </conditionalFormatting>
  <conditionalFormatting sqref="N95:Q97">
    <cfRule type="cellIs" dxfId="306" priority="124" operator="greaterThan">
      <formula>8</formula>
    </cfRule>
  </conditionalFormatting>
  <conditionalFormatting sqref="N98:Q100">
    <cfRule type="cellIs" dxfId="305" priority="123" operator="greaterThan">
      <formula>0.5</formula>
    </cfRule>
  </conditionalFormatting>
  <conditionalFormatting sqref="N101:Q103">
    <cfRule type="cellIs" dxfId="304" priority="122" operator="greaterThan">
      <formula>0.5</formula>
    </cfRule>
  </conditionalFormatting>
  <conditionalFormatting sqref="N104:Q106">
    <cfRule type="cellIs" dxfId="303" priority="121" operator="greaterThan">
      <formula>1</formula>
    </cfRule>
  </conditionalFormatting>
  <conditionalFormatting sqref="N107:Q109">
    <cfRule type="cellIs" dxfId="302" priority="2" operator="greaterThan">
      <formula>1</formula>
    </cfRule>
    <cfRule type="cellIs" dxfId="301" priority="120" operator="greaterThan">
      <formula>2</formula>
    </cfRule>
  </conditionalFormatting>
  <conditionalFormatting sqref="N110:Q112">
    <cfRule type="cellIs" dxfId="300" priority="1" operator="greaterThan">
      <formula>1</formula>
    </cfRule>
    <cfRule type="cellIs" dxfId="299" priority="119" operator="greaterThan">
      <formula>2</formula>
    </cfRule>
  </conditionalFormatting>
  <conditionalFormatting sqref="N113:Q115">
    <cfRule type="cellIs" dxfId="298" priority="118" operator="greaterThan">
      <formula>0.5</formula>
    </cfRule>
  </conditionalFormatting>
  <conditionalFormatting sqref="N116:Q118">
    <cfRule type="cellIs" dxfId="297" priority="117" operator="greaterThan">
      <formula>1</formula>
    </cfRule>
  </conditionalFormatting>
  <conditionalFormatting sqref="N119:Q121">
    <cfRule type="cellIs" dxfId="296" priority="116" operator="greaterThan">
      <formula>0.5</formula>
    </cfRule>
  </conditionalFormatting>
  <conditionalFormatting sqref="N92:Q94">
    <cfRule type="cellIs" dxfId="295" priority="115" operator="greaterThan">
      <formula>1</formula>
    </cfRule>
  </conditionalFormatting>
  <conditionalFormatting sqref="T76:U77">
    <cfRule type="containsText" dxfId="294" priority="114" operator="containsText" text="×">
      <formula>NOT(ISERROR(SEARCH("×",T76)))</formula>
    </cfRule>
  </conditionalFormatting>
  <conditionalFormatting sqref="J53:AT53">
    <cfRule type="cellIs" dxfId="293" priority="76" operator="greaterThan">
      <formula>IF(J52="",0,J52)</formula>
    </cfRule>
  </conditionalFormatting>
  <conditionalFormatting sqref="J54:AT54">
    <cfRule type="containsText" dxfId="292" priority="75" operator="containsText" text="×">
      <formula>NOT(ISERROR(SEARCH("×",J54)))</formula>
    </cfRule>
  </conditionalFormatting>
  <conditionalFormatting sqref="J61:AT61">
    <cfRule type="cellIs" dxfId="291" priority="73" operator="greaterThan">
      <formula>$AS$35</formula>
    </cfRule>
  </conditionalFormatting>
  <conditionalFormatting sqref="J63:AT63">
    <cfRule type="cellIs" dxfId="290" priority="3" operator="lessThan">
      <formula>J62</formula>
    </cfRule>
    <cfRule type="cellIs" dxfId="289" priority="70" operator="greaterThan">
      <formula>J62*1.5</formula>
    </cfRule>
  </conditionalFormatting>
  <conditionalFormatting sqref="J64">
    <cfRule type="expression" dxfId="288" priority="69">
      <formula>$J$51="休"</formula>
    </cfRule>
  </conditionalFormatting>
  <conditionalFormatting sqref="K64:AT64">
    <cfRule type="expression" dxfId="287" priority="68">
      <formula>$K$51="休"</formula>
    </cfRule>
  </conditionalFormatting>
  <conditionalFormatting sqref="L64 AO64">
    <cfRule type="expression" dxfId="286" priority="67">
      <formula>$L$51="休"</formula>
    </cfRule>
  </conditionalFormatting>
  <conditionalFormatting sqref="M64 AP64">
    <cfRule type="expression" dxfId="285" priority="66">
      <formula>$M$51="休"</formula>
    </cfRule>
  </conditionalFormatting>
  <conditionalFormatting sqref="N64 AQ64">
    <cfRule type="expression" dxfId="284" priority="65">
      <formula>$N$51="休"</formula>
    </cfRule>
  </conditionalFormatting>
  <conditionalFormatting sqref="O64 AR64">
    <cfRule type="expression" dxfId="283" priority="64">
      <formula>$O$51="休"</formula>
    </cfRule>
  </conditionalFormatting>
  <conditionalFormatting sqref="P64 AS64">
    <cfRule type="expression" dxfId="282" priority="63">
      <formula>$P$51="休"</formula>
    </cfRule>
  </conditionalFormatting>
  <conditionalFormatting sqref="Q64 AT64">
    <cfRule type="expression" dxfId="281" priority="62">
      <formula>$Q$51="休"</formula>
    </cfRule>
  </conditionalFormatting>
  <conditionalFormatting sqref="R64">
    <cfRule type="expression" dxfId="280" priority="61">
      <formula>$R$51="休"</formula>
    </cfRule>
  </conditionalFormatting>
  <conditionalFormatting sqref="S64">
    <cfRule type="expression" dxfId="279" priority="60">
      <formula>$S$51="休"</formula>
    </cfRule>
  </conditionalFormatting>
  <conditionalFormatting sqref="T64">
    <cfRule type="expression" dxfId="278" priority="59">
      <formula>$T$51="休"</formula>
    </cfRule>
  </conditionalFormatting>
  <conditionalFormatting sqref="U64">
    <cfRule type="expression" dxfId="277" priority="58">
      <formula>$U$51="休"</formula>
    </cfRule>
  </conditionalFormatting>
  <conditionalFormatting sqref="K64:AL64">
    <cfRule type="expression" dxfId="276" priority="57">
      <formula>$V$51="休"</formula>
    </cfRule>
  </conditionalFormatting>
  <conditionalFormatting sqref="W64">
    <cfRule type="expression" dxfId="275" priority="56">
      <formula>$W$51="休"</formula>
    </cfRule>
  </conditionalFormatting>
  <conditionalFormatting sqref="X64">
    <cfRule type="expression" dxfId="274" priority="55">
      <formula>$X$51="休"</formula>
    </cfRule>
  </conditionalFormatting>
  <conditionalFormatting sqref="Y64">
    <cfRule type="expression" dxfId="273" priority="54">
      <formula>$Y$51="休"</formula>
    </cfRule>
  </conditionalFormatting>
  <conditionalFormatting sqref="Z64">
    <cfRule type="expression" dxfId="272" priority="53">
      <formula>$Z$51="休"</formula>
    </cfRule>
  </conditionalFormatting>
  <conditionalFormatting sqref="AA64">
    <cfRule type="expression" dxfId="271" priority="52">
      <formula>$AA$51="休"</formula>
    </cfRule>
  </conditionalFormatting>
  <conditionalFormatting sqref="AB64">
    <cfRule type="expression" dxfId="270" priority="51">
      <formula>$AB$51="休"</formula>
    </cfRule>
  </conditionalFormatting>
  <conditionalFormatting sqref="AC64">
    <cfRule type="expression" dxfId="269" priority="50">
      <formula>$AC$51="休"</formula>
    </cfRule>
  </conditionalFormatting>
  <conditionalFormatting sqref="AD64">
    <cfRule type="expression" dxfId="268" priority="49">
      <formula>$AD$51="休"</formula>
    </cfRule>
  </conditionalFormatting>
  <conditionalFormatting sqref="AE64">
    <cfRule type="expression" dxfId="267" priority="48">
      <formula>$AE$51="休"</formula>
    </cfRule>
  </conditionalFormatting>
  <conditionalFormatting sqref="AF64">
    <cfRule type="expression" dxfId="266" priority="47">
      <formula>$AF$51="休"</formula>
    </cfRule>
  </conditionalFormatting>
  <conditionalFormatting sqref="AG64">
    <cfRule type="expression" dxfId="265" priority="46">
      <formula>$AG$51="休"</formula>
    </cfRule>
  </conditionalFormatting>
  <conditionalFormatting sqref="AH64">
    <cfRule type="expression" dxfId="264" priority="45">
      <formula>$AH$51="休"</formula>
    </cfRule>
  </conditionalFormatting>
  <conditionalFormatting sqref="AI64">
    <cfRule type="expression" dxfId="263" priority="44">
      <formula>$AI$51="休"</formula>
    </cfRule>
  </conditionalFormatting>
  <conditionalFormatting sqref="AJ64">
    <cfRule type="expression" dxfId="262" priority="43">
      <formula>$AJ$51="休"</formula>
    </cfRule>
  </conditionalFormatting>
  <conditionalFormatting sqref="AK64">
    <cfRule type="expression" dxfId="261" priority="42">
      <formula>$AK$51="休"</formula>
    </cfRule>
  </conditionalFormatting>
  <conditionalFormatting sqref="AL64">
    <cfRule type="expression" dxfId="260" priority="41">
      <formula>$AL$51="休"</formula>
    </cfRule>
  </conditionalFormatting>
  <conditionalFormatting sqref="AM64">
    <cfRule type="expression" dxfId="259" priority="40">
      <formula>$AM$51="休"</formula>
    </cfRule>
  </conditionalFormatting>
  <conditionalFormatting sqref="AN64">
    <cfRule type="expression" dxfId="258" priority="39">
      <formula>$AN$51="休"</formula>
    </cfRule>
  </conditionalFormatting>
  <conditionalFormatting sqref="AO64">
    <cfRule type="expression" dxfId="257" priority="38">
      <formula>$AO$51="休"</formula>
    </cfRule>
  </conditionalFormatting>
  <conditionalFormatting sqref="AP64">
    <cfRule type="expression" dxfId="256" priority="37">
      <formula>$AP$51="休"</formula>
    </cfRule>
  </conditionalFormatting>
  <conditionalFormatting sqref="AQ64">
    <cfRule type="expression" dxfId="255" priority="36">
      <formula>$AQ$51="休"</formula>
    </cfRule>
  </conditionalFormatting>
  <conditionalFormatting sqref="AR64">
    <cfRule type="expression" dxfId="254" priority="35">
      <formula>$AR$51="休"</formula>
    </cfRule>
  </conditionalFormatting>
  <conditionalFormatting sqref="AS64">
    <cfRule type="expression" dxfId="253" priority="34">
      <formula>$AS$51="休"</formula>
    </cfRule>
  </conditionalFormatting>
  <conditionalFormatting sqref="AT64">
    <cfRule type="expression" dxfId="252" priority="33">
      <formula>$AT$51="休"</formula>
    </cfRule>
  </conditionalFormatting>
  <conditionalFormatting sqref="J64:AT64">
    <cfRule type="containsText" dxfId="251" priority="32" operator="containsText" text="×">
      <formula>NOT(ISERROR(SEARCH("×",J64)))</formula>
    </cfRule>
  </conditionalFormatting>
  <conditionalFormatting sqref="AX61">
    <cfRule type="containsText" dxfId="250" priority="30" operator="containsText" text="×">
      <formula>NOT(ISERROR(SEARCH("×",AX61)))</formula>
    </cfRule>
  </conditionalFormatting>
  <conditionalFormatting sqref="B66:AY66">
    <cfRule type="containsText" dxfId="249" priority="29" operator="containsText" text="×">
      <formula>NOT(ISERROR(SEARCH("×",B66)))</formula>
    </cfRule>
  </conditionalFormatting>
  <conditionalFormatting sqref="K126:M127">
    <cfRule type="cellIs" dxfId="248" priority="28" operator="greaterThan">
      <formula>2</formula>
    </cfRule>
  </conditionalFormatting>
  <conditionalFormatting sqref="K128:M129">
    <cfRule type="cellIs" dxfId="247" priority="27" operator="greaterThan">
      <formula>2</formula>
    </cfRule>
  </conditionalFormatting>
  <conditionalFormatting sqref="K130:M131">
    <cfRule type="cellIs" dxfId="246" priority="26" operator="greaterThan">
      <formula>2</formula>
    </cfRule>
  </conditionalFormatting>
  <conditionalFormatting sqref="K132:M133">
    <cfRule type="cellIs" dxfId="245" priority="25" operator="greaterThan">
      <formula>8</formula>
    </cfRule>
  </conditionalFormatting>
  <conditionalFormatting sqref="K134:M135">
    <cfRule type="cellIs" dxfId="244" priority="24" operator="greaterThan">
      <formula>0.5</formula>
    </cfRule>
  </conditionalFormatting>
  <conditionalFormatting sqref="K136:M137">
    <cfRule type="cellIs" dxfId="243" priority="23" operator="greaterThan">
      <formula>0.5</formula>
    </cfRule>
  </conditionalFormatting>
  <conditionalFormatting sqref="K138:M139">
    <cfRule type="cellIs" dxfId="242" priority="22" operator="greaterThan">
      <formula>2</formula>
    </cfRule>
  </conditionalFormatting>
  <conditionalFormatting sqref="K140:M141">
    <cfRule type="cellIs" dxfId="241" priority="21" operator="greaterThan">
      <formula>2</formula>
    </cfRule>
  </conditionalFormatting>
  <conditionalFormatting sqref="K142:M143">
    <cfRule type="cellIs" dxfId="240" priority="17" operator="greaterThan">
      <formula>2</formula>
    </cfRule>
    <cfRule type="cellIs" dxfId="239" priority="19" operator="greaterThan">
      <formula>2</formula>
    </cfRule>
    <cfRule type="cellIs" dxfId="238" priority="20" operator="greaterThan">
      <formula>1</formula>
    </cfRule>
  </conditionalFormatting>
  <conditionalFormatting sqref="K144:M145">
    <cfRule type="cellIs" dxfId="237" priority="18" operator="greaterThan">
      <formula>0.5</formula>
    </cfRule>
  </conditionalFormatting>
  <conditionalFormatting sqref="K146:M147">
    <cfRule type="cellIs" dxfId="236" priority="16" operator="greaterThan">
      <formula>2</formula>
    </cfRule>
  </conditionalFormatting>
  <conditionalFormatting sqref="K148:M149">
    <cfRule type="cellIs" dxfId="235" priority="15" operator="greaterThan">
      <formula>0.5</formula>
    </cfRule>
  </conditionalFormatting>
  <conditionalFormatting sqref="AU126:AV149">
    <cfRule type="cellIs" dxfId="234" priority="14" operator="greaterThan">
      <formula>"要入力"</formula>
    </cfRule>
  </conditionalFormatting>
  <conditionalFormatting sqref="AU126:AV149">
    <cfRule type="containsText" dxfId="233" priority="13" operator="containsText" text="要入力">
      <formula>NOT(ISERROR(SEARCH("要入力",AU126)))</formula>
    </cfRule>
  </conditionalFormatting>
  <conditionalFormatting sqref="AF83:AS121">
    <cfRule type="containsText" dxfId="232" priority="10" operator="containsText" text="してください">
      <formula>NOT(ISERROR(SEARCH("してください",AF83)))</formula>
    </cfRule>
    <cfRule type="containsText" dxfId="231" priority="11" operator="containsText" text="理由">
      <formula>NOT(ISERROR(SEARCH("理由",AF83)))</formula>
    </cfRule>
  </conditionalFormatting>
  <conditionalFormatting sqref="J52:AT52">
    <cfRule type="expression" dxfId="230" priority="9">
      <formula>AND(J51="休",J52&gt;0)</formula>
    </cfRule>
  </conditionalFormatting>
  <conditionalFormatting sqref="AZ64:BP64 AZ54:BP54">
    <cfRule type="containsText" dxfId="229" priority="7" operator="containsText" text="要修正">
      <formula>NOT(ISERROR(SEARCH("要修正",AZ54)))</formula>
    </cfRule>
  </conditionalFormatting>
  <conditionalFormatting sqref="AZ32:BP42">
    <cfRule type="containsText" dxfId="228" priority="6" operator="containsText" text="要修正">
      <formula>NOT(ISERROR(SEARCH("要修正",AZ32)))</formula>
    </cfRule>
  </conditionalFormatting>
  <conditionalFormatting sqref="AS32:AV42">
    <cfRule type="cellIs" dxfId="227" priority="5" operator="equal">
      <formula>0</formula>
    </cfRule>
  </conditionalFormatting>
  <conditionalFormatting sqref="AU126:AV149">
    <cfRule type="containsText" dxfId="226" priority="4" operator="containsText" text="入力済">
      <formula>NOT(ISERROR(SEARCH("入力済",AU126)))</formula>
    </cfRule>
  </conditionalFormatting>
  <conditionalFormatting sqref="K126:M149">
    <cfRule type="expression" dxfId="225" priority="185">
      <formula>AE126="入力"&amp;CHAR(10)&amp;"不要"</formula>
    </cfRule>
  </conditionalFormatting>
  <conditionalFormatting sqref="Q126 Q128 Q130 Q132 Q134 Q136 Q138 Q140 Q142 Q144 Q146 Q148">
    <cfRule type="expression" dxfId="224" priority="186">
      <formula>AU126="入力"&amp;CHAR(10)&amp;"不要"</formula>
    </cfRule>
  </conditionalFormatting>
  <conditionalFormatting sqref="Q126 Q128 Q130 Q132 Q134 Q136 Q138 Q140 Q142 Q144 Q146 Q148">
    <cfRule type="expression" dxfId="223" priority="188">
      <formula>AH126="入力"&amp;CHAR(10)&amp;"不要"</formula>
    </cfRule>
  </conditionalFormatting>
  <dataValidations count="11">
    <dataValidation type="whole" operator="lessThanOrEqual" allowBlank="1" showInputMessage="1" showErrorMessage="1" error="上段の入院患者数の範囲内の人数を入力してください。" sqref="J53:AT53" xr:uid="{4FDDFACC-5D01-4D18-BE9A-D04C8D664FDE}">
      <formula1>IF(J52="",0,J52)</formula1>
    </dataValidation>
    <dataValidation type="whole" operator="greaterThanOrEqual" allowBlank="1" showInputMessage="1" showErrorMessage="1" error="整数値のみ入力し、「人」等の単位は入力しないでください。" sqref="J52:AT52" xr:uid="{14377DB7-7153-4C8E-9B5C-5AB6467D862B}">
      <formula1>0</formula1>
    </dataValidation>
    <dataValidation type="list" allowBlank="1" showInputMessage="1" showErrorMessage="1" sqref="BG23:BG28 BD44:BG44" xr:uid="{00FDB1BD-08D9-4EFB-86CB-D21A297E70F4}">
      <formula1>$BO$126:$BO$127</formula1>
    </dataValidation>
    <dataValidation type="decimal" operator="lessThanOrEqual" allowBlank="1" showInputMessage="1" showErrorMessage="1" error="上段の「２．職員情報」で入力した看護師の員数の範囲内の数値を入力してください。" sqref="J61:AT61" xr:uid="{9E4C2946-787B-4B06-9BBA-E0D7D3A67DF4}">
      <formula1>SUM($AS$32:$AV$42)</formula1>
    </dataValidation>
    <dataValidation type="decimal" operator="greaterThanOrEqual" allowBlank="1" showInputMessage="1" showErrorMessage="1" error="患者数及び基準人員に基づく必要配置時間数以上の数値を入力してください。（但し、過大と見受けられる場合は算定根拠につき御説明をお願いします。）" sqref="J63:AT63" xr:uid="{E853FB33-D06C-4D21-9921-E5A9BC79DF45}">
      <formula1>J62</formula1>
    </dataValidation>
    <dataValidation type="whole" operator="greaterThanOrEqual" allowBlank="1" showInputMessage="1" showErrorMessage="1" sqref="K56:AT56" xr:uid="{7AE1EA25-294F-4B53-80FB-F64B93E4B397}">
      <formula1>0</formula1>
    </dataValidation>
    <dataValidation type="decimal" operator="greaterThanOrEqual" allowBlank="1" showInputMessage="1" showErrorMessage="1" sqref="J56" xr:uid="{BB3600C3-1FD2-453F-821C-EB85C4BECB6A}">
      <formula1>0</formula1>
    </dataValidation>
    <dataValidation type="custom" allowBlank="1" showInputMessage="1" showErrorMessage="1" errorTitle="購入箱数を超過した値の入力" error="購入箱数の範囲内の数値を入力してください。" sqref="BJ65:BJ68 BJ72:BJ77" xr:uid="{8D60B297-886B-457C-85AA-D1B43630FB69}">
      <formula1>BJ65&lt;=BF65</formula1>
    </dataValidation>
    <dataValidation type="decimal" operator="greaterThan" allowBlank="1" showInputMessage="1" showErrorMessage="1" sqref="G18:H19 L18:M19" xr:uid="{84DEC3A3-310E-4ACF-BF12-D51FA2D6C193}">
      <formula1>0</formula1>
    </dataValidation>
    <dataValidation type="whole" operator="greaterThanOrEqual" allowBlank="1" showInputMessage="1" showErrorMessage="1" sqref="BR32" xr:uid="{22F8B4F0-9044-4423-9F87-5A20F68F49C5}">
      <formula1>30</formula1>
    </dataValidation>
    <dataValidation type="whole" operator="greaterThanOrEqual" allowBlank="1" showInputMessage="1" showErrorMessage="1" sqref="BR35" xr:uid="{D84CA695-41BF-428E-A0B5-6CE335B735F7}">
      <formula1>80</formula1>
    </dataValidation>
  </dataValidations>
  <printOptions horizontalCentered="1"/>
  <pageMargins left="0.70866141732283472" right="0.70866141732283472" top="0.74803149606299213" bottom="0.74803149606299213" header="0.31496062992125984" footer="0.31496062992125984"/>
  <pageSetup paperSize="9" scale="43" fitToHeight="0" orientation="portrait" r:id="rId1"/>
  <rowBreaks count="1" manualBreakCount="1">
    <brk id="65" max="50" man="1"/>
  </rowBreaks>
  <colBreaks count="1" manualBreakCount="1">
    <brk id="65"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1F7639-16CF-4D7B-B2C6-19B3FB1F064F}">
  <sheetPr>
    <tabColor rgb="FFFFC000"/>
    <pageSetUpPr fitToPage="1"/>
  </sheetPr>
  <dimension ref="A1:CB265"/>
  <sheetViews>
    <sheetView showGridLines="0" view="pageBreakPreview" zoomScale="62" zoomScaleNormal="100" zoomScaleSheetLayoutView="62" workbookViewId="0">
      <selection activeCell="K22" sqref="K22"/>
    </sheetView>
  </sheetViews>
  <sheetFormatPr defaultRowHeight="18"/>
  <cols>
    <col min="1" max="51" width="3.625" style="222" customWidth="1"/>
    <col min="52" max="52" width="10.625" style="222" customWidth="1"/>
    <col min="53" max="55" width="10.625" style="795" hidden="1" customWidth="1"/>
    <col min="56" max="56" width="10.625" style="224" hidden="1" customWidth="1"/>
    <col min="57" max="57" width="10.625" style="225" hidden="1" customWidth="1"/>
    <col min="58" max="58" width="10.625" style="795" hidden="1" customWidth="1"/>
    <col min="59" max="59" width="10.625" style="226" customWidth="1"/>
    <col min="60" max="66" width="10.625" style="795" customWidth="1"/>
    <col min="67" max="67" width="9" style="795"/>
    <col min="68" max="68" width="11.75" style="309" bestFit="1" customWidth="1"/>
    <col min="69" max="71" width="9" style="309"/>
    <col min="72" max="16384" width="9" style="795"/>
  </cols>
  <sheetData>
    <row r="1" spans="1:71">
      <c r="AZ1" s="308" t="str">
        <f>AZ15</f>
        <v>×</v>
      </c>
    </row>
    <row r="2" spans="1:71" ht="24">
      <c r="A2" s="1373" t="s">
        <v>1146</v>
      </c>
      <c r="B2" s="1374"/>
      <c r="C2" s="1374"/>
      <c r="D2" s="1374"/>
      <c r="E2" s="1374"/>
      <c r="F2" s="1374"/>
      <c r="G2" s="1374"/>
      <c r="H2" s="1374"/>
      <c r="I2" s="1374"/>
      <c r="J2" s="1374"/>
      <c r="K2" s="1374"/>
      <c r="L2" s="1374"/>
      <c r="M2" s="1374"/>
      <c r="N2" s="1374"/>
      <c r="O2" s="1374"/>
      <c r="P2" s="1374"/>
      <c r="Q2" s="1374"/>
      <c r="R2" s="1374"/>
      <c r="S2" s="1374"/>
      <c r="T2" s="1374"/>
      <c r="U2" s="1374"/>
      <c r="V2" s="1374"/>
      <c r="W2" s="1374"/>
      <c r="X2" s="1374"/>
      <c r="Y2" s="1374"/>
      <c r="Z2" s="1374"/>
      <c r="AA2" s="1374"/>
      <c r="AB2" s="1374"/>
      <c r="AC2" s="1374"/>
      <c r="AD2" s="1374"/>
      <c r="AE2" s="1374"/>
      <c r="AF2" s="1374"/>
      <c r="AG2" s="1374"/>
      <c r="AH2" s="1374"/>
      <c r="AI2" s="1374"/>
      <c r="AJ2" s="1374"/>
      <c r="AK2" s="1374"/>
      <c r="AL2" s="1374"/>
      <c r="AM2" s="1374"/>
      <c r="AN2" s="1374"/>
      <c r="AO2" s="1374"/>
      <c r="AP2" s="1374"/>
      <c r="AQ2" s="1374"/>
      <c r="AR2" s="1374"/>
      <c r="AS2" s="1374"/>
      <c r="AT2" s="1374"/>
      <c r="AU2" s="1374"/>
      <c r="AV2" s="1374"/>
      <c r="AW2" s="1374"/>
      <c r="AX2" s="1374"/>
      <c r="AY2" s="1374"/>
      <c r="AZ2" s="308" t="str">
        <f>AZ63</f>
        <v>×</v>
      </c>
      <c r="BA2" s="802"/>
      <c r="BB2" s="802"/>
      <c r="BC2" s="802"/>
      <c r="BD2" s="802"/>
      <c r="BE2" s="802"/>
      <c r="BF2" s="802"/>
      <c r="BG2" s="802"/>
      <c r="BH2" s="802"/>
      <c r="BI2" s="802"/>
      <c r="BJ2" s="802"/>
      <c r="BK2" s="802"/>
      <c r="BL2" s="802"/>
    </row>
    <row r="3" spans="1:71">
      <c r="AZ3" s="308" t="str">
        <f>AZ77</f>
        <v>×</v>
      </c>
      <c r="BB3" s="222"/>
      <c r="BC3" s="222"/>
      <c r="BD3" s="222"/>
      <c r="BE3" s="222"/>
      <c r="BF3" s="222"/>
      <c r="BG3" s="222"/>
    </row>
    <row r="4" spans="1:71" ht="24" customHeight="1">
      <c r="B4" s="1232" t="s">
        <v>1010</v>
      </c>
      <c r="C4" s="1233"/>
      <c r="D4" s="1233"/>
      <c r="E4" s="1233"/>
      <c r="F4" s="1233"/>
      <c r="G4" s="1233"/>
      <c r="H4" s="1233"/>
      <c r="I4" s="1233"/>
      <c r="J4" s="1233"/>
      <c r="K4" s="1233"/>
      <c r="L4" s="1233"/>
      <c r="M4" s="1233"/>
      <c r="N4" s="1233"/>
      <c r="O4" s="1233"/>
      <c r="P4" s="1233"/>
      <c r="Q4" s="1233"/>
      <c r="R4" s="1233"/>
      <c r="S4" s="1233"/>
      <c r="T4" s="1233"/>
      <c r="U4" s="1233"/>
      <c r="V4" s="1233"/>
      <c r="W4" s="1233"/>
      <c r="X4" s="1233"/>
      <c r="Y4" s="1233"/>
      <c r="Z4" s="1233"/>
      <c r="AA4" s="1233"/>
      <c r="AB4" s="1233"/>
      <c r="AC4" s="1233"/>
      <c r="AD4" s="1233"/>
      <c r="AE4" s="1233"/>
      <c r="AF4" s="1233"/>
      <c r="AG4" s="1233"/>
      <c r="AH4" s="1233"/>
      <c r="AI4" s="1233"/>
      <c r="AJ4" s="1233"/>
      <c r="AK4" s="1233"/>
      <c r="AL4" s="1233"/>
      <c r="AM4" s="1233"/>
      <c r="AN4" s="1233"/>
      <c r="AO4" s="1233"/>
      <c r="AP4" s="1233"/>
      <c r="AQ4" s="1233"/>
      <c r="AR4" s="1233"/>
      <c r="AS4" s="1233"/>
      <c r="AT4" s="1233"/>
      <c r="AU4" s="1233"/>
      <c r="AV4" s="1233"/>
      <c r="AW4" s="1233"/>
      <c r="AX4" s="1233"/>
      <c r="AZ4" s="308" t="str">
        <f>AZ99</f>
        <v>×</v>
      </c>
      <c r="BD4" s="795"/>
      <c r="BE4" s="795"/>
      <c r="BG4" s="795"/>
    </row>
    <row r="5" spans="1:71" ht="24" customHeight="1" thickBot="1">
      <c r="B5" s="1230" t="str">
        <f xml:space="preserve">
IF(表紙!$X$2="事前協議",
"○個人防護具の補助基準額は、以下により算定されます。（令和５年10月以降の消毒経費への補助は廃止されました。）",
IF(表紙!$X$2="交付申請（２次）",
"○個人防護具の補助基準額は、以下により算定されます。（令和５年10月以降の消毒経費への補助は廃止されました。）",
IF(表紙!$X$2="変更申請",
"○個人防護具の補助基準額は、以下により算定されます。（令和５年10月以降の消毒経費への補助は廃止されました。）",
IF(表紙!$X$2="実績報告（１次）",
"○個人防護具及び消毒経費の補助基準額は、以下により算定されます。",
IF(表紙!$X$2="実績報告（２次）",
"○個人防護具の補助基準額は、以下により算定されます。（令和５年10月以降の消毒経費への補助は廃止されました。）",
IF(表紙!$X$2="交付申請兼実績報告",
"○個人防護具の補助基準額は、以下により算定されます。（令和５年10月以降の消毒経費への補助は廃止されました。）"))))))</f>
        <v>○個人防護具の補助基準額は、以下により算定されます。（令和５年10月以降の消毒経費への補助は廃止されました。）</v>
      </c>
      <c r="C5" s="1231"/>
      <c r="D5" s="1231"/>
      <c r="E5" s="1231"/>
      <c r="F5" s="1231"/>
      <c r="G5" s="1231"/>
      <c r="H5" s="1231"/>
      <c r="I5" s="1231"/>
      <c r="J5" s="1231"/>
      <c r="K5" s="1231"/>
      <c r="L5" s="1231"/>
      <c r="M5" s="1231"/>
      <c r="N5" s="1231"/>
      <c r="O5" s="1231"/>
      <c r="P5" s="1231"/>
      <c r="Q5" s="1231"/>
      <c r="R5" s="1231"/>
      <c r="S5" s="1231"/>
      <c r="T5" s="1231"/>
      <c r="U5" s="1231"/>
      <c r="V5" s="1231"/>
      <c r="W5" s="1231"/>
      <c r="X5" s="1231"/>
      <c r="Y5" s="1231"/>
      <c r="Z5" s="1231"/>
      <c r="AA5" s="1231"/>
      <c r="AB5" s="1231"/>
      <c r="AC5" s="1231"/>
      <c r="AD5" s="1231"/>
      <c r="AE5" s="1231"/>
      <c r="AF5" s="1231"/>
      <c r="AG5" s="1231"/>
      <c r="AH5" s="1231"/>
      <c r="AI5" s="1231"/>
      <c r="AJ5" s="1231"/>
      <c r="AK5" s="1231"/>
      <c r="AL5" s="1231"/>
      <c r="AM5" s="1231"/>
      <c r="AN5" s="1231"/>
      <c r="AO5" s="1231"/>
      <c r="AP5" s="1231"/>
      <c r="AQ5" s="1231"/>
      <c r="AR5" s="1231"/>
      <c r="AS5" s="1231"/>
      <c r="AT5" s="1231"/>
      <c r="AU5" s="1231"/>
      <c r="AV5" s="1231"/>
      <c r="AW5" s="1231"/>
      <c r="AX5" s="1231"/>
      <c r="AZ5" s="795"/>
      <c r="BD5" s="795"/>
      <c r="BE5" s="795"/>
      <c r="BG5" s="795"/>
    </row>
    <row r="6" spans="1:71" ht="24" customHeight="1" thickTop="1">
      <c r="B6" s="1627" t="str">
        <f xml:space="preserve">
IF(表紙!$X$2="事前協議",
"・個人防護具：１日あたり平均配置員数（常勤換算）＊病床稼働日数＊3,600円/日"&amp;CHAR(10)&amp;
"　　　　　　　なお、補助対象期間は県が定める「段階」が１以上の期間に限られます。（具体的な期間に基づく所要額の算定は実績報告の際に御案内します。）",
IF(表紙!$X$2="交付申請（２次）",
"・個人防護具：１日あたり平均配置員数（常勤換算）＊病床稼働日数＊3,600円/日"&amp;CHAR(10)&amp;
"　　　　　　　なお、補助対象期間は県が定める「段階」が１以上の期間に限られます。（具体的な期間に基づく所要額の算定は実績報告の際に御案内します。）",
IF(表紙!$X$2="変更申請",
"・個人防護具：１日あたり平均配置員数（常勤換算）＊病床稼働日数＊3,600円/日"&amp;CHAR(10)&amp;
"　　　　　　　なお、補助対象期間は県が定める「段階」が１以上の期間に限られます。（具体的な期間に基づく所要額の算定は実績報告の際に御案内します。）",
IF(表紙!$X$2="実績報告（１次）",
"・個人防護具：１日あたり平均配置員数（常勤換算）＊病床稼働日数＊3,600円/日",
IF(表紙!$X$2="実績報告（２次）",
"・個人防護具：１日あたり平均配置員数（常勤換算）＊病床稼働日数＊3,600円/日"&amp;CHAR(10)&amp;
"　　　　　　　なお、補助対象期間は県が定める「段階」が１以上の期間に限られます。",
IF(表紙!$X$2="交付申請兼実績報告",
"・個人防護具：１日あたり平均配置員数（常勤換算）＊病床稼働日数＊3,600円/日"&amp;CHAR(10)&amp;
"　　　　　　　なお、補助対象期間は県が定める「段階」が１以上の期間に限られます。"))))))</f>
        <v>・個人防護具：１日あたり平均配置員数（常勤換算）＊病床稼働日数＊3,600円/日
　　　　　　　なお、補助対象期間は県が定める「段階」が１以上の期間に限られます。</v>
      </c>
      <c r="C6" s="1628"/>
      <c r="D6" s="1628"/>
      <c r="E6" s="1628"/>
      <c r="F6" s="1628"/>
      <c r="G6" s="1628"/>
      <c r="H6" s="1628"/>
      <c r="I6" s="1628"/>
      <c r="J6" s="1628"/>
      <c r="K6" s="1628"/>
      <c r="L6" s="1628"/>
      <c r="M6" s="1628"/>
      <c r="N6" s="1628"/>
      <c r="O6" s="1628"/>
      <c r="P6" s="1628"/>
      <c r="Q6" s="1628"/>
      <c r="R6" s="1628"/>
      <c r="S6" s="1628"/>
      <c r="T6" s="1628"/>
      <c r="U6" s="1628"/>
      <c r="V6" s="1628"/>
      <c r="W6" s="1628"/>
      <c r="X6" s="1628"/>
      <c r="Y6" s="1628"/>
      <c r="Z6" s="1628"/>
      <c r="AA6" s="1628"/>
      <c r="AB6" s="1628"/>
      <c r="AC6" s="1628"/>
      <c r="AD6" s="1628"/>
      <c r="AE6" s="1628"/>
      <c r="AF6" s="1628"/>
      <c r="AG6" s="1628"/>
      <c r="AH6" s="1628"/>
      <c r="AI6" s="1628"/>
      <c r="AJ6" s="1628"/>
      <c r="AK6" s="1628"/>
      <c r="AL6" s="1628"/>
      <c r="AM6" s="1628"/>
      <c r="AN6" s="1628"/>
      <c r="AO6" s="1628"/>
      <c r="AP6" s="1628"/>
      <c r="AQ6" s="1628"/>
      <c r="AR6" s="1628"/>
      <c r="AS6" s="1628"/>
      <c r="AT6" s="1628"/>
      <c r="AU6" s="1628"/>
      <c r="AV6" s="1628"/>
      <c r="AW6" s="1628"/>
      <c r="AX6" s="1629"/>
      <c r="AZ6" s="795"/>
      <c r="BD6" s="795"/>
      <c r="BE6" s="795"/>
      <c r="BG6" s="795"/>
    </row>
    <row r="7" spans="1:71" s="228" customFormat="1" ht="48" customHeight="1" thickBot="1">
      <c r="A7" s="227"/>
      <c r="B7" s="1630" t="str">
        <f xml:space="preserve">
IF(表紙!$X$2="事前協議",
"・消毒清掃費：国における制度見直しに伴い令和５年10月以降の支援は廃止されました。",
IF(表紙!$X$2="交付申請（２次）",
"・消毒清掃費：国における制度見直しに伴い令和５年10月以降の支援は廃止されました。",
IF(表紙!$X$2="変更申請",
"・消毒清掃費：国における制度見直しに伴い令和５年10月以降の支援は廃止されました。",
IF(表紙!$X$2="実績報告（１次）",
"・消毒清掃費：コロナ延入院患者数数＊1,000円/１日１床（ただし、利用病床に限る。）
（単価については、１日１床あたり入院対応における病室消毒にかかる経費等を評価。直営、外部委託による場合いずれも共通。）",
IF(表紙!$X$2="実績報告（２次）",
"・消毒清掃費：国における制度見直しに伴い令和５年10月以降の支援は廃止されました。",
IF(表紙!$X$2="交付申請兼実績報告",
"・消毒清掃費：国における制度見直しに伴い令和５年10月以降の支援は廃止されました。"))))))</f>
        <v>・消毒清掃費：国における制度見直しに伴い令和５年10月以降の支援は廃止されました。</v>
      </c>
      <c r="C7" s="1631"/>
      <c r="D7" s="1631"/>
      <c r="E7" s="1631"/>
      <c r="F7" s="1631"/>
      <c r="G7" s="1631"/>
      <c r="H7" s="1631"/>
      <c r="I7" s="1631"/>
      <c r="J7" s="1631"/>
      <c r="K7" s="1631"/>
      <c r="L7" s="1631"/>
      <c r="M7" s="1631"/>
      <c r="N7" s="1631"/>
      <c r="O7" s="1631"/>
      <c r="P7" s="1631"/>
      <c r="Q7" s="1631"/>
      <c r="R7" s="1631"/>
      <c r="S7" s="1631"/>
      <c r="T7" s="1631"/>
      <c r="U7" s="1631"/>
      <c r="V7" s="1631"/>
      <c r="W7" s="1631"/>
      <c r="X7" s="1631"/>
      <c r="Y7" s="1631"/>
      <c r="Z7" s="1631"/>
      <c r="AA7" s="1631"/>
      <c r="AB7" s="1631"/>
      <c r="AC7" s="1631"/>
      <c r="AD7" s="1631"/>
      <c r="AE7" s="1631"/>
      <c r="AF7" s="1631"/>
      <c r="AG7" s="1631"/>
      <c r="AH7" s="1631"/>
      <c r="AI7" s="1631"/>
      <c r="AJ7" s="1631"/>
      <c r="AK7" s="1631"/>
      <c r="AL7" s="1631"/>
      <c r="AM7" s="1631"/>
      <c r="AN7" s="1631"/>
      <c r="AO7" s="1631"/>
      <c r="AP7" s="1631"/>
      <c r="AQ7" s="1631"/>
      <c r="AR7" s="1631"/>
      <c r="AS7" s="1631"/>
      <c r="AT7" s="1631"/>
      <c r="AU7" s="1631"/>
      <c r="AV7" s="1631"/>
      <c r="AW7" s="1631"/>
      <c r="AX7" s="1632"/>
      <c r="AY7" s="227"/>
      <c r="BP7" s="310"/>
      <c r="BQ7" s="310"/>
      <c r="BR7" s="310"/>
      <c r="BS7" s="310"/>
    </row>
    <row r="8" spans="1:71" ht="24" customHeight="1" thickTop="1">
      <c r="B8" s="1230" t="s">
        <v>1148</v>
      </c>
      <c r="C8" s="1231"/>
      <c r="D8" s="1231"/>
      <c r="E8" s="1231"/>
      <c r="F8" s="1231"/>
      <c r="G8" s="1231"/>
      <c r="H8" s="1231"/>
      <c r="I8" s="1231"/>
      <c r="J8" s="1231"/>
      <c r="K8" s="1231"/>
      <c r="L8" s="1231"/>
      <c r="M8" s="1231"/>
      <c r="N8" s="1231"/>
      <c r="O8" s="1231"/>
      <c r="P8" s="1231"/>
      <c r="Q8" s="1231"/>
      <c r="R8" s="1231"/>
      <c r="S8" s="1231"/>
      <c r="T8" s="1231"/>
      <c r="U8" s="1231"/>
      <c r="V8" s="1231"/>
      <c r="W8" s="1231"/>
      <c r="X8" s="1231"/>
      <c r="Y8" s="1231"/>
      <c r="Z8" s="1231"/>
      <c r="AA8" s="1231"/>
      <c r="AB8" s="1231"/>
      <c r="AC8" s="1231"/>
      <c r="AD8" s="1231"/>
      <c r="AE8" s="1231"/>
      <c r="AF8" s="1231"/>
      <c r="AG8" s="1231"/>
      <c r="AH8" s="1231"/>
      <c r="AI8" s="1231"/>
      <c r="AJ8" s="1231"/>
      <c r="AK8" s="1231"/>
      <c r="AL8" s="1231"/>
      <c r="AM8" s="1231"/>
      <c r="AN8" s="1231"/>
      <c r="AO8" s="1231"/>
      <c r="AP8" s="1231"/>
      <c r="AQ8" s="1231"/>
      <c r="AR8" s="1231"/>
      <c r="AS8" s="1231"/>
      <c r="AT8" s="1231"/>
      <c r="AU8" s="1231"/>
      <c r="AV8" s="1231"/>
      <c r="AW8" s="1231"/>
      <c r="AX8" s="1231"/>
      <c r="AZ8" s="795"/>
      <c r="BD8" s="795"/>
      <c r="BE8" s="795"/>
      <c r="BF8" s="229"/>
      <c r="BG8" s="795"/>
    </row>
    <row r="9" spans="1:71" ht="24" customHeight="1">
      <c r="B9" s="1230" t="s">
        <v>1012</v>
      </c>
      <c r="C9" s="1231"/>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1"/>
      <c r="AB9" s="1231"/>
      <c r="AC9" s="1231"/>
      <c r="AD9" s="1231"/>
      <c r="AE9" s="1231"/>
      <c r="AF9" s="1231"/>
      <c r="AG9" s="1231"/>
      <c r="AH9" s="1231"/>
      <c r="AI9" s="1231"/>
      <c r="AJ9" s="1231"/>
      <c r="AK9" s="1231"/>
      <c r="AL9" s="1231"/>
      <c r="AM9" s="1231"/>
      <c r="AN9" s="1231"/>
      <c r="AO9" s="1231"/>
      <c r="AP9" s="1231"/>
      <c r="AQ9" s="1231"/>
      <c r="AR9" s="1231"/>
      <c r="AS9" s="1231"/>
      <c r="AT9" s="1231"/>
      <c r="AU9" s="1231"/>
      <c r="AV9" s="1231"/>
      <c r="AW9" s="1231"/>
      <c r="AX9" s="1231"/>
      <c r="AZ9" s="795"/>
      <c r="BD9" s="795"/>
      <c r="BE9" s="795"/>
      <c r="BG9" s="795"/>
    </row>
    <row r="10" spans="1:71" ht="24" customHeight="1">
      <c r="B10" s="1232" t="s">
        <v>1149</v>
      </c>
      <c r="C10" s="1233"/>
      <c r="D10" s="1233"/>
      <c r="E10" s="1233"/>
      <c r="F10" s="1233"/>
      <c r="G10" s="1233"/>
      <c r="H10" s="1233"/>
      <c r="I10" s="1233"/>
      <c r="J10" s="1233"/>
      <c r="K10" s="1233"/>
      <c r="L10" s="1233"/>
      <c r="M10" s="1233"/>
      <c r="N10" s="1233"/>
      <c r="O10" s="1233"/>
      <c r="P10" s="1233"/>
      <c r="Q10" s="1233"/>
      <c r="R10" s="1233"/>
      <c r="S10" s="1233"/>
      <c r="T10" s="1233"/>
      <c r="U10" s="1233"/>
      <c r="V10" s="1233"/>
      <c r="W10" s="1233"/>
      <c r="X10" s="1233"/>
      <c r="Y10" s="1233"/>
      <c r="Z10" s="1233"/>
      <c r="AA10" s="1233"/>
      <c r="AB10" s="1233"/>
      <c r="AC10" s="1233"/>
      <c r="AD10" s="1233"/>
      <c r="AE10" s="1233"/>
      <c r="AF10" s="1233"/>
      <c r="AG10" s="1233"/>
      <c r="AH10" s="1233"/>
      <c r="AI10" s="1233"/>
      <c r="AJ10" s="1233"/>
      <c r="AK10" s="1233"/>
      <c r="AL10" s="1233"/>
      <c r="AM10" s="1233"/>
      <c r="AN10" s="1233"/>
      <c r="AO10" s="1233"/>
      <c r="AP10" s="1233"/>
      <c r="AQ10" s="1233"/>
      <c r="AR10" s="1233"/>
      <c r="AS10" s="1233"/>
      <c r="AT10" s="1233"/>
      <c r="AU10" s="1233"/>
      <c r="AV10" s="1231"/>
      <c r="AW10" s="1231"/>
      <c r="AX10" s="1231"/>
      <c r="AZ10" s="795"/>
      <c r="BD10" s="795"/>
      <c r="BE10" s="795"/>
      <c r="BG10" s="795"/>
    </row>
    <row r="11" spans="1:71" ht="24" customHeight="1">
      <c r="B11" s="1233"/>
      <c r="C11" s="1233"/>
      <c r="D11" s="1233"/>
      <c r="E11" s="1233"/>
      <c r="F11" s="1233"/>
      <c r="G11" s="1233"/>
      <c r="H11" s="1233"/>
      <c r="I11" s="1233"/>
      <c r="J11" s="1233"/>
      <c r="K11" s="1233"/>
      <c r="L11" s="1233"/>
      <c r="M11" s="1233"/>
      <c r="N11" s="1233"/>
      <c r="O11" s="1233"/>
      <c r="P11" s="1233"/>
      <c r="Q11" s="1233"/>
      <c r="R11" s="1233"/>
      <c r="S11" s="1233"/>
      <c r="T11" s="1233"/>
      <c r="U11" s="1233"/>
      <c r="V11" s="1233"/>
      <c r="W11" s="1233"/>
      <c r="X11" s="1233"/>
      <c r="Y11" s="1233"/>
      <c r="Z11" s="1233"/>
      <c r="AA11" s="1233"/>
      <c r="AB11" s="1233"/>
      <c r="AC11" s="1233"/>
      <c r="AD11" s="1233"/>
      <c r="AE11" s="1233"/>
      <c r="AF11" s="1233"/>
      <c r="AG11" s="1233"/>
      <c r="AH11" s="1233"/>
      <c r="AI11" s="1233"/>
      <c r="AJ11" s="1233"/>
      <c r="AK11" s="1233"/>
      <c r="AL11" s="1233"/>
      <c r="AM11" s="1233"/>
      <c r="AN11" s="1233"/>
      <c r="AO11" s="1233"/>
      <c r="AP11" s="1233"/>
      <c r="AQ11" s="1233"/>
      <c r="AR11" s="1233"/>
      <c r="AS11" s="1233"/>
      <c r="AT11" s="1233"/>
      <c r="AU11" s="1233"/>
      <c r="AV11" s="1231"/>
      <c r="AW11" s="1231"/>
      <c r="AX11" s="1231"/>
      <c r="AZ11" s="795"/>
      <c r="BD11" s="795"/>
      <c r="BE11" s="795"/>
      <c r="BG11" s="795"/>
    </row>
    <row r="12" spans="1:71" s="228" customFormat="1" ht="72" customHeight="1">
      <c r="A12" s="227"/>
      <c r="B12" s="1232" t="s">
        <v>1350</v>
      </c>
      <c r="C12" s="1233"/>
      <c r="D12" s="1233"/>
      <c r="E12" s="1233"/>
      <c r="F12" s="1233"/>
      <c r="G12" s="1233"/>
      <c r="H12" s="1233"/>
      <c r="I12" s="1233"/>
      <c r="J12" s="1233"/>
      <c r="K12" s="1233"/>
      <c r="L12" s="1233"/>
      <c r="M12" s="1233"/>
      <c r="N12" s="1233"/>
      <c r="O12" s="1233"/>
      <c r="P12" s="1233"/>
      <c r="Q12" s="1233"/>
      <c r="R12" s="1233"/>
      <c r="S12" s="1233"/>
      <c r="T12" s="1233"/>
      <c r="U12" s="1233"/>
      <c r="V12" s="1233"/>
      <c r="W12" s="1233"/>
      <c r="X12" s="1233"/>
      <c r="Y12" s="1233"/>
      <c r="Z12" s="1233"/>
      <c r="AA12" s="1233"/>
      <c r="AB12" s="1233"/>
      <c r="AC12" s="1233"/>
      <c r="AD12" s="1233"/>
      <c r="AE12" s="1233"/>
      <c r="AF12" s="1233"/>
      <c r="AG12" s="1233"/>
      <c r="AH12" s="1233"/>
      <c r="AI12" s="1233"/>
      <c r="AJ12" s="1233"/>
      <c r="AK12" s="1233"/>
      <c r="AL12" s="1233"/>
      <c r="AM12" s="1233"/>
      <c r="AN12" s="1233"/>
      <c r="AO12" s="1233"/>
      <c r="AP12" s="1233"/>
      <c r="AQ12" s="1233"/>
      <c r="AR12" s="1233"/>
      <c r="AS12" s="1233"/>
      <c r="AT12" s="1233"/>
      <c r="AU12" s="1233"/>
      <c r="AV12" s="1233"/>
      <c r="AW12" s="1233"/>
      <c r="AX12" s="1233"/>
      <c r="AY12" s="227"/>
      <c r="BP12" s="310"/>
      <c r="BQ12" s="310"/>
      <c r="BR12" s="310"/>
      <c r="BS12" s="310"/>
    </row>
    <row r="13" spans="1:71">
      <c r="BB13" s="222"/>
      <c r="BC13" s="222"/>
      <c r="BD13" s="222"/>
      <c r="BE13" s="222"/>
      <c r="BF13" s="222"/>
      <c r="BG13" s="222"/>
    </row>
    <row r="14" spans="1:71" ht="45" customHeight="1">
      <c r="B14" s="1372" t="str">
        <f>"１．勤務体制及び入院患者情報　　【総合判定】"&amp;AZ15&amp;"："&amp;BG15&amp;CHAR(10)&amp;
"「３．配置情報」に入力いただく入院患者見込数及びこれに基づく勤務時間数の目安情報として、以下の内容を入力してください。"</f>
        <v>１．勤務体制及び入院患者情報　　【総合判定】×：看護配置割合または入院患者情報に入力不十分な点があります。
「３．配置情報」に入力いただく入院患者見込数及びこれに基づく勤務時間数の目安情報として、以下の内容を入力してください。</v>
      </c>
      <c r="C14" s="1372"/>
      <c r="D14" s="1372"/>
      <c r="E14" s="1372"/>
      <c r="F14" s="1372"/>
      <c r="G14" s="1372"/>
      <c r="H14" s="1372"/>
      <c r="I14" s="1372"/>
      <c r="J14" s="1372"/>
      <c r="K14" s="1372"/>
      <c r="L14" s="1372"/>
      <c r="M14" s="1372"/>
      <c r="N14" s="1372"/>
      <c r="O14" s="1372"/>
      <c r="P14" s="1372"/>
      <c r="Q14" s="1372"/>
      <c r="R14" s="1372"/>
      <c r="S14" s="1372"/>
      <c r="T14" s="1372"/>
      <c r="U14" s="1372"/>
      <c r="V14" s="1372"/>
      <c r="W14" s="1372"/>
      <c r="X14" s="1372"/>
      <c r="Y14" s="1372"/>
      <c r="Z14" s="1372"/>
      <c r="AA14" s="1372"/>
      <c r="AB14" s="1372"/>
      <c r="AC14" s="1372"/>
      <c r="AD14" s="1372"/>
      <c r="AE14" s="1372"/>
      <c r="AF14" s="1372"/>
      <c r="AG14" s="1372"/>
      <c r="AH14" s="1372"/>
      <c r="AI14" s="1372"/>
      <c r="AJ14" s="1372"/>
      <c r="AK14" s="1372"/>
      <c r="AL14" s="1372"/>
      <c r="AM14" s="1372"/>
      <c r="AN14" s="1372"/>
      <c r="AO14" s="1372"/>
      <c r="AP14" s="1372"/>
      <c r="AQ14" s="1372"/>
      <c r="AR14" s="1372"/>
      <c r="AS14" s="1372"/>
      <c r="AT14" s="1372"/>
      <c r="AU14" s="1372"/>
      <c r="AV14" s="1372"/>
      <c r="AW14" s="1372"/>
      <c r="AX14" s="1372"/>
      <c r="AY14" s="1372"/>
      <c r="BB14" s="222"/>
      <c r="BC14" s="230"/>
      <c r="BD14" s="222"/>
      <c r="BE14" s="222"/>
      <c r="BF14" s="222"/>
      <c r="BG14" s="222"/>
    </row>
    <row r="15" spans="1:71" ht="18.75" customHeight="1" thickBot="1">
      <c r="B15" s="1620" t="s">
        <v>1190</v>
      </c>
      <c r="C15" s="1621"/>
      <c r="D15" s="1621"/>
      <c r="E15" s="1621"/>
      <c r="F15" s="1621"/>
      <c r="G15" s="1621"/>
      <c r="H15" s="1621"/>
      <c r="I15" s="1621"/>
      <c r="J15" s="1621"/>
      <c r="K15" s="1621"/>
      <c r="L15" s="1621"/>
      <c r="M15" s="1621"/>
      <c r="N15" s="1621"/>
      <c r="O15" s="1621"/>
      <c r="P15" s="1621"/>
      <c r="Q15" s="1621"/>
      <c r="R15" s="1621"/>
      <c r="S15" s="1621"/>
      <c r="T15" s="1621"/>
      <c r="U15" s="1621"/>
      <c r="V15" s="1621"/>
      <c r="W15" s="1621"/>
      <c r="X15" s="1621"/>
      <c r="Y15" s="1621"/>
      <c r="Z15" s="1621"/>
      <c r="AA15" s="1621"/>
      <c r="AB15" s="1621"/>
      <c r="AC15" s="1621"/>
      <c r="AD15" s="1621"/>
      <c r="AE15" s="1621"/>
      <c r="AF15" s="1621"/>
      <c r="AG15" s="1621"/>
      <c r="AH15" s="1621"/>
      <c r="AI15" s="1621"/>
      <c r="AJ15" s="1621"/>
      <c r="AK15" s="1621"/>
      <c r="AL15" s="1621"/>
      <c r="AM15" s="1621"/>
      <c r="AN15" s="1621"/>
      <c r="AO15" s="1621"/>
      <c r="AP15" s="1621"/>
      <c r="AQ15" s="1621"/>
      <c r="AR15" s="1621"/>
      <c r="AS15" s="1621"/>
      <c r="AT15" s="1621"/>
      <c r="AU15" s="1621"/>
      <c r="AV15" s="1621"/>
      <c r="AW15" s="1621"/>
      <c r="AX15" s="1621"/>
      <c r="AY15" s="1621"/>
      <c r="AZ15" s="222" t="str">
        <f>IF(COUNTIF(AZ16:AZ22,"○")=7,"○","×")</f>
        <v>×</v>
      </c>
      <c r="BA15" s="1624" t="s">
        <v>1014</v>
      </c>
      <c r="BB15" s="1625"/>
      <c r="BC15" s="1625"/>
      <c r="BD15" s="1626"/>
      <c r="BE15" s="222"/>
      <c r="BF15" s="222"/>
      <c r="BG15" s="224" t="str">
        <f>IF(COUNTIF(AZ16:AZ22,"○")=7,"適切に入力がされました。","看護配置割合または入院患者情報に入力不十分な点があります。")</f>
        <v>看護配置割合または入院患者情報に入力不十分な点があります。</v>
      </c>
    </row>
    <row r="16" spans="1:71" ht="18.75" customHeight="1">
      <c r="B16" s="1050" t="s">
        <v>1153</v>
      </c>
      <c r="C16" s="857"/>
      <c r="D16" s="857"/>
      <c r="E16" s="857"/>
      <c r="F16" s="1051"/>
      <c r="G16" s="1483">
        <f xml:space="preserve">
IF(表紙!$X$2="事前協議",10,
IF(表紙!$X$2="交付申請（２次）",10,
IF(表紙!$X$2="変更申請",10,
IF(表紙!$X$2="実績報告（１次）",4,
IF(表紙!$X$2="実績報告（２次）",10,
IF(表紙!$X$2="交付申請兼実績報告",10))))))</f>
        <v>10</v>
      </c>
      <c r="H16" s="1484"/>
      <c r="I16" s="1484"/>
      <c r="J16" s="1484"/>
      <c r="K16" s="1485"/>
      <c r="L16" s="1483">
        <f>IF(G16+1&gt;=13,G16+1-12,G16+1)</f>
        <v>11</v>
      </c>
      <c r="M16" s="1484"/>
      <c r="N16" s="1484"/>
      <c r="O16" s="1484"/>
      <c r="P16" s="1485"/>
      <c r="Q16" s="1483">
        <f t="shared" ref="Q16" si="0">IF(L16+1&gt;=13,L16+1-12,L16+1)</f>
        <v>12</v>
      </c>
      <c r="R16" s="1484"/>
      <c r="S16" s="1484"/>
      <c r="T16" s="1484"/>
      <c r="U16" s="1485"/>
      <c r="V16" s="1483">
        <f t="shared" ref="V16" si="1">IF(Q16+1&gt;=13,Q16+1-12,Q16+1)</f>
        <v>1</v>
      </c>
      <c r="W16" s="1484"/>
      <c r="X16" s="1484"/>
      <c r="Y16" s="1484"/>
      <c r="Z16" s="1485"/>
      <c r="AA16" s="1483">
        <f t="shared" ref="AA16" si="2">IF(V16+1&gt;=13,V16+1-12,V16+1)</f>
        <v>2</v>
      </c>
      <c r="AB16" s="1484"/>
      <c r="AC16" s="1484"/>
      <c r="AD16" s="1484"/>
      <c r="AE16" s="1485"/>
      <c r="AF16" s="1483">
        <f t="shared" ref="AF16" si="3">IF(AA16+1&gt;=13,AA16+1-12,AA16+1)</f>
        <v>3</v>
      </c>
      <c r="AG16" s="1484"/>
      <c r="AH16" s="1484"/>
      <c r="AI16" s="1484"/>
      <c r="AJ16" s="1485"/>
      <c r="AK16" s="233"/>
      <c r="AL16" s="1501" t="str">
        <f>G16&amp;"月～"&amp;AF16&amp;"月"</f>
        <v>10月～3月</v>
      </c>
      <c r="AM16" s="1502"/>
      <c r="AN16" s="1502"/>
      <c r="AO16" s="1503"/>
      <c r="AP16" s="1477" t="s">
        <v>1195</v>
      </c>
      <c r="AQ16" s="1382"/>
      <c r="AR16" s="1478"/>
      <c r="AS16" s="1477" t="s">
        <v>1196</v>
      </c>
      <c r="AT16" s="1382"/>
      <c r="AU16" s="1479"/>
      <c r="AV16" s="233"/>
      <c r="AW16" s="233"/>
      <c r="AX16" s="233"/>
      <c r="AZ16" s="794" t="str">
        <f>IF(COUNTA(G18,L18,Q18,V18,AA18,AF18)=6,"○","×")</f>
        <v>×</v>
      </c>
      <c r="BA16" s="1633" t="s">
        <v>1015</v>
      </c>
      <c r="BB16" s="1634"/>
      <c r="BC16" s="1634"/>
      <c r="BD16" s="1634"/>
      <c r="BE16" s="282"/>
      <c r="BF16" s="282"/>
      <c r="BG16" s="699" t="str">
        <f>B18</f>
        <v>看護配置割合</v>
      </c>
    </row>
    <row r="17" spans="1:59" ht="18.75" customHeight="1">
      <c r="B17" s="857"/>
      <c r="C17" s="857"/>
      <c r="D17" s="857"/>
      <c r="E17" s="857"/>
      <c r="F17" s="1051"/>
      <c r="G17" s="1484"/>
      <c r="H17" s="1484"/>
      <c r="I17" s="1484"/>
      <c r="J17" s="1484"/>
      <c r="K17" s="1485"/>
      <c r="L17" s="1484"/>
      <c r="M17" s="1484"/>
      <c r="N17" s="1484"/>
      <c r="O17" s="1484"/>
      <c r="P17" s="1485"/>
      <c r="Q17" s="1484"/>
      <c r="R17" s="1484"/>
      <c r="S17" s="1484"/>
      <c r="T17" s="1484"/>
      <c r="U17" s="1485"/>
      <c r="V17" s="1484"/>
      <c r="W17" s="1484"/>
      <c r="X17" s="1484"/>
      <c r="Y17" s="1484"/>
      <c r="Z17" s="1485"/>
      <c r="AA17" s="1484"/>
      <c r="AB17" s="1484"/>
      <c r="AC17" s="1484"/>
      <c r="AD17" s="1484"/>
      <c r="AE17" s="1485"/>
      <c r="AF17" s="1484"/>
      <c r="AG17" s="1484"/>
      <c r="AH17" s="1484"/>
      <c r="AI17" s="1484"/>
      <c r="AJ17" s="1485"/>
      <c r="AK17" s="792"/>
      <c r="AL17" s="1499" t="s">
        <v>1198</v>
      </c>
      <c r="AM17" s="1500"/>
      <c r="AN17" s="1500"/>
      <c r="AO17" s="1500"/>
      <c r="AP17" s="1463">
        <f>IF(COUNTIF($AZ$16:$AZ$22,"○")=7,SUM(AO23,AO30,AO37,AO44,AO51,AO58),0)</f>
        <v>0</v>
      </c>
      <c r="AQ17" s="1464"/>
      <c r="AR17" s="1464"/>
      <c r="AS17" s="1468" t="s">
        <v>1199</v>
      </c>
      <c r="AT17" s="1469"/>
      <c r="AU17" s="1470"/>
      <c r="AV17" s="792"/>
      <c r="AW17" s="792"/>
      <c r="AX17" s="792"/>
      <c r="AZ17" s="697" t="str">
        <f>AU25</f>
        <v>×</v>
      </c>
      <c r="BA17" s="807"/>
      <c r="BB17" s="282"/>
      <c r="BC17" s="235"/>
      <c r="BD17" s="282"/>
      <c r="BE17" s="282"/>
      <c r="BF17" s="282"/>
      <c r="BG17" s="694">
        <f>J21</f>
        <v>10</v>
      </c>
    </row>
    <row r="18" spans="1:59" ht="18.75" customHeight="1">
      <c r="B18" s="1050" t="s">
        <v>1152</v>
      </c>
      <c r="C18" s="1051"/>
      <c r="D18" s="1051"/>
      <c r="E18" s="1051"/>
      <c r="F18" s="1051"/>
      <c r="G18" s="1486"/>
      <c r="H18" s="1487"/>
      <c r="I18" s="1057" t="s">
        <v>1156</v>
      </c>
      <c r="J18" s="1055">
        <v>1</v>
      </c>
      <c r="K18" s="857"/>
      <c r="L18" s="1486"/>
      <c r="M18" s="1487"/>
      <c r="N18" s="1057" t="s">
        <v>1156</v>
      </c>
      <c r="O18" s="1055">
        <v>1</v>
      </c>
      <c r="P18" s="857"/>
      <c r="Q18" s="1486"/>
      <c r="R18" s="1487"/>
      <c r="S18" s="1057" t="s">
        <v>1156</v>
      </c>
      <c r="T18" s="1055">
        <v>1</v>
      </c>
      <c r="U18" s="857"/>
      <c r="V18" s="1486"/>
      <c r="W18" s="1487"/>
      <c r="X18" s="1057" t="s">
        <v>1156</v>
      </c>
      <c r="Y18" s="1055">
        <v>1</v>
      </c>
      <c r="Z18" s="857"/>
      <c r="AA18" s="1486"/>
      <c r="AB18" s="1487"/>
      <c r="AC18" s="1057" t="s">
        <v>1156</v>
      </c>
      <c r="AD18" s="1055">
        <v>1</v>
      </c>
      <c r="AE18" s="857"/>
      <c r="AF18" s="1486"/>
      <c r="AG18" s="1487"/>
      <c r="AH18" s="1057" t="s">
        <v>1156</v>
      </c>
      <c r="AI18" s="1055">
        <v>1</v>
      </c>
      <c r="AJ18" s="857"/>
      <c r="AL18" s="1499" t="s">
        <v>1197</v>
      </c>
      <c r="AM18" s="1500"/>
      <c r="AN18" s="1500"/>
      <c r="AO18" s="1500"/>
      <c r="AP18" s="1139">
        <f>IF(COUNTIF($AZ$16:$AZ$22,"○")=7,SUM(AO25,AO32,AO39,AO46,AO53,AO60),0)</f>
        <v>0</v>
      </c>
      <c r="AQ18" s="1465"/>
      <c r="AR18" s="1465"/>
      <c r="AS18" s="1471">
        <f>IF(COUNTIF($AZ$16:$AZ$22,"○")=7,ROUNDDOWN(AP18/$AP$17,1),0)</f>
        <v>0</v>
      </c>
      <c r="AT18" s="1472"/>
      <c r="AU18" s="1473"/>
      <c r="AZ18" s="697" t="str">
        <f>AU32</f>
        <v>×</v>
      </c>
      <c r="BA18" s="1633" t="s">
        <v>1017</v>
      </c>
      <c r="BB18" s="1634"/>
      <c r="BC18" s="1634"/>
      <c r="BD18" s="1634"/>
      <c r="BE18" s="1634"/>
      <c r="BF18" s="282"/>
      <c r="BG18" s="695">
        <f>J28</f>
        <v>11</v>
      </c>
    </row>
    <row r="19" spans="1:59" ht="18.75" customHeight="1" thickBot="1">
      <c r="B19" s="1051"/>
      <c r="C19" s="1051"/>
      <c r="D19" s="1051"/>
      <c r="E19" s="1051"/>
      <c r="F19" s="1051"/>
      <c r="G19" s="1488"/>
      <c r="H19" s="1487"/>
      <c r="I19" s="1058"/>
      <c r="J19" s="1056"/>
      <c r="K19" s="857"/>
      <c r="L19" s="1488"/>
      <c r="M19" s="1487"/>
      <c r="N19" s="1058"/>
      <c r="O19" s="1056"/>
      <c r="P19" s="857"/>
      <c r="Q19" s="1488"/>
      <c r="R19" s="1487"/>
      <c r="S19" s="1058"/>
      <c r="T19" s="1056"/>
      <c r="U19" s="857"/>
      <c r="V19" s="1488"/>
      <c r="W19" s="1487"/>
      <c r="X19" s="1058"/>
      <c r="Y19" s="1056"/>
      <c r="Z19" s="857"/>
      <c r="AA19" s="1488"/>
      <c r="AB19" s="1487"/>
      <c r="AC19" s="1058"/>
      <c r="AD19" s="1056"/>
      <c r="AE19" s="857"/>
      <c r="AF19" s="1488"/>
      <c r="AG19" s="1487"/>
      <c r="AH19" s="1058"/>
      <c r="AI19" s="1056"/>
      <c r="AJ19" s="857"/>
      <c r="AK19" s="801"/>
      <c r="AL19" s="1504" t="s">
        <v>1457</v>
      </c>
      <c r="AM19" s="1505"/>
      <c r="AN19" s="1505"/>
      <c r="AO19" s="1505"/>
      <c r="AP19" s="1466">
        <f>IF(COUNTIF($AZ$16:$AZ$22,"○")=7,SUM(AO26,AO33,AO40,AO47,AO54,AO61),0)</f>
        <v>0</v>
      </c>
      <c r="AQ19" s="1467"/>
      <c r="AR19" s="1467"/>
      <c r="AS19" s="1474">
        <f>IF(COUNTIF($AZ$16:$AZ$22,"○")=7,ROUNDDOWN(AP19/$AP$17,1),0)</f>
        <v>0</v>
      </c>
      <c r="AT19" s="1475"/>
      <c r="AU19" s="1476"/>
      <c r="AV19" s="801"/>
      <c r="AW19" s="801"/>
      <c r="AX19" s="801"/>
      <c r="AY19" s="799"/>
      <c r="AZ19" s="698" t="str">
        <f>AU39</f>
        <v>×</v>
      </c>
      <c r="BA19" s="1633" t="s">
        <v>1016</v>
      </c>
      <c r="BB19" s="1634"/>
      <c r="BC19" s="1634"/>
      <c r="BD19" s="1634"/>
      <c r="BE19" s="1634"/>
      <c r="BF19" s="282"/>
      <c r="BG19" s="695">
        <f>J35</f>
        <v>12</v>
      </c>
    </row>
    <row r="20" spans="1:59" ht="20.100000000000001" customHeight="1" thickBot="1">
      <c r="B20" s="1622" t="s">
        <v>1191</v>
      </c>
      <c r="C20" s="1623"/>
      <c r="D20" s="1623"/>
      <c r="E20" s="1623"/>
      <c r="F20" s="1623"/>
      <c r="G20" s="1623"/>
      <c r="H20" s="1623"/>
      <c r="I20" s="1623"/>
      <c r="J20" s="1623"/>
      <c r="K20" s="1623"/>
      <c r="L20" s="1623"/>
      <c r="M20" s="1623"/>
      <c r="N20" s="1623"/>
      <c r="O20" s="1623"/>
      <c r="P20" s="1623"/>
      <c r="Q20" s="1623"/>
      <c r="R20" s="1623"/>
      <c r="S20" s="1623"/>
      <c r="T20" s="1623"/>
      <c r="U20" s="1623"/>
      <c r="V20" s="1623"/>
      <c r="W20" s="1623"/>
      <c r="X20" s="1623"/>
      <c r="Y20" s="1623"/>
      <c r="Z20" s="1623"/>
      <c r="AA20" s="1623"/>
      <c r="AB20" s="1623"/>
      <c r="AC20" s="1623"/>
      <c r="AD20" s="1623"/>
      <c r="AE20" s="1623"/>
      <c r="AF20" s="1623"/>
      <c r="AG20" s="1623"/>
      <c r="AH20" s="1623"/>
      <c r="AI20" s="1623"/>
      <c r="AJ20" s="1623"/>
      <c r="AK20" s="1623"/>
      <c r="AL20" s="1623"/>
      <c r="AM20" s="1623"/>
      <c r="AN20" s="1623"/>
      <c r="AO20" s="1623"/>
      <c r="AP20" s="1623"/>
      <c r="AQ20" s="1623"/>
      <c r="AR20" s="1623"/>
      <c r="AS20" s="1623"/>
      <c r="AT20" s="1623"/>
      <c r="AU20" s="1623"/>
      <c r="AV20" s="1623"/>
      <c r="AW20" s="1623"/>
      <c r="AX20" s="1623"/>
      <c r="AY20" s="1623"/>
      <c r="AZ20" s="697" t="str">
        <f>AU46</f>
        <v>×</v>
      </c>
      <c r="BA20" s="1633" t="s">
        <v>1020</v>
      </c>
      <c r="BB20" s="1634"/>
      <c r="BC20" s="1634"/>
      <c r="BD20" s="1634"/>
      <c r="BE20" s="1634"/>
      <c r="BF20" s="807"/>
      <c r="BG20" s="695">
        <f>J42</f>
        <v>1</v>
      </c>
    </row>
    <row r="21" spans="1:59" ht="19.5" thickTop="1">
      <c r="B21" s="1489" t="s">
        <v>1189</v>
      </c>
      <c r="C21" s="1490"/>
      <c r="D21" s="1490"/>
      <c r="E21" s="1490"/>
      <c r="F21" s="1490"/>
      <c r="G21" s="1490"/>
      <c r="H21" s="1490"/>
      <c r="I21" s="1491"/>
      <c r="J21" s="1426">
        <f>G16</f>
        <v>10</v>
      </c>
      <c r="K21" s="1427"/>
      <c r="L21" s="1427"/>
      <c r="M21" s="1427"/>
      <c r="N21" s="1427"/>
      <c r="O21" s="1427"/>
      <c r="P21" s="1427"/>
      <c r="Q21" s="1427"/>
      <c r="R21" s="1427"/>
      <c r="S21" s="1427"/>
      <c r="T21" s="1427"/>
      <c r="U21" s="1427"/>
      <c r="V21" s="1427"/>
      <c r="W21" s="1427"/>
      <c r="X21" s="1427"/>
      <c r="Y21" s="1427"/>
      <c r="Z21" s="1427"/>
      <c r="AA21" s="1427"/>
      <c r="AB21" s="1427"/>
      <c r="AC21" s="1427"/>
      <c r="AD21" s="1427"/>
      <c r="AE21" s="1427"/>
      <c r="AF21" s="1427"/>
      <c r="AG21" s="1427"/>
      <c r="AH21" s="1427"/>
      <c r="AI21" s="1427"/>
      <c r="AJ21" s="1427"/>
      <c r="AK21" s="1427"/>
      <c r="AL21" s="1427"/>
      <c r="AM21" s="1427"/>
      <c r="AN21" s="1429"/>
      <c r="AO21" s="1489" t="s">
        <v>1193</v>
      </c>
      <c r="AP21" s="1490"/>
      <c r="AQ21" s="1491"/>
      <c r="AR21" s="1489" t="s">
        <v>1194</v>
      </c>
      <c r="AS21" s="1490"/>
      <c r="AT21" s="1491"/>
      <c r="AU21" s="1411" t="s">
        <v>98</v>
      </c>
      <c r="AV21" s="795"/>
      <c r="AW21" s="795"/>
      <c r="AX21" s="312"/>
      <c r="AY21" s="313"/>
      <c r="AZ21" s="697" t="str">
        <f>AU53</f>
        <v>×</v>
      </c>
      <c r="BA21" s="807"/>
      <c r="BB21" s="282"/>
      <c r="BC21" s="235"/>
      <c r="BD21" s="807"/>
      <c r="BE21" s="807"/>
      <c r="BF21" s="807"/>
      <c r="BG21" s="696">
        <f>J49</f>
        <v>2</v>
      </c>
    </row>
    <row r="22" spans="1:59">
      <c r="A22" s="314" t="s">
        <v>1024</v>
      </c>
      <c r="B22" s="1492"/>
      <c r="C22" s="1506"/>
      <c r="D22" s="1506"/>
      <c r="E22" s="1506"/>
      <c r="F22" s="1506"/>
      <c r="G22" s="1506"/>
      <c r="H22" s="1506"/>
      <c r="I22" s="1494"/>
      <c r="J22" s="567">
        <f xml:space="preserve">
IF(表紙!$X$2="事前協議",DATE(2023,J21,1),
IF(表紙!$X$2="交付申請（２次）",DATE(2023,J21,1),
IF(表紙!$X$2="変更申請",DATE(2023,J21,1),
IF(表紙!$X$2="実績報告（１次）",DATE(2023,J21,1),
IF(表紙!$X$2="実績報告（２次）",DATE(2023,J21,1),
IF(表紙!$X$2="交付申請兼実績報告",DATE(2023,J21,1)))))))</f>
        <v>45200</v>
      </c>
      <c r="K22" s="568">
        <f xml:space="preserve">
IF(表紙!$X$2="事前協議",IFERROR(IF(J22+1&gt;DATE(2023,10,31),"",J22+1),""),
IF(表紙!$X$2="交付申請（２次）",IFERROR(IF(J22+1&gt;DATE(2023,10,31),"",J22+1),""),
IF(表紙!$X$2="変更申請",IFERROR(IF(J22+1&gt;DATE(2023,10,31),"",J22+1),""),
IF(表紙!$X$2="実績報告（１次）",IFERROR(IF(J22+1&gt;DATE(2023,4,30),"",J22+1),""),
IF(表紙!$X$2="実績報告（２次）",IFERROR(IF(J22+1&gt;DATE(2023,10,31),"",J22+1),""),
IF(表紙!$X$2="交付申請兼実績報告",IFERROR(IF(J22+1&gt;DATE(2023,10,31),"",J22+1),"")))))))</f>
        <v>45201</v>
      </c>
      <c r="L22" s="568">
        <f xml:space="preserve">
IF(表紙!$X$2="事前協議",IFERROR(IF(K22+1&gt;DATE(2023,10,31),"",K22+1),""),
IF(表紙!$X$2="交付申請（２次）",IFERROR(IF(K22+1&gt;DATE(2023,10,31),"",K22+1),""),
IF(表紙!$X$2="変更申請",IFERROR(IF(K22+1&gt;DATE(2023,10,31),"",K22+1),""),
IF(表紙!$X$2="実績報告（１次）",IFERROR(IF(K22+1&gt;DATE(2023,4,30),"",K22+1),""),
IF(表紙!$X$2="実績報告（２次）",IFERROR(IF(K22+1&gt;DATE(2023,10,31),"",K22+1),""),
IF(表紙!$X$2="交付申請兼実績報告",IFERROR(IF(K22+1&gt;DATE(2023,10,31),"",K22+1),"")))))))</f>
        <v>45202</v>
      </c>
      <c r="M22" s="568">
        <f xml:space="preserve">
IF(表紙!$X$2="事前協議",IFERROR(IF(L22+1&gt;DATE(2023,10,31),"",L22+1),""),
IF(表紙!$X$2="交付申請（２次）",IFERROR(IF(L22+1&gt;DATE(2023,10,31),"",L22+1),""),
IF(表紙!$X$2="変更申請",IFERROR(IF(L22+1&gt;DATE(2023,10,31),"",L22+1),""),
IF(表紙!$X$2="実績報告（１次）",IFERROR(IF(L22+1&gt;DATE(2023,4,30),"",L22+1),""),
IF(表紙!$X$2="実績報告（２次）",IFERROR(IF(L22+1&gt;DATE(2023,10,31),"",L22+1),""),
IF(表紙!$X$2="交付申請兼実績報告",IFERROR(IF(L22+1&gt;DATE(2023,10,31),"",L22+1),"")))))))</f>
        <v>45203</v>
      </c>
      <c r="N22" s="568">
        <f xml:space="preserve">
IF(表紙!$X$2="事前協議",IFERROR(IF(M22+1&gt;DATE(2023,10,31),"",M22+1),""),
IF(表紙!$X$2="交付申請（２次）",IFERROR(IF(M22+1&gt;DATE(2023,10,31),"",M22+1),""),
IF(表紙!$X$2="変更申請",IFERROR(IF(M22+1&gt;DATE(2023,10,31),"",M22+1),""),
IF(表紙!$X$2="実績報告（１次）",IFERROR(IF(M22+1&gt;DATE(2023,4,30),"",M22+1),""),
IF(表紙!$X$2="実績報告（２次）",IFERROR(IF(M22+1&gt;DATE(2023,10,31),"",M22+1),""),
IF(表紙!$X$2="交付申請兼実績報告",IFERROR(IF(M22+1&gt;DATE(2023,10,31),"",M22+1),"")))))))</f>
        <v>45204</v>
      </c>
      <c r="O22" s="568">
        <f xml:space="preserve">
IF(表紙!$X$2="事前協議",IFERROR(IF(N22+1&gt;DATE(2023,10,31),"",N22+1),""),
IF(表紙!$X$2="交付申請（２次）",IFERROR(IF(N22+1&gt;DATE(2023,10,31),"",N22+1),""),
IF(表紙!$X$2="変更申請",IFERROR(IF(N22+1&gt;DATE(2023,10,31),"",N22+1),""),
IF(表紙!$X$2="実績報告（１次）",IFERROR(IF(N22+1&gt;DATE(2023,4,30),"",N22+1),""),
IF(表紙!$X$2="実績報告（２次）",IFERROR(IF(N22+1&gt;DATE(2023,10,31),"",N22+1),""),
IF(表紙!$X$2="交付申請兼実績報告",IFERROR(IF(N22+1&gt;DATE(2023,10,31),"",N22+1),"")))))))</f>
        <v>45205</v>
      </c>
      <c r="P22" s="568">
        <f xml:space="preserve">
IF(表紙!$X$2="事前協議",IFERROR(IF(O22+1&gt;DATE(2023,10,31),"",O22+1),""),
IF(表紙!$X$2="交付申請（２次）",IFERROR(IF(O22+1&gt;DATE(2023,10,31),"",O22+1),""),
IF(表紙!$X$2="変更申請",IFERROR(IF(O22+1&gt;DATE(2023,10,31),"",O22+1),""),
IF(表紙!$X$2="実績報告（１次）",IFERROR(IF(O22+1&gt;DATE(2023,4,30),"",O22+1),""),
IF(表紙!$X$2="実績報告（２次）",IFERROR(IF(O22+1&gt;DATE(2023,10,31),"",O22+1),""),
IF(表紙!$X$2="交付申請兼実績報告",IFERROR(IF(O22+1&gt;DATE(2023,10,31),"",O22+1),"")))))))</f>
        <v>45206</v>
      </c>
      <c r="Q22" s="568">
        <f xml:space="preserve">
IF(表紙!$X$2="事前協議",IFERROR(IF(P22+1&gt;DATE(2023,10,31),"",P22+1),""),
IF(表紙!$X$2="交付申請（２次）",IFERROR(IF(P22+1&gt;DATE(2023,10,31),"",P22+1),""),
IF(表紙!$X$2="変更申請",IFERROR(IF(P22+1&gt;DATE(2023,10,31),"",P22+1),""),
IF(表紙!$X$2="実績報告（１次）",IFERROR(IF(P22+1&gt;DATE(2023,4,30),"",P22+1),""),
IF(表紙!$X$2="実績報告（２次）",IFERROR(IF(P22+1&gt;DATE(2023,10,31),"",P22+1),""),
IF(表紙!$X$2="交付申請兼実績報告",IFERROR(IF(P22+1&gt;DATE(2023,10,31),"",P22+1),"")))))))</f>
        <v>45207</v>
      </c>
      <c r="R22" s="568">
        <f xml:space="preserve">
IF(表紙!$X$2="事前協議",IFERROR(IF(Q22+1&gt;DATE(2023,10,31),"",Q22+1),""),
IF(表紙!$X$2="交付申請（２次）",IFERROR(IF(Q22+1&gt;DATE(2023,10,31),"",Q22+1),""),
IF(表紙!$X$2="変更申請",IFERROR(IF(Q22+1&gt;DATE(2023,10,31),"",Q22+1),""),
IF(表紙!$X$2="実績報告（１次）",IFERROR(IF(Q22+1&gt;DATE(2023,4,30),"",Q22+1),""),
IF(表紙!$X$2="実績報告（２次）",IFERROR(IF(Q22+1&gt;DATE(2023,10,31),"",Q22+1),""),
IF(表紙!$X$2="交付申請兼実績報告",IFERROR(IF(Q22+1&gt;DATE(2023,10,31),"",Q22+1),"")))))))</f>
        <v>45208</v>
      </c>
      <c r="S22" s="568">
        <f xml:space="preserve">
IF(表紙!$X$2="事前協議",IFERROR(IF(R22+1&gt;DATE(2023,10,31),"",R22+1),""),
IF(表紙!$X$2="交付申請（２次）",IFERROR(IF(R22+1&gt;DATE(2023,10,31),"",R22+1),""),
IF(表紙!$X$2="変更申請",IFERROR(IF(R22+1&gt;DATE(2023,10,31),"",R22+1),""),
IF(表紙!$X$2="実績報告（１次）",IFERROR(IF(R22+1&gt;DATE(2023,4,30),"",R22+1),""),
IF(表紙!$X$2="実績報告（２次）",IFERROR(IF(R22+1&gt;DATE(2023,10,31),"",R22+1),""),
IF(表紙!$X$2="交付申請兼実績報告",IFERROR(IF(R22+1&gt;DATE(2023,10,31),"",R22+1),"")))))))</f>
        <v>45209</v>
      </c>
      <c r="T22" s="568">
        <f xml:space="preserve">
IF(表紙!$X$2="事前協議",IFERROR(IF(S22+1&gt;DATE(2023,10,31),"",S22+1),""),
IF(表紙!$X$2="交付申請（２次）",IFERROR(IF(S22+1&gt;DATE(2023,10,31),"",S22+1),""),
IF(表紙!$X$2="変更申請",IFERROR(IF(S22+1&gt;DATE(2023,10,31),"",S22+1),""),
IF(表紙!$X$2="実績報告（１次）",IFERROR(IF(S22+1&gt;DATE(2023,4,30),"",S22+1),""),
IF(表紙!$X$2="実績報告（２次）",IFERROR(IF(S22+1&gt;DATE(2023,10,31),"",S22+1),""),
IF(表紙!$X$2="交付申請兼実績報告",IFERROR(IF(S22+1&gt;DATE(2023,10,31),"",S22+1),"")))))))</f>
        <v>45210</v>
      </c>
      <c r="U22" s="568">
        <f xml:space="preserve">
IF(表紙!$X$2="事前協議",IFERROR(IF(T22+1&gt;DATE(2023,10,31),"",T22+1),""),
IF(表紙!$X$2="交付申請（２次）",IFERROR(IF(T22+1&gt;DATE(2023,10,31),"",T22+1),""),
IF(表紙!$X$2="変更申請",IFERROR(IF(T22+1&gt;DATE(2023,10,31),"",T22+1),""),
IF(表紙!$X$2="実績報告（１次）",IFERROR(IF(T22+1&gt;DATE(2023,4,30),"",T22+1),""),
IF(表紙!$X$2="実績報告（２次）",IFERROR(IF(T22+1&gt;DATE(2023,10,31),"",T22+1),""),
IF(表紙!$X$2="交付申請兼実績報告",IFERROR(IF(T22+1&gt;DATE(2023,10,31),"",T22+1),"")))))))</f>
        <v>45211</v>
      </c>
      <c r="V22" s="568">
        <f xml:space="preserve">
IF(表紙!$X$2="事前協議",IFERROR(IF(U22+1&gt;DATE(2023,10,31),"",U22+1),""),
IF(表紙!$X$2="交付申請（２次）",IFERROR(IF(U22+1&gt;DATE(2023,10,31),"",U22+1),""),
IF(表紙!$X$2="変更申請",IFERROR(IF(U22+1&gt;DATE(2023,10,31),"",U22+1),""),
IF(表紙!$X$2="実績報告（１次）",IFERROR(IF(U22+1&gt;DATE(2023,4,30),"",U22+1),""),
IF(表紙!$X$2="実績報告（２次）",IFERROR(IF(U22+1&gt;DATE(2023,10,31),"",U22+1),""),
IF(表紙!$X$2="交付申請兼実績報告",IFERROR(IF(U22+1&gt;DATE(2023,10,31),"",U22+1),"")))))))</f>
        <v>45212</v>
      </c>
      <c r="W22" s="568">
        <f xml:space="preserve">
IF(表紙!$X$2="事前協議",IFERROR(IF(V22+1&gt;DATE(2023,10,31),"",V22+1),""),
IF(表紙!$X$2="交付申請（２次）",IFERROR(IF(V22+1&gt;DATE(2023,10,31),"",V22+1),""),
IF(表紙!$X$2="変更申請",IFERROR(IF(V22+1&gt;DATE(2023,10,31),"",V22+1),""),
IF(表紙!$X$2="実績報告（１次）",IFERROR(IF(V22+1&gt;DATE(2023,4,30),"",V22+1),""),
IF(表紙!$X$2="実績報告（２次）",IFERROR(IF(V22+1&gt;DATE(2023,10,31),"",V22+1),""),
IF(表紙!$X$2="交付申請兼実績報告",IFERROR(IF(V22+1&gt;DATE(2023,10,31),"",V22+1),"")))))))</f>
        <v>45213</v>
      </c>
      <c r="X22" s="568">
        <f xml:space="preserve">
IF(表紙!$X$2="事前協議",IFERROR(IF(W22+1&gt;DATE(2023,10,31),"",W22+1),""),
IF(表紙!$X$2="交付申請（２次）",IFERROR(IF(W22+1&gt;DATE(2023,10,31),"",W22+1),""),
IF(表紙!$X$2="変更申請",IFERROR(IF(W22+1&gt;DATE(2023,10,31),"",W22+1),""),
IF(表紙!$X$2="実績報告（１次）",IFERROR(IF(W22+1&gt;DATE(2023,4,30),"",W22+1),""),
IF(表紙!$X$2="実績報告（２次）",IFERROR(IF(W22+1&gt;DATE(2023,10,31),"",W22+1),""),
IF(表紙!$X$2="交付申請兼実績報告",IFERROR(IF(W22+1&gt;DATE(2023,10,31),"",W22+1),"")))))))</f>
        <v>45214</v>
      </c>
      <c r="Y22" s="568">
        <f xml:space="preserve">
IF(表紙!$X$2="事前協議",IFERROR(IF(X22+1&gt;DATE(2023,10,31),"",X22+1),""),
IF(表紙!$X$2="交付申請（２次）",IFERROR(IF(X22+1&gt;DATE(2023,10,31),"",X22+1),""),
IF(表紙!$X$2="変更申請",IFERROR(IF(X22+1&gt;DATE(2023,10,31),"",X22+1),""),
IF(表紙!$X$2="実績報告（１次）",IFERROR(IF(X22+1&gt;DATE(2023,4,30),"",X22+1),""),
IF(表紙!$X$2="実績報告（２次）",IFERROR(IF(X22+1&gt;DATE(2023,10,31),"",X22+1),""),
IF(表紙!$X$2="交付申請兼実績報告",IFERROR(IF(X22+1&gt;DATE(2023,10,31),"",X22+1),"")))))))</f>
        <v>45215</v>
      </c>
      <c r="Z22" s="568">
        <f xml:space="preserve">
IF(表紙!$X$2="事前協議",IFERROR(IF(Y22+1&gt;DATE(2023,10,31),"",Y22+1),""),
IF(表紙!$X$2="交付申請（２次）",IFERROR(IF(Y22+1&gt;DATE(2023,10,31),"",Y22+1),""),
IF(表紙!$X$2="変更申請",IFERROR(IF(Y22+1&gt;DATE(2023,10,31),"",Y22+1),""),
IF(表紙!$X$2="実績報告（１次）",IFERROR(IF(Y22+1&gt;DATE(2023,4,30),"",Y22+1),""),
IF(表紙!$X$2="実績報告（２次）",IFERROR(IF(Y22+1&gt;DATE(2023,10,31),"",Y22+1),""),
IF(表紙!$X$2="交付申請兼実績報告",IFERROR(IF(Y22+1&gt;DATE(2023,10,31),"",Y22+1),"")))))))</f>
        <v>45216</v>
      </c>
      <c r="AA22" s="568">
        <f xml:space="preserve">
IF(表紙!$X$2="事前協議",IFERROR(IF(Z22+1&gt;DATE(2023,10,31),"",Z22+1),""),
IF(表紙!$X$2="交付申請（２次）",IFERROR(IF(Z22+1&gt;DATE(2023,10,31),"",Z22+1),""),
IF(表紙!$X$2="変更申請",IFERROR(IF(Z22+1&gt;DATE(2023,10,31),"",Z22+1),""),
IF(表紙!$X$2="実績報告（１次）",IFERROR(IF(Z22+1&gt;DATE(2023,4,30),"",Z22+1),""),
IF(表紙!$X$2="実績報告（２次）",IFERROR(IF(Z22+1&gt;DATE(2023,10,31),"",Z22+1),""),
IF(表紙!$X$2="交付申請兼実績報告",IFERROR(IF(Z22+1&gt;DATE(2023,10,31),"",Z22+1),"")))))))</f>
        <v>45217</v>
      </c>
      <c r="AB22" s="568">
        <f xml:space="preserve">
IF(表紙!$X$2="事前協議",IFERROR(IF(AA22+1&gt;DATE(2023,10,31),"",AA22+1),""),
IF(表紙!$X$2="交付申請（２次）",IFERROR(IF(AA22+1&gt;DATE(2023,10,31),"",AA22+1),""),
IF(表紙!$X$2="変更申請",IFERROR(IF(AA22+1&gt;DATE(2023,10,31),"",AA22+1),""),
IF(表紙!$X$2="実績報告（１次）",IFERROR(IF(AA22+1&gt;DATE(2023,4,30),"",AA22+1),""),
IF(表紙!$X$2="実績報告（２次）",IFERROR(IF(AA22+1&gt;DATE(2023,10,31),"",AA22+1),""),
IF(表紙!$X$2="交付申請兼実績報告",IFERROR(IF(AA22+1&gt;DATE(2023,10,31),"",AA22+1),"")))))))</f>
        <v>45218</v>
      </c>
      <c r="AC22" s="568">
        <f xml:space="preserve">
IF(表紙!$X$2="事前協議",IFERROR(IF(AB22+1&gt;DATE(2023,10,31),"",AB22+1),""),
IF(表紙!$X$2="交付申請（２次）",IFERROR(IF(AB22+1&gt;DATE(2023,10,31),"",AB22+1),""),
IF(表紙!$X$2="変更申請",IFERROR(IF(AB22+1&gt;DATE(2023,10,31),"",AB22+1),""),
IF(表紙!$X$2="実績報告（１次）",IFERROR(IF(AB22+1&gt;DATE(2023,4,30),"",AB22+1),""),
IF(表紙!$X$2="実績報告（２次）",IFERROR(IF(AB22+1&gt;DATE(2023,10,31),"",AB22+1),""),
IF(表紙!$X$2="交付申請兼実績報告",IFERROR(IF(AB22+1&gt;DATE(2023,10,31),"",AB22+1),"")))))))</f>
        <v>45219</v>
      </c>
      <c r="AD22" s="568">
        <f xml:space="preserve">
IF(表紙!$X$2="事前協議",IFERROR(IF(AC22+1&gt;DATE(2023,10,31),"",AC22+1),""),
IF(表紙!$X$2="交付申請（２次）",IFERROR(IF(AC22+1&gt;DATE(2023,10,31),"",AC22+1),""),
IF(表紙!$X$2="変更申請",IFERROR(IF(AC22+1&gt;DATE(2023,10,31),"",AC22+1),""),
IF(表紙!$X$2="実績報告（１次）",IFERROR(IF(AC22+1&gt;DATE(2023,4,30),"",AC22+1),""),
IF(表紙!$X$2="実績報告（２次）",IFERROR(IF(AC22+1&gt;DATE(2023,10,31),"",AC22+1),""),
IF(表紙!$X$2="交付申請兼実績報告",IFERROR(IF(AC22+1&gt;DATE(2023,10,31),"",AC22+1),"")))))))</f>
        <v>45220</v>
      </c>
      <c r="AE22" s="568">
        <f xml:space="preserve">
IF(表紙!$X$2="事前協議",IFERROR(IF(AD22+1&gt;DATE(2023,10,31),"",AD22+1),""),
IF(表紙!$X$2="交付申請（２次）",IFERROR(IF(AD22+1&gt;DATE(2023,10,31),"",AD22+1),""),
IF(表紙!$X$2="変更申請",IFERROR(IF(AD22+1&gt;DATE(2023,10,31),"",AD22+1),""),
IF(表紙!$X$2="実績報告（１次）",IFERROR(IF(AD22+1&gt;DATE(2023,4,30),"",AD22+1),""),
IF(表紙!$X$2="実績報告（２次）",IFERROR(IF(AD22+1&gt;DATE(2023,10,31),"",AD22+1),""),
IF(表紙!$X$2="交付申請兼実績報告",IFERROR(IF(AD22+1&gt;DATE(2023,10,31),"",AD22+1),"")))))))</f>
        <v>45221</v>
      </c>
      <c r="AF22" s="568">
        <f xml:space="preserve">
IF(表紙!$X$2="事前協議",IFERROR(IF(AE22+1&gt;DATE(2023,10,31),"",AE22+1),""),
IF(表紙!$X$2="交付申請（２次）",IFERROR(IF(AE22+1&gt;DATE(2023,10,31),"",AE22+1),""),
IF(表紙!$X$2="変更申請",IFERROR(IF(AE22+1&gt;DATE(2023,10,31),"",AE22+1),""),
IF(表紙!$X$2="実績報告（１次）",IFERROR(IF(AE22+1&gt;DATE(2023,4,30),"",AE22+1),""),
IF(表紙!$X$2="実績報告（２次）",IFERROR(IF(AE22+1&gt;DATE(2023,10,31),"",AE22+1),""),
IF(表紙!$X$2="交付申請兼実績報告",IFERROR(IF(AE22+1&gt;DATE(2023,10,31),"",AE22+1),"")))))))</f>
        <v>45222</v>
      </c>
      <c r="AG22" s="568">
        <f xml:space="preserve">
IF(表紙!$X$2="事前協議",IFERROR(IF(AF22+1&gt;DATE(2023,10,31),"",AF22+1),""),
IF(表紙!$X$2="交付申請（２次）",IFERROR(IF(AF22+1&gt;DATE(2023,10,31),"",AF22+1),""),
IF(表紙!$X$2="変更申請",IFERROR(IF(AF22+1&gt;DATE(2023,10,31),"",AF22+1),""),
IF(表紙!$X$2="実績報告（１次）",IFERROR(IF(AF22+1&gt;DATE(2023,4,30),"",AF22+1),""),
IF(表紙!$X$2="実績報告（２次）",IFERROR(IF(AF22+1&gt;DATE(2023,10,31),"",AF22+1),""),
IF(表紙!$X$2="交付申請兼実績報告",IFERROR(IF(AF22+1&gt;DATE(2023,10,31),"",AF22+1),"")))))))</f>
        <v>45223</v>
      </c>
      <c r="AH22" s="568">
        <f xml:space="preserve">
IF(表紙!$X$2="事前協議",IFERROR(IF(AG22+1&gt;DATE(2023,10,31),"",AG22+1),""),
IF(表紙!$X$2="交付申請（２次）",IFERROR(IF(AG22+1&gt;DATE(2023,10,31),"",AG22+1),""),
IF(表紙!$X$2="変更申請",IFERROR(IF(AG22+1&gt;DATE(2023,10,31),"",AG22+1),""),
IF(表紙!$X$2="実績報告（１次）",IFERROR(IF(AG22+1&gt;DATE(2023,4,30),"",AG22+1),""),
IF(表紙!$X$2="実績報告（２次）",IFERROR(IF(AG22+1&gt;DATE(2023,10,31),"",AG22+1),""),
IF(表紙!$X$2="交付申請兼実績報告",IFERROR(IF(AG22+1&gt;DATE(2023,10,31),"",AG22+1),"")))))))</f>
        <v>45224</v>
      </c>
      <c r="AI22" s="568">
        <f xml:space="preserve">
IF(表紙!$X$2="事前協議",IFERROR(IF(AH22+1&gt;DATE(2023,10,31),"",AH22+1),""),
IF(表紙!$X$2="交付申請（２次）",IFERROR(IF(AH22+1&gt;DATE(2023,10,31),"",AH22+1),""),
IF(表紙!$X$2="変更申請",IFERROR(IF(AH22+1&gt;DATE(2023,10,31),"",AH22+1),""),
IF(表紙!$X$2="実績報告（１次）",IFERROR(IF(AH22+1&gt;DATE(2023,4,30),"",AH22+1),""),
IF(表紙!$X$2="実績報告（２次）",IFERROR(IF(AH22+1&gt;DATE(2023,10,31),"",AH22+1),""),
IF(表紙!$X$2="交付申請兼実績報告",IFERROR(IF(AH22+1&gt;DATE(2023,10,31),"",AH22+1),"")))))))</f>
        <v>45225</v>
      </c>
      <c r="AJ22" s="568">
        <f xml:space="preserve">
IF(表紙!$X$2="事前協議",IFERROR(IF(AI22+1&gt;DATE(2023,10,31),"",AI22+1),""),
IF(表紙!$X$2="交付申請（２次）",IFERROR(IF(AI22+1&gt;DATE(2023,10,31),"",AI22+1),""),
IF(表紙!$X$2="変更申請",IFERROR(IF(AI22+1&gt;DATE(2023,10,31),"",AI22+1),""),
IF(表紙!$X$2="実績報告（１次）",IFERROR(IF(AI22+1&gt;DATE(2023,4,30),"",AI22+1),""),
IF(表紙!$X$2="実績報告（２次）",IFERROR(IF(AI22+1&gt;DATE(2023,10,31),"",AI22+1),""),
IF(表紙!$X$2="交付申請兼実績報告",IFERROR(IF(AI22+1&gt;DATE(2023,10,31),"",AI22+1),"")))))))</f>
        <v>45226</v>
      </c>
      <c r="AK22" s="568">
        <f xml:space="preserve">
IF(表紙!$X$2="事前協議",IFERROR(IF(AJ22+1&gt;DATE(2023,10,31),"",AJ22+1),""),
IF(表紙!$X$2="交付申請（２次）",IFERROR(IF(AJ22+1&gt;DATE(2023,10,31),"",AJ22+1),""),
IF(表紙!$X$2="変更申請",IFERROR(IF(AJ22+1&gt;DATE(2023,10,31),"",AJ22+1),""),
IF(表紙!$X$2="実績報告（１次）",IFERROR(IF(AJ22+1&gt;DATE(2023,4,30),"",AJ22+1),""),
IF(表紙!$X$2="実績報告（２次）",IFERROR(IF(AJ22+1&gt;DATE(2023,10,31),"",AJ22+1),""),
IF(表紙!$X$2="交付申請兼実績報告",IFERROR(IF(AJ22+1&gt;DATE(2023,10,31),"",AJ22+1),"")))))))</f>
        <v>45227</v>
      </c>
      <c r="AL22" s="568">
        <f xml:space="preserve">
IF(表紙!$X$2="事前協議",IFERROR(IF(AK22+1&gt;DATE(2023,10,31),"",AK22+1),""),
IF(表紙!$X$2="交付申請（２次）",IFERROR(IF(AK22+1&gt;DATE(2023,10,31),"",AK22+1),""),
IF(表紙!$X$2="変更申請",IFERROR(IF(AK22+1&gt;DATE(2023,10,31),"",AK22+1),""),
IF(表紙!$X$2="実績報告（１次）",IFERROR(IF(AK22+1&gt;DATE(2023,4,30),"",AK22+1),""),
IF(表紙!$X$2="実績報告（２次）",IFERROR(IF(AK22+1&gt;DATE(2023,10,31),"",AK22+1),""),
IF(表紙!$X$2="交付申請兼実績報告",IFERROR(IF(AK22+1&gt;DATE(2023,10,31),"",AK22+1),"")))))))</f>
        <v>45228</v>
      </c>
      <c r="AM22" s="568">
        <f xml:space="preserve">
IF(表紙!$X$2="事前協議",IFERROR(IF(AL22+1&gt;DATE(2023,10,31),"",AL22+1),""),
IF(表紙!$X$2="交付申請（２次）",IFERROR(IF(AL22+1&gt;DATE(2023,10,31),"",AL22+1),""),
IF(表紙!$X$2="変更申請",IFERROR(IF(AL22+1&gt;DATE(2023,10,31),"",AL22+1),""),
IF(表紙!$X$2="実績報告（１次）",IFERROR(IF(AL22+1&gt;DATE(2023,4,30),"",AL22+1),""),
IF(表紙!$X$2="実績報告（２次）",IFERROR(IF(AL22+1&gt;DATE(2023,10,31),"",AL22+1),""),
IF(表紙!$X$2="交付申請兼実績報告",IFERROR(IF(AL22+1&gt;DATE(2023,10,31),"",AL22+1),"")))))))</f>
        <v>45229</v>
      </c>
      <c r="AN22" s="568">
        <f xml:space="preserve">
IF(表紙!$X$2="事前協議",IFERROR(IF(AM22+1&gt;DATE(2023,10,31),"",AM22+1),""),
IF(表紙!$X$2="交付申請（２次）",IFERROR(IF(AM22+1&gt;DATE(2023,10,31),"",AM22+1),""),
IF(表紙!$X$2="変更申請",IFERROR(IF(AM22+1&gt;DATE(2023,10,31),"",AM22+1),""),
IF(表紙!$X$2="実績報告（１次）",IFERROR(IF(AM22+1&gt;DATE(2023,4,30),"",AM22+1),""),
IF(表紙!$X$2="実績報告（２次）",IFERROR(IF(AM22+1&gt;DATE(2023,10,31),"",AM22+1),""),
IF(表紙!$X$2="交付申請兼実績報告",IFERROR(IF(AM22+1&gt;DATE(2023,10,31),"",AM22+1),"")))))))</f>
        <v>45230</v>
      </c>
      <c r="AO22" s="1492"/>
      <c r="AP22" s="1493"/>
      <c r="AQ22" s="1494"/>
      <c r="AR22" s="1492"/>
      <c r="AS22" s="1493"/>
      <c r="AT22" s="1494"/>
      <c r="AU22" s="1412"/>
      <c r="AV22" s="795"/>
      <c r="AW22" s="795"/>
      <c r="AX22" s="315"/>
      <c r="AY22" s="315"/>
      <c r="AZ22" s="697" t="str">
        <f>AU60</f>
        <v>×</v>
      </c>
      <c r="BA22" s="235" t="str">
        <f>TEXT(H22&amp;":"&amp;J22,"hh:mm")</f>
        <v>:45200</v>
      </c>
      <c r="BB22" s="235" t="str">
        <f>TEXT(L22&amp;":"&amp;N22,"hh:mm")</f>
        <v>45202:45204</v>
      </c>
      <c r="BC22" s="235" t="str">
        <f>TEXT(O22&amp;":"&amp;Q22,"hh:mm")</f>
        <v>45205:45207</v>
      </c>
      <c r="BD22" s="235" t="str">
        <f>TEXT(S22&amp;":"&amp;U22,"hh:mm")</f>
        <v>45209:45211</v>
      </c>
      <c r="BE22" s="235" t="str">
        <f>TEXT(V22&amp;":"&amp;X22,"hh:mm")</f>
        <v>45212:45214</v>
      </c>
      <c r="BF22" s="235" t="str">
        <f>TEXT(Z22&amp;":"&amp;AB22,"hh:mm")</f>
        <v>45216:45218</v>
      </c>
      <c r="BG22" s="696">
        <f>J56</f>
        <v>3</v>
      </c>
    </row>
    <row r="23" spans="1:59" ht="18.75" thickBot="1">
      <c r="A23" s="316" t="s">
        <v>1026</v>
      </c>
      <c r="B23" s="1507"/>
      <c r="C23" s="1508"/>
      <c r="D23" s="1508"/>
      <c r="E23" s="1508"/>
      <c r="F23" s="1508"/>
      <c r="G23" s="1508"/>
      <c r="H23" s="1508"/>
      <c r="I23" s="1509"/>
      <c r="J23" s="317" t="str">
        <f>TEXT(J22,"aaa")</f>
        <v>日</v>
      </c>
      <c r="K23" s="318" t="str">
        <f t="shared" ref="K23:AN23" si="4">TEXT(K22,"aaa")</f>
        <v>月</v>
      </c>
      <c r="L23" s="318" t="str">
        <f t="shared" si="4"/>
        <v>火</v>
      </c>
      <c r="M23" s="318" t="str">
        <f t="shared" si="4"/>
        <v>水</v>
      </c>
      <c r="N23" s="318" t="str">
        <f t="shared" si="4"/>
        <v>木</v>
      </c>
      <c r="O23" s="318" t="str">
        <f t="shared" si="4"/>
        <v>金</v>
      </c>
      <c r="P23" s="318" t="str">
        <f t="shared" si="4"/>
        <v>土</v>
      </c>
      <c r="Q23" s="318" t="str">
        <f t="shared" si="4"/>
        <v>日</v>
      </c>
      <c r="R23" s="318" t="str">
        <f t="shared" si="4"/>
        <v>月</v>
      </c>
      <c r="S23" s="318" t="str">
        <f t="shared" si="4"/>
        <v>火</v>
      </c>
      <c r="T23" s="318" t="str">
        <f t="shared" si="4"/>
        <v>水</v>
      </c>
      <c r="U23" s="318" t="str">
        <f t="shared" si="4"/>
        <v>木</v>
      </c>
      <c r="V23" s="318" t="str">
        <f t="shared" si="4"/>
        <v>金</v>
      </c>
      <c r="W23" s="318" t="str">
        <f t="shared" si="4"/>
        <v>土</v>
      </c>
      <c r="X23" s="318" t="str">
        <f t="shared" si="4"/>
        <v>日</v>
      </c>
      <c r="Y23" s="318" t="str">
        <f t="shared" si="4"/>
        <v>月</v>
      </c>
      <c r="Z23" s="318" t="str">
        <f t="shared" si="4"/>
        <v>火</v>
      </c>
      <c r="AA23" s="318" t="str">
        <f t="shared" si="4"/>
        <v>水</v>
      </c>
      <c r="AB23" s="318" t="str">
        <f t="shared" si="4"/>
        <v>木</v>
      </c>
      <c r="AC23" s="318" t="str">
        <f t="shared" si="4"/>
        <v>金</v>
      </c>
      <c r="AD23" s="318" t="str">
        <f t="shared" si="4"/>
        <v>土</v>
      </c>
      <c r="AE23" s="318" t="str">
        <f t="shared" si="4"/>
        <v>日</v>
      </c>
      <c r="AF23" s="318" t="str">
        <f t="shared" si="4"/>
        <v>月</v>
      </c>
      <c r="AG23" s="318" t="str">
        <f t="shared" si="4"/>
        <v>火</v>
      </c>
      <c r="AH23" s="318" t="str">
        <f t="shared" si="4"/>
        <v>水</v>
      </c>
      <c r="AI23" s="318" t="str">
        <f t="shared" si="4"/>
        <v>木</v>
      </c>
      <c r="AJ23" s="318" t="str">
        <f t="shared" si="4"/>
        <v>金</v>
      </c>
      <c r="AK23" s="318" t="str">
        <f t="shared" si="4"/>
        <v>土</v>
      </c>
      <c r="AL23" s="318" t="str">
        <f t="shared" si="4"/>
        <v>日</v>
      </c>
      <c r="AM23" s="318" t="str">
        <f t="shared" si="4"/>
        <v>月</v>
      </c>
      <c r="AN23" s="734" t="str">
        <f t="shared" si="4"/>
        <v>火</v>
      </c>
      <c r="AO23" s="1480" t="str">
        <f xml:space="preserve">
IF(AU25="×","×",
IF(表紙!$X$2="事前協議",COUNTIF(J25:AN25,"&gt;0"),
IF(表紙!$X$2="交付申請（２次）",COUNTIF(J25:AN25,"&gt;0"),
IF(表紙!$X$2="変更申請",COUNTIF(J25:AN25,"&gt;0"),
IF(表紙!$X$2="実績報告（１次）",COUNTIF(J25:AM25,"&gt;0"),
IF(表紙!$X$2="実績報告（２次）",COUNTIF(J25:AN25,"&gt;0"),
IF(表紙!$X$2="交付申請兼実績報告",COUNTIF(J25:AN25,"&gt;0"))))))))</f>
        <v>×</v>
      </c>
      <c r="AP23" s="1481"/>
      <c r="AQ23" s="1482"/>
      <c r="AR23" s="1480" t="s">
        <v>1050</v>
      </c>
      <c r="AS23" s="1481"/>
      <c r="AT23" s="1495"/>
      <c r="AU23" s="1412"/>
      <c r="AV23" s="795"/>
      <c r="AW23" s="795"/>
      <c r="AX23" s="315"/>
      <c r="AY23" s="315"/>
      <c r="BA23" s="693" t="str">
        <f>TEXT(H23&amp;":"&amp;J23,"hh:mm")</f>
        <v>:日</v>
      </c>
      <c r="BB23" s="693" t="str">
        <f>TEXT(L23&amp;":"&amp;N23,"hh:mm")</f>
        <v>火:木</v>
      </c>
      <c r="BC23" s="693" t="str">
        <f>TEXT(O23&amp;":"&amp;Q23,"hh:mm")</f>
        <v>金:日</v>
      </c>
      <c r="BD23" s="693" t="str">
        <f>TEXT(S23&amp;":"&amp;U23,"hh:mm")</f>
        <v>火:木</v>
      </c>
      <c r="BE23" s="693" t="str">
        <f>TEXT(V23&amp;":"&amp;X23,"hh:mm")</f>
        <v>金:日</v>
      </c>
      <c r="BF23" s="693" t="str">
        <f>TEXT(Z23&amp;":"&amp;AB23,"hh:mm")</f>
        <v>火:木</v>
      </c>
      <c r="BG23" s="795"/>
    </row>
    <row r="24" spans="1:59" ht="19.5" thickTop="1" thickBot="1">
      <c r="A24" s="316"/>
      <c r="B24" s="1408" t="s">
        <v>1458</v>
      </c>
      <c r="C24" s="1409"/>
      <c r="D24" s="1409"/>
      <c r="E24" s="1409"/>
      <c r="F24" s="1409"/>
      <c r="G24" s="1409"/>
      <c r="H24" s="1409"/>
      <c r="I24" s="1410"/>
      <c r="J24" s="728">
        <v>0</v>
      </c>
      <c r="K24" s="729">
        <v>0</v>
      </c>
      <c r="L24" s="729">
        <v>0</v>
      </c>
      <c r="M24" s="729">
        <v>0</v>
      </c>
      <c r="N24" s="729">
        <v>0</v>
      </c>
      <c r="O24" s="729">
        <v>0</v>
      </c>
      <c r="P24" s="729">
        <v>0</v>
      </c>
      <c r="Q24" s="729">
        <v>0</v>
      </c>
      <c r="R24" s="729">
        <v>0</v>
      </c>
      <c r="S24" s="729">
        <v>0</v>
      </c>
      <c r="T24" s="729">
        <v>0</v>
      </c>
      <c r="U24" s="729">
        <v>0</v>
      </c>
      <c r="V24" s="729">
        <v>0</v>
      </c>
      <c r="W24" s="729">
        <v>0</v>
      </c>
      <c r="X24" s="729">
        <v>0</v>
      </c>
      <c r="Y24" s="729">
        <v>0</v>
      </c>
      <c r="Z24" s="729">
        <v>0</v>
      </c>
      <c r="AA24" s="729">
        <v>0</v>
      </c>
      <c r="AB24" s="729">
        <v>0</v>
      </c>
      <c r="AC24" s="729">
        <v>0</v>
      </c>
      <c r="AD24" s="729">
        <v>0</v>
      </c>
      <c r="AE24" s="729">
        <v>0</v>
      </c>
      <c r="AF24" s="729">
        <v>0</v>
      </c>
      <c r="AG24" s="729">
        <v>0</v>
      </c>
      <c r="AH24" s="729">
        <v>0</v>
      </c>
      <c r="AI24" s="729">
        <v>0</v>
      </c>
      <c r="AJ24" s="729">
        <v>0</v>
      </c>
      <c r="AK24" s="729">
        <v>0</v>
      </c>
      <c r="AL24" s="729">
        <v>0</v>
      </c>
      <c r="AM24" s="729">
        <v>0</v>
      </c>
      <c r="AN24" s="735">
        <v>0</v>
      </c>
      <c r="AO24" s="1414">
        <f xml:space="preserve">
COUNTIF(J24:AN24,0)</f>
        <v>31</v>
      </c>
      <c r="AP24" s="1415"/>
      <c r="AQ24" s="1416"/>
      <c r="AR24" s="731"/>
      <c r="AS24" s="732"/>
      <c r="AT24" s="733"/>
      <c r="AU24" s="1413"/>
      <c r="AV24" s="795"/>
      <c r="AW24" s="795"/>
      <c r="AX24" s="315"/>
      <c r="AY24" s="315"/>
      <c r="BA24" s="693"/>
      <c r="BB24" s="693"/>
      <c r="BC24" s="693"/>
      <c r="BD24" s="693"/>
      <c r="BE24" s="693"/>
      <c r="BF24" s="693"/>
      <c r="BG24" s="795"/>
    </row>
    <row r="25" spans="1:59" ht="19.5" thickTop="1">
      <c r="A25" s="316" t="s">
        <v>1029</v>
      </c>
      <c r="B25" s="1512" t="s">
        <v>1150</v>
      </c>
      <c r="C25" s="1513"/>
      <c r="D25" s="1513"/>
      <c r="E25" s="1513"/>
      <c r="F25" s="1513"/>
      <c r="G25" s="1513"/>
      <c r="H25" s="1513"/>
      <c r="I25" s="1514"/>
      <c r="J25" s="304"/>
      <c r="K25" s="305"/>
      <c r="L25" s="305"/>
      <c r="M25" s="305"/>
      <c r="N25" s="305"/>
      <c r="O25" s="305"/>
      <c r="P25" s="305"/>
      <c r="Q25" s="305"/>
      <c r="R25" s="305"/>
      <c r="S25" s="305"/>
      <c r="T25" s="305"/>
      <c r="U25" s="305"/>
      <c r="V25" s="305"/>
      <c r="W25" s="305"/>
      <c r="X25" s="305"/>
      <c r="Y25" s="305"/>
      <c r="Z25" s="305"/>
      <c r="AA25" s="305"/>
      <c r="AB25" s="305"/>
      <c r="AC25" s="305"/>
      <c r="AD25" s="305"/>
      <c r="AE25" s="305"/>
      <c r="AF25" s="305"/>
      <c r="AG25" s="305"/>
      <c r="AH25" s="305"/>
      <c r="AI25" s="305"/>
      <c r="AJ25" s="305"/>
      <c r="AK25" s="305"/>
      <c r="AL25" s="305"/>
      <c r="AM25" s="305"/>
      <c r="AN25" s="305"/>
      <c r="AO25" s="1515" t="str">
        <f xml:space="preserve">
IF(AU25="×","×",
IF(表紙!$X$2="事前協議",SUM(J25:AN25),
IF(表紙!$X$2="交付申請（２次）",SUM(J25:AN25),
IF(表紙!$X$2="変更申請",SUM(J25:AN25),
IF(表紙!$X$2="実績報告（１次）",SUM(J25:AM25),
IF(表紙!$X$2="実績報告（２次）",SUM(J25:AN25),
IF(表紙!$X$2="交付申請兼実績報告",SUM(J25:AN25))))))))</f>
        <v>×</v>
      </c>
      <c r="AP25" s="1613"/>
      <c r="AQ25" s="1614"/>
      <c r="AR25" s="1496" t="str">
        <f>IF(AU25="○",ROUNDDOWN(AO25/AO23,1),"×")</f>
        <v>×</v>
      </c>
      <c r="AS25" s="1497"/>
      <c r="AT25" s="1498"/>
      <c r="AU25" s="1510" t="str">
        <f xml:space="preserve">
IF(AND(表紙!$X$2="実績報告（１次）",
OR(COUNTA(J25:AM26)&lt;&gt;60,J26&gt;J25,K26&gt;K25,L26&gt;L25,M26&gt;M25,N26&gt;N25,O26&gt;O25,P26&gt;P25,Q26&gt;Q25,R26&gt;R25,S26&gt;S25,T26&gt;T25,U26&gt;U25,V26&gt;V25,W26&gt;W25,X26&gt;X25,Y26&gt;Y25,Z26&gt;Z25,AA26&gt;AA25,AB26&gt;AB25,AC26&gt;AC25,AD26&gt;AD25,AE26&gt;AE25,AF26&gt;AF25,AG26&gt;AG25,AH26&gt;AH25,AI26&gt;AI25,AJ26&gt;AJ25,AK26&gt;AK25,AL26&gt;AL25,AM26&gt;AM25)),"×",
IF(AND(OR(表紙!$X$2="実績報告（２次）",表紙!$X$2="交付申請兼実績報告"),
OR(COUNTA(J25:AN26)&lt;&gt;62,J26&gt;J25,K26&gt;K25,L26&gt;L25,M26&gt;M25,N26&gt;N25,O26&gt;O25,P26&gt;P25,Q26&gt;Q25,R26&gt;R25,S26&gt;S25,T26&gt;T25,U26&gt;U25,V26&gt;V25,W26&gt;W25,X26&gt;X25,Y26&gt;Y25,Z26&gt;Z25,AA26&gt;AA25,AB26&gt;AB25,AC26&gt;AC25,AD26&gt;AD25,AE26&gt;AE25,AF26&gt;AF25,AG26&gt;AG25,AH26&gt;AH25,AI26&gt;AI25,AJ26&gt;AJ25,AK26&gt;AK25,AL26&gt;AL25,AM26&gt;AM25,AN26&gt;AN25)),"×","○"))</f>
        <v>×</v>
      </c>
      <c r="AV25" s="795"/>
      <c r="AW25" s="795"/>
      <c r="AX25" s="315"/>
      <c r="AY25" s="315"/>
      <c r="BA25" s="235" t="e">
        <f>TEXT(#REF!&amp;":"&amp;#REF!,"hh:mm")</f>
        <v>#REF!</v>
      </c>
      <c r="BB25" s="235" t="e">
        <f>TEXT(#REF!&amp;":"&amp;#REF!,"hh:mm")</f>
        <v>#REF!</v>
      </c>
      <c r="BC25" s="235" t="e">
        <f>TEXT(#REF!&amp;":"&amp;#REF!,"hh:mm")</f>
        <v>#REF!</v>
      </c>
      <c r="BD25" s="235" t="e">
        <f>TEXT(#REF!&amp;":"&amp;#REF!,"hh:mm")</f>
        <v>#REF!</v>
      </c>
      <c r="BE25" s="235" t="e">
        <f>TEXT(#REF!&amp;":"&amp;#REF!,"hh:mm")</f>
        <v>#REF!</v>
      </c>
      <c r="BF25" s="235" t="e">
        <f>TEXT(#REF!&amp;":"&amp;#REF!,"hh:mm")</f>
        <v>#REF!</v>
      </c>
      <c r="BG25" s="795"/>
    </row>
    <row r="26" spans="1:59" ht="19.5" thickBot="1">
      <c r="A26" s="316" t="s">
        <v>1031</v>
      </c>
      <c r="B26" s="1420" t="s">
        <v>1052</v>
      </c>
      <c r="C26" s="1615"/>
      <c r="D26" s="1615"/>
      <c r="E26" s="1615"/>
      <c r="F26" s="1615"/>
      <c r="G26" s="1615"/>
      <c r="H26" s="1615"/>
      <c r="I26" s="1616"/>
      <c r="J26" s="736"/>
      <c r="K26" s="737"/>
      <c r="L26" s="737"/>
      <c r="M26" s="737"/>
      <c r="N26" s="737"/>
      <c r="O26" s="737"/>
      <c r="P26" s="737"/>
      <c r="Q26" s="737"/>
      <c r="R26" s="737"/>
      <c r="S26" s="737"/>
      <c r="T26" s="737"/>
      <c r="U26" s="737"/>
      <c r="V26" s="737"/>
      <c r="W26" s="737"/>
      <c r="X26" s="737"/>
      <c r="Y26" s="737"/>
      <c r="Z26" s="737"/>
      <c r="AA26" s="737"/>
      <c r="AB26" s="737"/>
      <c r="AC26" s="737"/>
      <c r="AD26" s="737"/>
      <c r="AE26" s="737"/>
      <c r="AF26" s="737"/>
      <c r="AG26" s="737"/>
      <c r="AH26" s="737"/>
      <c r="AI26" s="737"/>
      <c r="AJ26" s="737"/>
      <c r="AK26" s="737"/>
      <c r="AL26" s="737"/>
      <c r="AM26" s="737"/>
      <c r="AN26" s="737"/>
      <c r="AO26" s="1423" t="str">
        <f xml:space="preserve">
IF(AU25="×","×",
IF(表紙!$X$2="事前協議",SUM(J26:AN26),
IF(表紙!$X$2="交付申請（２次）",SUM(J26:AN26),
IF(表紙!$X$2="変更申請",SUM(J26:AN26),
IF(表紙!$X$2="実績報告（１次）",SUM(J26:AM26),
IF(表紙!$X$2="実績報告（２次）",SUM(J26:AN26),
IF(表紙!$X$2="交付申請兼実績報告",SUM(J26:AN26))))))))</f>
        <v>×</v>
      </c>
      <c r="AP26" s="1424"/>
      <c r="AQ26" s="1425"/>
      <c r="AR26" s="1417" t="str">
        <f>IF(AU25="○",ROUNDDOWN(AO26/AO23,1),"×")</f>
        <v>×</v>
      </c>
      <c r="AS26" s="1418"/>
      <c r="AT26" s="1419"/>
      <c r="AU26" s="1511"/>
      <c r="AV26" s="795"/>
      <c r="AW26" s="795"/>
      <c r="AX26" s="319"/>
      <c r="AY26" s="315"/>
      <c r="BA26" s="235" t="str">
        <f>TEXT(H25&amp;":"&amp;J25,"hh:mm")</f>
        <v>:</v>
      </c>
      <c r="BB26" s="235" t="str">
        <f>TEXT(L25&amp;":"&amp;N25,"hh:mm")</f>
        <v>:</v>
      </c>
      <c r="BC26" s="235" t="str">
        <f>TEXT(O25&amp;":"&amp;Q25,"hh:mm")</f>
        <v>:</v>
      </c>
      <c r="BD26" s="235" t="str">
        <f>TEXT(S25&amp;":"&amp;U25,"hh:mm")</f>
        <v>:</v>
      </c>
      <c r="BE26" s="235" t="str">
        <f>TEXT(V25&amp;":"&amp;X25,"hh:mm")</f>
        <v>:</v>
      </c>
      <c r="BF26" s="235" t="str">
        <f>TEXT(Z25&amp;":"&amp;AB25,"hh:mm")</f>
        <v>:</v>
      </c>
      <c r="BG26" s="795"/>
    </row>
    <row r="27" spans="1:59" ht="18.75" thickBot="1">
      <c r="A27" s="316" t="s">
        <v>1035</v>
      </c>
      <c r="AX27" s="315"/>
      <c r="AY27" s="315"/>
      <c r="BA27" s="235" t="e">
        <f>TEXT(#REF!&amp;":"&amp;#REF!,"hh:mm")</f>
        <v>#REF!</v>
      </c>
      <c r="BB27" s="235" t="e">
        <f>TEXT(#REF!&amp;":"&amp;#REF!,"hh:mm")</f>
        <v>#REF!</v>
      </c>
      <c r="BC27" s="235" t="e">
        <f>TEXT(#REF!&amp;":"&amp;#REF!,"hh:mm")</f>
        <v>#REF!</v>
      </c>
      <c r="BD27" s="235" t="e">
        <f>TEXT(#REF!&amp;":"&amp;#REF!,"hh:mm")</f>
        <v>#REF!</v>
      </c>
      <c r="BE27" s="235" t="e">
        <f>TEXT(#REF!&amp;":"&amp;#REF!,"hh:mm")</f>
        <v>#REF!</v>
      </c>
      <c r="BF27" s="235" t="e">
        <f>TEXT(#REF!&amp;":"&amp;#REF!,"hh:mm")</f>
        <v>#REF!</v>
      </c>
      <c r="BG27" s="222"/>
    </row>
    <row r="28" spans="1:59" ht="19.5" thickTop="1">
      <c r="B28" s="1489" t="s">
        <v>1189</v>
      </c>
      <c r="C28" s="1490"/>
      <c r="D28" s="1490"/>
      <c r="E28" s="1490"/>
      <c r="F28" s="1490"/>
      <c r="G28" s="1490"/>
      <c r="H28" s="1490"/>
      <c r="I28" s="1491"/>
      <c r="J28" s="1426">
        <f>L16</f>
        <v>11</v>
      </c>
      <c r="K28" s="1427"/>
      <c r="L28" s="1427"/>
      <c r="M28" s="1427"/>
      <c r="N28" s="1427"/>
      <c r="O28" s="1427"/>
      <c r="P28" s="1427"/>
      <c r="Q28" s="1427"/>
      <c r="R28" s="1427"/>
      <c r="S28" s="1427"/>
      <c r="T28" s="1427"/>
      <c r="U28" s="1427"/>
      <c r="V28" s="1427"/>
      <c r="W28" s="1427"/>
      <c r="X28" s="1427"/>
      <c r="Y28" s="1427"/>
      <c r="Z28" s="1427"/>
      <c r="AA28" s="1427"/>
      <c r="AB28" s="1427"/>
      <c r="AC28" s="1427"/>
      <c r="AD28" s="1427"/>
      <c r="AE28" s="1427"/>
      <c r="AF28" s="1427"/>
      <c r="AG28" s="1427"/>
      <c r="AH28" s="1427"/>
      <c r="AI28" s="1427"/>
      <c r="AJ28" s="1427"/>
      <c r="AK28" s="1427"/>
      <c r="AL28" s="1427"/>
      <c r="AM28" s="1427"/>
      <c r="AN28" s="1428"/>
      <c r="AO28" s="1489" t="s">
        <v>1193</v>
      </c>
      <c r="AP28" s="1490"/>
      <c r="AQ28" s="1491"/>
      <c r="AR28" s="1489" t="s">
        <v>1194</v>
      </c>
      <c r="AS28" s="1490"/>
      <c r="AT28" s="1491"/>
      <c r="AU28" s="1411" t="s">
        <v>98</v>
      </c>
      <c r="AV28" s="795"/>
      <c r="AW28" s="795"/>
      <c r="AX28" s="312"/>
      <c r="AY28" s="313"/>
      <c r="AZ28" s="795"/>
      <c r="BB28" s="222"/>
      <c r="BC28" s="230"/>
      <c r="BD28" s="795"/>
      <c r="BE28" s="795"/>
      <c r="BG28" s="795"/>
    </row>
    <row r="29" spans="1:59">
      <c r="A29" s="314" t="s">
        <v>1024</v>
      </c>
      <c r="B29" s="1492"/>
      <c r="C29" s="1506"/>
      <c r="D29" s="1506"/>
      <c r="E29" s="1506"/>
      <c r="F29" s="1506"/>
      <c r="G29" s="1506"/>
      <c r="H29" s="1506"/>
      <c r="I29" s="1494"/>
      <c r="J29" s="567">
        <f xml:space="preserve">
IF(表紙!$X$2="事前協議",DATE(2023,J28,1),
IF(表紙!$X$2="交付申請（２次）",DATE(2023,J28,1),
IF(表紙!$X$2="変更申請",DATE(2023,J28,1),
IF(表紙!$X$2="実績報告（１次）",DATE(2023,J28,1),
IF(表紙!$X$2="実績報告（２次）",DATE(2023,J28,1),
IF(表紙!$X$2="交付申請兼実績報告",DATE(2023,J28,1)))))))</f>
        <v>45231</v>
      </c>
      <c r="K29" s="568">
        <f xml:space="preserve">
IF(表紙!$X$2="事前協議",IFERROR(IF(J29+1&gt;DATE(2023,11,30),"",J29+1),""),
IF(表紙!$X$2="交付申請（２次）",IFERROR(IF(J29+1&gt;DATE(2023,11,30),"",J29+1),""),
IF(表紙!$X$2="変更申請",IFERROR(IF(J29+1&gt;DATE(2023,11,30),"",J29+1),""),
IF(表紙!$X$2="実績報告（１次）",IFERROR(IF(J29+1&gt;DATE(2023,5,31),"",J29+1),""),
IF(表紙!$X$2="実績報告（２次）",IFERROR(IF(J29+1&gt;DATE(2023,11,30),"",J29+1),""),
IF(表紙!$X$2="交付申請兼実績報告",IFERROR(IF(J29+1&gt;DATE(2023,11,30),"",J29+1),"")))))))</f>
        <v>45232</v>
      </c>
      <c r="L29" s="568">
        <f xml:space="preserve">
IF(表紙!$X$2="事前協議",IFERROR(IF(K29+1&gt;DATE(2023,11,30),"",K29+1),""),
IF(表紙!$X$2="交付申請（２次）",IFERROR(IF(K29+1&gt;DATE(2023,11,30),"",K29+1),""),
IF(表紙!$X$2="変更申請",IFERROR(IF(K29+1&gt;DATE(2023,11,30),"",K29+1),""),
IF(表紙!$X$2="実績報告（１次）",IFERROR(IF(K29+1&gt;DATE(2023,5,31),"",K29+1),""),
IF(表紙!$X$2="実績報告（２次）",IFERROR(IF(K29+1&gt;DATE(2023,11,30),"",K29+1),""),
IF(表紙!$X$2="交付申請兼実績報告",IFERROR(IF(K29+1&gt;DATE(2023,11,30),"",K29+1),"")))))))</f>
        <v>45233</v>
      </c>
      <c r="M29" s="568">
        <f xml:space="preserve">
IF(表紙!$X$2="事前協議",IFERROR(IF(L29+1&gt;DATE(2023,11,30),"",L29+1),""),
IF(表紙!$X$2="交付申請（２次）",IFERROR(IF(L29+1&gt;DATE(2023,11,30),"",L29+1),""),
IF(表紙!$X$2="変更申請",IFERROR(IF(L29+1&gt;DATE(2023,11,30),"",L29+1),""),
IF(表紙!$X$2="実績報告（１次）",IFERROR(IF(L29+1&gt;DATE(2023,5,31),"",L29+1),""),
IF(表紙!$X$2="実績報告（２次）",IFERROR(IF(L29+1&gt;DATE(2023,11,30),"",L29+1),""),
IF(表紙!$X$2="交付申請兼実績報告",IFERROR(IF(L29+1&gt;DATE(2023,11,30),"",L29+1),"")))))))</f>
        <v>45234</v>
      </c>
      <c r="N29" s="568">
        <f xml:space="preserve">
IF(表紙!$X$2="事前協議",IFERROR(IF(M29+1&gt;DATE(2023,11,30),"",M29+1),""),
IF(表紙!$X$2="交付申請（２次）",IFERROR(IF(M29+1&gt;DATE(2023,11,30),"",M29+1),""),
IF(表紙!$X$2="変更申請",IFERROR(IF(M29+1&gt;DATE(2023,11,30),"",M29+1),""),
IF(表紙!$X$2="実績報告（１次）",IFERROR(IF(M29+1&gt;DATE(2023,5,31),"",M29+1),""),
IF(表紙!$X$2="実績報告（２次）",IFERROR(IF(M29+1&gt;DATE(2023,11,30),"",M29+1),""),
IF(表紙!$X$2="交付申請兼実績報告",IFERROR(IF(M29+1&gt;DATE(2023,11,30),"",M29+1),"")))))))</f>
        <v>45235</v>
      </c>
      <c r="O29" s="568">
        <f xml:space="preserve">
IF(表紙!$X$2="事前協議",IFERROR(IF(N29+1&gt;DATE(2023,11,30),"",N29+1),""),
IF(表紙!$X$2="交付申請（２次）",IFERROR(IF(N29+1&gt;DATE(2023,11,30),"",N29+1),""),
IF(表紙!$X$2="変更申請",IFERROR(IF(N29+1&gt;DATE(2023,11,30),"",N29+1),""),
IF(表紙!$X$2="実績報告（１次）",IFERROR(IF(N29+1&gt;DATE(2023,5,31),"",N29+1),""),
IF(表紙!$X$2="実績報告（２次）",IFERROR(IF(N29+1&gt;DATE(2023,11,30),"",N29+1),""),
IF(表紙!$X$2="交付申請兼実績報告",IFERROR(IF(N29+1&gt;DATE(2023,11,30),"",N29+1),"")))))))</f>
        <v>45236</v>
      </c>
      <c r="P29" s="568">
        <f xml:space="preserve">
IF(表紙!$X$2="事前協議",IFERROR(IF(O29+1&gt;DATE(2023,11,30),"",O29+1),""),
IF(表紙!$X$2="交付申請（２次）",IFERROR(IF(O29+1&gt;DATE(2023,11,30),"",O29+1),""),
IF(表紙!$X$2="変更申請",IFERROR(IF(O29+1&gt;DATE(2023,11,30),"",O29+1),""),
IF(表紙!$X$2="実績報告（１次）",IFERROR(IF(O29+1&gt;DATE(2023,5,31),"",O29+1),""),
IF(表紙!$X$2="実績報告（２次）",IFERROR(IF(O29+1&gt;DATE(2023,11,30),"",O29+1),""),
IF(表紙!$X$2="交付申請兼実績報告",IFERROR(IF(O29+1&gt;DATE(2023,11,30),"",O29+1),"")))))))</f>
        <v>45237</v>
      </c>
      <c r="Q29" s="568">
        <f xml:space="preserve">
IF(表紙!$X$2="事前協議",IFERROR(IF(P29+1&gt;DATE(2023,11,30),"",P29+1),""),
IF(表紙!$X$2="交付申請（２次）",IFERROR(IF(P29+1&gt;DATE(2023,11,30),"",P29+1),""),
IF(表紙!$X$2="変更申請",IFERROR(IF(P29+1&gt;DATE(2023,11,30),"",P29+1),""),
IF(表紙!$X$2="実績報告（１次）",IFERROR(IF(P29+1&gt;DATE(2023,5,31),"",P29+1),""),
IF(表紙!$X$2="実績報告（２次）",IFERROR(IF(P29+1&gt;DATE(2023,11,30),"",P29+1),""),
IF(表紙!$X$2="交付申請兼実績報告",IFERROR(IF(P29+1&gt;DATE(2023,11,30),"",P29+1),"")))))))</f>
        <v>45238</v>
      </c>
      <c r="R29" s="568">
        <f xml:space="preserve">
IF(表紙!$X$2="事前協議",IFERROR(IF(Q29+1&gt;DATE(2023,11,30),"",Q29+1),""),
IF(表紙!$X$2="交付申請（２次）",IFERROR(IF(Q29+1&gt;DATE(2023,11,30),"",Q29+1),""),
IF(表紙!$X$2="変更申請",IFERROR(IF(Q29+1&gt;DATE(2023,11,30),"",Q29+1),""),
IF(表紙!$X$2="実績報告（１次）",IFERROR(IF(Q29+1&gt;DATE(2023,5,31),"",Q29+1),""),
IF(表紙!$X$2="実績報告（２次）",IFERROR(IF(Q29+1&gt;DATE(2023,11,30),"",Q29+1),""),
IF(表紙!$X$2="交付申請兼実績報告",IFERROR(IF(Q29+1&gt;DATE(2023,11,30),"",Q29+1),"")))))))</f>
        <v>45239</v>
      </c>
      <c r="S29" s="568">
        <f xml:space="preserve">
IF(表紙!$X$2="事前協議",IFERROR(IF(R29+1&gt;DATE(2023,11,30),"",R29+1),""),
IF(表紙!$X$2="交付申請（２次）",IFERROR(IF(R29+1&gt;DATE(2023,11,30),"",R29+1),""),
IF(表紙!$X$2="変更申請",IFERROR(IF(R29+1&gt;DATE(2023,11,30),"",R29+1),""),
IF(表紙!$X$2="実績報告（１次）",IFERROR(IF(R29+1&gt;DATE(2023,5,31),"",R29+1),""),
IF(表紙!$X$2="実績報告（２次）",IFERROR(IF(R29+1&gt;DATE(2023,11,30),"",R29+1),""),
IF(表紙!$X$2="交付申請兼実績報告",IFERROR(IF(R29+1&gt;DATE(2023,11,30),"",R29+1),"")))))))</f>
        <v>45240</v>
      </c>
      <c r="T29" s="568">
        <f xml:space="preserve">
IF(表紙!$X$2="事前協議",IFERROR(IF(S29+1&gt;DATE(2023,11,30),"",S29+1),""),
IF(表紙!$X$2="交付申請（２次）",IFERROR(IF(S29+1&gt;DATE(2023,11,30),"",S29+1),""),
IF(表紙!$X$2="変更申請",IFERROR(IF(S29+1&gt;DATE(2023,11,30),"",S29+1),""),
IF(表紙!$X$2="実績報告（１次）",IFERROR(IF(S29+1&gt;DATE(2023,5,31),"",S29+1),""),
IF(表紙!$X$2="実績報告（２次）",IFERROR(IF(S29+1&gt;DATE(2023,11,30),"",S29+1),""),
IF(表紙!$X$2="交付申請兼実績報告",IFERROR(IF(S29+1&gt;DATE(2023,11,30),"",S29+1),"")))))))</f>
        <v>45241</v>
      </c>
      <c r="U29" s="568">
        <f xml:space="preserve">
IF(表紙!$X$2="事前協議",IFERROR(IF(T29+1&gt;DATE(2023,11,30),"",T29+1),""),
IF(表紙!$X$2="交付申請（２次）",IFERROR(IF(T29+1&gt;DATE(2023,11,30),"",T29+1),""),
IF(表紙!$X$2="変更申請",IFERROR(IF(T29+1&gt;DATE(2023,11,30),"",T29+1),""),
IF(表紙!$X$2="実績報告（１次）",IFERROR(IF(T29+1&gt;DATE(2023,5,31),"",T29+1),""),
IF(表紙!$X$2="実績報告（２次）",IFERROR(IF(T29+1&gt;DATE(2023,11,30),"",T29+1),""),
IF(表紙!$X$2="交付申請兼実績報告",IFERROR(IF(T29+1&gt;DATE(2023,11,30),"",T29+1),"")))))))</f>
        <v>45242</v>
      </c>
      <c r="V29" s="568">
        <f xml:space="preserve">
IF(表紙!$X$2="事前協議",IFERROR(IF(U29+1&gt;DATE(2023,11,30),"",U29+1),""),
IF(表紙!$X$2="交付申請（２次）",IFERROR(IF(U29+1&gt;DATE(2023,11,30),"",U29+1),""),
IF(表紙!$X$2="変更申請",IFERROR(IF(U29+1&gt;DATE(2023,11,30),"",U29+1),""),
IF(表紙!$X$2="実績報告（１次）",IFERROR(IF(U29+1&gt;DATE(2023,5,31),"",U29+1),""),
IF(表紙!$X$2="実績報告（２次）",IFERROR(IF(U29+1&gt;DATE(2023,11,30),"",U29+1),""),
IF(表紙!$X$2="交付申請兼実績報告",IFERROR(IF(U29+1&gt;DATE(2023,11,30),"",U29+1),"")))))))</f>
        <v>45243</v>
      </c>
      <c r="W29" s="568">
        <f xml:space="preserve">
IF(表紙!$X$2="事前協議",IFERROR(IF(V29+1&gt;DATE(2023,11,30),"",V29+1),""),
IF(表紙!$X$2="交付申請（２次）",IFERROR(IF(V29+1&gt;DATE(2023,11,30),"",V29+1),""),
IF(表紙!$X$2="変更申請",IFERROR(IF(V29+1&gt;DATE(2023,11,30),"",V29+1),""),
IF(表紙!$X$2="実績報告（１次）",IFERROR(IF(V29+1&gt;DATE(2023,5,31),"",V29+1),""),
IF(表紙!$X$2="実績報告（２次）",IFERROR(IF(V29+1&gt;DATE(2023,11,30),"",V29+1),""),
IF(表紙!$X$2="交付申請兼実績報告",IFERROR(IF(V29+1&gt;DATE(2023,11,30),"",V29+1),"")))))))</f>
        <v>45244</v>
      </c>
      <c r="X29" s="568">
        <f xml:space="preserve">
IF(表紙!$X$2="事前協議",IFERROR(IF(W29+1&gt;DATE(2023,11,30),"",W29+1),""),
IF(表紙!$X$2="交付申請（２次）",IFERROR(IF(W29+1&gt;DATE(2023,11,30),"",W29+1),""),
IF(表紙!$X$2="変更申請",IFERROR(IF(W29+1&gt;DATE(2023,11,30),"",W29+1),""),
IF(表紙!$X$2="実績報告（１次）",IFERROR(IF(W29+1&gt;DATE(2023,5,31),"",W29+1),""),
IF(表紙!$X$2="実績報告（２次）",IFERROR(IF(W29+1&gt;DATE(2023,11,30),"",W29+1),""),
IF(表紙!$X$2="交付申請兼実績報告",IFERROR(IF(W29+1&gt;DATE(2023,11,30),"",W29+1),"")))))))</f>
        <v>45245</v>
      </c>
      <c r="Y29" s="568">
        <f xml:space="preserve">
IF(表紙!$X$2="事前協議",IFERROR(IF(X29+1&gt;DATE(2023,11,30),"",X29+1),""),
IF(表紙!$X$2="交付申請（２次）",IFERROR(IF(X29+1&gt;DATE(2023,11,30),"",X29+1),""),
IF(表紙!$X$2="変更申請",IFERROR(IF(X29+1&gt;DATE(2023,11,30),"",X29+1),""),
IF(表紙!$X$2="実績報告（１次）",IFERROR(IF(X29+1&gt;DATE(2023,5,31),"",X29+1),""),
IF(表紙!$X$2="実績報告（２次）",IFERROR(IF(X29+1&gt;DATE(2023,11,30),"",X29+1),""),
IF(表紙!$X$2="交付申請兼実績報告",IFERROR(IF(X29+1&gt;DATE(2023,11,30),"",X29+1),"")))))))</f>
        <v>45246</v>
      </c>
      <c r="Z29" s="568">
        <f xml:space="preserve">
IF(表紙!$X$2="事前協議",IFERROR(IF(Y29+1&gt;DATE(2023,11,30),"",Y29+1),""),
IF(表紙!$X$2="交付申請（２次）",IFERROR(IF(Y29+1&gt;DATE(2023,11,30),"",Y29+1),""),
IF(表紙!$X$2="変更申請",IFERROR(IF(Y29+1&gt;DATE(2023,11,30),"",Y29+1),""),
IF(表紙!$X$2="実績報告（１次）",IFERROR(IF(Y29+1&gt;DATE(2023,5,31),"",Y29+1),""),
IF(表紙!$X$2="実績報告（２次）",IFERROR(IF(Y29+1&gt;DATE(2023,11,30),"",Y29+1),""),
IF(表紙!$X$2="交付申請兼実績報告",IFERROR(IF(Y29+1&gt;DATE(2023,11,30),"",Y29+1),"")))))))</f>
        <v>45247</v>
      </c>
      <c r="AA29" s="568">
        <f xml:space="preserve">
IF(表紙!$X$2="事前協議",IFERROR(IF(Z29+1&gt;DATE(2023,11,30),"",Z29+1),""),
IF(表紙!$X$2="交付申請（２次）",IFERROR(IF(Z29+1&gt;DATE(2023,11,30),"",Z29+1),""),
IF(表紙!$X$2="変更申請",IFERROR(IF(Z29+1&gt;DATE(2023,11,30),"",Z29+1),""),
IF(表紙!$X$2="実績報告（１次）",IFERROR(IF(Z29+1&gt;DATE(2023,5,31),"",Z29+1),""),
IF(表紙!$X$2="実績報告（２次）",IFERROR(IF(Z29+1&gt;DATE(2023,11,30),"",Z29+1),""),
IF(表紙!$X$2="交付申請兼実績報告",IFERROR(IF(Z29+1&gt;DATE(2023,11,30),"",Z29+1),"")))))))</f>
        <v>45248</v>
      </c>
      <c r="AB29" s="568">
        <f xml:space="preserve">
IF(表紙!$X$2="事前協議",IFERROR(IF(AA29+1&gt;DATE(2023,11,30),"",AA29+1),""),
IF(表紙!$X$2="交付申請（２次）",IFERROR(IF(AA29+1&gt;DATE(2023,11,30),"",AA29+1),""),
IF(表紙!$X$2="変更申請",IFERROR(IF(AA29+1&gt;DATE(2023,11,30),"",AA29+1),""),
IF(表紙!$X$2="実績報告（１次）",IFERROR(IF(AA29+1&gt;DATE(2023,5,31),"",AA29+1),""),
IF(表紙!$X$2="実績報告（２次）",IFERROR(IF(AA29+1&gt;DATE(2023,11,30),"",AA29+1),""),
IF(表紙!$X$2="交付申請兼実績報告",IFERROR(IF(AA29+1&gt;DATE(2023,11,30),"",AA29+1),"")))))))</f>
        <v>45249</v>
      </c>
      <c r="AC29" s="568">
        <f xml:space="preserve">
IF(表紙!$X$2="事前協議",IFERROR(IF(AB29+1&gt;DATE(2023,11,30),"",AB29+1),""),
IF(表紙!$X$2="交付申請（２次）",IFERROR(IF(AB29+1&gt;DATE(2023,11,30),"",AB29+1),""),
IF(表紙!$X$2="変更申請",IFERROR(IF(AB29+1&gt;DATE(2023,11,30),"",AB29+1),""),
IF(表紙!$X$2="実績報告（１次）",IFERROR(IF(AB29+1&gt;DATE(2023,5,31),"",AB29+1),""),
IF(表紙!$X$2="実績報告（２次）",IFERROR(IF(AB29+1&gt;DATE(2023,11,30),"",AB29+1),""),
IF(表紙!$X$2="交付申請兼実績報告",IFERROR(IF(AB29+1&gt;DATE(2023,11,30),"",AB29+1),"")))))))</f>
        <v>45250</v>
      </c>
      <c r="AD29" s="568">
        <f xml:space="preserve">
IF(表紙!$X$2="事前協議",IFERROR(IF(AC29+1&gt;DATE(2023,11,30),"",AC29+1),""),
IF(表紙!$X$2="交付申請（２次）",IFERROR(IF(AC29+1&gt;DATE(2023,11,30),"",AC29+1),""),
IF(表紙!$X$2="変更申請",IFERROR(IF(AC29+1&gt;DATE(2023,11,30),"",AC29+1),""),
IF(表紙!$X$2="実績報告（１次）",IFERROR(IF(AC29+1&gt;DATE(2023,5,31),"",AC29+1),""),
IF(表紙!$X$2="実績報告（２次）",IFERROR(IF(AC29+1&gt;DATE(2023,11,30),"",AC29+1),""),
IF(表紙!$X$2="交付申請兼実績報告",IFERROR(IF(AC29+1&gt;DATE(2023,11,30),"",AC29+1),"")))))))</f>
        <v>45251</v>
      </c>
      <c r="AE29" s="568">
        <f xml:space="preserve">
IF(表紙!$X$2="事前協議",IFERROR(IF(AD29+1&gt;DATE(2023,11,30),"",AD29+1),""),
IF(表紙!$X$2="交付申請（２次）",IFERROR(IF(AD29+1&gt;DATE(2023,11,30),"",AD29+1),""),
IF(表紙!$X$2="変更申請",IFERROR(IF(AD29+1&gt;DATE(2023,11,30),"",AD29+1),""),
IF(表紙!$X$2="実績報告（１次）",IFERROR(IF(AD29+1&gt;DATE(2023,5,31),"",AD29+1),""),
IF(表紙!$X$2="実績報告（２次）",IFERROR(IF(AD29+1&gt;DATE(2023,11,30),"",AD29+1),""),
IF(表紙!$X$2="交付申請兼実績報告",IFERROR(IF(AD29+1&gt;DATE(2023,11,30),"",AD29+1),"")))))))</f>
        <v>45252</v>
      </c>
      <c r="AF29" s="568">
        <f xml:space="preserve">
IF(表紙!$X$2="事前協議",IFERROR(IF(AE29+1&gt;DATE(2023,11,30),"",AE29+1),""),
IF(表紙!$X$2="交付申請（２次）",IFERROR(IF(AE29+1&gt;DATE(2023,11,30),"",AE29+1),""),
IF(表紙!$X$2="変更申請",IFERROR(IF(AE29+1&gt;DATE(2023,11,30),"",AE29+1),""),
IF(表紙!$X$2="実績報告（１次）",IFERROR(IF(AE29+1&gt;DATE(2023,5,31),"",AE29+1),""),
IF(表紙!$X$2="実績報告（２次）",IFERROR(IF(AE29+1&gt;DATE(2023,11,30),"",AE29+1),""),
IF(表紙!$X$2="交付申請兼実績報告",IFERROR(IF(AE29+1&gt;DATE(2023,11,30),"",AE29+1),"")))))))</f>
        <v>45253</v>
      </c>
      <c r="AG29" s="568">
        <f xml:space="preserve">
IF(表紙!$X$2="事前協議",IFERROR(IF(AF29+1&gt;DATE(2023,11,30),"",AF29+1),""),
IF(表紙!$X$2="交付申請（２次）",IFERROR(IF(AF29+1&gt;DATE(2023,11,30),"",AF29+1),""),
IF(表紙!$X$2="変更申請",IFERROR(IF(AF29+1&gt;DATE(2023,11,30),"",AF29+1),""),
IF(表紙!$X$2="実績報告（１次）",IFERROR(IF(AF29+1&gt;DATE(2023,5,31),"",AF29+1),""),
IF(表紙!$X$2="実績報告（２次）",IFERROR(IF(AF29+1&gt;DATE(2023,11,30),"",AF29+1),""),
IF(表紙!$X$2="交付申請兼実績報告",IFERROR(IF(AF29+1&gt;DATE(2023,11,30),"",AF29+1),"")))))))</f>
        <v>45254</v>
      </c>
      <c r="AH29" s="568">
        <f xml:space="preserve">
IF(表紙!$X$2="事前協議",IFERROR(IF(AG29+1&gt;DATE(2023,11,30),"",AG29+1),""),
IF(表紙!$X$2="交付申請（２次）",IFERROR(IF(AG29+1&gt;DATE(2023,11,30),"",AG29+1),""),
IF(表紙!$X$2="変更申請",IFERROR(IF(AG29+1&gt;DATE(2023,11,30),"",AG29+1),""),
IF(表紙!$X$2="実績報告（１次）",IFERROR(IF(AG29+1&gt;DATE(2023,5,31),"",AG29+1),""),
IF(表紙!$X$2="実績報告（２次）",IFERROR(IF(AG29+1&gt;DATE(2023,11,30),"",AG29+1),""),
IF(表紙!$X$2="交付申請兼実績報告",IFERROR(IF(AG29+1&gt;DATE(2023,11,30),"",AG29+1),"")))))))</f>
        <v>45255</v>
      </c>
      <c r="AI29" s="568">
        <f xml:space="preserve">
IF(表紙!$X$2="事前協議",IFERROR(IF(AH29+1&gt;DATE(2023,11,30),"",AH29+1),""),
IF(表紙!$X$2="交付申請（２次）",IFERROR(IF(AH29+1&gt;DATE(2023,11,30),"",AH29+1),""),
IF(表紙!$X$2="変更申請",IFERROR(IF(AH29+1&gt;DATE(2023,11,30),"",AH29+1),""),
IF(表紙!$X$2="実績報告（１次）",IFERROR(IF(AH29+1&gt;DATE(2023,5,31),"",AH29+1),""),
IF(表紙!$X$2="実績報告（２次）",IFERROR(IF(AH29+1&gt;DATE(2023,11,30),"",AH29+1),""),
IF(表紙!$X$2="交付申請兼実績報告",IFERROR(IF(AH29+1&gt;DATE(2023,11,30),"",AH29+1),"")))))))</f>
        <v>45256</v>
      </c>
      <c r="AJ29" s="568">
        <f xml:space="preserve">
IF(表紙!$X$2="事前協議",IFERROR(IF(AI29+1&gt;DATE(2023,11,30),"",AI29+1),""),
IF(表紙!$X$2="交付申請（２次）",IFERROR(IF(AI29+1&gt;DATE(2023,11,30),"",AI29+1),""),
IF(表紙!$X$2="変更申請",IFERROR(IF(AI29+1&gt;DATE(2023,11,30),"",AI29+1),""),
IF(表紙!$X$2="実績報告（１次）",IFERROR(IF(AI29+1&gt;DATE(2023,5,31),"",AI29+1),""),
IF(表紙!$X$2="実績報告（２次）",IFERROR(IF(AI29+1&gt;DATE(2023,11,30),"",AI29+1),""),
IF(表紙!$X$2="交付申請兼実績報告",IFERROR(IF(AI29+1&gt;DATE(2023,11,30),"",AI29+1),"")))))))</f>
        <v>45257</v>
      </c>
      <c r="AK29" s="568">
        <f xml:space="preserve">
IF(表紙!$X$2="事前協議",IFERROR(IF(AJ29+1&gt;DATE(2023,11,30),"",AJ29+1),""),
IF(表紙!$X$2="交付申請（２次）",IFERROR(IF(AJ29+1&gt;DATE(2023,11,30),"",AJ29+1),""),
IF(表紙!$X$2="変更申請",IFERROR(IF(AJ29+1&gt;DATE(2023,11,30),"",AJ29+1),""),
IF(表紙!$X$2="実績報告（１次）",IFERROR(IF(AJ29+1&gt;DATE(2023,5,31),"",AJ29+1),""),
IF(表紙!$X$2="実績報告（２次）",IFERROR(IF(AJ29+1&gt;DATE(2023,11,30),"",AJ29+1),""),
IF(表紙!$X$2="交付申請兼実績報告",IFERROR(IF(AJ29+1&gt;DATE(2023,11,30),"",AJ29+1),"")))))))</f>
        <v>45258</v>
      </c>
      <c r="AL29" s="568">
        <f xml:space="preserve">
IF(表紙!$X$2="事前協議",IFERROR(IF(AK29+1&gt;DATE(2023,11,30),"",AK29+1),""),
IF(表紙!$X$2="交付申請（２次）",IFERROR(IF(AK29+1&gt;DATE(2023,11,30),"",AK29+1),""),
IF(表紙!$X$2="変更申請",IFERROR(IF(AK29+1&gt;DATE(2023,11,30),"",AK29+1),""),
IF(表紙!$X$2="実績報告（１次）",IFERROR(IF(AK29+1&gt;DATE(2023,5,31),"",AK29+1),""),
IF(表紙!$X$2="実績報告（２次）",IFERROR(IF(AK29+1&gt;DATE(2023,11,30),"",AK29+1),""),
IF(表紙!$X$2="交付申請兼実績報告",IFERROR(IF(AK29+1&gt;DATE(2023,11,30),"",AK29+1),"")))))))</f>
        <v>45259</v>
      </c>
      <c r="AM29" s="568">
        <f xml:space="preserve">
IF(表紙!$X$2="事前協議",IFERROR(IF(AL29+1&gt;DATE(2023,11,30),"",AL29+1),""),
IF(表紙!$X$2="交付申請（２次）",IFERROR(IF(AL29+1&gt;DATE(2023,11,30),"",AL29+1),""),
IF(表紙!$X$2="変更申請",IFERROR(IF(AL29+1&gt;DATE(2023,11,30),"",AL29+1),""),
IF(表紙!$X$2="実績報告（１次）",IFERROR(IF(AL29+1&gt;DATE(2023,5,31),"",AL29+1),""),
IF(表紙!$X$2="実績報告（２次）",IFERROR(IF(AL29+1&gt;DATE(2023,11,30),"",AL29+1),""),
IF(表紙!$X$2="交付申請兼実績報告",IFERROR(IF(AL29+1&gt;DATE(2023,11,30),"",AL29+1),"")))))))</f>
        <v>45260</v>
      </c>
      <c r="AN29" s="568" t="str">
        <f xml:space="preserve">
IF(表紙!$X$2="事前協議",IFERROR(IF(AM29+1&gt;DATE(2023,11,30),"",AM29+1),""),
IF(表紙!$X$2="交付申請（２次）",IFERROR(IF(AM29+1&gt;DATE(2023,11,30),"",AM29+1),""),
IF(表紙!$X$2="変更申請",IFERROR(IF(AM29+1&gt;DATE(2023,11,30),"",AM29+1),""),
IF(表紙!$X$2="実績報告（１次）",IFERROR(IF(AM29+1&gt;DATE(2023,5,31),"",AM29+1),""),
IF(表紙!$X$2="実績報告（２次）",IFERROR(IF(AM29+1&gt;DATE(2023,11,30),"",AM29+1),""),
IF(表紙!$X$2="交付申請兼実績報告",IFERROR(IF(AM29+1&gt;DATE(2023,11,30),"",AM29+1),"")))))))</f>
        <v/>
      </c>
      <c r="AO29" s="1492"/>
      <c r="AP29" s="1493"/>
      <c r="AQ29" s="1494"/>
      <c r="AR29" s="1492"/>
      <c r="AS29" s="1493"/>
      <c r="AT29" s="1494"/>
      <c r="AU29" s="1412"/>
      <c r="AV29" s="795"/>
      <c r="AW29" s="795"/>
      <c r="AX29" s="315"/>
      <c r="AY29" s="315"/>
      <c r="BA29" s="235" t="str">
        <f>TEXT(H29&amp;":"&amp;J29,"hh:mm")</f>
        <v>:45231</v>
      </c>
      <c r="BB29" s="235" t="str">
        <f>TEXT(L29&amp;":"&amp;N29,"hh:mm")</f>
        <v>45233:45235</v>
      </c>
      <c r="BC29" s="235" t="str">
        <f>TEXT(O29&amp;":"&amp;Q29,"hh:mm")</f>
        <v>45236:45238</v>
      </c>
      <c r="BD29" s="235" t="str">
        <f>TEXT(S29&amp;":"&amp;U29,"hh:mm")</f>
        <v>45240:45242</v>
      </c>
      <c r="BE29" s="235" t="str">
        <f>TEXT(V29&amp;":"&amp;X29,"hh:mm")</f>
        <v>45243:45245</v>
      </c>
      <c r="BF29" s="235" t="str">
        <f>TEXT(Z29&amp;":"&amp;AB29,"hh:mm")</f>
        <v>45247:45249</v>
      </c>
      <c r="BG29" s="795"/>
    </row>
    <row r="30" spans="1:59" ht="18.75" thickBot="1">
      <c r="A30" s="316" t="s">
        <v>1026</v>
      </c>
      <c r="B30" s="1492"/>
      <c r="C30" s="1493"/>
      <c r="D30" s="1493"/>
      <c r="E30" s="1493"/>
      <c r="F30" s="1493"/>
      <c r="G30" s="1493"/>
      <c r="H30" s="1493"/>
      <c r="I30" s="1494"/>
      <c r="J30" s="317" t="str">
        <f>TEXT(J29,"aaa")</f>
        <v>水</v>
      </c>
      <c r="K30" s="318" t="str">
        <f>TEXT(K29,"aaa")</f>
        <v>木</v>
      </c>
      <c r="L30" s="318" t="str">
        <f t="shared" ref="L30:AL30" si="5">TEXT(L29,"aaa")</f>
        <v>金</v>
      </c>
      <c r="M30" s="318" t="str">
        <f t="shared" si="5"/>
        <v>土</v>
      </c>
      <c r="N30" s="318" t="str">
        <f t="shared" si="5"/>
        <v>日</v>
      </c>
      <c r="O30" s="318" t="str">
        <f t="shared" si="5"/>
        <v>月</v>
      </c>
      <c r="P30" s="318" t="str">
        <f t="shared" si="5"/>
        <v>火</v>
      </c>
      <c r="Q30" s="318" t="str">
        <f t="shared" si="5"/>
        <v>水</v>
      </c>
      <c r="R30" s="318" t="str">
        <f t="shared" si="5"/>
        <v>木</v>
      </c>
      <c r="S30" s="318" t="str">
        <f t="shared" si="5"/>
        <v>金</v>
      </c>
      <c r="T30" s="318" t="str">
        <f t="shared" si="5"/>
        <v>土</v>
      </c>
      <c r="U30" s="318" t="str">
        <f t="shared" si="5"/>
        <v>日</v>
      </c>
      <c r="V30" s="318" t="str">
        <f t="shared" si="5"/>
        <v>月</v>
      </c>
      <c r="W30" s="318" t="str">
        <f t="shared" si="5"/>
        <v>火</v>
      </c>
      <c r="X30" s="318" t="str">
        <f t="shared" si="5"/>
        <v>水</v>
      </c>
      <c r="Y30" s="318" t="str">
        <f t="shared" si="5"/>
        <v>木</v>
      </c>
      <c r="Z30" s="318" t="str">
        <f t="shared" si="5"/>
        <v>金</v>
      </c>
      <c r="AA30" s="318" t="str">
        <f t="shared" si="5"/>
        <v>土</v>
      </c>
      <c r="AB30" s="318" t="str">
        <f t="shared" si="5"/>
        <v>日</v>
      </c>
      <c r="AC30" s="318" t="str">
        <f t="shared" si="5"/>
        <v>月</v>
      </c>
      <c r="AD30" s="318" t="str">
        <f t="shared" si="5"/>
        <v>火</v>
      </c>
      <c r="AE30" s="318" t="str">
        <f t="shared" si="5"/>
        <v>水</v>
      </c>
      <c r="AF30" s="318" t="str">
        <f t="shared" si="5"/>
        <v>木</v>
      </c>
      <c r="AG30" s="318" t="str">
        <f t="shared" si="5"/>
        <v>金</v>
      </c>
      <c r="AH30" s="318" t="str">
        <f t="shared" si="5"/>
        <v>土</v>
      </c>
      <c r="AI30" s="318" t="str">
        <f t="shared" si="5"/>
        <v>日</v>
      </c>
      <c r="AJ30" s="318" t="str">
        <f t="shared" si="5"/>
        <v>月</v>
      </c>
      <c r="AK30" s="318" t="str">
        <f t="shared" si="5"/>
        <v>火</v>
      </c>
      <c r="AL30" s="569" t="str">
        <f t="shared" si="5"/>
        <v>水</v>
      </c>
      <c r="AM30" s="569" t="str">
        <f t="shared" ref="AM30" si="6">TEXT(AM29,"aaa")</f>
        <v>木</v>
      </c>
      <c r="AN30" s="569" t="str">
        <f t="shared" ref="AN30" si="7">TEXT(AN29,"aaa")</f>
        <v/>
      </c>
      <c r="AO30" s="1480" t="str">
        <f xml:space="preserve">
IF(AU32="×","×",
IF(表紙!$X$2="事前協議",COUNTIF(J32:AM32,"&gt;0"),
IF(表紙!$X$2="交付申請（２次）",COUNTIF(J32:AM32,"&gt;0"),
IF(表紙!$X$2="変更申請",COUNTIF(J32:AM32,"&gt;0"),
IF(表紙!$X$2="実績報告（１次）",COUNTIF(J32:AN32,"&gt;0"),
IF(表紙!$X$2="実績報告（２次）",COUNTIF(J32:AM32,"&gt;0"),
IF(表紙!$X$2="交付申請兼実績報告",COUNTIF(J32:AM32,"&gt;0"))))))))</f>
        <v>×</v>
      </c>
      <c r="AP30" s="1481"/>
      <c r="AQ30" s="1482"/>
      <c r="AR30" s="1480" t="s">
        <v>1050</v>
      </c>
      <c r="AS30" s="1481"/>
      <c r="AT30" s="1482"/>
      <c r="AU30" s="1412"/>
      <c r="AV30" s="795"/>
      <c r="AW30" s="795"/>
      <c r="AX30" s="315"/>
      <c r="AY30" s="315"/>
      <c r="BA30" s="235" t="str">
        <f>TEXT(H30&amp;":"&amp;J30,"hh:mm")</f>
        <v>:水</v>
      </c>
      <c r="BB30" s="235" t="str">
        <f>TEXT(L30&amp;":"&amp;N30,"hh:mm")</f>
        <v>金:日</v>
      </c>
      <c r="BC30" s="235" t="str">
        <f>TEXT(O30&amp;":"&amp;Q30,"hh:mm")</f>
        <v>月:水</v>
      </c>
      <c r="BD30" s="235" t="str">
        <f>TEXT(S30&amp;":"&amp;U30,"hh:mm")</f>
        <v>金:日</v>
      </c>
      <c r="BE30" s="235" t="str">
        <f>TEXT(V30&amp;":"&amp;X30,"hh:mm")</f>
        <v>月:水</v>
      </c>
      <c r="BF30" s="235" t="str">
        <f>TEXT(Z30&amp;":"&amp;AB30,"hh:mm")</f>
        <v>金:日</v>
      </c>
      <c r="BG30" s="222"/>
    </row>
    <row r="31" spans="1:59" ht="19.5" thickTop="1" thickBot="1">
      <c r="A31" s="316"/>
      <c r="B31" s="1408" t="s">
        <v>1458</v>
      </c>
      <c r="C31" s="1409"/>
      <c r="D31" s="1409"/>
      <c r="E31" s="1409"/>
      <c r="F31" s="1409"/>
      <c r="G31" s="1409"/>
      <c r="H31" s="1409"/>
      <c r="I31" s="1410"/>
      <c r="J31" s="728">
        <v>0</v>
      </c>
      <c r="K31" s="729">
        <v>0</v>
      </c>
      <c r="L31" s="729">
        <v>0</v>
      </c>
      <c r="M31" s="729">
        <v>0</v>
      </c>
      <c r="N31" s="729">
        <v>0</v>
      </c>
      <c r="O31" s="729">
        <v>0</v>
      </c>
      <c r="P31" s="729">
        <v>0</v>
      </c>
      <c r="Q31" s="729">
        <v>0</v>
      </c>
      <c r="R31" s="729">
        <v>0</v>
      </c>
      <c r="S31" s="729">
        <v>0</v>
      </c>
      <c r="T31" s="729">
        <v>0</v>
      </c>
      <c r="U31" s="729">
        <v>0</v>
      </c>
      <c r="V31" s="729">
        <v>0</v>
      </c>
      <c r="W31" s="729">
        <v>0</v>
      </c>
      <c r="X31" s="729">
        <v>0</v>
      </c>
      <c r="Y31" s="729">
        <v>0</v>
      </c>
      <c r="Z31" s="729">
        <v>0</v>
      </c>
      <c r="AA31" s="729">
        <v>0</v>
      </c>
      <c r="AB31" s="729">
        <v>0</v>
      </c>
      <c r="AC31" s="729">
        <v>0</v>
      </c>
      <c r="AD31" s="729">
        <v>0</v>
      </c>
      <c r="AE31" s="729">
        <v>0</v>
      </c>
      <c r="AF31" s="729">
        <v>0</v>
      </c>
      <c r="AG31" s="729">
        <v>0</v>
      </c>
      <c r="AH31" s="729">
        <v>0</v>
      </c>
      <c r="AI31" s="729">
        <v>0</v>
      </c>
      <c r="AJ31" s="729">
        <v>0</v>
      </c>
      <c r="AK31" s="729">
        <v>0</v>
      </c>
      <c r="AL31" s="729">
        <v>0</v>
      </c>
      <c r="AM31" s="729">
        <v>0</v>
      </c>
      <c r="AN31" s="730">
        <v>0</v>
      </c>
      <c r="AO31" s="1414">
        <f xml:space="preserve">
COUNTIF(J31:AN31,1)</f>
        <v>0</v>
      </c>
      <c r="AP31" s="1415"/>
      <c r="AQ31" s="1416"/>
      <c r="AR31" s="731"/>
      <c r="AS31" s="732"/>
      <c r="AT31" s="733"/>
      <c r="AU31" s="1413"/>
      <c r="AV31" s="795"/>
      <c r="AW31" s="795"/>
      <c r="AX31" s="315"/>
      <c r="AY31" s="315"/>
      <c r="BA31" s="235"/>
      <c r="BB31" s="235"/>
      <c r="BC31" s="235"/>
      <c r="BD31" s="235"/>
      <c r="BE31" s="235"/>
      <c r="BF31" s="235"/>
      <c r="BG31" s="222"/>
    </row>
    <row r="32" spans="1:59" ht="19.5" thickTop="1">
      <c r="A32" s="316" t="s">
        <v>1029</v>
      </c>
      <c r="B32" s="1512" t="s">
        <v>1150</v>
      </c>
      <c r="C32" s="1513"/>
      <c r="D32" s="1513"/>
      <c r="E32" s="1513"/>
      <c r="F32" s="1513"/>
      <c r="G32" s="1513"/>
      <c r="H32" s="1513"/>
      <c r="I32" s="1514"/>
      <c r="J32" s="304"/>
      <c r="K32" s="305"/>
      <c r="L32" s="305"/>
      <c r="M32" s="305"/>
      <c r="N32" s="305"/>
      <c r="O32" s="305"/>
      <c r="P32" s="305"/>
      <c r="Q32" s="305"/>
      <c r="R32" s="305"/>
      <c r="S32" s="305"/>
      <c r="T32" s="305"/>
      <c r="U32" s="305"/>
      <c r="V32" s="305"/>
      <c r="W32" s="305"/>
      <c r="X32" s="305"/>
      <c r="Y32" s="305"/>
      <c r="Z32" s="305"/>
      <c r="AA32" s="305"/>
      <c r="AB32" s="305"/>
      <c r="AC32" s="305"/>
      <c r="AD32" s="305"/>
      <c r="AE32" s="305"/>
      <c r="AF32" s="305"/>
      <c r="AG32" s="305"/>
      <c r="AH32" s="305"/>
      <c r="AI32" s="305"/>
      <c r="AJ32" s="305"/>
      <c r="AK32" s="305"/>
      <c r="AL32" s="305"/>
      <c r="AM32" s="306"/>
      <c r="AN32" s="307"/>
      <c r="AO32" s="1515" t="str">
        <f xml:space="preserve">
IF(AU32="×","×",
IF(表紙!$X$2="事前協議",SUM(J32:AM32),
IF(表紙!$X$2="交付申請（２次）",SUM(J32:AM32),
IF(表紙!$X$2="変更申請",SUM(J32:AM32),
IF(表紙!$X$2="実績報告（１次）",SUM(J32:AN32),
IF(表紙!$X$2="実績報告（２次）",SUM(J32:AM32),
IF(表紙!$X$2="交付申請兼実績報告",SUM(J32:AM32))))))))</f>
        <v>×</v>
      </c>
      <c r="AP32" s="1516"/>
      <c r="AQ32" s="1517"/>
      <c r="AR32" s="1496" t="str">
        <f>IF(AU32="○",ROUNDDOWN(AO32/AO30,1),"×")</f>
        <v>×</v>
      </c>
      <c r="AS32" s="1497"/>
      <c r="AT32" s="1498"/>
      <c r="AU32" s="1510" t="str">
        <f xml:space="preserve">
IF(AND(表紙!$X$2="実績報告（１次）",
OR(COUNTA(J32:AN33)&lt;&gt;62,J33&gt;J32,K33&gt;K32,L33&gt;L32,M33&gt;M32,N33&gt;N32,O33&gt;O32,P33&gt;P32,Q33&gt;Q32,R33&gt;R32,S33&gt;S32,T33&gt;T32,U33&gt;U32,V33&gt;V32,W33&gt;W32,X33&gt;X32,Y33&gt;Y32,Z33&gt;Z32,AA33&gt;AA32,AB33&gt;AB32,AC33&gt;AC32,AD33&gt;AD32,AE33&gt;AE32,AF33&gt;AF32,AG33&gt;AG32,AH33&gt;AH32,AI33&gt;AI32,AJ33&gt;AJ32,AK33&gt;AK32,AL33&gt;AL32,AM33&gt;AM32,AN33&gt;AN32)),"×",
IF(AND(OR(表紙!$X$2="実績報告（２次）",表紙!$X$2="交付申請兼実績報告"),
OR(COUNTA(J32:AN33)&lt;&gt;62,J33&gt;J32,K33&gt;K32,L33&gt;L32,M33&gt;M32,N33&gt;N32,O33&gt;O32,P33&gt;P32,Q33&gt;Q32,R33&gt;R32,S33&gt;S32,T33&gt;T32,U33&gt;U32,V33&gt;V32,W33&gt;W32,X33&gt;X32,Y33&gt;Y32,Z33&gt;Z32,AA33&gt;AA32,AB33&gt;AB32,AC33&gt;AC32,AD33&gt;AD32,AE33&gt;AE32,AF33&gt;AF32,AG33&gt;AG32,AH33&gt;AH32,AI33&gt;AI32,AJ33&gt;AJ32,AK33&gt;AK32,AL33&gt;AL32,AM33&gt;AM32)),"×","○"))</f>
        <v>×</v>
      </c>
      <c r="AV32" s="795"/>
      <c r="AW32" s="795"/>
      <c r="AX32" s="315"/>
      <c r="AY32" s="315"/>
      <c r="BA32" s="235" t="e">
        <f>TEXT(#REF!&amp;":"&amp;#REF!,"hh:mm")</f>
        <v>#REF!</v>
      </c>
      <c r="BB32" s="235" t="e">
        <f>TEXT(#REF!&amp;":"&amp;#REF!,"hh:mm")</f>
        <v>#REF!</v>
      </c>
      <c r="BC32" s="235" t="e">
        <f>TEXT(#REF!&amp;":"&amp;#REF!,"hh:mm")</f>
        <v>#REF!</v>
      </c>
      <c r="BD32" s="235" t="e">
        <f>TEXT(#REF!&amp;":"&amp;#REF!,"hh:mm")</f>
        <v>#REF!</v>
      </c>
      <c r="BE32" s="235" t="e">
        <f>TEXT(#REF!&amp;":"&amp;#REF!,"hh:mm")</f>
        <v>#REF!</v>
      </c>
      <c r="BF32" s="235" t="e">
        <f>TEXT(#REF!&amp;":"&amp;#REF!,"hh:mm")</f>
        <v>#REF!</v>
      </c>
      <c r="BG32" s="222"/>
    </row>
    <row r="33" spans="1:78" ht="19.5" thickBot="1">
      <c r="A33" s="316" t="s">
        <v>1031</v>
      </c>
      <c r="B33" s="1420" t="s">
        <v>1052</v>
      </c>
      <c r="C33" s="1421"/>
      <c r="D33" s="1421"/>
      <c r="E33" s="1421"/>
      <c r="F33" s="1421"/>
      <c r="G33" s="1421"/>
      <c r="H33" s="1421"/>
      <c r="I33" s="1422"/>
      <c r="J33" s="736"/>
      <c r="K33" s="737"/>
      <c r="L33" s="737"/>
      <c r="M33" s="737"/>
      <c r="N33" s="737"/>
      <c r="O33" s="737"/>
      <c r="P33" s="737"/>
      <c r="Q33" s="737"/>
      <c r="R33" s="737"/>
      <c r="S33" s="737"/>
      <c r="T33" s="737"/>
      <c r="U33" s="737"/>
      <c r="V33" s="737"/>
      <c r="W33" s="737"/>
      <c r="X33" s="737"/>
      <c r="Y33" s="737"/>
      <c r="Z33" s="737"/>
      <c r="AA33" s="737"/>
      <c r="AB33" s="737"/>
      <c r="AC33" s="737"/>
      <c r="AD33" s="737"/>
      <c r="AE33" s="737"/>
      <c r="AF33" s="737"/>
      <c r="AG33" s="737"/>
      <c r="AH33" s="737"/>
      <c r="AI33" s="737"/>
      <c r="AJ33" s="737"/>
      <c r="AK33" s="737"/>
      <c r="AL33" s="737"/>
      <c r="AM33" s="738"/>
      <c r="AN33" s="738"/>
      <c r="AO33" s="1423" t="str">
        <f xml:space="preserve">
IF(AU32="×","×",
IF(表紙!$X$2="事前協議",SUM(J33:AM33),
IF(表紙!$X$2="交付申請（２次）",SUM(J33:AM33),
IF(表紙!$X$2="変更申請",SUM(J33:AM33),
IF(表紙!$X$2="実績報告（１次）",SUM(J33:AN33),
IF(表紙!$X$2="実績報告（２次）",SUM(J33:AM33),
IF(表紙!$X$2="交付申請兼実績報告",SUM(J33:AM33))))))))</f>
        <v>×</v>
      </c>
      <c r="AP33" s="1424"/>
      <c r="AQ33" s="1425"/>
      <c r="AR33" s="1417" t="str">
        <f>IF(AU32="○",ROUNDDOWN(AO33/AO30,1),"×")</f>
        <v>×</v>
      </c>
      <c r="AS33" s="1418"/>
      <c r="AT33" s="1419"/>
      <c r="AU33" s="1511"/>
      <c r="AV33" s="795"/>
      <c r="AW33" s="795"/>
      <c r="AX33" s="319"/>
      <c r="AY33" s="315"/>
      <c r="BA33" s="235" t="str">
        <f>TEXT(H32&amp;":"&amp;J32,"hh:mm")</f>
        <v>:</v>
      </c>
      <c r="BB33" s="235" t="str">
        <f>TEXT(L32&amp;":"&amp;N32,"hh:mm")</f>
        <v>:</v>
      </c>
      <c r="BC33" s="235" t="str">
        <f>TEXT(O32&amp;":"&amp;Q32,"hh:mm")</f>
        <v>:</v>
      </c>
      <c r="BD33" s="235" t="str">
        <f>TEXT(S32&amp;":"&amp;U32,"hh:mm")</f>
        <v>:</v>
      </c>
      <c r="BE33" s="235" t="str">
        <f>TEXT(V32&amp;":"&amp;X32,"hh:mm")</f>
        <v>:</v>
      </c>
      <c r="BF33" s="235" t="str">
        <f>TEXT(Z32&amp;":"&amp;AB32,"hh:mm")</f>
        <v>:</v>
      </c>
      <c r="BG33" s="222"/>
    </row>
    <row r="34" spans="1:78" ht="20.100000000000001" customHeight="1" thickBot="1">
      <c r="A34" s="316" t="s">
        <v>70</v>
      </c>
      <c r="B34" s="320"/>
      <c r="C34" s="321"/>
      <c r="D34" s="321"/>
      <c r="E34" s="320"/>
      <c r="F34" s="321"/>
      <c r="G34" s="321"/>
      <c r="H34" s="322"/>
      <c r="I34" s="323"/>
      <c r="J34" s="322"/>
      <c r="K34" s="322"/>
      <c r="L34" s="322"/>
      <c r="M34" s="323"/>
      <c r="N34" s="322"/>
      <c r="O34" s="322"/>
      <c r="P34" s="323"/>
      <c r="Q34" s="322"/>
      <c r="R34" s="322"/>
      <c r="S34" s="322"/>
      <c r="T34" s="323"/>
      <c r="U34" s="322"/>
      <c r="V34" s="322"/>
      <c r="W34" s="323"/>
      <c r="X34" s="322"/>
      <c r="Y34" s="322"/>
      <c r="Z34" s="322"/>
      <c r="AA34" s="323"/>
      <c r="AB34" s="322"/>
      <c r="AC34" s="324"/>
      <c r="AD34" s="325"/>
      <c r="AE34" s="324"/>
      <c r="AF34" s="325"/>
      <c r="AG34" s="324"/>
      <c r="AH34" s="325"/>
      <c r="AI34" s="326"/>
      <c r="AJ34" s="327"/>
      <c r="AK34" s="328"/>
      <c r="AL34" s="328"/>
      <c r="AM34" s="329"/>
      <c r="AN34" s="330"/>
      <c r="AO34" s="331"/>
      <c r="AP34" s="328"/>
      <c r="AQ34" s="328"/>
      <c r="AR34" s="328"/>
      <c r="AS34" s="328"/>
      <c r="AT34" s="328"/>
      <c r="AU34" s="328"/>
      <c r="AV34" s="328"/>
      <c r="AW34" s="328"/>
      <c r="AX34" s="315"/>
      <c r="AY34" s="315"/>
      <c r="BA34" s="235" t="str">
        <f>TEXT(H34&amp;":"&amp;J34,"hh:mm")</f>
        <v>:</v>
      </c>
      <c r="BB34" s="235" t="str">
        <f>TEXT(L34&amp;":"&amp;N34,"hh:mm")</f>
        <v>:</v>
      </c>
      <c r="BC34" s="235" t="str">
        <f>TEXT(O34&amp;":"&amp;Q34,"hh:mm")</f>
        <v>:</v>
      </c>
      <c r="BD34" s="235" t="str">
        <f>TEXT(S34&amp;":"&amp;U34,"hh:mm")</f>
        <v>:</v>
      </c>
      <c r="BE34" s="235" t="str">
        <f>TEXT(V34&amp;":"&amp;X34,"hh:mm")</f>
        <v>:</v>
      </c>
      <c r="BF34" s="235" t="str">
        <f>TEXT(Z34&amp;":"&amp;AB34,"hh:mm")</f>
        <v>:</v>
      </c>
      <c r="BG34" s="222"/>
    </row>
    <row r="35" spans="1:78" ht="18" customHeight="1" thickTop="1">
      <c r="B35" s="1489" t="s">
        <v>1189</v>
      </c>
      <c r="C35" s="1490"/>
      <c r="D35" s="1490"/>
      <c r="E35" s="1490"/>
      <c r="F35" s="1490"/>
      <c r="G35" s="1490"/>
      <c r="H35" s="1490"/>
      <c r="I35" s="1491"/>
      <c r="J35" s="1426">
        <f>Q16</f>
        <v>12</v>
      </c>
      <c r="K35" s="1427"/>
      <c r="L35" s="1427"/>
      <c r="M35" s="1427"/>
      <c r="N35" s="1427"/>
      <c r="O35" s="1427"/>
      <c r="P35" s="1427"/>
      <c r="Q35" s="1427"/>
      <c r="R35" s="1427"/>
      <c r="S35" s="1427"/>
      <c r="T35" s="1427"/>
      <c r="U35" s="1427"/>
      <c r="V35" s="1427"/>
      <c r="W35" s="1427"/>
      <c r="X35" s="1427"/>
      <c r="Y35" s="1427"/>
      <c r="Z35" s="1427"/>
      <c r="AA35" s="1427"/>
      <c r="AB35" s="1427"/>
      <c r="AC35" s="1427"/>
      <c r="AD35" s="1427"/>
      <c r="AE35" s="1427"/>
      <c r="AF35" s="1427"/>
      <c r="AG35" s="1427"/>
      <c r="AH35" s="1427"/>
      <c r="AI35" s="1427"/>
      <c r="AJ35" s="1427"/>
      <c r="AK35" s="1427"/>
      <c r="AL35" s="1427"/>
      <c r="AM35" s="1427"/>
      <c r="AN35" s="1429"/>
      <c r="AO35" s="1489" t="s">
        <v>1193</v>
      </c>
      <c r="AP35" s="1490"/>
      <c r="AQ35" s="1491"/>
      <c r="AR35" s="1489" t="s">
        <v>1194</v>
      </c>
      <c r="AS35" s="1490"/>
      <c r="AT35" s="1491"/>
      <c r="AU35" s="1411" t="s">
        <v>98</v>
      </c>
      <c r="AV35" s="795"/>
      <c r="AW35" s="795"/>
      <c r="AX35" s="312"/>
      <c r="AY35" s="313"/>
      <c r="AZ35" s="795"/>
      <c r="BB35" s="222"/>
      <c r="BC35" s="230"/>
      <c r="BD35" s="795"/>
      <c r="BE35" s="795"/>
      <c r="BG35" s="795"/>
    </row>
    <row r="36" spans="1:78" ht="18" customHeight="1">
      <c r="A36" s="314" t="s">
        <v>1024</v>
      </c>
      <c r="B36" s="1492"/>
      <c r="C36" s="1506"/>
      <c r="D36" s="1506"/>
      <c r="E36" s="1506"/>
      <c r="F36" s="1506"/>
      <c r="G36" s="1506"/>
      <c r="H36" s="1506"/>
      <c r="I36" s="1494"/>
      <c r="J36" s="567">
        <f xml:space="preserve">
IF(表紙!$X$2="事前協議",DATE(2023,J35,1),
IF(表紙!$X$2="交付申請（２次）",DATE(2023,J35,1),
IF(表紙!$X$2="変更申請",DATE(2023,J35,1),
IF(表紙!$X$2="実績報告（１次）",DATE(2023,J35,1),
IF(表紙!$X$2="実績報告（２次）",DATE(2023,J35,1),
IF(表紙!$X$2="交付申請兼実績報告",DATE(2023,J35,1)))))))</f>
        <v>45261</v>
      </c>
      <c r="K36" s="568">
        <f xml:space="preserve">
IF(表紙!$X$2="事前協議",IFERROR(IF(J36+1&gt;DATE(2023,12,31),"",J36+1),""),
IF(表紙!$X$2="交付申請（２次）",IFERROR(IF(J36+1&gt;DATE(2023,12,31),"",J36+1),""),
IF(表紙!$X$2="変更申請",IFERROR(IF(J36+1&gt;DATE(2023,12,31),"",J36+1),""),
IF(表紙!$X$2="実績報告（１次）",IFERROR(IF(J36+1&gt;DATE(2023,6,30),"",J36+1),""),
IF(表紙!$X$2="実績報告（２次）",IFERROR(IF(J36+1&gt;DATE(2023,12,31),"",J36+1),""),
IF(表紙!$X$2="交付申請兼実績報告",IFERROR(IF(J36+1&gt;DATE(2023,12,31),"",J36+1),"")))))))</f>
        <v>45262</v>
      </c>
      <c r="L36" s="568">
        <f xml:space="preserve">
IF(表紙!$X$2="事前協議",IFERROR(IF(K36+1&gt;DATE(2023,12,31),"",K36+1),""),
IF(表紙!$X$2="交付申請（２次）",IFERROR(IF(K36+1&gt;DATE(2023,12,31),"",K36+1),""),
IF(表紙!$X$2="変更申請",IFERROR(IF(K36+1&gt;DATE(2023,12,31),"",K36+1),""),
IF(表紙!$X$2="実績報告（１次）",IFERROR(IF(K36+1&gt;DATE(2023,6,30),"",K36+1),""),
IF(表紙!$X$2="実績報告（２次）",IFERROR(IF(K36+1&gt;DATE(2023,12,31),"",K36+1),""),
IF(表紙!$X$2="交付申請兼実績報告",IFERROR(IF(K36+1&gt;DATE(2023,12,31),"",K36+1),"")))))))</f>
        <v>45263</v>
      </c>
      <c r="M36" s="568">
        <f xml:space="preserve">
IF(表紙!$X$2="事前協議",IFERROR(IF(L36+1&gt;DATE(2023,12,31),"",L36+1),""),
IF(表紙!$X$2="交付申請（２次）",IFERROR(IF(L36+1&gt;DATE(2023,12,31),"",L36+1),""),
IF(表紙!$X$2="変更申請",IFERROR(IF(L36+1&gt;DATE(2023,12,31),"",L36+1),""),
IF(表紙!$X$2="実績報告（１次）",IFERROR(IF(L36+1&gt;DATE(2023,6,30),"",L36+1),""),
IF(表紙!$X$2="実績報告（２次）",IFERROR(IF(L36+1&gt;DATE(2023,12,31),"",L36+1),""),
IF(表紙!$X$2="交付申請兼実績報告",IFERROR(IF(L36+1&gt;DATE(2023,12,31),"",L36+1),"")))))))</f>
        <v>45264</v>
      </c>
      <c r="N36" s="568">
        <f xml:space="preserve">
IF(表紙!$X$2="事前協議",IFERROR(IF(M36+1&gt;DATE(2023,12,31),"",M36+1),""),
IF(表紙!$X$2="交付申請（２次）",IFERROR(IF(M36+1&gt;DATE(2023,12,31),"",M36+1),""),
IF(表紙!$X$2="変更申請",IFERROR(IF(M36+1&gt;DATE(2023,12,31),"",M36+1),""),
IF(表紙!$X$2="実績報告（１次）",IFERROR(IF(M36+1&gt;DATE(2023,6,30),"",M36+1),""),
IF(表紙!$X$2="実績報告（２次）",IFERROR(IF(M36+1&gt;DATE(2023,12,31),"",M36+1),""),
IF(表紙!$X$2="交付申請兼実績報告",IFERROR(IF(M36+1&gt;DATE(2023,12,31),"",M36+1),"")))))))</f>
        <v>45265</v>
      </c>
      <c r="O36" s="568">
        <f xml:space="preserve">
IF(表紙!$X$2="事前協議",IFERROR(IF(N36+1&gt;DATE(2023,12,31),"",N36+1),""),
IF(表紙!$X$2="交付申請（２次）",IFERROR(IF(N36+1&gt;DATE(2023,12,31),"",N36+1),""),
IF(表紙!$X$2="変更申請",IFERROR(IF(N36+1&gt;DATE(2023,12,31),"",N36+1),""),
IF(表紙!$X$2="実績報告（１次）",IFERROR(IF(N36+1&gt;DATE(2023,6,30),"",N36+1),""),
IF(表紙!$X$2="実績報告（２次）",IFERROR(IF(N36+1&gt;DATE(2023,12,31),"",N36+1),""),
IF(表紙!$X$2="交付申請兼実績報告",IFERROR(IF(N36+1&gt;DATE(2023,12,31),"",N36+1),"")))))))</f>
        <v>45266</v>
      </c>
      <c r="P36" s="568">
        <f xml:space="preserve">
IF(表紙!$X$2="事前協議",IFERROR(IF(O36+1&gt;DATE(2023,12,31),"",O36+1),""),
IF(表紙!$X$2="交付申請（２次）",IFERROR(IF(O36+1&gt;DATE(2023,12,31),"",O36+1),""),
IF(表紙!$X$2="変更申請",IFERROR(IF(O36+1&gt;DATE(2023,12,31),"",O36+1),""),
IF(表紙!$X$2="実績報告（１次）",IFERROR(IF(O36+1&gt;DATE(2023,6,30),"",O36+1),""),
IF(表紙!$X$2="実績報告（２次）",IFERROR(IF(O36+1&gt;DATE(2023,12,31),"",O36+1),""),
IF(表紙!$X$2="交付申請兼実績報告",IFERROR(IF(O36+1&gt;DATE(2023,12,31),"",O36+1),"")))))))</f>
        <v>45267</v>
      </c>
      <c r="Q36" s="568">
        <f xml:space="preserve">
IF(表紙!$X$2="事前協議",IFERROR(IF(P36+1&gt;DATE(2023,12,31),"",P36+1),""),
IF(表紙!$X$2="交付申請（２次）",IFERROR(IF(P36+1&gt;DATE(2023,12,31),"",P36+1),""),
IF(表紙!$X$2="変更申請",IFERROR(IF(P36+1&gt;DATE(2023,12,31),"",P36+1),""),
IF(表紙!$X$2="実績報告（１次）",IFERROR(IF(P36+1&gt;DATE(2023,6,30),"",P36+1),""),
IF(表紙!$X$2="実績報告（２次）",IFERROR(IF(P36+1&gt;DATE(2023,12,31),"",P36+1),""),
IF(表紙!$X$2="交付申請兼実績報告",IFERROR(IF(P36+1&gt;DATE(2023,12,31),"",P36+1),"")))))))</f>
        <v>45268</v>
      </c>
      <c r="R36" s="568">
        <f xml:space="preserve">
IF(表紙!$X$2="事前協議",IFERROR(IF(Q36+1&gt;DATE(2023,12,31),"",Q36+1),""),
IF(表紙!$X$2="交付申請（２次）",IFERROR(IF(Q36+1&gt;DATE(2023,12,31),"",Q36+1),""),
IF(表紙!$X$2="変更申請",IFERROR(IF(Q36+1&gt;DATE(2023,12,31),"",Q36+1),""),
IF(表紙!$X$2="実績報告（１次）",IFERROR(IF(Q36+1&gt;DATE(2023,6,30),"",Q36+1),""),
IF(表紙!$X$2="実績報告（２次）",IFERROR(IF(Q36+1&gt;DATE(2023,12,31),"",Q36+1),""),
IF(表紙!$X$2="交付申請兼実績報告",IFERROR(IF(Q36+1&gt;DATE(2023,12,31),"",Q36+1),"")))))))</f>
        <v>45269</v>
      </c>
      <c r="S36" s="568">
        <f xml:space="preserve">
IF(表紙!$X$2="事前協議",IFERROR(IF(R36+1&gt;DATE(2023,12,31),"",R36+1),""),
IF(表紙!$X$2="交付申請（２次）",IFERROR(IF(R36+1&gt;DATE(2023,12,31),"",R36+1),""),
IF(表紙!$X$2="変更申請",IFERROR(IF(R36+1&gt;DATE(2023,12,31),"",R36+1),""),
IF(表紙!$X$2="実績報告（１次）",IFERROR(IF(R36+1&gt;DATE(2023,6,30),"",R36+1),""),
IF(表紙!$X$2="実績報告（２次）",IFERROR(IF(R36+1&gt;DATE(2023,12,31),"",R36+1),""),
IF(表紙!$X$2="交付申請兼実績報告",IFERROR(IF(R36+1&gt;DATE(2023,12,31),"",R36+1),"")))))))</f>
        <v>45270</v>
      </c>
      <c r="T36" s="568">
        <f xml:space="preserve">
IF(表紙!$X$2="事前協議",IFERROR(IF(S36+1&gt;DATE(2023,12,31),"",S36+1),""),
IF(表紙!$X$2="交付申請（２次）",IFERROR(IF(S36+1&gt;DATE(2023,12,31),"",S36+1),""),
IF(表紙!$X$2="変更申請",IFERROR(IF(S36+1&gt;DATE(2023,12,31),"",S36+1),""),
IF(表紙!$X$2="実績報告（１次）",IFERROR(IF(S36+1&gt;DATE(2023,6,30),"",S36+1),""),
IF(表紙!$X$2="実績報告（２次）",IFERROR(IF(S36+1&gt;DATE(2023,12,31),"",S36+1),""),
IF(表紙!$X$2="交付申請兼実績報告",IFERROR(IF(S36+1&gt;DATE(2023,12,31),"",S36+1),"")))))))</f>
        <v>45271</v>
      </c>
      <c r="U36" s="568">
        <f xml:space="preserve">
IF(表紙!$X$2="事前協議",IFERROR(IF(T36+1&gt;DATE(2023,12,31),"",T36+1),""),
IF(表紙!$X$2="交付申請（２次）",IFERROR(IF(T36+1&gt;DATE(2023,12,31),"",T36+1),""),
IF(表紙!$X$2="変更申請",IFERROR(IF(T36+1&gt;DATE(2023,12,31),"",T36+1),""),
IF(表紙!$X$2="実績報告（１次）",IFERROR(IF(T36+1&gt;DATE(2023,6,30),"",T36+1),""),
IF(表紙!$X$2="実績報告（２次）",IFERROR(IF(T36+1&gt;DATE(2023,12,31),"",T36+1),""),
IF(表紙!$X$2="交付申請兼実績報告",IFERROR(IF(T36+1&gt;DATE(2023,12,31),"",T36+1),"")))))))</f>
        <v>45272</v>
      </c>
      <c r="V36" s="568">
        <f xml:space="preserve">
IF(表紙!$X$2="事前協議",IFERROR(IF(U36+1&gt;DATE(2023,12,31),"",U36+1),""),
IF(表紙!$X$2="交付申請（２次）",IFERROR(IF(U36+1&gt;DATE(2023,12,31),"",U36+1),""),
IF(表紙!$X$2="変更申請",IFERROR(IF(U36+1&gt;DATE(2023,12,31),"",U36+1),""),
IF(表紙!$X$2="実績報告（１次）",IFERROR(IF(U36+1&gt;DATE(2023,6,30),"",U36+1),""),
IF(表紙!$X$2="実績報告（２次）",IFERROR(IF(U36+1&gt;DATE(2023,12,31),"",U36+1),""),
IF(表紙!$X$2="交付申請兼実績報告",IFERROR(IF(U36+1&gt;DATE(2023,12,31),"",U36+1),"")))))))</f>
        <v>45273</v>
      </c>
      <c r="W36" s="568">
        <f xml:space="preserve">
IF(表紙!$X$2="事前協議",IFERROR(IF(V36+1&gt;DATE(2023,12,31),"",V36+1),""),
IF(表紙!$X$2="交付申請（２次）",IFERROR(IF(V36+1&gt;DATE(2023,12,31),"",V36+1),""),
IF(表紙!$X$2="変更申請",IFERROR(IF(V36+1&gt;DATE(2023,12,31),"",V36+1),""),
IF(表紙!$X$2="実績報告（１次）",IFERROR(IF(V36+1&gt;DATE(2023,6,30),"",V36+1),""),
IF(表紙!$X$2="実績報告（２次）",IFERROR(IF(V36+1&gt;DATE(2023,12,31),"",V36+1),""),
IF(表紙!$X$2="交付申請兼実績報告",IFERROR(IF(V36+1&gt;DATE(2023,12,31),"",V36+1),"")))))))</f>
        <v>45274</v>
      </c>
      <c r="X36" s="568">
        <f xml:space="preserve">
IF(表紙!$X$2="事前協議",IFERROR(IF(W36+1&gt;DATE(2023,12,31),"",W36+1),""),
IF(表紙!$X$2="交付申請（２次）",IFERROR(IF(W36+1&gt;DATE(2023,12,31),"",W36+1),""),
IF(表紙!$X$2="変更申請",IFERROR(IF(W36+1&gt;DATE(2023,12,31),"",W36+1),""),
IF(表紙!$X$2="実績報告（１次）",IFERROR(IF(W36+1&gt;DATE(2023,6,30),"",W36+1),""),
IF(表紙!$X$2="実績報告（２次）",IFERROR(IF(W36+1&gt;DATE(2023,12,31),"",W36+1),""),
IF(表紙!$X$2="交付申請兼実績報告",IFERROR(IF(W36+1&gt;DATE(2023,12,31),"",W36+1),"")))))))</f>
        <v>45275</v>
      </c>
      <c r="Y36" s="568">
        <f xml:space="preserve">
IF(表紙!$X$2="事前協議",IFERROR(IF(X36+1&gt;DATE(2023,12,31),"",X36+1),""),
IF(表紙!$X$2="交付申請（２次）",IFERROR(IF(X36+1&gt;DATE(2023,12,31),"",X36+1),""),
IF(表紙!$X$2="変更申請",IFERROR(IF(X36+1&gt;DATE(2023,12,31),"",X36+1),""),
IF(表紙!$X$2="実績報告（１次）",IFERROR(IF(X36+1&gt;DATE(2023,6,30),"",X36+1),""),
IF(表紙!$X$2="実績報告（２次）",IFERROR(IF(X36+1&gt;DATE(2023,12,31),"",X36+1),""),
IF(表紙!$X$2="交付申請兼実績報告",IFERROR(IF(X36+1&gt;DATE(2023,12,31),"",X36+1),"")))))))</f>
        <v>45276</v>
      </c>
      <c r="Z36" s="568">
        <f xml:space="preserve">
IF(表紙!$X$2="事前協議",IFERROR(IF(Y36+1&gt;DATE(2023,12,31),"",Y36+1),""),
IF(表紙!$X$2="交付申請（２次）",IFERROR(IF(Y36+1&gt;DATE(2023,12,31),"",Y36+1),""),
IF(表紙!$X$2="変更申請",IFERROR(IF(Y36+1&gt;DATE(2023,12,31),"",Y36+1),""),
IF(表紙!$X$2="実績報告（１次）",IFERROR(IF(Y36+1&gt;DATE(2023,6,30),"",Y36+1),""),
IF(表紙!$X$2="実績報告（２次）",IFERROR(IF(Y36+1&gt;DATE(2023,12,31),"",Y36+1),""),
IF(表紙!$X$2="交付申請兼実績報告",IFERROR(IF(Y36+1&gt;DATE(2023,12,31),"",Y36+1),"")))))))</f>
        <v>45277</v>
      </c>
      <c r="AA36" s="568">
        <f xml:space="preserve">
IF(表紙!$X$2="事前協議",IFERROR(IF(Z36+1&gt;DATE(2023,12,31),"",Z36+1),""),
IF(表紙!$X$2="交付申請（２次）",IFERROR(IF(Z36+1&gt;DATE(2023,12,31),"",Z36+1),""),
IF(表紙!$X$2="変更申請",IFERROR(IF(Z36+1&gt;DATE(2023,12,31),"",Z36+1),""),
IF(表紙!$X$2="実績報告（１次）",IFERROR(IF(Z36+1&gt;DATE(2023,6,30),"",Z36+1),""),
IF(表紙!$X$2="実績報告（２次）",IFERROR(IF(Z36+1&gt;DATE(2023,12,31),"",Z36+1),""),
IF(表紙!$X$2="交付申請兼実績報告",IFERROR(IF(Z36+1&gt;DATE(2023,12,31),"",Z36+1),"")))))))</f>
        <v>45278</v>
      </c>
      <c r="AB36" s="568">
        <f xml:space="preserve">
IF(表紙!$X$2="事前協議",IFERROR(IF(AA36+1&gt;DATE(2023,12,31),"",AA36+1),""),
IF(表紙!$X$2="交付申請（２次）",IFERROR(IF(AA36+1&gt;DATE(2023,12,31),"",AA36+1),""),
IF(表紙!$X$2="変更申請",IFERROR(IF(AA36+1&gt;DATE(2023,12,31),"",AA36+1),""),
IF(表紙!$X$2="実績報告（１次）",IFERROR(IF(AA36+1&gt;DATE(2023,6,30),"",AA36+1),""),
IF(表紙!$X$2="実績報告（２次）",IFERROR(IF(AA36+1&gt;DATE(2023,12,31),"",AA36+1),""),
IF(表紙!$X$2="交付申請兼実績報告",IFERROR(IF(AA36+1&gt;DATE(2023,12,31),"",AA36+1),"")))))))</f>
        <v>45279</v>
      </c>
      <c r="AC36" s="568">
        <f xml:space="preserve">
IF(表紙!$X$2="事前協議",IFERROR(IF(AB36+1&gt;DATE(2023,12,31),"",AB36+1),""),
IF(表紙!$X$2="交付申請（２次）",IFERROR(IF(AB36+1&gt;DATE(2023,12,31),"",AB36+1),""),
IF(表紙!$X$2="変更申請",IFERROR(IF(AB36+1&gt;DATE(2023,12,31),"",AB36+1),""),
IF(表紙!$X$2="実績報告（１次）",IFERROR(IF(AB36+1&gt;DATE(2023,6,30),"",AB36+1),""),
IF(表紙!$X$2="実績報告（２次）",IFERROR(IF(AB36+1&gt;DATE(2023,12,31),"",AB36+1),""),
IF(表紙!$X$2="交付申請兼実績報告",IFERROR(IF(AB36+1&gt;DATE(2023,12,31),"",AB36+1),"")))))))</f>
        <v>45280</v>
      </c>
      <c r="AD36" s="568">
        <f xml:space="preserve">
IF(表紙!$X$2="事前協議",IFERROR(IF(AC36+1&gt;DATE(2023,12,31),"",AC36+1),""),
IF(表紙!$X$2="交付申請（２次）",IFERROR(IF(AC36+1&gt;DATE(2023,12,31),"",AC36+1),""),
IF(表紙!$X$2="変更申請",IFERROR(IF(AC36+1&gt;DATE(2023,12,31),"",AC36+1),""),
IF(表紙!$X$2="実績報告（１次）",IFERROR(IF(AC36+1&gt;DATE(2023,6,30),"",AC36+1),""),
IF(表紙!$X$2="実績報告（２次）",IFERROR(IF(AC36+1&gt;DATE(2023,12,31),"",AC36+1),""),
IF(表紙!$X$2="交付申請兼実績報告",IFERROR(IF(AC36+1&gt;DATE(2023,12,31),"",AC36+1),"")))))))</f>
        <v>45281</v>
      </c>
      <c r="AE36" s="568">
        <f xml:space="preserve">
IF(表紙!$X$2="事前協議",IFERROR(IF(AD36+1&gt;DATE(2023,12,31),"",AD36+1),""),
IF(表紙!$X$2="交付申請（２次）",IFERROR(IF(AD36+1&gt;DATE(2023,12,31),"",AD36+1),""),
IF(表紙!$X$2="変更申請",IFERROR(IF(AD36+1&gt;DATE(2023,12,31),"",AD36+1),""),
IF(表紙!$X$2="実績報告（１次）",IFERROR(IF(AD36+1&gt;DATE(2023,6,30),"",AD36+1),""),
IF(表紙!$X$2="実績報告（２次）",IFERROR(IF(AD36+1&gt;DATE(2023,12,31),"",AD36+1),""),
IF(表紙!$X$2="交付申請兼実績報告",IFERROR(IF(AD36+1&gt;DATE(2023,12,31),"",AD36+1),"")))))))</f>
        <v>45282</v>
      </c>
      <c r="AF36" s="568">
        <f xml:space="preserve">
IF(表紙!$X$2="事前協議",IFERROR(IF(AE36+1&gt;DATE(2023,12,31),"",AE36+1),""),
IF(表紙!$X$2="交付申請（２次）",IFERROR(IF(AE36+1&gt;DATE(2023,12,31),"",AE36+1),""),
IF(表紙!$X$2="変更申請",IFERROR(IF(AE36+1&gt;DATE(2023,12,31),"",AE36+1),""),
IF(表紙!$X$2="実績報告（１次）",IFERROR(IF(AE36+1&gt;DATE(2023,6,30),"",AE36+1),""),
IF(表紙!$X$2="実績報告（２次）",IFERROR(IF(AE36+1&gt;DATE(2023,12,31),"",AE36+1),""),
IF(表紙!$X$2="交付申請兼実績報告",IFERROR(IF(AE36+1&gt;DATE(2023,12,31),"",AE36+1),"")))))))</f>
        <v>45283</v>
      </c>
      <c r="AG36" s="568">
        <f xml:space="preserve">
IF(表紙!$X$2="事前協議",IFERROR(IF(AF36+1&gt;DATE(2023,12,31),"",AF36+1),""),
IF(表紙!$X$2="交付申請（２次）",IFERROR(IF(AF36+1&gt;DATE(2023,12,31),"",AF36+1),""),
IF(表紙!$X$2="変更申請",IFERROR(IF(AF36+1&gt;DATE(2023,12,31),"",AF36+1),""),
IF(表紙!$X$2="実績報告（１次）",IFERROR(IF(AF36+1&gt;DATE(2023,6,30),"",AF36+1),""),
IF(表紙!$X$2="実績報告（２次）",IFERROR(IF(AF36+1&gt;DATE(2023,12,31),"",AF36+1),""),
IF(表紙!$X$2="交付申請兼実績報告",IFERROR(IF(AF36+1&gt;DATE(2023,12,31),"",AF36+1),"")))))))</f>
        <v>45284</v>
      </c>
      <c r="AH36" s="568">
        <f xml:space="preserve">
IF(表紙!$X$2="事前協議",IFERROR(IF(AG36+1&gt;DATE(2023,12,31),"",AG36+1),""),
IF(表紙!$X$2="交付申請（２次）",IFERROR(IF(AG36+1&gt;DATE(2023,12,31),"",AG36+1),""),
IF(表紙!$X$2="変更申請",IFERROR(IF(AG36+1&gt;DATE(2023,12,31),"",AG36+1),""),
IF(表紙!$X$2="実績報告（１次）",IFERROR(IF(AG36+1&gt;DATE(2023,6,30),"",AG36+1),""),
IF(表紙!$X$2="実績報告（２次）",IFERROR(IF(AG36+1&gt;DATE(2023,12,31),"",AG36+1),""),
IF(表紙!$X$2="交付申請兼実績報告",IFERROR(IF(AG36+1&gt;DATE(2023,12,31),"",AG36+1),"")))))))</f>
        <v>45285</v>
      </c>
      <c r="AI36" s="568">
        <f xml:space="preserve">
IF(表紙!$X$2="事前協議",IFERROR(IF(AH36+1&gt;DATE(2023,12,31),"",AH36+1),""),
IF(表紙!$X$2="交付申請（２次）",IFERROR(IF(AH36+1&gt;DATE(2023,12,31),"",AH36+1),""),
IF(表紙!$X$2="変更申請",IFERROR(IF(AH36+1&gt;DATE(2023,12,31),"",AH36+1),""),
IF(表紙!$X$2="実績報告（１次）",IFERROR(IF(AH36+1&gt;DATE(2023,6,30),"",AH36+1),""),
IF(表紙!$X$2="実績報告（２次）",IFERROR(IF(AH36+1&gt;DATE(2023,12,31),"",AH36+1),""),
IF(表紙!$X$2="交付申請兼実績報告",IFERROR(IF(AH36+1&gt;DATE(2023,12,31),"",AH36+1),"")))))))</f>
        <v>45286</v>
      </c>
      <c r="AJ36" s="568">
        <f xml:space="preserve">
IF(表紙!$X$2="事前協議",IFERROR(IF(AI36+1&gt;DATE(2023,12,31),"",AI36+1),""),
IF(表紙!$X$2="交付申請（２次）",IFERROR(IF(AI36+1&gt;DATE(2023,12,31),"",AI36+1),""),
IF(表紙!$X$2="変更申請",IFERROR(IF(AI36+1&gt;DATE(2023,12,31),"",AI36+1),""),
IF(表紙!$X$2="実績報告（１次）",IFERROR(IF(AI36+1&gt;DATE(2023,6,30),"",AI36+1),""),
IF(表紙!$X$2="実績報告（２次）",IFERROR(IF(AI36+1&gt;DATE(2023,12,31),"",AI36+1),""),
IF(表紙!$X$2="交付申請兼実績報告",IFERROR(IF(AI36+1&gt;DATE(2023,12,31),"",AI36+1),"")))))))</f>
        <v>45287</v>
      </c>
      <c r="AK36" s="568">
        <f xml:space="preserve">
IF(表紙!$X$2="事前協議",IFERROR(IF(AJ36+1&gt;DATE(2023,12,31),"",AJ36+1),""),
IF(表紙!$X$2="交付申請（２次）",IFERROR(IF(AJ36+1&gt;DATE(2023,12,31),"",AJ36+1),""),
IF(表紙!$X$2="変更申請",IFERROR(IF(AJ36+1&gt;DATE(2023,12,31),"",AJ36+1),""),
IF(表紙!$X$2="実績報告（１次）",IFERROR(IF(AJ36+1&gt;DATE(2023,6,30),"",AJ36+1),""),
IF(表紙!$X$2="実績報告（２次）",IFERROR(IF(AJ36+1&gt;DATE(2023,12,31),"",AJ36+1),""),
IF(表紙!$X$2="交付申請兼実績報告",IFERROR(IF(AJ36+1&gt;DATE(2023,12,31),"",AJ36+1),"")))))))</f>
        <v>45288</v>
      </c>
      <c r="AL36" s="568">
        <f xml:space="preserve">
IF(表紙!$X$2="事前協議",IFERROR(IF(AK36+1&gt;DATE(2023,12,31),"",AK36+1),""),
IF(表紙!$X$2="交付申請（２次）",IFERROR(IF(AK36+1&gt;DATE(2023,12,31),"",AK36+1),""),
IF(表紙!$X$2="変更申請",IFERROR(IF(AK36+1&gt;DATE(2023,12,31),"",AK36+1),""),
IF(表紙!$X$2="実績報告（１次）",IFERROR(IF(AK36+1&gt;DATE(2023,6,30),"",AK36+1),""),
IF(表紙!$X$2="実績報告（２次）",IFERROR(IF(AK36+1&gt;DATE(2023,12,31),"",AK36+1),""),
IF(表紙!$X$2="交付申請兼実績報告",IFERROR(IF(AK36+1&gt;DATE(2023,12,31),"",AK36+1),"")))))))</f>
        <v>45289</v>
      </c>
      <c r="AM36" s="568">
        <f xml:space="preserve">
IF(表紙!$X$2="事前協議",IFERROR(IF(AL36+1&gt;DATE(2023,12,31),"",AL36+1),""),
IF(表紙!$X$2="交付申請（２次）",IFERROR(IF(AL36+1&gt;DATE(2023,12,31),"",AL36+1),""),
IF(表紙!$X$2="変更申請",IFERROR(IF(AL36+1&gt;DATE(2023,12,31),"",AL36+1),""),
IF(表紙!$X$2="実績報告（１次）",IFERROR(IF(AL36+1&gt;DATE(2023,6,30),"",AL36+1),""),
IF(表紙!$X$2="実績報告（２次）",IFERROR(IF(AL36+1&gt;DATE(2023,12,31),"",AL36+1),""),
IF(表紙!$X$2="交付申請兼実績報告",IFERROR(IF(AL36+1&gt;DATE(2023,12,31),"",AL36+1),"")))))))</f>
        <v>45290</v>
      </c>
      <c r="AN36" s="568">
        <f xml:space="preserve">
IF(表紙!$X$2="事前協議",IFERROR(IF(AM36+1&gt;DATE(2023,12,31),"",AM36+1),""),
IF(表紙!$X$2="交付申請（２次）",IFERROR(IF(AM36+1&gt;DATE(2023,12,31),"",AM36+1),""),
IF(表紙!$X$2="変更申請",IFERROR(IF(AM36+1&gt;DATE(2023,12,31),"",AM36+1),""),
IF(表紙!$X$2="実績報告（１次）",IFERROR(IF(AM36+1&gt;DATE(2023,6,30),"",AM36+1),""),
IF(表紙!$X$2="実績報告（２次）",IFERROR(IF(AM36+1&gt;DATE(2023,12,31),"",AM36+1),""),
IF(表紙!$X$2="交付申請兼実績報告",IFERROR(IF(AM36+1&gt;DATE(2023,12,31),"",AM36+1),"")))))))</f>
        <v>45291</v>
      </c>
      <c r="AO36" s="1492"/>
      <c r="AP36" s="1493"/>
      <c r="AQ36" s="1494"/>
      <c r="AR36" s="1492"/>
      <c r="AS36" s="1493"/>
      <c r="AT36" s="1494"/>
      <c r="AU36" s="1412"/>
      <c r="AV36" s="795"/>
      <c r="AW36" s="795"/>
      <c r="AX36" s="315"/>
      <c r="AY36" s="315"/>
      <c r="BA36" s="235" t="str">
        <f>TEXT(H36&amp;":"&amp;J36,"hh:mm")</f>
        <v>:45261</v>
      </c>
      <c r="BB36" s="235" t="str">
        <f>TEXT(L36&amp;":"&amp;N36,"hh:mm")</f>
        <v>45263:45265</v>
      </c>
      <c r="BC36" s="235" t="str">
        <f>TEXT(O36&amp;":"&amp;Q36,"hh:mm")</f>
        <v>45266:45268</v>
      </c>
      <c r="BD36" s="235" t="str">
        <f>TEXT(S36&amp;":"&amp;U36,"hh:mm")</f>
        <v>45270:45272</v>
      </c>
      <c r="BE36" s="235" t="str">
        <f>TEXT(V36&amp;":"&amp;X36,"hh:mm")</f>
        <v>45273:45275</v>
      </c>
      <c r="BF36" s="235" t="str">
        <f>TEXT(Z36&amp;":"&amp;AB36,"hh:mm")</f>
        <v>45277:45279</v>
      </c>
      <c r="BG36" s="795"/>
    </row>
    <row r="37" spans="1:78" ht="18" customHeight="1" thickBot="1">
      <c r="A37" s="316" t="s">
        <v>1026</v>
      </c>
      <c r="B37" s="1507"/>
      <c r="C37" s="1508"/>
      <c r="D37" s="1508"/>
      <c r="E37" s="1508"/>
      <c r="F37" s="1508"/>
      <c r="G37" s="1508"/>
      <c r="H37" s="1508"/>
      <c r="I37" s="1509"/>
      <c r="J37" s="317" t="str">
        <f>TEXT(J36,"aaa")</f>
        <v>金</v>
      </c>
      <c r="K37" s="318" t="str">
        <f>TEXT(K36,"aaa")</f>
        <v>土</v>
      </c>
      <c r="L37" s="318" t="str">
        <f t="shared" ref="L37:AN37" si="8">TEXT(L36,"aaa")</f>
        <v>日</v>
      </c>
      <c r="M37" s="318" t="str">
        <f t="shared" si="8"/>
        <v>月</v>
      </c>
      <c r="N37" s="318" t="str">
        <f t="shared" si="8"/>
        <v>火</v>
      </c>
      <c r="O37" s="318" t="str">
        <f t="shared" si="8"/>
        <v>水</v>
      </c>
      <c r="P37" s="318" t="str">
        <f t="shared" si="8"/>
        <v>木</v>
      </c>
      <c r="Q37" s="318" t="str">
        <f t="shared" si="8"/>
        <v>金</v>
      </c>
      <c r="R37" s="318" t="str">
        <f t="shared" si="8"/>
        <v>土</v>
      </c>
      <c r="S37" s="318" t="str">
        <f t="shared" si="8"/>
        <v>日</v>
      </c>
      <c r="T37" s="318" t="str">
        <f t="shared" si="8"/>
        <v>月</v>
      </c>
      <c r="U37" s="318" t="str">
        <f t="shared" si="8"/>
        <v>火</v>
      </c>
      <c r="V37" s="318" t="str">
        <f t="shared" si="8"/>
        <v>水</v>
      </c>
      <c r="W37" s="318" t="str">
        <f t="shared" si="8"/>
        <v>木</v>
      </c>
      <c r="X37" s="318" t="str">
        <f t="shared" si="8"/>
        <v>金</v>
      </c>
      <c r="Y37" s="318" t="str">
        <f t="shared" si="8"/>
        <v>土</v>
      </c>
      <c r="Z37" s="318" t="str">
        <f t="shared" si="8"/>
        <v>日</v>
      </c>
      <c r="AA37" s="318" t="str">
        <f t="shared" si="8"/>
        <v>月</v>
      </c>
      <c r="AB37" s="318" t="str">
        <f t="shared" si="8"/>
        <v>火</v>
      </c>
      <c r="AC37" s="318" t="str">
        <f t="shared" si="8"/>
        <v>水</v>
      </c>
      <c r="AD37" s="318" t="str">
        <f t="shared" si="8"/>
        <v>木</v>
      </c>
      <c r="AE37" s="318" t="str">
        <f t="shared" si="8"/>
        <v>金</v>
      </c>
      <c r="AF37" s="318" t="str">
        <f t="shared" si="8"/>
        <v>土</v>
      </c>
      <c r="AG37" s="318" t="str">
        <f t="shared" si="8"/>
        <v>日</v>
      </c>
      <c r="AH37" s="318" t="str">
        <f t="shared" si="8"/>
        <v>月</v>
      </c>
      <c r="AI37" s="318" t="str">
        <f t="shared" si="8"/>
        <v>火</v>
      </c>
      <c r="AJ37" s="318" t="str">
        <f t="shared" si="8"/>
        <v>水</v>
      </c>
      <c r="AK37" s="318" t="str">
        <f t="shared" si="8"/>
        <v>木</v>
      </c>
      <c r="AL37" s="318" t="str">
        <f t="shared" si="8"/>
        <v>金</v>
      </c>
      <c r="AM37" s="318" t="str">
        <f t="shared" si="8"/>
        <v>土</v>
      </c>
      <c r="AN37" s="318" t="str">
        <f t="shared" si="8"/>
        <v>日</v>
      </c>
      <c r="AO37" s="1480" t="str">
        <f xml:space="preserve">
IF(AU39="×","×",
IF(表紙!$X$2="事前協議",COUNTIF(J39:AN39,"&gt;0"),
IF(表紙!$X$2="交付申請（２次）",COUNTIF(J39:AN39,"&gt;0"),
IF(表紙!$X$2="変更申請",COUNTIF(J39:AN39,"&gt;0"),
IF(表紙!$X$2="実績報告（１次）",COUNTIF(J39:AM39,"&gt;0"),
IF(表紙!$X$2="実績報告（２次）",COUNTIF(J39:AN39,"&gt;0"),
IF(表紙!$X$2="交付申請兼実績報告",COUNTIF(J39:AN39,"&gt;0"))))))))</f>
        <v>×</v>
      </c>
      <c r="AP37" s="1481"/>
      <c r="AQ37" s="1482"/>
      <c r="AR37" s="1480" t="s">
        <v>1050</v>
      </c>
      <c r="AS37" s="1481"/>
      <c r="AT37" s="1482"/>
      <c r="AU37" s="1412"/>
      <c r="AV37" s="795"/>
      <c r="AW37" s="795"/>
      <c r="AX37" s="315"/>
      <c r="AY37" s="315"/>
      <c r="BA37" s="235" t="str">
        <f>TEXT(H37&amp;":"&amp;J37,"hh:mm")</f>
        <v>:金</v>
      </c>
      <c r="BB37" s="235" t="str">
        <f>TEXT(L37&amp;":"&amp;N37,"hh:mm")</f>
        <v>日:火</v>
      </c>
      <c r="BC37" s="235" t="str">
        <f>TEXT(O37&amp;":"&amp;Q37,"hh:mm")</f>
        <v>水:金</v>
      </c>
      <c r="BD37" s="235" t="str">
        <f>TEXT(S37&amp;":"&amp;U37,"hh:mm")</f>
        <v>日:火</v>
      </c>
      <c r="BE37" s="235" t="str">
        <f>TEXT(V37&amp;":"&amp;X37,"hh:mm")</f>
        <v>水:金</v>
      </c>
      <c r="BF37" s="235" t="str">
        <f>TEXT(Z37&amp;":"&amp;AB37,"hh:mm")</f>
        <v>日:火</v>
      </c>
      <c r="BG37" s="222"/>
    </row>
    <row r="38" spans="1:78" ht="18" customHeight="1" thickTop="1" thickBot="1">
      <c r="A38" s="316"/>
      <c r="B38" s="1408" t="s">
        <v>1458</v>
      </c>
      <c r="C38" s="1409"/>
      <c r="D38" s="1409"/>
      <c r="E38" s="1409"/>
      <c r="F38" s="1409"/>
      <c r="G38" s="1409"/>
      <c r="H38" s="1409"/>
      <c r="I38" s="1410"/>
      <c r="J38" s="728">
        <v>0</v>
      </c>
      <c r="K38" s="729">
        <v>0</v>
      </c>
      <c r="L38" s="729">
        <v>0</v>
      </c>
      <c r="M38" s="729">
        <v>0</v>
      </c>
      <c r="N38" s="729">
        <v>0</v>
      </c>
      <c r="O38" s="729">
        <v>0</v>
      </c>
      <c r="P38" s="729">
        <v>0</v>
      </c>
      <c r="Q38" s="729">
        <v>0</v>
      </c>
      <c r="R38" s="729">
        <v>0</v>
      </c>
      <c r="S38" s="729">
        <v>0</v>
      </c>
      <c r="T38" s="729">
        <v>0</v>
      </c>
      <c r="U38" s="729">
        <v>0</v>
      </c>
      <c r="V38" s="729">
        <v>0</v>
      </c>
      <c r="W38" s="729">
        <v>0</v>
      </c>
      <c r="X38" s="729">
        <v>0</v>
      </c>
      <c r="Y38" s="729">
        <v>0</v>
      </c>
      <c r="Z38" s="729">
        <v>0</v>
      </c>
      <c r="AA38" s="729">
        <v>0</v>
      </c>
      <c r="AB38" s="729">
        <v>0</v>
      </c>
      <c r="AC38" s="729">
        <v>0</v>
      </c>
      <c r="AD38" s="729">
        <v>0</v>
      </c>
      <c r="AE38" s="729">
        <v>0</v>
      </c>
      <c r="AF38" s="729">
        <v>0</v>
      </c>
      <c r="AG38" s="729">
        <v>0</v>
      </c>
      <c r="AH38" s="729">
        <v>0</v>
      </c>
      <c r="AI38" s="729">
        <v>0</v>
      </c>
      <c r="AJ38" s="729">
        <v>0</v>
      </c>
      <c r="AK38" s="729">
        <v>0</v>
      </c>
      <c r="AL38" s="729">
        <v>0</v>
      </c>
      <c r="AM38" s="729">
        <v>0</v>
      </c>
      <c r="AN38" s="735">
        <v>0</v>
      </c>
      <c r="AO38" s="1414">
        <f xml:space="preserve">
COUNTIF(J38:AN38,1)</f>
        <v>0</v>
      </c>
      <c r="AP38" s="1415"/>
      <c r="AQ38" s="1416"/>
      <c r="AR38" s="731"/>
      <c r="AS38" s="732"/>
      <c r="AT38" s="733"/>
      <c r="AU38" s="1413"/>
      <c r="AV38" s="795"/>
      <c r="AW38" s="795"/>
      <c r="AX38" s="315"/>
      <c r="AY38" s="315"/>
      <c r="BA38" s="235"/>
      <c r="BB38" s="235"/>
      <c r="BC38" s="235"/>
      <c r="BD38" s="235"/>
      <c r="BE38" s="235"/>
      <c r="BF38" s="235"/>
      <c r="BG38" s="222"/>
    </row>
    <row r="39" spans="1:78" ht="18" customHeight="1" thickTop="1">
      <c r="A39" s="316" t="s">
        <v>1029</v>
      </c>
      <c r="B39" s="1512" t="s">
        <v>1150</v>
      </c>
      <c r="C39" s="1513"/>
      <c r="D39" s="1513"/>
      <c r="E39" s="1513"/>
      <c r="F39" s="1513"/>
      <c r="G39" s="1513"/>
      <c r="H39" s="1513"/>
      <c r="I39" s="1514"/>
      <c r="J39" s="304"/>
      <c r="K39" s="305"/>
      <c r="L39" s="305"/>
      <c r="M39" s="305"/>
      <c r="N39" s="305"/>
      <c r="O39" s="305"/>
      <c r="P39" s="305"/>
      <c r="Q39" s="305"/>
      <c r="R39" s="305"/>
      <c r="S39" s="305"/>
      <c r="T39" s="305"/>
      <c r="U39" s="305"/>
      <c r="V39" s="305"/>
      <c r="W39" s="305"/>
      <c r="X39" s="305"/>
      <c r="Y39" s="305"/>
      <c r="Z39" s="305"/>
      <c r="AA39" s="305"/>
      <c r="AB39" s="305"/>
      <c r="AC39" s="305"/>
      <c r="AD39" s="305"/>
      <c r="AE39" s="305"/>
      <c r="AF39" s="305"/>
      <c r="AG39" s="305"/>
      <c r="AH39" s="305"/>
      <c r="AI39" s="305"/>
      <c r="AJ39" s="305"/>
      <c r="AK39" s="305"/>
      <c r="AL39" s="305"/>
      <c r="AM39" s="306"/>
      <c r="AN39" s="305"/>
      <c r="AO39" s="1515" t="str">
        <f xml:space="preserve">
IF(AU39="×","×",
IF(表紙!$X$2="事前協議",SUM(J39:AN39),
IF(表紙!$X$2="交付申請（２次）",SUM(J39:AN39),
IF(表紙!$X$2="変更申請",SUM(J39:AN39),
IF(表紙!$X$2="実績報告（１次）",SUM(J39:AM39),
IF(表紙!$X$2="実績報告（２次）",SUM(J39:AN39),
IF(表紙!$X$2="交付申請兼実績報告",SUM(J39:AN39))))))))</f>
        <v>×</v>
      </c>
      <c r="AP39" s="1516"/>
      <c r="AQ39" s="1517"/>
      <c r="AR39" s="1496" t="str">
        <f>IF(AU39="○",ROUNDDOWN(AO39/AO37,1),"×")</f>
        <v>×</v>
      </c>
      <c r="AS39" s="1497"/>
      <c r="AT39" s="1498"/>
      <c r="AU39" s="1510" t="str">
        <f xml:space="preserve">
IF(AND(表紙!$X$2="実績報告（１次）",
OR(COUNTA(J39:AM40)&lt;&gt;60,J40&gt;J39,K40&gt;K39,L40&gt;L39,M40&gt;M39,N40&gt;N39,O40&gt;O39,P40&gt;P39,Q40&gt;Q39,R40&gt;R39,S40&gt;S39,T40&gt;T39,U40&gt;U39,V40&gt;V39,W40&gt;W39,X40&gt;X39,Y40&gt;Y39,Z40&gt;Z39,AA40&gt;AA39,AB40&gt;AB39,AC40&gt;AC39,AD40&gt;AD39,AE40&gt;AE39,AF40&gt;AF39,AG40&gt;AG39,AH40&gt;AH39,AI40&gt;AI39,AJ40&gt;AJ39,AK40&gt;AK39,AL40&gt;AL39,AM40&gt;AM39)),"×",
IF(AND(OR(表紙!$X$2="実績報告（２次）",表紙!$X$2="交付申請兼実績報告"),
OR(COUNTA(J39:AN40)&lt;&gt;62,J40&gt;J39,K40&gt;K39,L40&gt;L39,M40&gt;M39,N40&gt;N39,O40&gt;O39,P40&gt;P39,Q40&gt;Q39,R40&gt;R39,S40&gt;S39,T40&gt;T39,U40&gt;U39,V40&gt;V39,W40&gt;W39,X40&gt;X39,Y40&gt;Y39,Z40&gt;Z39,AA40&gt;AA39,AB40&gt;AB39,AC40&gt;AC39,AD40&gt;AD39,AE40&gt;AE39,AF40&gt;AF39,AG40&gt;AG39,AH40&gt;AH39,AI40&gt;AI39,AJ40&gt;AJ39,AK40&gt;AK39,AL40&gt;AL39,AM40&gt;AM39,AN40&gt;AN39)),"×","○"))</f>
        <v>×</v>
      </c>
      <c r="AV39" s="795"/>
      <c r="AW39" s="795"/>
      <c r="AX39" s="315"/>
      <c r="AY39" s="315"/>
      <c r="BA39" s="235" t="e">
        <f>TEXT(#REF!&amp;":"&amp;#REF!,"hh:mm")</f>
        <v>#REF!</v>
      </c>
      <c r="BB39" s="235" t="e">
        <f>TEXT(#REF!&amp;":"&amp;#REF!,"hh:mm")</f>
        <v>#REF!</v>
      </c>
      <c r="BC39" s="235" t="e">
        <f>TEXT(#REF!&amp;":"&amp;#REF!,"hh:mm")</f>
        <v>#REF!</v>
      </c>
      <c r="BD39" s="235" t="e">
        <f>TEXT(#REF!&amp;":"&amp;#REF!,"hh:mm")</f>
        <v>#REF!</v>
      </c>
      <c r="BE39" s="235" t="e">
        <f>TEXT(#REF!&amp;":"&amp;#REF!,"hh:mm")</f>
        <v>#REF!</v>
      </c>
      <c r="BF39" s="235" t="e">
        <f>TEXT(#REF!&amp;":"&amp;#REF!,"hh:mm")</f>
        <v>#REF!</v>
      </c>
      <c r="BG39" s="222"/>
    </row>
    <row r="40" spans="1:78" ht="18" customHeight="1" thickBot="1">
      <c r="A40" s="316" t="s">
        <v>1031</v>
      </c>
      <c r="B40" s="1420" t="s">
        <v>1052</v>
      </c>
      <c r="C40" s="1421"/>
      <c r="D40" s="1421"/>
      <c r="E40" s="1421"/>
      <c r="F40" s="1421"/>
      <c r="G40" s="1421"/>
      <c r="H40" s="1421"/>
      <c r="I40" s="1422"/>
      <c r="J40" s="736"/>
      <c r="K40" s="737"/>
      <c r="L40" s="737"/>
      <c r="M40" s="737"/>
      <c r="N40" s="737"/>
      <c r="O40" s="737"/>
      <c r="P40" s="737"/>
      <c r="Q40" s="737"/>
      <c r="R40" s="737"/>
      <c r="S40" s="737"/>
      <c r="T40" s="737"/>
      <c r="U40" s="737"/>
      <c r="V40" s="737"/>
      <c r="W40" s="737"/>
      <c r="X40" s="737"/>
      <c r="Y40" s="737"/>
      <c r="Z40" s="737"/>
      <c r="AA40" s="737"/>
      <c r="AB40" s="737"/>
      <c r="AC40" s="737"/>
      <c r="AD40" s="737"/>
      <c r="AE40" s="737"/>
      <c r="AF40" s="737"/>
      <c r="AG40" s="737"/>
      <c r="AH40" s="737"/>
      <c r="AI40" s="737"/>
      <c r="AJ40" s="737"/>
      <c r="AK40" s="737"/>
      <c r="AL40" s="737"/>
      <c r="AM40" s="738"/>
      <c r="AN40" s="738"/>
      <c r="AO40" s="1423" t="str">
        <f xml:space="preserve">
IF(AU39="×","×",
IF(表紙!$X$2="事前協議",SUM(J40:AN40),
IF(表紙!$X$2="交付申請（２次）",SUM(J40:AN40),
IF(表紙!$X$2="変更申請",SUM(J40:AN40),
IF(表紙!$X$2="実績報告（１次）",SUM(J40:AM40),
IF(表紙!$X$2="実績報告（２次）",SUM(J40:AN40),
IF(表紙!$X$2="交付申請兼実績報告",SUM(J40:AN40))))))))</f>
        <v>×</v>
      </c>
      <c r="AP40" s="1424"/>
      <c r="AQ40" s="1425"/>
      <c r="AR40" s="1417" t="str">
        <f>IF(AU39="○",ROUNDDOWN(AO40/AO37,1),"×")</f>
        <v>×</v>
      </c>
      <c r="AS40" s="1418"/>
      <c r="AT40" s="1419"/>
      <c r="AU40" s="1511"/>
      <c r="AV40" s="795"/>
      <c r="AW40" s="795"/>
      <c r="AX40" s="319"/>
      <c r="AY40" s="315"/>
      <c r="BA40" s="235" t="str">
        <f>TEXT(H39&amp;":"&amp;J39,"hh:mm")</f>
        <v>:</v>
      </c>
      <c r="BB40" s="235" t="str">
        <f>TEXT(L39&amp;":"&amp;N39,"hh:mm")</f>
        <v>:</v>
      </c>
      <c r="BC40" s="235" t="str">
        <f>TEXT(O39&amp;":"&amp;Q39,"hh:mm")</f>
        <v>:</v>
      </c>
      <c r="BD40" s="235" t="str">
        <f>TEXT(S39&amp;":"&amp;U39,"hh:mm")</f>
        <v>:</v>
      </c>
      <c r="BE40" s="235" t="str">
        <f>TEXT(V39&amp;":"&amp;X39,"hh:mm")</f>
        <v>:</v>
      </c>
      <c r="BF40" s="235" t="str">
        <f>TEXT(Z39&amp;":"&amp;AB39,"hh:mm")</f>
        <v>:</v>
      </c>
      <c r="BG40" s="222"/>
    </row>
    <row r="41" spans="1:78" ht="18.75" thickBot="1">
      <c r="BZ41" s="237"/>
    </row>
    <row r="42" spans="1:78" ht="18" customHeight="1" thickTop="1">
      <c r="B42" s="1489" t="s">
        <v>1189</v>
      </c>
      <c r="C42" s="1490"/>
      <c r="D42" s="1490"/>
      <c r="E42" s="1490"/>
      <c r="F42" s="1490"/>
      <c r="G42" s="1490"/>
      <c r="H42" s="1490"/>
      <c r="I42" s="1491"/>
      <c r="J42" s="1426">
        <f>V16</f>
        <v>1</v>
      </c>
      <c r="K42" s="1427"/>
      <c r="L42" s="1427"/>
      <c r="M42" s="1427"/>
      <c r="N42" s="1427"/>
      <c r="O42" s="1427"/>
      <c r="P42" s="1427"/>
      <c r="Q42" s="1427"/>
      <c r="R42" s="1427"/>
      <c r="S42" s="1427"/>
      <c r="T42" s="1427"/>
      <c r="U42" s="1427"/>
      <c r="V42" s="1427"/>
      <c r="W42" s="1427"/>
      <c r="X42" s="1427"/>
      <c r="Y42" s="1427"/>
      <c r="Z42" s="1427"/>
      <c r="AA42" s="1427"/>
      <c r="AB42" s="1427"/>
      <c r="AC42" s="1427"/>
      <c r="AD42" s="1427"/>
      <c r="AE42" s="1427"/>
      <c r="AF42" s="1427"/>
      <c r="AG42" s="1427"/>
      <c r="AH42" s="1427"/>
      <c r="AI42" s="1427"/>
      <c r="AJ42" s="1427"/>
      <c r="AK42" s="1427"/>
      <c r="AL42" s="1427"/>
      <c r="AM42" s="1427"/>
      <c r="AN42" s="1429"/>
      <c r="AO42" s="1489" t="s">
        <v>1193</v>
      </c>
      <c r="AP42" s="1490"/>
      <c r="AQ42" s="1491"/>
      <c r="AR42" s="1489" t="s">
        <v>1194</v>
      </c>
      <c r="AS42" s="1490"/>
      <c r="AT42" s="1491"/>
      <c r="AU42" s="1411" t="s">
        <v>98</v>
      </c>
      <c r="AV42" s="795"/>
      <c r="AW42" s="795"/>
      <c r="AX42" s="312"/>
      <c r="AY42" s="313"/>
      <c r="AZ42" s="795"/>
      <c r="BB42" s="222"/>
      <c r="BC42" s="230"/>
      <c r="BD42" s="795"/>
      <c r="BE42" s="795"/>
      <c r="BG42" s="795"/>
    </row>
    <row r="43" spans="1:78" ht="18" customHeight="1">
      <c r="A43" s="314" t="s">
        <v>1024</v>
      </c>
      <c r="B43" s="1492"/>
      <c r="C43" s="1506"/>
      <c r="D43" s="1506"/>
      <c r="E43" s="1506"/>
      <c r="F43" s="1506"/>
      <c r="G43" s="1506"/>
      <c r="H43" s="1506"/>
      <c r="I43" s="1494"/>
      <c r="J43" s="567">
        <f xml:space="preserve">
IF(表紙!$X$2="事前協議",DATE(2024,J42,1),
IF(表紙!$X$2="交付申請（２次）",DATE(2024,J42,1),
IF(表紙!$X$2="変更申請",DATE(2024,J42,1),
IF(表紙!$X$2="実績報告（１次）",DATE(2023,J42,1),
IF(表紙!$X$2="実績報告（２次）",DATE(2024,J42,1),
IF(表紙!$X$2="交付申請兼実績報告",DATE(2024,J42,1)))))))</f>
        <v>45292</v>
      </c>
      <c r="K43" s="568">
        <f xml:space="preserve">
IF(表紙!$X$2="事前協議",IFERROR(IF(J43+1&gt;DATE(2024,1,31),"",J43+1),""),
IF(表紙!$X$2="交付申請（２次）",IFERROR(IF(J43+1&gt;DATE(2024,1,31),"",J43+1),""),
IF(表紙!$X$2="変更申請",IFERROR(IF(J43+1&gt;DATE(2024,1,31),"",J43+1),""),
IF(表紙!$X$2="実績報告（１次）",IFERROR(IF(J43+1&gt;DATE(2023,7,31),"",J43+1),""),
IF(表紙!$X$2="実績報告（２次）",IFERROR(IF(J43+1&gt;DATE(2024,1,31),"",J43+1),""),
IF(表紙!$X$2="交付申請兼実績報告",IFERROR(IF(J43+1&gt;DATE(2024,1,31),"",J43+1),"")))))))</f>
        <v>45293</v>
      </c>
      <c r="L43" s="568">
        <f xml:space="preserve">
IF(表紙!$X$2="事前協議",IFERROR(IF(K43+1&gt;DATE(2024,1,31),"",K43+1),""),
IF(表紙!$X$2="交付申請（２次）",IFERROR(IF(K43+1&gt;DATE(2024,1,31),"",K43+1),""),
IF(表紙!$X$2="変更申請",IFERROR(IF(K43+1&gt;DATE(2024,1,31),"",K43+1),""),
IF(表紙!$X$2="実績報告（１次）",IFERROR(IF(K43+1&gt;DATE(2023,7,31),"",K43+1),""),
IF(表紙!$X$2="実績報告（２次）",IFERROR(IF(K43+1&gt;DATE(2024,1,31),"",K43+1),""),
IF(表紙!$X$2="交付申請兼実績報告",IFERROR(IF(K43+1&gt;DATE(2024,1,31),"",K43+1),"")))))))</f>
        <v>45294</v>
      </c>
      <c r="M43" s="568">
        <f xml:space="preserve">
IF(表紙!$X$2="事前協議",IFERROR(IF(L43+1&gt;DATE(2024,1,31),"",L43+1),""),
IF(表紙!$X$2="交付申請（２次）",IFERROR(IF(L43+1&gt;DATE(2024,1,31),"",L43+1),""),
IF(表紙!$X$2="変更申請",IFERROR(IF(L43+1&gt;DATE(2024,1,31),"",L43+1),""),
IF(表紙!$X$2="実績報告（１次）",IFERROR(IF(L43+1&gt;DATE(2023,7,31),"",L43+1),""),
IF(表紙!$X$2="実績報告（２次）",IFERROR(IF(L43+1&gt;DATE(2024,1,31),"",L43+1),""),
IF(表紙!$X$2="交付申請兼実績報告",IFERROR(IF(L43+1&gt;DATE(2024,1,31),"",L43+1),"")))))))</f>
        <v>45295</v>
      </c>
      <c r="N43" s="568">
        <f xml:space="preserve">
IF(表紙!$X$2="事前協議",IFERROR(IF(M43+1&gt;DATE(2024,1,31),"",M43+1),""),
IF(表紙!$X$2="交付申請（２次）",IFERROR(IF(M43+1&gt;DATE(2024,1,31),"",M43+1),""),
IF(表紙!$X$2="変更申請",IFERROR(IF(M43+1&gt;DATE(2024,1,31),"",M43+1),""),
IF(表紙!$X$2="実績報告（１次）",IFERROR(IF(M43+1&gt;DATE(2023,7,31),"",M43+1),""),
IF(表紙!$X$2="実績報告（２次）",IFERROR(IF(M43+1&gt;DATE(2024,1,31),"",M43+1),""),
IF(表紙!$X$2="交付申請兼実績報告",IFERROR(IF(M43+1&gt;DATE(2024,1,31),"",M43+1),"")))))))</f>
        <v>45296</v>
      </c>
      <c r="O43" s="568">
        <f xml:space="preserve">
IF(表紙!$X$2="事前協議",IFERROR(IF(N43+1&gt;DATE(2024,1,31),"",N43+1),""),
IF(表紙!$X$2="交付申請（２次）",IFERROR(IF(N43+1&gt;DATE(2024,1,31),"",N43+1),""),
IF(表紙!$X$2="変更申請",IFERROR(IF(N43+1&gt;DATE(2024,1,31),"",N43+1),""),
IF(表紙!$X$2="実績報告（１次）",IFERROR(IF(N43+1&gt;DATE(2023,7,31),"",N43+1),""),
IF(表紙!$X$2="実績報告（２次）",IFERROR(IF(N43+1&gt;DATE(2024,1,31),"",N43+1),""),
IF(表紙!$X$2="交付申請兼実績報告",IFERROR(IF(N43+1&gt;DATE(2024,1,31),"",N43+1),"")))))))</f>
        <v>45297</v>
      </c>
      <c r="P43" s="568">
        <f xml:space="preserve">
IF(表紙!$X$2="事前協議",IFERROR(IF(O43+1&gt;DATE(2024,1,31),"",O43+1),""),
IF(表紙!$X$2="交付申請（２次）",IFERROR(IF(O43+1&gt;DATE(2024,1,31),"",O43+1),""),
IF(表紙!$X$2="変更申請",IFERROR(IF(O43+1&gt;DATE(2024,1,31),"",O43+1),""),
IF(表紙!$X$2="実績報告（１次）",IFERROR(IF(O43+1&gt;DATE(2023,7,31),"",O43+1),""),
IF(表紙!$X$2="実績報告（２次）",IFERROR(IF(O43+1&gt;DATE(2024,1,31),"",O43+1),""),
IF(表紙!$X$2="交付申請兼実績報告",IFERROR(IF(O43+1&gt;DATE(2024,1,31),"",O43+1),"")))))))</f>
        <v>45298</v>
      </c>
      <c r="Q43" s="568">
        <f xml:space="preserve">
IF(表紙!$X$2="事前協議",IFERROR(IF(P43+1&gt;DATE(2024,1,31),"",P43+1),""),
IF(表紙!$X$2="交付申請（２次）",IFERROR(IF(P43+1&gt;DATE(2024,1,31),"",P43+1),""),
IF(表紙!$X$2="変更申請",IFERROR(IF(P43+1&gt;DATE(2024,1,31),"",P43+1),""),
IF(表紙!$X$2="実績報告（１次）",IFERROR(IF(P43+1&gt;DATE(2023,7,31),"",P43+1),""),
IF(表紙!$X$2="実績報告（２次）",IFERROR(IF(P43+1&gt;DATE(2024,1,31),"",P43+1),""),
IF(表紙!$X$2="交付申請兼実績報告",IFERROR(IF(P43+1&gt;DATE(2024,1,31),"",P43+1),"")))))))</f>
        <v>45299</v>
      </c>
      <c r="R43" s="568">
        <f xml:space="preserve">
IF(表紙!$X$2="事前協議",IFERROR(IF(Q43+1&gt;DATE(2024,1,31),"",Q43+1),""),
IF(表紙!$X$2="交付申請（２次）",IFERROR(IF(Q43+1&gt;DATE(2024,1,31),"",Q43+1),""),
IF(表紙!$X$2="変更申請",IFERROR(IF(Q43+1&gt;DATE(2024,1,31),"",Q43+1),""),
IF(表紙!$X$2="実績報告（１次）",IFERROR(IF(Q43+1&gt;DATE(2023,7,31),"",Q43+1),""),
IF(表紙!$X$2="実績報告（２次）",IFERROR(IF(Q43+1&gt;DATE(2024,1,31),"",Q43+1),""),
IF(表紙!$X$2="交付申請兼実績報告",IFERROR(IF(Q43+1&gt;DATE(2024,1,31),"",Q43+1),"")))))))</f>
        <v>45300</v>
      </c>
      <c r="S43" s="568">
        <f xml:space="preserve">
IF(表紙!$X$2="事前協議",IFERROR(IF(R43+1&gt;DATE(2024,1,31),"",R43+1),""),
IF(表紙!$X$2="交付申請（２次）",IFERROR(IF(R43+1&gt;DATE(2024,1,31),"",R43+1),""),
IF(表紙!$X$2="変更申請",IFERROR(IF(R43+1&gt;DATE(2024,1,31),"",R43+1),""),
IF(表紙!$X$2="実績報告（１次）",IFERROR(IF(R43+1&gt;DATE(2023,7,31),"",R43+1),""),
IF(表紙!$X$2="実績報告（２次）",IFERROR(IF(R43+1&gt;DATE(2024,1,31),"",R43+1),""),
IF(表紙!$X$2="交付申請兼実績報告",IFERROR(IF(R43+1&gt;DATE(2024,1,31),"",R43+1),"")))))))</f>
        <v>45301</v>
      </c>
      <c r="T43" s="568">
        <f xml:space="preserve">
IF(表紙!$X$2="事前協議",IFERROR(IF(S43+1&gt;DATE(2024,1,31),"",S43+1),""),
IF(表紙!$X$2="交付申請（２次）",IFERROR(IF(S43+1&gt;DATE(2024,1,31),"",S43+1),""),
IF(表紙!$X$2="変更申請",IFERROR(IF(S43+1&gt;DATE(2024,1,31),"",S43+1),""),
IF(表紙!$X$2="実績報告（１次）",IFERROR(IF(S43+1&gt;DATE(2023,7,31),"",S43+1),""),
IF(表紙!$X$2="実績報告（２次）",IFERROR(IF(S43+1&gt;DATE(2024,1,31),"",S43+1),""),
IF(表紙!$X$2="交付申請兼実績報告",IFERROR(IF(S43+1&gt;DATE(2024,1,31),"",S43+1),"")))))))</f>
        <v>45302</v>
      </c>
      <c r="U43" s="568">
        <f xml:space="preserve">
IF(表紙!$X$2="事前協議",IFERROR(IF(T43+1&gt;DATE(2024,1,31),"",T43+1),""),
IF(表紙!$X$2="交付申請（２次）",IFERROR(IF(T43+1&gt;DATE(2024,1,31),"",T43+1),""),
IF(表紙!$X$2="変更申請",IFERROR(IF(T43+1&gt;DATE(2024,1,31),"",T43+1),""),
IF(表紙!$X$2="実績報告（１次）",IFERROR(IF(T43+1&gt;DATE(2023,7,31),"",T43+1),""),
IF(表紙!$X$2="実績報告（２次）",IFERROR(IF(T43+1&gt;DATE(2024,1,31),"",T43+1),""),
IF(表紙!$X$2="交付申請兼実績報告",IFERROR(IF(T43+1&gt;DATE(2024,1,31),"",T43+1),"")))))))</f>
        <v>45303</v>
      </c>
      <c r="V43" s="568">
        <f xml:space="preserve">
IF(表紙!$X$2="事前協議",IFERROR(IF(U43+1&gt;DATE(2024,1,31),"",U43+1),""),
IF(表紙!$X$2="交付申請（２次）",IFERROR(IF(U43+1&gt;DATE(2024,1,31),"",U43+1),""),
IF(表紙!$X$2="変更申請",IFERROR(IF(U43+1&gt;DATE(2024,1,31),"",U43+1),""),
IF(表紙!$X$2="実績報告（１次）",IFERROR(IF(U43+1&gt;DATE(2023,7,31),"",U43+1),""),
IF(表紙!$X$2="実績報告（２次）",IFERROR(IF(U43+1&gt;DATE(2024,1,31),"",U43+1),""),
IF(表紙!$X$2="交付申請兼実績報告",IFERROR(IF(U43+1&gt;DATE(2024,1,31),"",U43+1),"")))))))</f>
        <v>45304</v>
      </c>
      <c r="W43" s="568">
        <f xml:space="preserve">
IF(表紙!$X$2="事前協議",IFERROR(IF(V43+1&gt;DATE(2024,1,31),"",V43+1),""),
IF(表紙!$X$2="交付申請（２次）",IFERROR(IF(V43+1&gt;DATE(2024,1,31),"",V43+1),""),
IF(表紙!$X$2="変更申請",IFERROR(IF(V43+1&gt;DATE(2024,1,31),"",V43+1),""),
IF(表紙!$X$2="実績報告（１次）",IFERROR(IF(V43+1&gt;DATE(2023,7,31),"",V43+1),""),
IF(表紙!$X$2="実績報告（２次）",IFERROR(IF(V43+1&gt;DATE(2024,1,31),"",V43+1),""),
IF(表紙!$X$2="交付申請兼実績報告",IFERROR(IF(V43+1&gt;DATE(2024,1,31),"",V43+1),"")))))))</f>
        <v>45305</v>
      </c>
      <c r="X43" s="568">
        <f xml:space="preserve">
IF(表紙!$X$2="事前協議",IFERROR(IF(W43+1&gt;DATE(2024,1,31),"",W43+1),""),
IF(表紙!$X$2="交付申請（２次）",IFERROR(IF(W43+1&gt;DATE(2024,1,31),"",W43+1),""),
IF(表紙!$X$2="変更申請",IFERROR(IF(W43+1&gt;DATE(2024,1,31),"",W43+1),""),
IF(表紙!$X$2="実績報告（１次）",IFERROR(IF(W43+1&gt;DATE(2023,7,31),"",W43+1),""),
IF(表紙!$X$2="実績報告（２次）",IFERROR(IF(W43+1&gt;DATE(2024,1,31),"",W43+1),""),
IF(表紙!$X$2="交付申請兼実績報告",IFERROR(IF(W43+1&gt;DATE(2024,1,31),"",W43+1),"")))))))</f>
        <v>45306</v>
      </c>
      <c r="Y43" s="568">
        <f xml:space="preserve">
IF(表紙!$X$2="事前協議",IFERROR(IF(X43+1&gt;DATE(2024,1,31),"",X43+1),""),
IF(表紙!$X$2="交付申請（２次）",IFERROR(IF(X43+1&gt;DATE(2024,1,31),"",X43+1),""),
IF(表紙!$X$2="変更申請",IFERROR(IF(X43+1&gt;DATE(2024,1,31),"",X43+1),""),
IF(表紙!$X$2="実績報告（１次）",IFERROR(IF(X43+1&gt;DATE(2023,7,31),"",X43+1),""),
IF(表紙!$X$2="実績報告（２次）",IFERROR(IF(X43+1&gt;DATE(2024,1,31),"",X43+1),""),
IF(表紙!$X$2="交付申請兼実績報告",IFERROR(IF(X43+1&gt;DATE(2024,1,31),"",X43+1),"")))))))</f>
        <v>45307</v>
      </c>
      <c r="Z43" s="568">
        <f xml:space="preserve">
IF(表紙!$X$2="事前協議",IFERROR(IF(Y43+1&gt;DATE(2024,1,31),"",Y43+1),""),
IF(表紙!$X$2="交付申請（２次）",IFERROR(IF(Y43+1&gt;DATE(2024,1,31),"",Y43+1),""),
IF(表紙!$X$2="変更申請",IFERROR(IF(Y43+1&gt;DATE(2024,1,31),"",Y43+1),""),
IF(表紙!$X$2="実績報告（１次）",IFERROR(IF(Y43+1&gt;DATE(2023,7,31),"",Y43+1),""),
IF(表紙!$X$2="実績報告（２次）",IFERROR(IF(Y43+1&gt;DATE(2024,1,31),"",Y43+1),""),
IF(表紙!$X$2="交付申請兼実績報告",IFERROR(IF(Y43+1&gt;DATE(2024,1,31),"",Y43+1),"")))))))</f>
        <v>45308</v>
      </c>
      <c r="AA43" s="568">
        <f xml:space="preserve">
IF(表紙!$X$2="事前協議",IFERROR(IF(Z43+1&gt;DATE(2024,1,31),"",Z43+1),""),
IF(表紙!$X$2="交付申請（２次）",IFERROR(IF(Z43+1&gt;DATE(2024,1,31),"",Z43+1),""),
IF(表紙!$X$2="変更申請",IFERROR(IF(Z43+1&gt;DATE(2024,1,31),"",Z43+1),""),
IF(表紙!$X$2="実績報告（１次）",IFERROR(IF(Z43+1&gt;DATE(2023,7,31),"",Z43+1),""),
IF(表紙!$X$2="実績報告（２次）",IFERROR(IF(Z43+1&gt;DATE(2024,1,31),"",Z43+1),""),
IF(表紙!$X$2="交付申請兼実績報告",IFERROR(IF(Z43+1&gt;DATE(2024,1,31),"",Z43+1),"")))))))</f>
        <v>45309</v>
      </c>
      <c r="AB43" s="568">
        <f xml:space="preserve">
IF(表紙!$X$2="事前協議",IFERROR(IF(AA43+1&gt;DATE(2024,1,31),"",AA43+1),""),
IF(表紙!$X$2="交付申請（２次）",IFERROR(IF(AA43+1&gt;DATE(2024,1,31),"",AA43+1),""),
IF(表紙!$X$2="変更申請",IFERROR(IF(AA43+1&gt;DATE(2024,1,31),"",AA43+1),""),
IF(表紙!$X$2="実績報告（１次）",IFERROR(IF(AA43+1&gt;DATE(2023,7,31),"",AA43+1),""),
IF(表紙!$X$2="実績報告（２次）",IFERROR(IF(AA43+1&gt;DATE(2024,1,31),"",AA43+1),""),
IF(表紙!$X$2="交付申請兼実績報告",IFERROR(IF(AA43+1&gt;DATE(2024,1,31),"",AA43+1),"")))))))</f>
        <v>45310</v>
      </c>
      <c r="AC43" s="568">
        <f xml:space="preserve">
IF(表紙!$X$2="事前協議",IFERROR(IF(AB43+1&gt;DATE(2024,1,31),"",AB43+1),""),
IF(表紙!$X$2="交付申請（２次）",IFERROR(IF(AB43+1&gt;DATE(2024,1,31),"",AB43+1),""),
IF(表紙!$X$2="変更申請",IFERROR(IF(AB43+1&gt;DATE(2024,1,31),"",AB43+1),""),
IF(表紙!$X$2="実績報告（１次）",IFERROR(IF(AB43+1&gt;DATE(2023,7,31),"",AB43+1),""),
IF(表紙!$X$2="実績報告（２次）",IFERROR(IF(AB43+1&gt;DATE(2024,1,31),"",AB43+1),""),
IF(表紙!$X$2="交付申請兼実績報告",IFERROR(IF(AB43+1&gt;DATE(2024,1,31),"",AB43+1),"")))))))</f>
        <v>45311</v>
      </c>
      <c r="AD43" s="568">
        <f xml:space="preserve">
IF(表紙!$X$2="事前協議",IFERROR(IF(AC43+1&gt;DATE(2024,1,31),"",AC43+1),""),
IF(表紙!$X$2="交付申請（２次）",IFERROR(IF(AC43+1&gt;DATE(2024,1,31),"",AC43+1),""),
IF(表紙!$X$2="変更申請",IFERROR(IF(AC43+1&gt;DATE(2024,1,31),"",AC43+1),""),
IF(表紙!$X$2="実績報告（１次）",IFERROR(IF(AC43+1&gt;DATE(2023,7,31),"",AC43+1),""),
IF(表紙!$X$2="実績報告（２次）",IFERROR(IF(AC43+1&gt;DATE(2024,1,31),"",AC43+1),""),
IF(表紙!$X$2="交付申請兼実績報告",IFERROR(IF(AC43+1&gt;DATE(2024,1,31),"",AC43+1),"")))))))</f>
        <v>45312</v>
      </c>
      <c r="AE43" s="568">
        <f xml:space="preserve">
IF(表紙!$X$2="事前協議",IFERROR(IF(AD43+1&gt;DATE(2024,1,31),"",AD43+1),""),
IF(表紙!$X$2="交付申請（２次）",IFERROR(IF(AD43+1&gt;DATE(2024,1,31),"",AD43+1),""),
IF(表紙!$X$2="変更申請",IFERROR(IF(AD43+1&gt;DATE(2024,1,31),"",AD43+1),""),
IF(表紙!$X$2="実績報告（１次）",IFERROR(IF(AD43+1&gt;DATE(2023,7,31),"",AD43+1),""),
IF(表紙!$X$2="実績報告（２次）",IFERROR(IF(AD43+1&gt;DATE(2024,1,31),"",AD43+1),""),
IF(表紙!$X$2="交付申請兼実績報告",IFERROR(IF(AD43+1&gt;DATE(2024,1,31),"",AD43+1),"")))))))</f>
        <v>45313</v>
      </c>
      <c r="AF43" s="568">
        <f xml:space="preserve">
IF(表紙!$X$2="事前協議",IFERROR(IF(AE43+1&gt;DATE(2024,1,31),"",AE43+1),""),
IF(表紙!$X$2="交付申請（２次）",IFERROR(IF(AE43+1&gt;DATE(2024,1,31),"",AE43+1),""),
IF(表紙!$X$2="変更申請",IFERROR(IF(AE43+1&gt;DATE(2024,1,31),"",AE43+1),""),
IF(表紙!$X$2="実績報告（１次）",IFERROR(IF(AE43+1&gt;DATE(2023,7,31),"",AE43+1),""),
IF(表紙!$X$2="実績報告（２次）",IFERROR(IF(AE43+1&gt;DATE(2024,1,31),"",AE43+1),""),
IF(表紙!$X$2="交付申請兼実績報告",IFERROR(IF(AE43+1&gt;DATE(2024,1,31),"",AE43+1),"")))))))</f>
        <v>45314</v>
      </c>
      <c r="AG43" s="568">
        <f xml:space="preserve">
IF(表紙!$X$2="事前協議",IFERROR(IF(AF43+1&gt;DATE(2024,1,31),"",AF43+1),""),
IF(表紙!$X$2="交付申請（２次）",IFERROR(IF(AF43+1&gt;DATE(2024,1,31),"",AF43+1),""),
IF(表紙!$X$2="変更申請",IFERROR(IF(AF43+1&gt;DATE(2024,1,31),"",AF43+1),""),
IF(表紙!$X$2="実績報告（１次）",IFERROR(IF(AF43+1&gt;DATE(2023,7,31),"",AF43+1),""),
IF(表紙!$X$2="実績報告（２次）",IFERROR(IF(AF43+1&gt;DATE(2024,1,31),"",AF43+1),""),
IF(表紙!$X$2="交付申請兼実績報告",IFERROR(IF(AF43+1&gt;DATE(2024,1,31),"",AF43+1),"")))))))</f>
        <v>45315</v>
      </c>
      <c r="AH43" s="568">
        <f xml:space="preserve">
IF(表紙!$X$2="事前協議",IFERROR(IF(AG43+1&gt;DATE(2024,1,31),"",AG43+1),""),
IF(表紙!$X$2="交付申請（２次）",IFERROR(IF(AG43+1&gt;DATE(2024,1,31),"",AG43+1),""),
IF(表紙!$X$2="変更申請",IFERROR(IF(AG43+1&gt;DATE(2024,1,31),"",AG43+1),""),
IF(表紙!$X$2="実績報告（１次）",IFERROR(IF(AG43+1&gt;DATE(2023,7,31),"",AG43+1),""),
IF(表紙!$X$2="実績報告（２次）",IFERROR(IF(AG43+1&gt;DATE(2024,1,31),"",AG43+1),""),
IF(表紙!$X$2="交付申請兼実績報告",IFERROR(IF(AG43+1&gt;DATE(2024,1,31),"",AG43+1),"")))))))</f>
        <v>45316</v>
      </c>
      <c r="AI43" s="568">
        <f xml:space="preserve">
IF(表紙!$X$2="事前協議",IFERROR(IF(AH43+1&gt;DATE(2024,1,31),"",AH43+1),""),
IF(表紙!$X$2="交付申請（２次）",IFERROR(IF(AH43+1&gt;DATE(2024,1,31),"",AH43+1),""),
IF(表紙!$X$2="変更申請",IFERROR(IF(AH43+1&gt;DATE(2024,1,31),"",AH43+1),""),
IF(表紙!$X$2="実績報告（１次）",IFERROR(IF(AH43+1&gt;DATE(2023,7,31),"",AH43+1),""),
IF(表紙!$X$2="実績報告（２次）",IFERROR(IF(AH43+1&gt;DATE(2024,1,31),"",AH43+1),""),
IF(表紙!$X$2="交付申請兼実績報告",IFERROR(IF(AH43+1&gt;DATE(2024,1,31),"",AH43+1),"")))))))</f>
        <v>45317</v>
      </c>
      <c r="AJ43" s="568">
        <f xml:space="preserve">
IF(表紙!$X$2="事前協議",IFERROR(IF(AI43+1&gt;DATE(2024,1,31),"",AI43+1),""),
IF(表紙!$X$2="交付申請（２次）",IFERROR(IF(AI43+1&gt;DATE(2024,1,31),"",AI43+1),""),
IF(表紙!$X$2="変更申請",IFERROR(IF(AI43+1&gt;DATE(2024,1,31),"",AI43+1),""),
IF(表紙!$X$2="実績報告（１次）",IFERROR(IF(AI43+1&gt;DATE(2023,7,31),"",AI43+1),""),
IF(表紙!$X$2="実績報告（２次）",IFERROR(IF(AI43+1&gt;DATE(2024,1,31),"",AI43+1),""),
IF(表紙!$X$2="交付申請兼実績報告",IFERROR(IF(AI43+1&gt;DATE(2024,1,31),"",AI43+1),"")))))))</f>
        <v>45318</v>
      </c>
      <c r="AK43" s="568">
        <f xml:space="preserve">
IF(表紙!$X$2="事前協議",IFERROR(IF(AJ43+1&gt;DATE(2024,1,31),"",AJ43+1),""),
IF(表紙!$X$2="交付申請（２次）",IFERROR(IF(AJ43+1&gt;DATE(2024,1,31),"",AJ43+1),""),
IF(表紙!$X$2="変更申請",IFERROR(IF(AJ43+1&gt;DATE(2024,1,31),"",AJ43+1),""),
IF(表紙!$X$2="実績報告（１次）",IFERROR(IF(AJ43+1&gt;DATE(2023,7,31),"",AJ43+1),""),
IF(表紙!$X$2="実績報告（２次）",IFERROR(IF(AJ43+1&gt;DATE(2024,1,31),"",AJ43+1),""),
IF(表紙!$X$2="交付申請兼実績報告",IFERROR(IF(AJ43+1&gt;DATE(2024,1,31),"",AJ43+1),"")))))))</f>
        <v>45319</v>
      </c>
      <c r="AL43" s="568">
        <f xml:space="preserve">
IF(表紙!$X$2="事前協議",IFERROR(IF(AK43+1&gt;DATE(2024,1,31),"",AK43+1),""),
IF(表紙!$X$2="交付申請（２次）",IFERROR(IF(AK43+1&gt;DATE(2024,1,31),"",AK43+1),""),
IF(表紙!$X$2="変更申請",IFERROR(IF(AK43+1&gt;DATE(2024,1,31),"",AK43+1),""),
IF(表紙!$X$2="実績報告（１次）",IFERROR(IF(AK43+1&gt;DATE(2023,7,31),"",AK43+1),""),
IF(表紙!$X$2="実績報告（２次）",IFERROR(IF(AK43+1&gt;DATE(2024,1,31),"",AK43+1),""),
IF(表紙!$X$2="交付申請兼実績報告",IFERROR(IF(AK43+1&gt;DATE(2024,1,31),"",AK43+1),"")))))))</f>
        <v>45320</v>
      </c>
      <c r="AM43" s="568">
        <f xml:space="preserve">
IF(表紙!$X$2="事前協議",IFERROR(IF(AL43+1&gt;DATE(2024,1,31),"",AL43+1),""),
IF(表紙!$X$2="交付申請（２次）",IFERROR(IF(AL43+1&gt;DATE(2024,1,31),"",AL43+1),""),
IF(表紙!$X$2="変更申請",IFERROR(IF(AL43+1&gt;DATE(2024,1,31),"",AL43+1),""),
IF(表紙!$X$2="実績報告（１次）",IFERROR(IF(AL43+1&gt;DATE(2023,7,31),"",AL43+1),""),
IF(表紙!$X$2="実績報告（２次）",IFERROR(IF(AL43+1&gt;DATE(2024,1,31),"",AL43+1),""),
IF(表紙!$X$2="交付申請兼実績報告",IFERROR(IF(AL43+1&gt;DATE(2024,1,31),"",AL43+1),"")))))))</f>
        <v>45321</v>
      </c>
      <c r="AN43" s="568">
        <f xml:space="preserve">
IF(表紙!$X$2="事前協議",IFERROR(IF(AM43+1&gt;DATE(2024,1,31),"",AM43+1),""),
IF(表紙!$X$2="交付申請（２次）",IFERROR(IF(AM43+1&gt;DATE(2024,1,31),"",AM43+1),""),
IF(表紙!$X$2="変更申請",IFERROR(IF(AM43+1&gt;DATE(2024,1,31),"",AM43+1),""),
IF(表紙!$X$2="実績報告（１次）",IFERROR(IF(AM43+1&gt;DATE(2023,7,31),"",AM43+1),""),
IF(表紙!$X$2="実績報告（２次）",IFERROR(IF(AM43+1&gt;DATE(2024,1,31),"",AM43+1),""),
IF(表紙!$X$2="交付申請兼実績報告",IFERROR(IF(AM43+1&gt;DATE(2024,1,31),"",AM43+1),"")))))))</f>
        <v>45322</v>
      </c>
      <c r="AO43" s="1492"/>
      <c r="AP43" s="1493"/>
      <c r="AQ43" s="1494"/>
      <c r="AR43" s="1492"/>
      <c r="AS43" s="1493"/>
      <c r="AT43" s="1494"/>
      <c r="AU43" s="1412"/>
      <c r="AV43" s="795"/>
      <c r="AW43" s="795"/>
      <c r="AX43" s="315"/>
      <c r="AY43" s="315"/>
      <c r="BA43" s="235" t="str">
        <f>TEXT(H43&amp;":"&amp;J43,"hh:mm")</f>
        <v>:45292</v>
      </c>
      <c r="BB43" s="235" t="str">
        <f>TEXT(L43&amp;":"&amp;N43,"hh:mm")</f>
        <v>45294:45296</v>
      </c>
      <c r="BC43" s="235" t="str">
        <f>TEXT(O43&amp;":"&amp;Q43,"hh:mm")</f>
        <v>45297:45299</v>
      </c>
      <c r="BD43" s="235" t="str">
        <f>TEXT(S43&amp;":"&amp;U43,"hh:mm")</f>
        <v>45301:45303</v>
      </c>
      <c r="BE43" s="235" t="str">
        <f>TEXT(V43&amp;":"&amp;X43,"hh:mm")</f>
        <v>45304:45306</v>
      </c>
      <c r="BF43" s="235" t="str">
        <f>TEXT(Z43&amp;":"&amp;AB43,"hh:mm")</f>
        <v>45308:45310</v>
      </c>
      <c r="BG43" s="795"/>
    </row>
    <row r="44" spans="1:78" ht="18" customHeight="1" thickBot="1">
      <c r="A44" s="316" t="s">
        <v>1026</v>
      </c>
      <c r="B44" s="1507"/>
      <c r="C44" s="1508"/>
      <c r="D44" s="1508"/>
      <c r="E44" s="1508"/>
      <c r="F44" s="1508"/>
      <c r="G44" s="1508"/>
      <c r="H44" s="1508"/>
      <c r="I44" s="1509"/>
      <c r="J44" s="317" t="str">
        <f>TEXT(J43,"aaa")</f>
        <v>月</v>
      </c>
      <c r="K44" s="318" t="str">
        <f>TEXT(K43,"aaa")</f>
        <v>火</v>
      </c>
      <c r="L44" s="318" t="str">
        <f t="shared" ref="L44" si="9">TEXT(L43,"aaa")</f>
        <v>水</v>
      </c>
      <c r="M44" s="318" t="str">
        <f t="shared" ref="M44" si="10">TEXT(M43,"aaa")</f>
        <v>木</v>
      </c>
      <c r="N44" s="318" t="str">
        <f t="shared" ref="N44" si="11">TEXT(N43,"aaa")</f>
        <v>金</v>
      </c>
      <c r="O44" s="318" t="str">
        <f t="shared" ref="O44" si="12">TEXT(O43,"aaa")</f>
        <v>土</v>
      </c>
      <c r="P44" s="318" t="str">
        <f t="shared" ref="P44" si="13">TEXT(P43,"aaa")</f>
        <v>日</v>
      </c>
      <c r="Q44" s="318" t="str">
        <f t="shared" ref="Q44" si="14">TEXT(Q43,"aaa")</f>
        <v>月</v>
      </c>
      <c r="R44" s="318" t="str">
        <f t="shared" ref="R44" si="15">TEXT(R43,"aaa")</f>
        <v>火</v>
      </c>
      <c r="S44" s="318" t="str">
        <f t="shared" ref="S44" si="16">TEXT(S43,"aaa")</f>
        <v>水</v>
      </c>
      <c r="T44" s="318" t="str">
        <f t="shared" ref="T44" si="17">TEXT(T43,"aaa")</f>
        <v>木</v>
      </c>
      <c r="U44" s="318" t="str">
        <f t="shared" ref="U44" si="18">TEXT(U43,"aaa")</f>
        <v>金</v>
      </c>
      <c r="V44" s="318" t="str">
        <f t="shared" ref="V44" si="19">TEXT(V43,"aaa")</f>
        <v>土</v>
      </c>
      <c r="W44" s="318" t="str">
        <f t="shared" ref="W44" si="20">TEXT(W43,"aaa")</f>
        <v>日</v>
      </c>
      <c r="X44" s="318" t="str">
        <f t="shared" ref="X44" si="21">TEXT(X43,"aaa")</f>
        <v>月</v>
      </c>
      <c r="Y44" s="318" t="str">
        <f t="shared" ref="Y44" si="22">TEXT(Y43,"aaa")</f>
        <v>火</v>
      </c>
      <c r="Z44" s="318" t="str">
        <f t="shared" ref="Z44" si="23">TEXT(Z43,"aaa")</f>
        <v>水</v>
      </c>
      <c r="AA44" s="318" t="str">
        <f t="shared" ref="AA44" si="24">TEXT(AA43,"aaa")</f>
        <v>木</v>
      </c>
      <c r="AB44" s="318" t="str">
        <f t="shared" ref="AB44" si="25">TEXT(AB43,"aaa")</f>
        <v>金</v>
      </c>
      <c r="AC44" s="318" t="str">
        <f t="shared" ref="AC44" si="26">TEXT(AC43,"aaa")</f>
        <v>土</v>
      </c>
      <c r="AD44" s="318" t="str">
        <f t="shared" ref="AD44" si="27">TEXT(AD43,"aaa")</f>
        <v>日</v>
      </c>
      <c r="AE44" s="318" t="str">
        <f t="shared" ref="AE44" si="28">TEXT(AE43,"aaa")</f>
        <v>月</v>
      </c>
      <c r="AF44" s="318" t="str">
        <f t="shared" ref="AF44" si="29">TEXT(AF43,"aaa")</f>
        <v>火</v>
      </c>
      <c r="AG44" s="318" t="str">
        <f t="shared" ref="AG44" si="30">TEXT(AG43,"aaa")</f>
        <v>水</v>
      </c>
      <c r="AH44" s="318" t="str">
        <f t="shared" ref="AH44" si="31">TEXT(AH43,"aaa")</f>
        <v>木</v>
      </c>
      <c r="AI44" s="318" t="str">
        <f t="shared" ref="AI44" si="32">TEXT(AI43,"aaa")</f>
        <v>金</v>
      </c>
      <c r="AJ44" s="318" t="str">
        <f t="shared" ref="AJ44" si="33">TEXT(AJ43,"aaa")</f>
        <v>土</v>
      </c>
      <c r="AK44" s="318" t="str">
        <f t="shared" ref="AK44" si="34">TEXT(AK43,"aaa")</f>
        <v>日</v>
      </c>
      <c r="AL44" s="318" t="str">
        <f t="shared" ref="AL44" si="35">TEXT(AL43,"aaa")</f>
        <v>月</v>
      </c>
      <c r="AM44" s="318" t="str">
        <f t="shared" ref="AM44" si="36">TEXT(AM43,"aaa")</f>
        <v>火</v>
      </c>
      <c r="AN44" s="318" t="str">
        <f t="shared" ref="AN44" si="37">TEXT(AN43,"aaa")</f>
        <v>水</v>
      </c>
      <c r="AO44" s="1480" t="str">
        <f xml:space="preserve">
IF(AU46="×","×",
IF(表紙!$X$2="事前協議",COUNTIF(J46:AN46,"&gt;0"),
IF(表紙!$X$2="交付申請（２次）",COUNTIF(J46:AN46,"&gt;0"),
IF(表紙!$X$2="変更申請",COUNTIF(J46:AN46,"&gt;0"),
IF(表紙!$X$2="実績報告（１次）",COUNTIF(J46:AN46,"&gt;0"),
IF(表紙!$X$2="実績報告（２次）",COUNTIF(J46:AN46,"&gt;0"),
IF(表紙!$X$2="交付申請兼実績報告",COUNTIF(J46:AN46,"&gt;0"))))))))</f>
        <v>×</v>
      </c>
      <c r="AP44" s="1481"/>
      <c r="AQ44" s="1482"/>
      <c r="AR44" s="1480" t="s">
        <v>1050</v>
      </c>
      <c r="AS44" s="1481"/>
      <c r="AT44" s="1495"/>
      <c r="AU44" s="1412"/>
      <c r="AV44" s="795"/>
      <c r="AW44" s="795"/>
      <c r="AX44" s="315"/>
      <c r="AY44" s="315"/>
      <c r="BA44" s="235" t="str">
        <f>TEXT(H44&amp;":"&amp;J44,"hh:mm")</f>
        <v>:月</v>
      </c>
      <c r="BB44" s="235" t="str">
        <f>TEXT(L44&amp;":"&amp;N44,"hh:mm")</f>
        <v>水:金</v>
      </c>
      <c r="BC44" s="235" t="str">
        <f>TEXT(O44&amp;":"&amp;Q44,"hh:mm")</f>
        <v>土:月</v>
      </c>
      <c r="BD44" s="235" t="str">
        <f>TEXT(S44&amp;":"&amp;U44,"hh:mm")</f>
        <v>水:金</v>
      </c>
      <c r="BE44" s="235" t="str">
        <f>TEXT(V44&amp;":"&amp;X44,"hh:mm")</f>
        <v>土:月</v>
      </c>
      <c r="BF44" s="235" t="str">
        <f>TEXT(Z44&amp;":"&amp;AB44,"hh:mm")</f>
        <v>水:金</v>
      </c>
      <c r="BG44" s="222"/>
    </row>
    <row r="45" spans="1:78" ht="18" customHeight="1" thickTop="1" thickBot="1">
      <c r="A45" s="316"/>
      <c r="B45" s="1408" t="s">
        <v>1458</v>
      </c>
      <c r="C45" s="1409"/>
      <c r="D45" s="1409"/>
      <c r="E45" s="1409"/>
      <c r="F45" s="1409"/>
      <c r="G45" s="1409"/>
      <c r="H45" s="1409"/>
      <c r="I45" s="1410"/>
      <c r="J45" s="728">
        <v>0</v>
      </c>
      <c r="K45" s="729">
        <v>0</v>
      </c>
      <c r="L45" s="729">
        <v>0</v>
      </c>
      <c r="M45" s="729">
        <v>0</v>
      </c>
      <c r="N45" s="729">
        <v>0</v>
      </c>
      <c r="O45" s="729">
        <v>0</v>
      </c>
      <c r="P45" s="729">
        <v>0</v>
      </c>
      <c r="Q45" s="729">
        <v>0</v>
      </c>
      <c r="R45" s="729">
        <v>0</v>
      </c>
      <c r="S45" s="729">
        <v>0</v>
      </c>
      <c r="T45" s="729">
        <v>0</v>
      </c>
      <c r="U45" s="729">
        <v>0</v>
      </c>
      <c r="V45" s="729">
        <v>0</v>
      </c>
      <c r="W45" s="729">
        <v>0</v>
      </c>
      <c r="X45" s="729">
        <v>0</v>
      </c>
      <c r="Y45" s="729">
        <v>0</v>
      </c>
      <c r="Z45" s="729">
        <v>0</v>
      </c>
      <c r="AA45" s="729">
        <v>0</v>
      </c>
      <c r="AB45" s="729">
        <v>0</v>
      </c>
      <c r="AC45" s="729">
        <v>0</v>
      </c>
      <c r="AD45" s="729">
        <v>0</v>
      </c>
      <c r="AE45" s="729">
        <v>0</v>
      </c>
      <c r="AF45" s="729">
        <v>0</v>
      </c>
      <c r="AG45" s="729">
        <v>1</v>
      </c>
      <c r="AH45" s="729">
        <v>1</v>
      </c>
      <c r="AI45" s="729">
        <v>1</v>
      </c>
      <c r="AJ45" s="729">
        <v>1</v>
      </c>
      <c r="AK45" s="729">
        <v>1</v>
      </c>
      <c r="AL45" s="729">
        <v>1</v>
      </c>
      <c r="AM45" s="729">
        <v>1</v>
      </c>
      <c r="AN45" s="729">
        <v>1</v>
      </c>
      <c r="AO45" s="1414">
        <f xml:space="preserve">
COUNTIF(J45:AN45,1)</f>
        <v>8</v>
      </c>
      <c r="AP45" s="1415"/>
      <c r="AQ45" s="1416"/>
      <c r="AR45" s="731"/>
      <c r="AS45" s="732"/>
      <c r="AT45" s="733"/>
      <c r="AU45" s="1413"/>
      <c r="AV45" s="795"/>
      <c r="AW45" s="795"/>
      <c r="AX45" s="315"/>
      <c r="AY45" s="315"/>
      <c r="BA45" s="235"/>
      <c r="BB45" s="235"/>
      <c r="BC45" s="235"/>
      <c r="BD45" s="235"/>
      <c r="BE45" s="235"/>
      <c r="BF45" s="235"/>
      <c r="BG45" s="222"/>
    </row>
    <row r="46" spans="1:78" ht="18" customHeight="1" thickTop="1">
      <c r="A46" s="316" t="s">
        <v>1029</v>
      </c>
      <c r="B46" s="1512" t="s">
        <v>1150</v>
      </c>
      <c r="C46" s="1513"/>
      <c r="D46" s="1513"/>
      <c r="E46" s="1513"/>
      <c r="F46" s="1513"/>
      <c r="G46" s="1513"/>
      <c r="H46" s="1513"/>
      <c r="I46" s="1514"/>
      <c r="J46" s="304"/>
      <c r="K46" s="305"/>
      <c r="L46" s="305"/>
      <c r="M46" s="305"/>
      <c r="N46" s="305"/>
      <c r="O46" s="305"/>
      <c r="P46" s="305"/>
      <c r="Q46" s="305"/>
      <c r="R46" s="305"/>
      <c r="S46" s="305"/>
      <c r="T46" s="305"/>
      <c r="U46" s="305"/>
      <c r="V46" s="305"/>
      <c r="W46" s="305"/>
      <c r="X46" s="305"/>
      <c r="Y46" s="305"/>
      <c r="Z46" s="305"/>
      <c r="AA46" s="305"/>
      <c r="AB46" s="305"/>
      <c r="AC46" s="305"/>
      <c r="AD46" s="305"/>
      <c r="AE46" s="305"/>
      <c r="AF46" s="305"/>
      <c r="AG46" s="305"/>
      <c r="AH46" s="305"/>
      <c r="AI46" s="305"/>
      <c r="AJ46" s="305"/>
      <c r="AK46" s="305"/>
      <c r="AL46" s="305"/>
      <c r="AM46" s="305"/>
      <c r="AN46" s="305"/>
      <c r="AO46" s="1515" t="str">
        <f xml:space="preserve">
IF(AU46="×","×",
IF(表紙!$X$2="事前協議",SUM(J46:AN46),
IF(表紙!$X$2="交付申請（２次）",SUM(J46:AN46),
IF(表紙!$X$2="変更申請",SUM(J46:AN46),
IF(表紙!$X$2="実績報告（１次）",SUM(J46:AN46),
IF(表紙!$X$2="実績報告（２次）",SUM(J46:AN46),
IF(表紙!$X$2="交付申請兼実績報告",SUM(J46:AN46))))))))</f>
        <v>×</v>
      </c>
      <c r="AP46" s="1516"/>
      <c r="AQ46" s="1517"/>
      <c r="AR46" s="1496" t="str">
        <f>IF(AU46="○",ROUNDDOWN(AO46/AO44,1),"×")</f>
        <v>×</v>
      </c>
      <c r="AS46" s="1497"/>
      <c r="AT46" s="1498"/>
      <c r="AU46" s="1510" t="str">
        <f xml:space="preserve">
IF(AND(表紙!$X$2="実績報告（１次）",
OR(COUNTA(J46:AN47)&lt;&gt;62,J47&gt;J46,K47&gt;K46,L47&gt;L46,M47&gt;M46,N47&gt;N46,O47&gt;O46,P47&gt;P46,Q47&gt;Q46,R47&gt;R46,S47&gt;S46,T47&gt;T46,U47&gt;U46,V47&gt;V46,W47&gt;W46,X47&gt;X46,Y47&gt;Y46,Z47&gt;Z46,AA47&gt;AA46,AB47&gt;AB46,AC47&gt;AC46,AD47&gt;AD46,AE47&gt;AE46,AF47&gt;AF46,AG47&gt;AG46,AH47&gt;AH46,AI47&gt;AI46,AJ47&gt;AJ46,AK47&gt;AK46,AL47&gt;AL46,AM47&gt;AM46,AN47&gt;AN46,AM47&gt;AM46,AN47&gt;AN46)),"×",
IF(AND(OR(表紙!$X$2="実績報告（２次）",表紙!$X$2="交付申請兼実績報告"),
OR(COUNTA(J46:AN47)&lt;&gt;62,J47&gt;J46,K47&gt;K46,L47&gt;L46,M47&gt;M46,N47&gt;N46,O47&gt;O46,P47&gt;P46,Q47&gt;Q46,R47&gt;R46,S47&gt;S46,T47&gt;T46,U47&gt;U46,V47&gt;V46,W47&gt;W46,X47&gt;X46,Y47&gt;Y46,Z47&gt;Z46,AA47&gt;AA46,AB47&gt;AB46,AC47&gt;AC46,AD47&gt;AD46,AE47&gt;AE46,AF47&gt;AF46,AG47&gt;AG46,AH47&gt;AH46,AI47&gt;AI46,AJ47&gt;AJ46,AK47&gt;AK46,AL47&gt;AL46,AM47&gt;AM46,AN47&gt;AN46,AM47&gt;AM46,AN47&gt;AN46)),"×","○"))</f>
        <v>×</v>
      </c>
      <c r="AV46" s="795"/>
      <c r="AW46" s="795"/>
      <c r="AX46" s="315"/>
      <c r="AY46" s="315"/>
      <c r="BA46" s="235" t="e">
        <f>TEXT(#REF!&amp;":"&amp;#REF!,"hh:mm")</f>
        <v>#REF!</v>
      </c>
      <c r="BB46" s="235" t="e">
        <f>TEXT(#REF!&amp;":"&amp;#REF!,"hh:mm")</f>
        <v>#REF!</v>
      </c>
      <c r="BC46" s="235" t="e">
        <f>TEXT(#REF!&amp;":"&amp;#REF!,"hh:mm")</f>
        <v>#REF!</v>
      </c>
      <c r="BD46" s="235" t="e">
        <f>TEXT(#REF!&amp;":"&amp;#REF!,"hh:mm")</f>
        <v>#REF!</v>
      </c>
      <c r="BE46" s="235" t="e">
        <f>TEXT(#REF!&amp;":"&amp;#REF!,"hh:mm")</f>
        <v>#REF!</v>
      </c>
      <c r="BF46" s="235" t="e">
        <f>TEXT(#REF!&amp;":"&amp;#REF!,"hh:mm")</f>
        <v>#REF!</v>
      </c>
      <c r="BG46" s="222"/>
    </row>
    <row r="47" spans="1:78" ht="18" customHeight="1" thickBot="1">
      <c r="A47" s="316" t="s">
        <v>1031</v>
      </c>
      <c r="B47" s="1420" t="s">
        <v>1052</v>
      </c>
      <c r="C47" s="1421"/>
      <c r="D47" s="1421"/>
      <c r="E47" s="1421"/>
      <c r="F47" s="1421"/>
      <c r="G47" s="1421"/>
      <c r="H47" s="1421"/>
      <c r="I47" s="1422"/>
      <c r="J47" s="736"/>
      <c r="K47" s="737"/>
      <c r="L47" s="737"/>
      <c r="M47" s="737"/>
      <c r="N47" s="737"/>
      <c r="O47" s="737"/>
      <c r="P47" s="737"/>
      <c r="Q47" s="737"/>
      <c r="R47" s="737"/>
      <c r="S47" s="737"/>
      <c r="T47" s="737"/>
      <c r="U47" s="737"/>
      <c r="V47" s="737"/>
      <c r="W47" s="737"/>
      <c r="X47" s="737"/>
      <c r="Y47" s="737"/>
      <c r="Z47" s="737"/>
      <c r="AA47" s="737"/>
      <c r="AB47" s="737"/>
      <c r="AC47" s="737"/>
      <c r="AD47" s="737"/>
      <c r="AE47" s="737"/>
      <c r="AF47" s="737"/>
      <c r="AG47" s="737"/>
      <c r="AH47" s="737"/>
      <c r="AI47" s="737"/>
      <c r="AJ47" s="737"/>
      <c r="AK47" s="737"/>
      <c r="AL47" s="737"/>
      <c r="AM47" s="737"/>
      <c r="AN47" s="737"/>
      <c r="AO47" s="1423" t="str">
        <f xml:space="preserve">
IF(AU46="×","×",
IF(表紙!$X$2="事前協議",SUM(J47:AN47),
IF(表紙!$X$2="交付申請（２次）",SUM(J47:AN47),
IF(表紙!$X$2="変更申請",SUM(J47:AN47),
IF(表紙!$X$2="実績報告（１次）",SUM(J47:AN47),
IF(表紙!$X$2="実績報告（２次）",SUM(J47:AN47),
IF(表紙!$X$2="交付申請兼実績報告",SUM(J47:AN47))))))))</f>
        <v>×</v>
      </c>
      <c r="AP47" s="1424"/>
      <c r="AQ47" s="1425"/>
      <c r="AR47" s="1417" t="str">
        <f>IF(AU46="○",ROUNDDOWN(AO47/AO44,1),"×")</f>
        <v>×</v>
      </c>
      <c r="AS47" s="1418"/>
      <c r="AT47" s="1419"/>
      <c r="AU47" s="1511"/>
      <c r="AV47" s="795"/>
      <c r="AW47" s="795"/>
      <c r="AX47" s="319"/>
      <c r="AY47" s="315"/>
      <c r="BA47" s="235" t="str">
        <f>TEXT(H46&amp;":"&amp;J46,"hh:mm")</f>
        <v>:</v>
      </c>
      <c r="BB47" s="235" t="str">
        <f>TEXT(L46&amp;":"&amp;N46,"hh:mm")</f>
        <v>:</v>
      </c>
      <c r="BC47" s="235" t="str">
        <f>TEXT(O46&amp;":"&amp;Q46,"hh:mm")</f>
        <v>:</v>
      </c>
      <c r="BD47" s="235" t="str">
        <f>TEXT(S46&amp;":"&amp;U46,"hh:mm")</f>
        <v>:</v>
      </c>
      <c r="BE47" s="235" t="str">
        <f>TEXT(V46&amp;":"&amp;X46,"hh:mm")</f>
        <v>:</v>
      </c>
      <c r="BF47" s="235" t="str">
        <f>TEXT(Z46&amp;":"&amp;AB46,"hh:mm")</f>
        <v>:</v>
      </c>
      <c r="BG47" s="222"/>
    </row>
    <row r="48" spans="1:78" ht="18.75" thickBot="1">
      <c r="BZ48" s="237"/>
    </row>
    <row r="49" spans="1:78" ht="18" customHeight="1" thickTop="1">
      <c r="B49" s="1489" t="s">
        <v>1189</v>
      </c>
      <c r="C49" s="1490"/>
      <c r="D49" s="1490"/>
      <c r="E49" s="1490"/>
      <c r="F49" s="1490"/>
      <c r="G49" s="1490"/>
      <c r="H49" s="1490"/>
      <c r="I49" s="1491"/>
      <c r="J49" s="1426">
        <f>AA16</f>
        <v>2</v>
      </c>
      <c r="K49" s="1427"/>
      <c r="L49" s="1427"/>
      <c r="M49" s="1427"/>
      <c r="N49" s="1427"/>
      <c r="O49" s="1427"/>
      <c r="P49" s="1427"/>
      <c r="Q49" s="1427"/>
      <c r="R49" s="1427"/>
      <c r="S49" s="1427"/>
      <c r="T49" s="1427"/>
      <c r="U49" s="1427"/>
      <c r="V49" s="1427"/>
      <c r="W49" s="1427"/>
      <c r="X49" s="1427"/>
      <c r="Y49" s="1427"/>
      <c r="Z49" s="1427"/>
      <c r="AA49" s="1427"/>
      <c r="AB49" s="1427"/>
      <c r="AC49" s="1427"/>
      <c r="AD49" s="1427"/>
      <c r="AE49" s="1427"/>
      <c r="AF49" s="1427"/>
      <c r="AG49" s="1427"/>
      <c r="AH49" s="1427"/>
      <c r="AI49" s="1427"/>
      <c r="AJ49" s="1427"/>
      <c r="AK49" s="1427"/>
      <c r="AL49" s="1427"/>
      <c r="AM49" s="1427"/>
      <c r="AN49" s="1429"/>
      <c r="AO49" s="1489" t="s">
        <v>1193</v>
      </c>
      <c r="AP49" s="1490"/>
      <c r="AQ49" s="1491"/>
      <c r="AR49" s="1489" t="s">
        <v>1194</v>
      </c>
      <c r="AS49" s="1490"/>
      <c r="AT49" s="1491"/>
      <c r="AU49" s="1411" t="s">
        <v>98</v>
      </c>
      <c r="AV49" s="795"/>
      <c r="AW49" s="795"/>
      <c r="AX49" s="312"/>
      <c r="AY49" s="313"/>
      <c r="AZ49" s="795"/>
      <c r="BB49" s="222"/>
      <c r="BC49" s="230"/>
      <c r="BD49" s="795"/>
      <c r="BE49" s="795"/>
      <c r="BG49" s="795"/>
    </row>
    <row r="50" spans="1:78" ht="18" customHeight="1">
      <c r="A50" s="314" t="s">
        <v>1024</v>
      </c>
      <c r="B50" s="1492"/>
      <c r="C50" s="1506"/>
      <c r="D50" s="1506"/>
      <c r="E50" s="1506"/>
      <c r="F50" s="1506"/>
      <c r="G50" s="1506"/>
      <c r="H50" s="1506"/>
      <c r="I50" s="1494"/>
      <c r="J50" s="567">
        <f xml:space="preserve">
IF(表紙!$X$2="事前協議",DATE(2024,J49,1),
IF(表紙!$X$2="交付申請（２次）",DATE(2024,J49,1),
IF(表紙!$X$2="変更申請",DATE(2024,J49,1),
IF(表紙!$X$2="実績報告（１次）",DATE(2023,J49,1),
IF(表紙!$X$2="実績報告（２次）",DATE(2024,J49,1),
IF(表紙!$X$2="交付申請兼実績報告",DATE(2024,J49,1)))))))</f>
        <v>45323</v>
      </c>
      <c r="K50" s="568">
        <f xml:space="preserve">
IF(表紙!$X$2="事前協議",IFERROR(IF(J50+1&gt;DATE(2024,2,29),"",J50+1),""),
IF(表紙!$X$2="交付申請（２次）",IFERROR(IF(J50+1&gt;DATE(2024,2,29),"",J50+1),""),
IF(表紙!$X$2="変更申請",IFERROR(IF(J50+1&gt;DATE(2024,2,29),"",J50+1),""),
IF(表紙!$X$2="実績報告（１次）",IFERROR(IF(J50+1&gt;DATE(2023,8,31),"",J50+1),""),
IF(表紙!$X$2="実績報告（２次）",IFERROR(IF(J50+1&gt;DATE(2024,2,29),"",J50+1),""),
IF(表紙!$X$2="交付申請兼実績報告",IFERROR(IF(J50+1&gt;DATE(2024,2,29),"",J50+1),"")))))))</f>
        <v>45324</v>
      </c>
      <c r="L50" s="568">
        <f xml:space="preserve">
IF(表紙!$X$2="事前協議",IFERROR(IF(K50+1&gt;DATE(2024,2,29),"",K50+1),""),
IF(表紙!$X$2="交付申請（２次）",IFERROR(IF(K50+1&gt;DATE(2024,2,29),"",K50+1),""),
IF(表紙!$X$2="変更申請",IFERROR(IF(K50+1&gt;DATE(2024,2,29),"",K50+1),""),
IF(表紙!$X$2="実績報告（１次）",IFERROR(IF(K50+1&gt;DATE(2023,8,31),"",K50+1),""),
IF(表紙!$X$2="実績報告（２次）",IFERROR(IF(K50+1&gt;DATE(2024,2,29),"",K50+1),""),
IF(表紙!$X$2="交付申請兼実績報告",IFERROR(IF(K50+1&gt;DATE(2024,2,29),"",K50+1),"")))))))</f>
        <v>45325</v>
      </c>
      <c r="M50" s="568">
        <f xml:space="preserve">
IF(表紙!$X$2="事前協議",IFERROR(IF(L50+1&gt;DATE(2024,2,29),"",L50+1),""),
IF(表紙!$X$2="交付申請（２次）",IFERROR(IF(L50+1&gt;DATE(2024,2,29),"",L50+1),""),
IF(表紙!$X$2="変更申請",IFERROR(IF(L50+1&gt;DATE(2024,2,29),"",L50+1),""),
IF(表紙!$X$2="実績報告（１次）",IFERROR(IF(L50+1&gt;DATE(2023,8,31),"",L50+1),""),
IF(表紙!$X$2="実績報告（２次）",IFERROR(IF(L50+1&gt;DATE(2024,2,29),"",L50+1),""),
IF(表紙!$X$2="交付申請兼実績報告",IFERROR(IF(L50+1&gt;DATE(2024,2,29),"",L50+1),"")))))))</f>
        <v>45326</v>
      </c>
      <c r="N50" s="568">
        <f xml:space="preserve">
IF(表紙!$X$2="事前協議",IFERROR(IF(M50+1&gt;DATE(2024,2,29),"",M50+1),""),
IF(表紙!$X$2="交付申請（２次）",IFERROR(IF(M50+1&gt;DATE(2024,2,29),"",M50+1),""),
IF(表紙!$X$2="変更申請",IFERROR(IF(M50+1&gt;DATE(2024,2,29),"",M50+1),""),
IF(表紙!$X$2="実績報告（１次）",IFERROR(IF(M50+1&gt;DATE(2023,8,31),"",M50+1),""),
IF(表紙!$X$2="実績報告（２次）",IFERROR(IF(M50+1&gt;DATE(2024,2,29),"",M50+1),""),
IF(表紙!$X$2="交付申請兼実績報告",IFERROR(IF(M50+1&gt;DATE(2024,2,29),"",M50+1),"")))))))</f>
        <v>45327</v>
      </c>
      <c r="O50" s="568">
        <f xml:space="preserve">
IF(表紙!$X$2="事前協議",IFERROR(IF(N50+1&gt;DATE(2024,2,29),"",N50+1),""),
IF(表紙!$X$2="交付申請（２次）",IFERROR(IF(N50+1&gt;DATE(2024,2,29),"",N50+1),""),
IF(表紙!$X$2="変更申請",IFERROR(IF(N50+1&gt;DATE(2024,2,29),"",N50+1),""),
IF(表紙!$X$2="実績報告（１次）",IFERROR(IF(N50+1&gt;DATE(2023,8,31),"",N50+1),""),
IF(表紙!$X$2="実績報告（２次）",IFERROR(IF(N50+1&gt;DATE(2024,2,29),"",N50+1),""),
IF(表紙!$X$2="交付申請兼実績報告",IFERROR(IF(N50+1&gt;DATE(2024,2,29),"",N50+1),"")))))))</f>
        <v>45328</v>
      </c>
      <c r="P50" s="568">
        <f xml:space="preserve">
IF(表紙!$X$2="事前協議",IFERROR(IF(O50+1&gt;DATE(2024,2,29),"",O50+1),""),
IF(表紙!$X$2="交付申請（２次）",IFERROR(IF(O50+1&gt;DATE(2024,2,29),"",O50+1),""),
IF(表紙!$X$2="変更申請",IFERROR(IF(O50+1&gt;DATE(2024,2,29),"",O50+1),""),
IF(表紙!$X$2="実績報告（１次）",IFERROR(IF(O50+1&gt;DATE(2023,8,31),"",O50+1),""),
IF(表紙!$X$2="実績報告（２次）",IFERROR(IF(O50+1&gt;DATE(2024,2,29),"",O50+1),""),
IF(表紙!$X$2="交付申請兼実績報告",IFERROR(IF(O50+1&gt;DATE(2024,2,29),"",O50+1),"")))))))</f>
        <v>45329</v>
      </c>
      <c r="Q50" s="568">
        <f xml:space="preserve">
IF(表紙!$X$2="事前協議",IFERROR(IF(P50+1&gt;DATE(2024,2,29),"",P50+1),""),
IF(表紙!$X$2="交付申請（２次）",IFERROR(IF(P50+1&gt;DATE(2024,2,29),"",P50+1),""),
IF(表紙!$X$2="変更申請",IFERROR(IF(P50+1&gt;DATE(2024,2,29),"",P50+1),""),
IF(表紙!$X$2="実績報告（１次）",IFERROR(IF(P50+1&gt;DATE(2023,8,31),"",P50+1),""),
IF(表紙!$X$2="実績報告（２次）",IFERROR(IF(P50+1&gt;DATE(2024,2,29),"",P50+1),""),
IF(表紙!$X$2="交付申請兼実績報告",IFERROR(IF(P50+1&gt;DATE(2024,2,29),"",P50+1),"")))))))</f>
        <v>45330</v>
      </c>
      <c r="R50" s="568">
        <f xml:space="preserve">
IF(表紙!$X$2="事前協議",IFERROR(IF(Q50+1&gt;DATE(2024,2,29),"",Q50+1),""),
IF(表紙!$X$2="交付申請（２次）",IFERROR(IF(Q50+1&gt;DATE(2024,2,29),"",Q50+1),""),
IF(表紙!$X$2="変更申請",IFERROR(IF(Q50+1&gt;DATE(2024,2,29),"",Q50+1),""),
IF(表紙!$X$2="実績報告（１次）",IFERROR(IF(Q50+1&gt;DATE(2023,8,31),"",Q50+1),""),
IF(表紙!$X$2="実績報告（２次）",IFERROR(IF(Q50+1&gt;DATE(2024,2,29),"",Q50+1),""),
IF(表紙!$X$2="交付申請兼実績報告",IFERROR(IF(Q50+1&gt;DATE(2024,2,29),"",Q50+1),"")))))))</f>
        <v>45331</v>
      </c>
      <c r="S50" s="568">
        <f xml:space="preserve">
IF(表紙!$X$2="事前協議",IFERROR(IF(R50+1&gt;DATE(2024,2,29),"",R50+1),""),
IF(表紙!$X$2="交付申請（２次）",IFERROR(IF(R50+1&gt;DATE(2024,2,29),"",R50+1),""),
IF(表紙!$X$2="変更申請",IFERROR(IF(R50+1&gt;DATE(2024,2,29),"",R50+1),""),
IF(表紙!$X$2="実績報告（１次）",IFERROR(IF(R50+1&gt;DATE(2023,8,31),"",R50+1),""),
IF(表紙!$X$2="実績報告（２次）",IFERROR(IF(R50+1&gt;DATE(2024,2,29),"",R50+1),""),
IF(表紙!$X$2="交付申請兼実績報告",IFERROR(IF(R50+1&gt;DATE(2024,2,29),"",R50+1),"")))))))</f>
        <v>45332</v>
      </c>
      <c r="T50" s="568">
        <f xml:space="preserve">
IF(表紙!$X$2="事前協議",IFERROR(IF(S50+1&gt;DATE(2024,2,29),"",S50+1),""),
IF(表紙!$X$2="交付申請（２次）",IFERROR(IF(S50+1&gt;DATE(2024,2,29),"",S50+1),""),
IF(表紙!$X$2="変更申請",IFERROR(IF(S50+1&gt;DATE(2024,2,29),"",S50+1),""),
IF(表紙!$X$2="実績報告（１次）",IFERROR(IF(S50+1&gt;DATE(2023,8,31),"",S50+1),""),
IF(表紙!$X$2="実績報告（２次）",IFERROR(IF(S50+1&gt;DATE(2024,2,29),"",S50+1),""),
IF(表紙!$X$2="交付申請兼実績報告",IFERROR(IF(S50+1&gt;DATE(2024,2,29),"",S50+1),"")))))))</f>
        <v>45333</v>
      </c>
      <c r="U50" s="568">
        <f xml:space="preserve">
IF(表紙!$X$2="事前協議",IFERROR(IF(T50+1&gt;DATE(2024,2,29),"",T50+1),""),
IF(表紙!$X$2="交付申請（２次）",IFERROR(IF(T50+1&gt;DATE(2024,2,29),"",T50+1),""),
IF(表紙!$X$2="変更申請",IFERROR(IF(T50+1&gt;DATE(2024,2,29),"",T50+1),""),
IF(表紙!$X$2="実績報告（１次）",IFERROR(IF(T50+1&gt;DATE(2023,8,31),"",T50+1),""),
IF(表紙!$X$2="実績報告（２次）",IFERROR(IF(T50+1&gt;DATE(2024,2,29),"",T50+1),""),
IF(表紙!$X$2="交付申請兼実績報告",IFERROR(IF(T50+1&gt;DATE(2024,2,29),"",T50+1),"")))))))</f>
        <v>45334</v>
      </c>
      <c r="V50" s="568">
        <f xml:space="preserve">
IF(表紙!$X$2="事前協議",IFERROR(IF(U50+1&gt;DATE(2024,2,29),"",U50+1),""),
IF(表紙!$X$2="交付申請（２次）",IFERROR(IF(U50+1&gt;DATE(2024,2,29),"",U50+1),""),
IF(表紙!$X$2="変更申請",IFERROR(IF(U50+1&gt;DATE(2024,2,29),"",U50+1),""),
IF(表紙!$X$2="実績報告（１次）",IFERROR(IF(U50+1&gt;DATE(2023,8,31),"",U50+1),""),
IF(表紙!$X$2="実績報告（２次）",IFERROR(IF(U50+1&gt;DATE(2024,2,29),"",U50+1),""),
IF(表紙!$X$2="交付申請兼実績報告",IFERROR(IF(U50+1&gt;DATE(2024,2,29),"",U50+1),"")))))))</f>
        <v>45335</v>
      </c>
      <c r="W50" s="568">
        <f xml:space="preserve">
IF(表紙!$X$2="事前協議",IFERROR(IF(V50+1&gt;DATE(2024,2,29),"",V50+1),""),
IF(表紙!$X$2="交付申請（２次）",IFERROR(IF(V50+1&gt;DATE(2024,2,29),"",V50+1),""),
IF(表紙!$X$2="変更申請",IFERROR(IF(V50+1&gt;DATE(2024,2,29),"",V50+1),""),
IF(表紙!$X$2="実績報告（１次）",IFERROR(IF(V50+1&gt;DATE(2023,8,31),"",V50+1),""),
IF(表紙!$X$2="実績報告（２次）",IFERROR(IF(V50+1&gt;DATE(2024,2,29),"",V50+1),""),
IF(表紙!$X$2="交付申請兼実績報告",IFERROR(IF(V50+1&gt;DATE(2024,2,29),"",V50+1),"")))))))</f>
        <v>45336</v>
      </c>
      <c r="X50" s="568">
        <f xml:space="preserve">
IF(表紙!$X$2="事前協議",IFERROR(IF(W50+1&gt;DATE(2024,2,29),"",W50+1),""),
IF(表紙!$X$2="交付申請（２次）",IFERROR(IF(W50+1&gt;DATE(2024,2,29),"",W50+1),""),
IF(表紙!$X$2="変更申請",IFERROR(IF(W50+1&gt;DATE(2024,2,29),"",W50+1),""),
IF(表紙!$X$2="実績報告（１次）",IFERROR(IF(W50+1&gt;DATE(2023,8,31),"",W50+1),""),
IF(表紙!$X$2="実績報告（２次）",IFERROR(IF(W50+1&gt;DATE(2024,2,29),"",W50+1),""),
IF(表紙!$X$2="交付申請兼実績報告",IFERROR(IF(W50+1&gt;DATE(2024,2,29),"",W50+1),"")))))))</f>
        <v>45337</v>
      </c>
      <c r="Y50" s="568">
        <f xml:space="preserve">
IF(表紙!$X$2="事前協議",IFERROR(IF(X50+1&gt;DATE(2024,2,29),"",X50+1),""),
IF(表紙!$X$2="交付申請（２次）",IFERROR(IF(X50+1&gt;DATE(2024,2,29),"",X50+1),""),
IF(表紙!$X$2="変更申請",IFERROR(IF(X50+1&gt;DATE(2024,2,29),"",X50+1),""),
IF(表紙!$X$2="実績報告（１次）",IFERROR(IF(X50+1&gt;DATE(2023,8,31),"",X50+1),""),
IF(表紙!$X$2="実績報告（２次）",IFERROR(IF(X50+1&gt;DATE(2024,2,29),"",X50+1),""),
IF(表紙!$X$2="交付申請兼実績報告",IFERROR(IF(X50+1&gt;DATE(2024,2,29),"",X50+1),"")))))))</f>
        <v>45338</v>
      </c>
      <c r="Z50" s="568">
        <f xml:space="preserve">
IF(表紙!$X$2="事前協議",IFERROR(IF(Y50+1&gt;DATE(2024,2,29),"",Y50+1),""),
IF(表紙!$X$2="交付申請（２次）",IFERROR(IF(Y50+1&gt;DATE(2024,2,29),"",Y50+1),""),
IF(表紙!$X$2="変更申請",IFERROR(IF(Y50+1&gt;DATE(2024,2,29),"",Y50+1),""),
IF(表紙!$X$2="実績報告（１次）",IFERROR(IF(Y50+1&gt;DATE(2023,8,31),"",Y50+1),""),
IF(表紙!$X$2="実績報告（２次）",IFERROR(IF(Y50+1&gt;DATE(2024,2,29),"",Y50+1),""),
IF(表紙!$X$2="交付申請兼実績報告",IFERROR(IF(Y50+1&gt;DATE(2024,2,29),"",Y50+1),"")))))))</f>
        <v>45339</v>
      </c>
      <c r="AA50" s="568">
        <f xml:space="preserve">
IF(表紙!$X$2="事前協議",IFERROR(IF(Z50+1&gt;DATE(2024,2,29),"",Z50+1),""),
IF(表紙!$X$2="交付申請（２次）",IFERROR(IF(Z50+1&gt;DATE(2024,2,29),"",Z50+1),""),
IF(表紙!$X$2="変更申請",IFERROR(IF(Z50+1&gt;DATE(2024,2,29),"",Z50+1),""),
IF(表紙!$X$2="実績報告（１次）",IFERROR(IF(Z50+1&gt;DATE(2023,8,31),"",Z50+1),""),
IF(表紙!$X$2="実績報告（２次）",IFERROR(IF(Z50+1&gt;DATE(2024,2,29),"",Z50+1),""),
IF(表紙!$X$2="交付申請兼実績報告",IFERROR(IF(Z50+1&gt;DATE(2024,2,29),"",Z50+1),"")))))))</f>
        <v>45340</v>
      </c>
      <c r="AB50" s="568">
        <f xml:space="preserve">
IF(表紙!$X$2="事前協議",IFERROR(IF(AA50+1&gt;DATE(2024,2,29),"",AA50+1),""),
IF(表紙!$X$2="交付申請（２次）",IFERROR(IF(AA50+1&gt;DATE(2024,2,29),"",AA50+1),""),
IF(表紙!$X$2="変更申請",IFERROR(IF(AA50+1&gt;DATE(2024,2,29),"",AA50+1),""),
IF(表紙!$X$2="実績報告（１次）",IFERROR(IF(AA50+1&gt;DATE(2023,8,31),"",AA50+1),""),
IF(表紙!$X$2="実績報告（２次）",IFERROR(IF(AA50+1&gt;DATE(2024,2,29),"",AA50+1),""),
IF(表紙!$X$2="交付申請兼実績報告",IFERROR(IF(AA50+1&gt;DATE(2024,2,29),"",AA50+1),"")))))))</f>
        <v>45341</v>
      </c>
      <c r="AC50" s="568">
        <f xml:space="preserve">
IF(表紙!$X$2="事前協議",IFERROR(IF(AB50+1&gt;DATE(2024,2,29),"",AB50+1),""),
IF(表紙!$X$2="交付申請（２次）",IFERROR(IF(AB50+1&gt;DATE(2024,2,29),"",AB50+1),""),
IF(表紙!$X$2="変更申請",IFERROR(IF(AB50+1&gt;DATE(2024,2,29),"",AB50+1),""),
IF(表紙!$X$2="実績報告（１次）",IFERROR(IF(AB50+1&gt;DATE(2023,8,31),"",AB50+1),""),
IF(表紙!$X$2="実績報告（２次）",IFERROR(IF(AB50+1&gt;DATE(2024,2,29),"",AB50+1),""),
IF(表紙!$X$2="交付申請兼実績報告",IFERROR(IF(AB50+1&gt;DATE(2024,2,29),"",AB50+1),"")))))))</f>
        <v>45342</v>
      </c>
      <c r="AD50" s="568">
        <f xml:space="preserve">
IF(表紙!$X$2="事前協議",IFERROR(IF(AC50+1&gt;DATE(2024,2,29),"",AC50+1),""),
IF(表紙!$X$2="交付申請（２次）",IFERROR(IF(AC50+1&gt;DATE(2024,2,29),"",AC50+1),""),
IF(表紙!$X$2="変更申請",IFERROR(IF(AC50+1&gt;DATE(2024,2,29),"",AC50+1),""),
IF(表紙!$X$2="実績報告（１次）",IFERROR(IF(AC50+1&gt;DATE(2023,8,31),"",AC50+1),""),
IF(表紙!$X$2="実績報告（２次）",IFERROR(IF(AC50+1&gt;DATE(2024,2,29),"",AC50+1),""),
IF(表紙!$X$2="交付申請兼実績報告",IFERROR(IF(AC50+1&gt;DATE(2024,2,29),"",AC50+1),"")))))))</f>
        <v>45343</v>
      </c>
      <c r="AE50" s="568">
        <f xml:space="preserve">
IF(表紙!$X$2="事前協議",IFERROR(IF(AD50+1&gt;DATE(2024,2,29),"",AD50+1),""),
IF(表紙!$X$2="交付申請（２次）",IFERROR(IF(AD50+1&gt;DATE(2024,2,29),"",AD50+1),""),
IF(表紙!$X$2="変更申請",IFERROR(IF(AD50+1&gt;DATE(2024,2,29),"",AD50+1),""),
IF(表紙!$X$2="実績報告（１次）",IFERROR(IF(AD50+1&gt;DATE(2023,8,31),"",AD50+1),""),
IF(表紙!$X$2="実績報告（２次）",IFERROR(IF(AD50+1&gt;DATE(2024,2,29),"",AD50+1),""),
IF(表紙!$X$2="交付申請兼実績報告",IFERROR(IF(AD50+1&gt;DATE(2024,2,29),"",AD50+1),"")))))))</f>
        <v>45344</v>
      </c>
      <c r="AF50" s="568">
        <f xml:space="preserve">
IF(表紙!$X$2="事前協議",IFERROR(IF(AE50+1&gt;DATE(2024,2,29),"",AE50+1),""),
IF(表紙!$X$2="交付申請（２次）",IFERROR(IF(AE50+1&gt;DATE(2024,2,29),"",AE50+1),""),
IF(表紙!$X$2="変更申請",IFERROR(IF(AE50+1&gt;DATE(2024,2,29),"",AE50+1),""),
IF(表紙!$X$2="実績報告（１次）",IFERROR(IF(AE50+1&gt;DATE(2023,8,31),"",AE50+1),""),
IF(表紙!$X$2="実績報告（２次）",IFERROR(IF(AE50+1&gt;DATE(2024,2,29),"",AE50+1),""),
IF(表紙!$X$2="交付申請兼実績報告",IFERROR(IF(AE50+1&gt;DATE(2024,2,29),"",AE50+1),"")))))))</f>
        <v>45345</v>
      </c>
      <c r="AG50" s="568">
        <f xml:space="preserve">
IF(表紙!$X$2="事前協議",IFERROR(IF(AF50+1&gt;DATE(2024,2,29),"",AF50+1),""),
IF(表紙!$X$2="交付申請（２次）",IFERROR(IF(AF50+1&gt;DATE(2024,2,29),"",AF50+1),""),
IF(表紙!$X$2="変更申請",IFERROR(IF(AF50+1&gt;DATE(2024,2,29),"",AF50+1),""),
IF(表紙!$X$2="実績報告（１次）",IFERROR(IF(AF50+1&gt;DATE(2023,8,31),"",AF50+1),""),
IF(表紙!$X$2="実績報告（２次）",IFERROR(IF(AF50+1&gt;DATE(2024,2,29),"",AF50+1),""),
IF(表紙!$X$2="交付申請兼実績報告",IFERROR(IF(AF50+1&gt;DATE(2024,2,29),"",AF50+1),"")))))))</f>
        <v>45346</v>
      </c>
      <c r="AH50" s="568">
        <f xml:space="preserve">
IF(表紙!$X$2="事前協議",IFERROR(IF(AG50+1&gt;DATE(2024,2,29),"",AG50+1),""),
IF(表紙!$X$2="交付申請（２次）",IFERROR(IF(AG50+1&gt;DATE(2024,2,29),"",AG50+1),""),
IF(表紙!$X$2="変更申請",IFERROR(IF(AG50+1&gt;DATE(2024,2,29),"",AG50+1),""),
IF(表紙!$X$2="実績報告（１次）",IFERROR(IF(AG50+1&gt;DATE(2023,8,31),"",AG50+1),""),
IF(表紙!$X$2="実績報告（２次）",IFERROR(IF(AG50+1&gt;DATE(2024,2,29),"",AG50+1),""),
IF(表紙!$X$2="交付申請兼実績報告",IFERROR(IF(AG50+1&gt;DATE(2024,2,29),"",AG50+1),"")))))))</f>
        <v>45347</v>
      </c>
      <c r="AI50" s="568">
        <f xml:space="preserve">
IF(表紙!$X$2="事前協議",IFERROR(IF(AH50+1&gt;DATE(2024,2,29),"",AH50+1),""),
IF(表紙!$X$2="交付申請（２次）",IFERROR(IF(AH50+1&gt;DATE(2024,2,29),"",AH50+1),""),
IF(表紙!$X$2="変更申請",IFERROR(IF(AH50+1&gt;DATE(2024,2,29),"",AH50+1),""),
IF(表紙!$X$2="実績報告（１次）",IFERROR(IF(AH50+1&gt;DATE(2023,8,31),"",AH50+1),""),
IF(表紙!$X$2="実績報告（２次）",IFERROR(IF(AH50+1&gt;DATE(2024,2,29),"",AH50+1),""),
IF(表紙!$X$2="交付申請兼実績報告",IFERROR(IF(AH50+1&gt;DATE(2024,2,29),"",AH50+1),"")))))))</f>
        <v>45348</v>
      </c>
      <c r="AJ50" s="568">
        <f xml:space="preserve">
IF(表紙!$X$2="事前協議",IFERROR(IF(AI50+1&gt;DATE(2024,2,29),"",AI50+1),""),
IF(表紙!$X$2="交付申請（２次）",IFERROR(IF(AI50+1&gt;DATE(2024,2,29),"",AI50+1),""),
IF(表紙!$X$2="変更申請",IFERROR(IF(AI50+1&gt;DATE(2024,2,29),"",AI50+1),""),
IF(表紙!$X$2="実績報告（１次）",IFERROR(IF(AI50+1&gt;DATE(2023,8,31),"",AI50+1),""),
IF(表紙!$X$2="実績報告（２次）",IFERROR(IF(AI50+1&gt;DATE(2024,2,29),"",AI50+1),""),
IF(表紙!$X$2="交付申請兼実績報告",IFERROR(IF(AI50+1&gt;DATE(2024,2,29),"",AI50+1),"")))))))</f>
        <v>45349</v>
      </c>
      <c r="AK50" s="568">
        <f xml:space="preserve">
IF(表紙!$X$2="事前協議",IFERROR(IF(AJ50+1&gt;DATE(2024,2,29),"",AJ50+1),""),
IF(表紙!$X$2="交付申請（２次）",IFERROR(IF(AJ50+1&gt;DATE(2024,2,29),"",AJ50+1),""),
IF(表紙!$X$2="変更申請",IFERROR(IF(AJ50+1&gt;DATE(2024,2,29),"",AJ50+1),""),
IF(表紙!$X$2="実績報告（１次）",IFERROR(IF(AJ50+1&gt;DATE(2023,8,31),"",AJ50+1),""),
IF(表紙!$X$2="実績報告（２次）",IFERROR(IF(AJ50+1&gt;DATE(2024,2,29),"",AJ50+1),""),
IF(表紙!$X$2="交付申請兼実績報告",IFERROR(IF(AJ50+1&gt;DATE(2024,2,29),"",AJ50+1),"")))))))</f>
        <v>45350</v>
      </c>
      <c r="AL50" s="568">
        <f xml:space="preserve">
IF(表紙!$X$2="事前協議",IFERROR(IF(AK50+1&gt;DATE(2024,2,29),"",AK50+1),""),
IF(表紙!$X$2="交付申請（２次）",IFERROR(IF(AK50+1&gt;DATE(2024,2,29),"",AK50+1),""),
IF(表紙!$X$2="変更申請",IFERROR(IF(AK50+1&gt;DATE(2024,2,29),"",AK50+1),""),
IF(表紙!$X$2="実績報告（１次）",IFERROR(IF(AK50+1&gt;DATE(2023,8,31),"",AK50+1),""),
IF(表紙!$X$2="実績報告（２次）",IFERROR(IF(AK50+1&gt;DATE(2024,2,29),"",AK50+1),""),
IF(表紙!$X$2="交付申請兼実績報告",IFERROR(IF(AK50+1&gt;DATE(2024,2,29),"",AK50+1),"")))))))</f>
        <v>45351</v>
      </c>
      <c r="AM50" s="568" t="str">
        <f xml:space="preserve">
IF(表紙!$X$2="事前協議",IFERROR(IF(AL50+1&gt;DATE(2024,2,29),"",AL50+1),""),
IF(表紙!$X$2="交付申請（２次）",IFERROR(IF(AL50+1&gt;DATE(2024,2,29),"",AL50+1),""),
IF(表紙!$X$2="変更申請",IFERROR(IF(AL50+1&gt;DATE(2024,2,29),"",AL50+1),""),
IF(表紙!$X$2="実績報告（１次）",IFERROR(IF(AL50+1&gt;DATE(2023,8,31),"",AL50+1),""),
IF(表紙!$X$2="実績報告（２次）",IFERROR(IF(AL50+1&gt;DATE(2024,2,29),"",AL50+1),""),
IF(表紙!$X$2="交付申請兼実績報告",IFERROR(IF(AL50+1&gt;DATE(2024,2,29),"",AL50+1),"")))))))</f>
        <v/>
      </c>
      <c r="AN50" s="568" t="str">
        <f xml:space="preserve">
IF(表紙!$X$2="事前協議",IFERROR(IF(AM50+1&gt;DATE(2024,2,29),"",AM50+1),""),
IF(表紙!$X$2="交付申請（２次）",IFERROR(IF(AM50+1&gt;DATE(2024,2,29),"",AM50+1),""),
IF(表紙!$X$2="変更申請",IFERROR(IF(AM50+1&gt;DATE(2024,2,29),"",AM50+1),""),
IF(表紙!$X$2="実績報告（１次）",IFERROR(IF(AM50+1&gt;DATE(2023,8,31),"",AM50+1),""),
IF(表紙!$X$2="実績報告（２次）",IFERROR(IF(AM50+1&gt;DATE(2024,2,29),"",AM50+1),""),
IF(表紙!$X$2="交付申請兼実績報告",IFERROR(IF(AM50+1&gt;DATE(2024,2,29),"",AM50+1),"")))))))</f>
        <v/>
      </c>
      <c r="AO50" s="1492"/>
      <c r="AP50" s="1493"/>
      <c r="AQ50" s="1494"/>
      <c r="AR50" s="1492"/>
      <c r="AS50" s="1493"/>
      <c r="AT50" s="1494"/>
      <c r="AU50" s="1412"/>
      <c r="AV50" s="795"/>
      <c r="AW50" s="795"/>
      <c r="AX50" s="315"/>
      <c r="AY50" s="315"/>
      <c r="BA50" s="235" t="str">
        <f>TEXT(H50&amp;":"&amp;J50,"hh:mm")</f>
        <v>:45323</v>
      </c>
      <c r="BB50" s="235" t="str">
        <f>TEXT(L50&amp;":"&amp;N50,"hh:mm")</f>
        <v>45325:45327</v>
      </c>
      <c r="BC50" s="235" t="str">
        <f>TEXT(O50&amp;":"&amp;Q50,"hh:mm")</f>
        <v>45328:45330</v>
      </c>
      <c r="BD50" s="235" t="str">
        <f>TEXT(S50&amp;":"&amp;U50,"hh:mm")</f>
        <v>45332:45334</v>
      </c>
      <c r="BE50" s="235" t="str">
        <f>TEXT(V50&amp;":"&amp;X50,"hh:mm")</f>
        <v>45335:45337</v>
      </c>
      <c r="BF50" s="235" t="str">
        <f>TEXT(Z50&amp;":"&amp;AB50,"hh:mm")</f>
        <v>45339:45341</v>
      </c>
      <c r="BG50" s="795"/>
    </row>
    <row r="51" spans="1:78" ht="18" customHeight="1" thickBot="1">
      <c r="A51" s="316" t="s">
        <v>1026</v>
      </c>
      <c r="B51" s="1507"/>
      <c r="C51" s="1508"/>
      <c r="D51" s="1508"/>
      <c r="E51" s="1508"/>
      <c r="F51" s="1508"/>
      <c r="G51" s="1508"/>
      <c r="H51" s="1508"/>
      <c r="I51" s="1509"/>
      <c r="J51" s="317" t="str">
        <f>TEXT(J50,"aaa")</f>
        <v>木</v>
      </c>
      <c r="K51" s="318" t="str">
        <f>TEXT(K50,"aaa")</f>
        <v>金</v>
      </c>
      <c r="L51" s="318" t="str">
        <f t="shared" ref="L51" si="38">TEXT(L50,"aaa")</f>
        <v>土</v>
      </c>
      <c r="M51" s="318" t="str">
        <f t="shared" ref="M51" si="39">TEXT(M50,"aaa")</f>
        <v>日</v>
      </c>
      <c r="N51" s="318" t="str">
        <f t="shared" ref="N51" si="40">TEXT(N50,"aaa")</f>
        <v>月</v>
      </c>
      <c r="O51" s="318" t="str">
        <f t="shared" ref="O51" si="41">TEXT(O50,"aaa")</f>
        <v>火</v>
      </c>
      <c r="P51" s="318" t="str">
        <f t="shared" ref="P51" si="42">TEXT(P50,"aaa")</f>
        <v>水</v>
      </c>
      <c r="Q51" s="318" t="str">
        <f t="shared" ref="Q51" si="43">TEXT(Q50,"aaa")</f>
        <v>木</v>
      </c>
      <c r="R51" s="318" t="str">
        <f t="shared" ref="R51" si="44">TEXT(R50,"aaa")</f>
        <v>金</v>
      </c>
      <c r="S51" s="318" t="str">
        <f t="shared" ref="S51" si="45">TEXT(S50,"aaa")</f>
        <v>土</v>
      </c>
      <c r="T51" s="318" t="str">
        <f t="shared" ref="T51" si="46">TEXT(T50,"aaa")</f>
        <v>日</v>
      </c>
      <c r="U51" s="318" t="str">
        <f t="shared" ref="U51" si="47">TEXT(U50,"aaa")</f>
        <v>月</v>
      </c>
      <c r="V51" s="318" t="str">
        <f t="shared" ref="V51" si="48">TEXT(V50,"aaa")</f>
        <v>火</v>
      </c>
      <c r="W51" s="318" t="str">
        <f t="shared" ref="W51" si="49">TEXT(W50,"aaa")</f>
        <v>水</v>
      </c>
      <c r="X51" s="318" t="str">
        <f t="shared" ref="X51" si="50">TEXT(X50,"aaa")</f>
        <v>木</v>
      </c>
      <c r="Y51" s="318" t="str">
        <f t="shared" ref="Y51" si="51">TEXT(Y50,"aaa")</f>
        <v>金</v>
      </c>
      <c r="Z51" s="318" t="str">
        <f t="shared" ref="Z51" si="52">TEXT(Z50,"aaa")</f>
        <v>土</v>
      </c>
      <c r="AA51" s="318" t="str">
        <f t="shared" ref="AA51" si="53">TEXT(AA50,"aaa")</f>
        <v>日</v>
      </c>
      <c r="AB51" s="318" t="str">
        <f t="shared" ref="AB51" si="54">TEXT(AB50,"aaa")</f>
        <v>月</v>
      </c>
      <c r="AC51" s="318" t="str">
        <f t="shared" ref="AC51" si="55">TEXT(AC50,"aaa")</f>
        <v>火</v>
      </c>
      <c r="AD51" s="318" t="str">
        <f t="shared" ref="AD51" si="56">TEXT(AD50,"aaa")</f>
        <v>水</v>
      </c>
      <c r="AE51" s="318" t="str">
        <f t="shared" ref="AE51" si="57">TEXT(AE50,"aaa")</f>
        <v>木</v>
      </c>
      <c r="AF51" s="318" t="str">
        <f t="shared" ref="AF51" si="58">TEXT(AF50,"aaa")</f>
        <v>金</v>
      </c>
      <c r="AG51" s="318" t="str">
        <f t="shared" ref="AG51" si="59">TEXT(AG50,"aaa")</f>
        <v>土</v>
      </c>
      <c r="AH51" s="318" t="str">
        <f t="shared" ref="AH51" si="60">TEXT(AH50,"aaa")</f>
        <v>日</v>
      </c>
      <c r="AI51" s="318" t="str">
        <f t="shared" ref="AI51" si="61">TEXT(AI50,"aaa")</f>
        <v>月</v>
      </c>
      <c r="AJ51" s="318" t="str">
        <f t="shared" ref="AJ51" si="62">TEXT(AJ50,"aaa")</f>
        <v>火</v>
      </c>
      <c r="AK51" s="318" t="str">
        <f t="shared" ref="AK51" si="63">TEXT(AK50,"aaa")</f>
        <v>水</v>
      </c>
      <c r="AL51" s="318" t="str">
        <f t="shared" ref="AL51" si="64">TEXT(AL50,"aaa")</f>
        <v>木</v>
      </c>
      <c r="AM51" s="318" t="str">
        <f t="shared" ref="AM51" si="65">TEXT(AM50,"aaa")</f>
        <v/>
      </c>
      <c r="AN51" s="318" t="str">
        <f t="shared" ref="AN51" si="66">TEXT(AN50,"aaa")</f>
        <v/>
      </c>
      <c r="AO51" s="1480" t="str">
        <f xml:space="preserve">
IF(AU53="×","×",
IF(表紙!$X$2="事前協議",COUNTIF(J53:AL53,"&gt;0"),
IF(表紙!$X$2="交付申請（２次）",COUNTIF(J53:AL53,"&gt;0"),
IF(表紙!$X$2="変更申請",COUNTIF(J53:AL53,"&gt;0"),
IF(表紙!$X$2="実績報告（１次）",COUNTIF(J53:AN53,"&gt;0"),
IF(表紙!$X$2="実績報告（２次）",COUNTIF(J53:AL53,"&gt;0"),
IF(表紙!$X$2="交付申請兼実績報告",COUNTIF(J53:AL53,"&gt;0"))))))))</f>
        <v>×</v>
      </c>
      <c r="AP51" s="1481"/>
      <c r="AQ51" s="1482"/>
      <c r="AR51" s="1480" t="s">
        <v>1050</v>
      </c>
      <c r="AS51" s="1481"/>
      <c r="AT51" s="1482"/>
      <c r="AU51" s="1412"/>
      <c r="AV51" s="795"/>
      <c r="AW51" s="795"/>
      <c r="AX51" s="315"/>
      <c r="AY51" s="315"/>
      <c r="BA51" s="235" t="str">
        <f>TEXT(H51&amp;":"&amp;J51,"hh:mm")</f>
        <v>:木</v>
      </c>
      <c r="BB51" s="235" t="str">
        <f>TEXT(L51&amp;":"&amp;N51,"hh:mm")</f>
        <v>土:月</v>
      </c>
      <c r="BC51" s="235" t="str">
        <f>TEXT(O51&amp;":"&amp;Q51,"hh:mm")</f>
        <v>火:木</v>
      </c>
      <c r="BD51" s="235" t="str">
        <f>TEXT(S51&amp;":"&amp;U51,"hh:mm")</f>
        <v>土:月</v>
      </c>
      <c r="BE51" s="235" t="str">
        <f>TEXT(V51&amp;":"&amp;X51,"hh:mm")</f>
        <v>火:木</v>
      </c>
      <c r="BF51" s="235" t="str">
        <f>TEXT(Z51&amp;":"&amp;AB51,"hh:mm")</f>
        <v>土:月</v>
      </c>
      <c r="BG51" s="222"/>
    </row>
    <row r="52" spans="1:78" ht="18" customHeight="1" thickTop="1" thickBot="1">
      <c r="A52" s="316"/>
      <c r="B52" s="1408" t="s">
        <v>1458</v>
      </c>
      <c r="C52" s="1409"/>
      <c r="D52" s="1409"/>
      <c r="E52" s="1409"/>
      <c r="F52" s="1409"/>
      <c r="G52" s="1409"/>
      <c r="H52" s="1409"/>
      <c r="I52" s="1410"/>
      <c r="J52" s="728">
        <v>1</v>
      </c>
      <c r="K52" s="729">
        <v>1</v>
      </c>
      <c r="L52" s="729">
        <v>1</v>
      </c>
      <c r="M52" s="729">
        <v>1</v>
      </c>
      <c r="N52" s="729">
        <v>1</v>
      </c>
      <c r="O52" s="729">
        <v>1</v>
      </c>
      <c r="P52" s="729">
        <v>1</v>
      </c>
      <c r="Q52" s="729">
        <v>1</v>
      </c>
      <c r="R52" s="729">
        <v>1</v>
      </c>
      <c r="S52" s="729">
        <v>1</v>
      </c>
      <c r="T52" s="729">
        <v>1</v>
      </c>
      <c r="U52" s="729">
        <v>1</v>
      </c>
      <c r="V52" s="729">
        <v>1</v>
      </c>
      <c r="W52" s="729">
        <v>1</v>
      </c>
      <c r="X52" s="729">
        <v>1</v>
      </c>
      <c r="Y52" s="729">
        <v>1</v>
      </c>
      <c r="Z52" s="729">
        <v>1</v>
      </c>
      <c r="AA52" s="729">
        <v>1</v>
      </c>
      <c r="AB52" s="729">
        <v>1</v>
      </c>
      <c r="AC52" s="729">
        <v>1</v>
      </c>
      <c r="AD52" s="729">
        <v>1</v>
      </c>
      <c r="AE52" s="729">
        <v>1</v>
      </c>
      <c r="AF52" s="729">
        <v>1</v>
      </c>
      <c r="AG52" s="729">
        <v>1</v>
      </c>
      <c r="AH52" s="729">
        <v>1</v>
      </c>
      <c r="AI52" s="729">
        <v>1</v>
      </c>
      <c r="AJ52" s="729">
        <v>1</v>
      </c>
      <c r="AK52" s="729">
        <v>1</v>
      </c>
      <c r="AL52" s="729">
        <v>1</v>
      </c>
      <c r="AM52" s="729">
        <v>0</v>
      </c>
      <c r="AN52" s="735">
        <v>0</v>
      </c>
      <c r="AO52" s="1414">
        <f xml:space="preserve">
COUNTIF(J52:AN52,1)</f>
        <v>29</v>
      </c>
      <c r="AP52" s="1415"/>
      <c r="AQ52" s="1416"/>
      <c r="AR52" s="731"/>
      <c r="AS52" s="732"/>
      <c r="AT52" s="733"/>
      <c r="AU52" s="1413"/>
      <c r="AV52" s="795"/>
      <c r="AW52" s="795"/>
      <c r="AX52" s="315"/>
      <c r="AY52" s="315"/>
      <c r="BA52" s="235"/>
      <c r="BB52" s="235"/>
      <c r="BC52" s="235"/>
      <c r="BD52" s="235"/>
      <c r="BE52" s="235"/>
      <c r="BF52" s="235"/>
      <c r="BG52" s="222"/>
    </row>
    <row r="53" spans="1:78" ht="18" customHeight="1" thickTop="1">
      <c r="A53" s="316" t="s">
        <v>1029</v>
      </c>
      <c r="B53" s="1512" t="s">
        <v>1150</v>
      </c>
      <c r="C53" s="1513"/>
      <c r="D53" s="1513"/>
      <c r="E53" s="1513"/>
      <c r="F53" s="1513"/>
      <c r="G53" s="1513"/>
      <c r="H53" s="1513"/>
      <c r="I53" s="1514"/>
      <c r="J53" s="304"/>
      <c r="K53" s="305"/>
      <c r="L53" s="305"/>
      <c r="M53" s="305"/>
      <c r="N53" s="305"/>
      <c r="O53" s="305"/>
      <c r="P53" s="305"/>
      <c r="Q53" s="305"/>
      <c r="R53" s="305"/>
      <c r="S53" s="305"/>
      <c r="T53" s="305"/>
      <c r="U53" s="305"/>
      <c r="V53" s="305"/>
      <c r="W53" s="305"/>
      <c r="X53" s="305"/>
      <c r="Y53" s="305"/>
      <c r="Z53" s="305"/>
      <c r="AA53" s="305"/>
      <c r="AB53" s="305"/>
      <c r="AC53" s="305"/>
      <c r="AD53" s="305"/>
      <c r="AE53" s="305"/>
      <c r="AF53" s="305"/>
      <c r="AG53" s="305"/>
      <c r="AH53" s="305"/>
      <c r="AI53" s="305"/>
      <c r="AJ53" s="305"/>
      <c r="AK53" s="305"/>
      <c r="AL53" s="305"/>
      <c r="AM53" s="306"/>
      <c r="AN53" s="306"/>
      <c r="AO53" s="1515" t="str">
        <f xml:space="preserve">
IF(AU53="×","×",
IF(表紙!$X$2="事前協議",SUM(J53:AL53),
IF(表紙!$X$2="交付申請（２次）",SUM(J53:AL53),
IF(表紙!$X$2="変更申請",SUM(J53:AL53),
IF(表紙!$X$2="実績報告（１次）",SUM(J53:AN53),
IF(表紙!$X$2="実績報告（２次）",SUM(J53:AL53),
IF(表紙!$X$2="交付申請兼実績報告",SUM(J53:AL53))))))))</f>
        <v>×</v>
      </c>
      <c r="AP53" s="1516"/>
      <c r="AQ53" s="1517"/>
      <c r="AR53" s="1496" t="str">
        <f>IF(AU53="○",ROUNDDOWN(AO53/AO51,1),"×")</f>
        <v>×</v>
      </c>
      <c r="AS53" s="1497"/>
      <c r="AT53" s="1498"/>
      <c r="AU53" s="1510" t="str">
        <f xml:space="preserve">
IF(AND(表紙!$X$2="実績報告（１次）",
OR(COUNTA(J53:AN54)&lt;&gt;62,J54&gt;J53,K54&gt;K53,L54&gt;L53,M54&gt;M53,N54&gt;N53,O54&gt;O53,P54&gt;P53,Q54&gt;Q53,R54&gt;R53,S54&gt;S53,T54&gt;T53,U54&gt;U53,V54&gt;V53,W54&gt;W53,X54&gt;X53,Y54&gt;Y53,Z54&gt;Z53,AA54&gt;AA53,AB54&gt;AB53,AC54&gt;AC53,AD54&gt;AD53,AE54&gt;AE53,AF54&gt;AF53,AG54&gt;AG53,AH54&gt;AH53,AI54&gt;AI53,AJ54&gt;AJ53,AK54&gt;AK53,AL54&gt;AL53,AM54&gt;AM53,AN54&gt;AN53)),"×",
IF(AND(OR(表紙!$X$2="実績報告（２次）",表紙!$X$2="交付申請兼実績報告"),
OR(COUNTA(J53:AL54)&lt;&gt;58,J54&gt;J53,K54&gt;K53,L54&gt;L53,M54&gt;M53,N54&gt;N53,O54&gt;O53,P54&gt;P53,Q54&gt;Q53,R54&gt;R53,S54&gt;S53,T54&gt;T53,U54&gt;U53,V54&gt;V53,W54&gt;W53,X54&gt;X53,Y54&gt;Y53,Z54&gt;Z53,AA54&gt;AA53,AB54&gt;AB53,AC54&gt;AC53,AD54&gt;AD53,AE54&gt;AE53,AF54&gt;AF53,AG54&gt;AG53,AH54&gt;AH53,AI54&gt;AI53,AJ54&gt;AJ53,AK54&gt;AK53,AL54&gt;AL53)),"×","○"))</f>
        <v>×</v>
      </c>
      <c r="AV53" s="795"/>
      <c r="AW53" s="795"/>
      <c r="AX53" s="315"/>
      <c r="AY53" s="315"/>
      <c r="BA53" s="235" t="e">
        <f>TEXT(#REF!&amp;":"&amp;#REF!,"hh:mm")</f>
        <v>#REF!</v>
      </c>
      <c r="BB53" s="235" t="e">
        <f>TEXT(#REF!&amp;":"&amp;#REF!,"hh:mm")</f>
        <v>#REF!</v>
      </c>
      <c r="BC53" s="235" t="e">
        <f>TEXT(#REF!&amp;":"&amp;#REF!,"hh:mm")</f>
        <v>#REF!</v>
      </c>
      <c r="BD53" s="235" t="e">
        <f>TEXT(#REF!&amp;":"&amp;#REF!,"hh:mm")</f>
        <v>#REF!</v>
      </c>
      <c r="BE53" s="235" t="e">
        <f>TEXT(#REF!&amp;":"&amp;#REF!,"hh:mm")</f>
        <v>#REF!</v>
      </c>
      <c r="BF53" s="235" t="e">
        <f>TEXT(#REF!&amp;":"&amp;#REF!,"hh:mm")</f>
        <v>#REF!</v>
      </c>
      <c r="BG53" s="222"/>
    </row>
    <row r="54" spans="1:78" ht="18" customHeight="1" thickBot="1">
      <c r="A54" s="316" t="s">
        <v>1031</v>
      </c>
      <c r="B54" s="1420" t="s">
        <v>1052</v>
      </c>
      <c r="C54" s="1421"/>
      <c r="D54" s="1421"/>
      <c r="E54" s="1421"/>
      <c r="F54" s="1421"/>
      <c r="G54" s="1421"/>
      <c r="H54" s="1421"/>
      <c r="I54" s="1422"/>
      <c r="J54" s="736"/>
      <c r="K54" s="737"/>
      <c r="L54" s="737"/>
      <c r="M54" s="737"/>
      <c r="N54" s="737"/>
      <c r="O54" s="737"/>
      <c r="P54" s="737"/>
      <c r="Q54" s="737"/>
      <c r="R54" s="737"/>
      <c r="S54" s="737"/>
      <c r="T54" s="737"/>
      <c r="U54" s="737"/>
      <c r="V54" s="737"/>
      <c r="W54" s="737"/>
      <c r="X54" s="737"/>
      <c r="Y54" s="737"/>
      <c r="Z54" s="737"/>
      <c r="AA54" s="737"/>
      <c r="AB54" s="737"/>
      <c r="AC54" s="737"/>
      <c r="AD54" s="737"/>
      <c r="AE54" s="737"/>
      <c r="AF54" s="737"/>
      <c r="AG54" s="737"/>
      <c r="AH54" s="737"/>
      <c r="AI54" s="737"/>
      <c r="AJ54" s="737"/>
      <c r="AK54" s="737"/>
      <c r="AL54" s="737"/>
      <c r="AM54" s="738"/>
      <c r="AN54" s="738"/>
      <c r="AO54" s="1423" t="str">
        <f xml:space="preserve">
IF(AU53="×","×",
IF(表紙!$X$2="事前協議",SUM(J54:AL54),
IF(表紙!$X$2="交付申請（２次）",SUM(J54:AL54),
IF(表紙!$X$2="変更申請",SUM(J54:AL54),
IF(表紙!$X$2="実績報告（１次）",SUM(J54:AN54),
IF(表紙!$X$2="実績報告（２次）",SUM(J54:AL54),
IF(表紙!$X$2="交付申請兼実績報告",SUM(J54:AL54))))))))</f>
        <v>×</v>
      </c>
      <c r="AP54" s="1635"/>
      <c r="AQ54" s="1636"/>
      <c r="AR54" s="1417" t="str">
        <f>IF(AU53="○",ROUNDDOWN(AO54/AO51,1),"×")</f>
        <v>×</v>
      </c>
      <c r="AS54" s="1418"/>
      <c r="AT54" s="1419"/>
      <c r="AU54" s="1511"/>
      <c r="AV54" s="795"/>
      <c r="AW54" s="795"/>
      <c r="AX54" s="319"/>
      <c r="AY54" s="315"/>
      <c r="BA54" s="235" t="str">
        <f>TEXT(H53&amp;":"&amp;J53,"hh:mm")</f>
        <v>:</v>
      </c>
      <c r="BB54" s="235" t="str">
        <f>TEXT(L53&amp;":"&amp;N53,"hh:mm")</f>
        <v>:</v>
      </c>
      <c r="BC54" s="235" t="str">
        <f>TEXT(O53&amp;":"&amp;Q53,"hh:mm")</f>
        <v>:</v>
      </c>
      <c r="BD54" s="235" t="str">
        <f>TEXT(S53&amp;":"&amp;U53,"hh:mm")</f>
        <v>:</v>
      </c>
      <c r="BE54" s="235" t="str">
        <f>TEXT(V53&amp;":"&amp;X53,"hh:mm")</f>
        <v>:</v>
      </c>
      <c r="BF54" s="235" t="str">
        <f>TEXT(Z53&amp;":"&amp;AB53,"hh:mm")</f>
        <v>:</v>
      </c>
      <c r="BG54" s="222"/>
    </row>
    <row r="55" spans="1:78" ht="18.75" thickBot="1">
      <c r="BZ55" s="237"/>
    </row>
    <row r="56" spans="1:78" ht="18" customHeight="1" thickTop="1">
      <c r="B56" s="1489" t="s">
        <v>1189</v>
      </c>
      <c r="C56" s="1490"/>
      <c r="D56" s="1490"/>
      <c r="E56" s="1490"/>
      <c r="F56" s="1490"/>
      <c r="G56" s="1490"/>
      <c r="H56" s="1490"/>
      <c r="I56" s="1491"/>
      <c r="J56" s="1426">
        <f>AF16</f>
        <v>3</v>
      </c>
      <c r="K56" s="1427"/>
      <c r="L56" s="1427"/>
      <c r="M56" s="1427"/>
      <c r="N56" s="1427"/>
      <c r="O56" s="1427"/>
      <c r="P56" s="1427"/>
      <c r="Q56" s="1427"/>
      <c r="R56" s="1427"/>
      <c r="S56" s="1427"/>
      <c r="T56" s="1427"/>
      <c r="U56" s="1427"/>
      <c r="V56" s="1427"/>
      <c r="W56" s="1427"/>
      <c r="X56" s="1427"/>
      <c r="Y56" s="1427"/>
      <c r="Z56" s="1427"/>
      <c r="AA56" s="1427"/>
      <c r="AB56" s="1427"/>
      <c r="AC56" s="1427"/>
      <c r="AD56" s="1427"/>
      <c r="AE56" s="1427"/>
      <c r="AF56" s="1427"/>
      <c r="AG56" s="1427"/>
      <c r="AH56" s="1427"/>
      <c r="AI56" s="1427"/>
      <c r="AJ56" s="1427"/>
      <c r="AK56" s="1427"/>
      <c r="AL56" s="1427"/>
      <c r="AM56" s="1427"/>
      <c r="AN56" s="1429"/>
      <c r="AO56" s="1489" t="s">
        <v>1193</v>
      </c>
      <c r="AP56" s="1490"/>
      <c r="AQ56" s="1491"/>
      <c r="AR56" s="1489" t="s">
        <v>1194</v>
      </c>
      <c r="AS56" s="1490"/>
      <c r="AT56" s="1491"/>
      <c r="AU56" s="1411" t="s">
        <v>98</v>
      </c>
      <c r="AV56" s="795"/>
      <c r="AW56" s="1637" t="s">
        <v>1482</v>
      </c>
      <c r="AX56" s="1618"/>
      <c r="AY56" s="1618"/>
      <c r="AZ56" s="795"/>
      <c r="BB56" s="222"/>
      <c r="BC56" s="230"/>
      <c r="BD56" s="795"/>
      <c r="BE56" s="795"/>
      <c r="BG56" s="795"/>
    </row>
    <row r="57" spans="1:78" ht="18" customHeight="1">
      <c r="A57" s="314" t="s">
        <v>1024</v>
      </c>
      <c r="B57" s="1492"/>
      <c r="C57" s="1506"/>
      <c r="D57" s="1506"/>
      <c r="E57" s="1506"/>
      <c r="F57" s="1506"/>
      <c r="G57" s="1506"/>
      <c r="H57" s="1506"/>
      <c r="I57" s="1494"/>
      <c r="J57" s="567">
        <f xml:space="preserve">
IF(表紙!$X$2="事前協議",DATE(2024,J56,1),
IF(表紙!$X$2="交付申請（２次）",DATE(2024,J56,1),
IF(表紙!$X$2="変更申請",DATE(2024,J56,1),
IF(表紙!$X$2="実績報告（１次）",DATE(2023,J56,1),
IF(表紙!$X$2="実績報告（２次）",DATE(2024,J56,1),
IF(表紙!$X$2="交付申請兼実績報告",DATE(2024,J56,1)))))))</f>
        <v>45352</v>
      </c>
      <c r="K57" s="568">
        <f xml:space="preserve">
IF(表紙!$X$2="事前協議",IFERROR(IF(J57+1&gt;DATE(2024,3,31),"",J57+1),""),
IF(表紙!$X$2="交付申請（２次）",IFERROR(IF(J57+1&gt;DATE(2024,3,31),"",J57+1),""),
IF(表紙!$X$2="変更申請",IFERROR(IF(J57+1&gt;DATE(2024,3,31),"",J57+1),""),
IF(表紙!$X$2="実績報告（１次）",IFERROR(IF(J57+1&gt;DATE(2023,9,30),"",J57+1),""),
IF(表紙!$X$2="実績報告（２次）",IFERROR(IF(J57+1&gt;DATE(2024,3,31),"",J57+1),""),
IF(表紙!$X$2="交付申請兼実績報告",IFERROR(IF(J57+1&gt;DATE(2024,3,31),"",J57+1),"")))))))</f>
        <v>45353</v>
      </c>
      <c r="L57" s="568">
        <f xml:space="preserve">
IF(表紙!$X$2="事前協議",IFERROR(IF(K57+1&gt;DATE(2024,3,31),"",K57+1),""),
IF(表紙!$X$2="交付申請（２次）",IFERROR(IF(K57+1&gt;DATE(2024,3,31),"",K57+1),""),
IF(表紙!$X$2="変更申請",IFERROR(IF(K57+1&gt;DATE(2024,3,31),"",K57+1),""),
IF(表紙!$X$2="実績報告（１次）",IFERROR(IF(K57+1&gt;DATE(2023,9,30),"",K57+1),""),
IF(表紙!$X$2="実績報告（２次）",IFERROR(IF(K57+1&gt;DATE(2024,3,31),"",K57+1),""),
IF(表紙!$X$2="交付申請兼実績報告",IFERROR(IF(K57+1&gt;DATE(2024,3,31),"",K57+1),"")))))))</f>
        <v>45354</v>
      </c>
      <c r="M57" s="568">
        <f xml:space="preserve">
IF(表紙!$X$2="事前協議",IFERROR(IF(L57+1&gt;DATE(2024,3,31),"",L57+1),""),
IF(表紙!$X$2="交付申請（２次）",IFERROR(IF(L57+1&gt;DATE(2024,3,31),"",L57+1),""),
IF(表紙!$X$2="変更申請",IFERROR(IF(L57+1&gt;DATE(2024,3,31),"",L57+1),""),
IF(表紙!$X$2="実績報告（１次）",IFERROR(IF(L57+1&gt;DATE(2023,9,30),"",L57+1),""),
IF(表紙!$X$2="実績報告（２次）",IFERROR(IF(L57+1&gt;DATE(2024,3,31),"",L57+1),""),
IF(表紙!$X$2="交付申請兼実績報告",IFERROR(IF(L57+1&gt;DATE(2024,3,31),"",L57+1),"")))))))</f>
        <v>45355</v>
      </c>
      <c r="N57" s="568">
        <f xml:space="preserve">
IF(表紙!$X$2="事前協議",IFERROR(IF(M57+1&gt;DATE(2024,3,31),"",M57+1),""),
IF(表紙!$X$2="交付申請（２次）",IFERROR(IF(M57+1&gt;DATE(2024,3,31),"",M57+1),""),
IF(表紙!$X$2="変更申請",IFERROR(IF(M57+1&gt;DATE(2024,3,31),"",M57+1),""),
IF(表紙!$X$2="実績報告（１次）",IFERROR(IF(M57+1&gt;DATE(2023,9,30),"",M57+1),""),
IF(表紙!$X$2="実績報告（２次）",IFERROR(IF(M57+1&gt;DATE(2024,3,31),"",M57+1),""),
IF(表紙!$X$2="交付申請兼実績報告",IFERROR(IF(M57+1&gt;DATE(2024,3,31),"",M57+1),"")))))))</f>
        <v>45356</v>
      </c>
      <c r="O57" s="568">
        <f xml:space="preserve">
IF(表紙!$X$2="事前協議",IFERROR(IF(N57+1&gt;DATE(2024,3,31),"",N57+1),""),
IF(表紙!$X$2="交付申請（２次）",IFERROR(IF(N57+1&gt;DATE(2024,3,31),"",N57+1),""),
IF(表紙!$X$2="変更申請",IFERROR(IF(N57+1&gt;DATE(2024,3,31),"",N57+1),""),
IF(表紙!$X$2="実績報告（１次）",IFERROR(IF(N57+1&gt;DATE(2023,9,30),"",N57+1),""),
IF(表紙!$X$2="実績報告（２次）",IFERROR(IF(N57+1&gt;DATE(2024,3,31),"",N57+1),""),
IF(表紙!$X$2="交付申請兼実績報告",IFERROR(IF(N57+1&gt;DATE(2024,3,31),"",N57+1),"")))))))</f>
        <v>45357</v>
      </c>
      <c r="P57" s="568">
        <f xml:space="preserve">
IF(表紙!$X$2="事前協議",IFERROR(IF(O57+1&gt;DATE(2024,3,31),"",O57+1),""),
IF(表紙!$X$2="交付申請（２次）",IFERROR(IF(O57+1&gt;DATE(2024,3,31),"",O57+1),""),
IF(表紙!$X$2="変更申請",IFERROR(IF(O57+1&gt;DATE(2024,3,31),"",O57+1),""),
IF(表紙!$X$2="実績報告（１次）",IFERROR(IF(O57+1&gt;DATE(2023,9,30),"",O57+1),""),
IF(表紙!$X$2="実績報告（２次）",IFERROR(IF(O57+1&gt;DATE(2024,3,31),"",O57+1),""),
IF(表紙!$X$2="交付申請兼実績報告",IFERROR(IF(O57+1&gt;DATE(2024,3,31),"",O57+1),"")))))))</f>
        <v>45358</v>
      </c>
      <c r="Q57" s="568">
        <f xml:space="preserve">
IF(表紙!$X$2="事前協議",IFERROR(IF(P57+1&gt;DATE(2024,3,31),"",P57+1),""),
IF(表紙!$X$2="交付申請（２次）",IFERROR(IF(P57+1&gt;DATE(2024,3,31),"",P57+1),""),
IF(表紙!$X$2="変更申請",IFERROR(IF(P57+1&gt;DATE(2024,3,31),"",P57+1),""),
IF(表紙!$X$2="実績報告（１次）",IFERROR(IF(P57+1&gt;DATE(2023,9,30),"",P57+1),""),
IF(表紙!$X$2="実績報告（２次）",IFERROR(IF(P57+1&gt;DATE(2024,3,31),"",P57+1),""),
IF(表紙!$X$2="交付申請兼実績報告",IFERROR(IF(P57+1&gt;DATE(2024,3,31),"",P57+1),"")))))))</f>
        <v>45359</v>
      </c>
      <c r="R57" s="568">
        <f xml:space="preserve">
IF(表紙!$X$2="事前協議",IFERROR(IF(Q57+1&gt;DATE(2024,3,31),"",Q57+1),""),
IF(表紙!$X$2="交付申請（２次）",IFERROR(IF(Q57+1&gt;DATE(2024,3,31),"",Q57+1),""),
IF(表紙!$X$2="変更申請",IFERROR(IF(Q57+1&gt;DATE(2024,3,31),"",Q57+1),""),
IF(表紙!$X$2="実績報告（１次）",IFERROR(IF(Q57+1&gt;DATE(2023,9,30),"",Q57+1),""),
IF(表紙!$X$2="実績報告（２次）",IFERROR(IF(Q57+1&gt;DATE(2024,3,31),"",Q57+1),""),
IF(表紙!$X$2="交付申請兼実績報告",IFERROR(IF(Q57+1&gt;DATE(2024,3,31),"",Q57+1),"")))))))</f>
        <v>45360</v>
      </c>
      <c r="S57" s="568">
        <f xml:space="preserve">
IF(表紙!$X$2="事前協議",IFERROR(IF(R57+1&gt;DATE(2024,3,31),"",R57+1),""),
IF(表紙!$X$2="交付申請（２次）",IFERROR(IF(R57+1&gt;DATE(2024,3,31),"",R57+1),""),
IF(表紙!$X$2="変更申請",IFERROR(IF(R57+1&gt;DATE(2024,3,31),"",R57+1),""),
IF(表紙!$X$2="実績報告（１次）",IFERROR(IF(R57+1&gt;DATE(2023,9,30),"",R57+1),""),
IF(表紙!$X$2="実績報告（２次）",IFERROR(IF(R57+1&gt;DATE(2024,3,31),"",R57+1),""),
IF(表紙!$X$2="交付申請兼実績報告",IFERROR(IF(R57+1&gt;DATE(2024,3,31),"",R57+1),"")))))))</f>
        <v>45361</v>
      </c>
      <c r="T57" s="568">
        <f xml:space="preserve">
IF(表紙!$X$2="事前協議",IFERROR(IF(S57+1&gt;DATE(2024,3,31),"",S57+1),""),
IF(表紙!$X$2="交付申請（２次）",IFERROR(IF(S57+1&gt;DATE(2024,3,31),"",S57+1),""),
IF(表紙!$X$2="変更申請",IFERROR(IF(S57+1&gt;DATE(2024,3,31),"",S57+1),""),
IF(表紙!$X$2="実績報告（１次）",IFERROR(IF(S57+1&gt;DATE(2023,9,30),"",S57+1),""),
IF(表紙!$X$2="実績報告（２次）",IFERROR(IF(S57+1&gt;DATE(2024,3,31),"",S57+1),""),
IF(表紙!$X$2="交付申請兼実績報告",IFERROR(IF(S57+1&gt;DATE(2024,3,31),"",S57+1),"")))))))</f>
        <v>45362</v>
      </c>
      <c r="U57" s="568">
        <f xml:space="preserve">
IF(表紙!$X$2="事前協議",IFERROR(IF(T57+1&gt;DATE(2024,3,31),"",T57+1),""),
IF(表紙!$X$2="交付申請（２次）",IFERROR(IF(T57+1&gt;DATE(2024,3,31),"",T57+1),""),
IF(表紙!$X$2="変更申請",IFERROR(IF(T57+1&gt;DATE(2024,3,31),"",T57+1),""),
IF(表紙!$X$2="実績報告（１次）",IFERROR(IF(T57+1&gt;DATE(2023,9,30),"",T57+1),""),
IF(表紙!$X$2="実績報告（２次）",IFERROR(IF(T57+1&gt;DATE(2024,3,31),"",T57+1),""),
IF(表紙!$X$2="交付申請兼実績報告",IFERROR(IF(T57+1&gt;DATE(2024,3,31),"",T57+1),"")))))))</f>
        <v>45363</v>
      </c>
      <c r="V57" s="568">
        <f xml:space="preserve">
IF(表紙!$X$2="事前協議",IFERROR(IF(U57+1&gt;DATE(2024,3,31),"",U57+1),""),
IF(表紙!$X$2="交付申請（２次）",IFERROR(IF(U57+1&gt;DATE(2024,3,31),"",U57+1),""),
IF(表紙!$X$2="変更申請",IFERROR(IF(U57+1&gt;DATE(2024,3,31),"",U57+1),""),
IF(表紙!$X$2="実績報告（１次）",IFERROR(IF(U57+1&gt;DATE(2023,9,30),"",U57+1),""),
IF(表紙!$X$2="実績報告（２次）",IFERROR(IF(U57+1&gt;DATE(2024,3,31),"",U57+1),""),
IF(表紙!$X$2="交付申請兼実績報告",IFERROR(IF(U57+1&gt;DATE(2024,3,31),"",U57+1),"")))))))</f>
        <v>45364</v>
      </c>
      <c r="W57" s="568">
        <f xml:space="preserve">
IF(表紙!$X$2="事前協議",IFERROR(IF(V57+1&gt;DATE(2024,3,31),"",V57+1),""),
IF(表紙!$X$2="交付申請（２次）",IFERROR(IF(V57+1&gt;DATE(2024,3,31),"",V57+1),""),
IF(表紙!$X$2="変更申請",IFERROR(IF(V57+1&gt;DATE(2024,3,31),"",V57+1),""),
IF(表紙!$X$2="実績報告（１次）",IFERROR(IF(V57+1&gt;DATE(2023,9,30),"",V57+1),""),
IF(表紙!$X$2="実績報告（２次）",IFERROR(IF(V57+1&gt;DATE(2024,3,31),"",V57+1),""),
IF(表紙!$X$2="交付申請兼実績報告",IFERROR(IF(V57+1&gt;DATE(2024,3,31),"",V57+1),"")))))))</f>
        <v>45365</v>
      </c>
      <c r="X57" s="568">
        <f xml:space="preserve">
IF(表紙!$X$2="事前協議",IFERROR(IF(W57+1&gt;DATE(2024,3,31),"",W57+1),""),
IF(表紙!$X$2="交付申請（２次）",IFERROR(IF(W57+1&gt;DATE(2024,3,31),"",W57+1),""),
IF(表紙!$X$2="変更申請",IFERROR(IF(W57+1&gt;DATE(2024,3,31),"",W57+1),""),
IF(表紙!$X$2="実績報告（１次）",IFERROR(IF(W57+1&gt;DATE(2023,9,30),"",W57+1),""),
IF(表紙!$X$2="実績報告（２次）",IFERROR(IF(W57+1&gt;DATE(2024,3,31),"",W57+1),""),
IF(表紙!$X$2="交付申請兼実績報告",IFERROR(IF(W57+1&gt;DATE(2024,3,31),"",W57+1),"")))))))</f>
        <v>45366</v>
      </c>
      <c r="Y57" s="568">
        <f xml:space="preserve">
IF(表紙!$X$2="事前協議",IFERROR(IF(X57+1&gt;DATE(2024,3,31),"",X57+1),""),
IF(表紙!$X$2="交付申請（２次）",IFERROR(IF(X57+1&gt;DATE(2024,3,31),"",X57+1),""),
IF(表紙!$X$2="変更申請",IFERROR(IF(X57+1&gt;DATE(2024,3,31),"",X57+1),""),
IF(表紙!$X$2="実績報告（１次）",IFERROR(IF(X57+1&gt;DATE(2023,9,30),"",X57+1),""),
IF(表紙!$X$2="実績報告（２次）",IFERROR(IF(X57+1&gt;DATE(2024,3,31),"",X57+1),""),
IF(表紙!$X$2="交付申請兼実績報告",IFERROR(IF(X57+1&gt;DATE(2024,3,31),"",X57+1),"")))))))</f>
        <v>45367</v>
      </c>
      <c r="Z57" s="568">
        <f xml:space="preserve">
IF(表紙!$X$2="事前協議",IFERROR(IF(Y57+1&gt;DATE(2024,3,31),"",Y57+1),""),
IF(表紙!$X$2="交付申請（２次）",IFERROR(IF(Y57+1&gt;DATE(2024,3,31),"",Y57+1),""),
IF(表紙!$X$2="変更申請",IFERROR(IF(Y57+1&gt;DATE(2024,3,31),"",Y57+1),""),
IF(表紙!$X$2="実績報告（１次）",IFERROR(IF(Y57+1&gt;DATE(2023,9,30),"",Y57+1),""),
IF(表紙!$X$2="実績報告（２次）",IFERROR(IF(Y57+1&gt;DATE(2024,3,31),"",Y57+1),""),
IF(表紙!$X$2="交付申請兼実績報告",IFERROR(IF(Y57+1&gt;DATE(2024,3,31),"",Y57+1),"")))))))</f>
        <v>45368</v>
      </c>
      <c r="AA57" s="568">
        <f xml:space="preserve">
IF(表紙!$X$2="事前協議",IFERROR(IF(Z57+1&gt;DATE(2024,3,31),"",Z57+1),""),
IF(表紙!$X$2="交付申請（２次）",IFERROR(IF(Z57+1&gt;DATE(2024,3,31),"",Z57+1),""),
IF(表紙!$X$2="変更申請",IFERROR(IF(Z57+1&gt;DATE(2024,3,31),"",Z57+1),""),
IF(表紙!$X$2="実績報告（１次）",IFERROR(IF(Z57+1&gt;DATE(2023,9,30),"",Z57+1),""),
IF(表紙!$X$2="実績報告（２次）",IFERROR(IF(Z57+1&gt;DATE(2024,3,31),"",Z57+1),""),
IF(表紙!$X$2="交付申請兼実績報告",IFERROR(IF(Z57+1&gt;DATE(2024,3,31),"",Z57+1),"")))))))</f>
        <v>45369</v>
      </c>
      <c r="AB57" s="568">
        <f xml:space="preserve">
IF(表紙!$X$2="事前協議",IFERROR(IF(AA57+1&gt;DATE(2024,3,31),"",AA57+1),""),
IF(表紙!$X$2="交付申請（２次）",IFERROR(IF(AA57+1&gt;DATE(2024,3,31),"",AA57+1),""),
IF(表紙!$X$2="変更申請",IFERROR(IF(AA57+1&gt;DATE(2024,3,31),"",AA57+1),""),
IF(表紙!$X$2="実績報告（１次）",IFERROR(IF(AA57+1&gt;DATE(2023,9,30),"",AA57+1),""),
IF(表紙!$X$2="実績報告（２次）",IFERROR(IF(AA57+1&gt;DATE(2024,3,31),"",AA57+1),""),
IF(表紙!$X$2="交付申請兼実績報告",IFERROR(IF(AA57+1&gt;DATE(2024,3,31),"",AA57+1),"")))))))</f>
        <v>45370</v>
      </c>
      <c r="AC57" s="568">
        <f xml:space="preserve">
IF(表紙!$X$2="事前協議",IFERROR(IF(AB57+1&gt;DATE(2024,3,31),"",AB57+1),""),
IF(表紙!$X$2="交付申請（２次）",IFERROR(IF(AB57+1&gt;DATE(2024,3,31),"",AB57+1),""),
IF(表紙!$X$2="変更申請",IFERROR(IF(AB57+1&gt;DATE(2024,3,31),"",AB57+1),""),
IF(表紙!$X$2="実績報告（１次）",IFERROR(IF(AB57+1&gt;DATE(2023,9,30),"",AB57+1),""),
IF(表紙!$X$2="実績報告（２次）",IFERROR(IF(AB57+1&gt;DATE(2024,3,31),"",AB57+1),""),
IF(表紙!$X$2="交付申請兼実績報告",IFERROR(IF(AB57+1&gt;DATE(2024,3,31),"",AB57+1),"")))))))</f>
        <v>45371</v>
      </c>
      <c r="AD57" s="568">
        <f xml:space="preserve">
IF(表紙!$X$2="事前協議",IFERROR(IF(AC57+1&gt;DATE(2024,3,31),"",AC57+1),""),
IF(表紙!$X$2="交付申請（２次）",IFERROR(IF(AC57+1&gt;DATE(2024,3,31),"",AC57+1),""),
IF(表紙!$X$2="変更申請",IFERROR(IF(AC57+1&gt;DATE(2024,3,31),"",AC57+1),""),
IF(表紙!$X$2="実績報告（１次）",IFERROR(IF(AC57+1&gt;DATE(2023,9,30),"",AC57+1),""),
IF(表紙!$X$2="実績報告（２次）",IFERROR(IF(AC57+1&gt;DATE(2024,3,31),"",AC57+1),""),
IF(表紙!$X$2="交付申請兼実績報告",IFERROR(IF(AC57+1&gt;DATE(2024,3,31),"",AC57+1),"")))))))</f>
        <v>45372</v>
      </c>
      <c r="AE57" s="568">
        <f xml:space="preserve">
IF(表紙!$X$2="事前協議",IFERROR(IF(AD57+1&gt;DATE(2024,3,31),"",AD57+1),""),
IF(表紙!$X$2="交付申請（２次）",IFERROR(IF(AD57+1&gt;DATE(2024,3,31),"",AD57+1),""),
IF(表紙!$X$2="変更申請",IFERROR(IF(AD57+1&gt;DATE(2024,3,31),"",AD57+1),""),
IF(表紙!$X$2="実績報告（１次）",IFERROR(IF(AD57+1&gt;DATE(2023,9,30),"",AD57+1),""),
IF(表紙!$X$2="実績報告（２次）",IFERROR(IF(AD57+1&gt;DATE(2024,3,31),"",AD57+1),""),
IF(表紙!$X$2="交付申請兼実績報告",IFERROR(IF(AD57+1&gt;DATE(2024,3,31),"",AD57+1),"")))))))</f>
        <v>45373</v>
      </c>
      <c r="AF57" s="568">
        <f xml:space="preserve">
IF(表紙!$X$2="事前協議",IFERROR(IF(AE57+1&gt;DATE(2024,3,31),"",AE57+1),""),
IF(表紙!$X$2="交付申請（２次）",IFERROR(IF(AE57+1&gt;DATE(2024,3,31),"",AE57+1),""),
IF(表紙!$X$2="変更申請",IFERROR(IF(AE57+1&gt;DATE(2024,3,31),"",AE57+1),""),
IF(表紙!$X$2="実績報告（１次）",IFERROR(IF(AE57+1&gt;DATE(2023,9,30),"",AE57+1),""),
IF(表紙!$X$2="実績報告（２次）",IFERROR(IF(AE57+1&gt;DATE(2024,3,31),"",AE57+1),""),
IF(表紙!$X$2="交付申請兼実績報告",IFERROR(IF(AE57+1&gt;DATE(2024,3,31),"",AE57+1),"")))))))</f>
        <v>45374</v>
      </c>
      <c r="AG57" s="568">
        <f xml:space="preserve">
IF(表紙!$X$2="事前協議",IFERROR(IF(AF57+1&gt;DATE(2024,3,31),"",AF57+1),""),
IF(表紙!$X$2="交付申請（２次）",IFERROR(IF(AF57+1&gt;DATE(2024,3,31),"",AF57+1),""),
IF(表紙!$X$2="変更申請",IFERROR(IF(AF57+1&gt;DATE(2024,3,31),"",AF57+1),""),
IF(表紙!$X$2="実績報告（１次）",IFERROR(IF(AF57+1&gt;DATE(2023,9,30),"",AF57+1),""),
IF(表紙!$X$2="実績報告（２次）",IFERROR(IF(AF57+1&gt;DATE(2024,3,31),"",AF57+1),""),
IF(表紙!$X$2="交付申請兼実績報告",IFERROR(IF(AF57+1&gt;DATE(2024,3,31),"",AF57+1),"")))))))</f>
        <v>45375</v>
      </c>
      <c r="AH57" s="568">
        <f xml:space="preserve">
IF(表紙!$X$2="事前協議",IFERROR(IF(AG57+1&gt;DATE(2024,3,31),"",AG57+1),""),
IF(表紙!$X$2="交付申請（２次）",IFERROR(IF(AG57+1&gt;DATE(2024,3,31),"",AG57+1),""),
IF(表紙!$X$2="変更申請",IFERROR(IF(AG57+1&gt;DATE(2024,3,31),"",AG57+1),""),
IF(表紙!$X$2="実績報告（１次）",IFERROR(IF(AG57+1&gt;DATE(2023,9,30),"",AG57+1),""),
IF(表紙!$X$2="実績報告（２次）",IFERROR(IF(AG57+1&gt;DATE(2024,3,31),"",AG57+1),""),
IF(表紙!$X$2="交付申請兼実績報告",IFERROR(IF(AG57+1&gt;DATE(2024,3,31),"",AG57+1),"")))))))</f>
        <v>45376</v>
      </c>
      <c r="AI57" s="568">
        <f xml:space="preserve">
IF(表紙!$X$2="事前協議",IFERROR(IF(AH57+1&gt;DATE(2024,3,31),"",AH57+1),""),
IF(表紙!$X$2="交付申請（２次）",IFERROR(IF(AH57+1&gt;DATE(2024,3,31),"",AH57+1),""),
IF(表紙!$X$2="変更申請",IFERROR(IF(AH57+1&gt;DATE(2024,3,31),"",AH57+1),""),
IF(表紙!$X$2="実績報告（１次）",IFERROR(IF(AH57+1&gt;DATE(2023,9,30),"",AH57+1),""),
IF(表紙!$X$2="実績報告（２次）",IFERROR(IF(AH57+1&gt;DATE(2024,3,31),"",AH57+1),""),
IF(表紙!$X$2="交付申請兼実績報告",IFERROR(IF(AH57+1&gt;DATE(2024,3,31),"",AH57+1),"")))))))</f>
        <v>45377</v>
      </c>
      <c r="AJ57" s="568">
        <f xml:space="preserve">
IF(表紙!$X$2="事前協議",IFERROR(IF(AI57+1&gt;DATE(2024,3,31),"",AI57+1),""),
IF(表紙!$X$2="交付申請（２次）",IFERROR(IF(AI57+1&gt;DATE(2024,3,31),"",AI57+1),""),
IF(表紙!$X$2="変更申請",IFERROR(IF(AI57+1&gt;DATE(2024,3,31),"",AI57+1),""),
IF(表紙!$X$2="実績報告（１次）",IFERROR(IF(AI57+1&gt;DATE(2023,9,30),"",AI57+1),""),
IF(表紙!$X$2="実績報告（２次）",IFERROR(IF(AI57+1&gt;DATE(2024,3,31),"",AI57+1),""),
IF(表紙!$X$2="交付申請兼実績報告",IFERROR(IF(AI57+1&gt;DATE(2024,3,31),"",AI57+1),"")))))))</f>
        <v>45378</v>
      </c>
      <c r="AK57" s="568">
        <f xml:space="preserve">
IF(表紙!$X$2="事前協議",IFERROR(IF(AJ57+1&gt;DATE(2024,3,31),"",AJ57+1),""),
IF(表紙!$X$2="交付申請（２次）",IFERROR(IF(AJ57+1&gt;DATE(2024,3,31),"",AJ57+1),""),
IF(表紙!$X$2="変更申請",IFERROR(IF(AJ57+1&gt;DATE(2024,3,31),"",AJ57+1),""),
IF(表紙!$X$2="実績報告（１次）",IFERROR(IF(AJ57+1&gt;DATE(2023,9,30),"",AJ57+1),""),
IF(表紙!$X$2="実績報告（２次）",IFERROR(IF(AJ57+1&gt;DATE(2024,3,31),"",AJ57+1),""),
IF(表紙!$X$2="交付申請兼実績報告",IFERROR(IF(AJ57+1&gt;DATE(2024,3,31),"",AJ57+1),"")))))))</f>
        <v>45379</v>
      </c>
      <c r="AL57" s="568">
        <f xml:space="preserve">
IF(表紙!$X$2="事前協議",IFERROR(IF(AK57+1&gt;DATE(2024,3,31),"",AK57+1),""),
IF(表紙!$X$2="交付申請（２次）",IFERROR(IF(AK57+1&gt;DATE(2024,3,31),"",AK57+1),""),
IF(表紙!$X$2="変更申請",IFERROR(IF(AK57+1&gt;DATE(2024,3,31),"",AK57+1),""),
IF(表紙!$X$2="実績報告（１次）",IFERROR(IF(AK57+1&gt;DATE(2023,9,30),"",AK57+1),""),
IF(表紙!$X$2="実績報告（２次）",IFERROR(IF(AK57+1&gt;DATE(2024,3,31),"",AK57+1),""),
IF(表紙!$X$2="交付申請兼実績報告",IFERROR(IF(AK57+1&gt;DATE(2024,3,31),"",AK57+1),"")))))))</f>
        <v>45380</v>
      </c>
      <c r="AM57" s="568">
        <f xml:space="preserve">
IF(表紙!$X$2="事前協議",IFERROR(IF(AL57+1&gt;DATE(2024,3,31),"",AL57+1),""),
IF(表紙!$X$2="交付申請（２次）",IFERROR(IF(AL57+1&gt;DATE(2024,3,31),"",AL57+1),""),
IF(表紙!$X$2="変更申請",IFERROR(IF(AL57+1&gt;DATE(2024,3,31),"",AL57+1),""),
IF(表紙!$X$2="実績報告（１次）",IFERROR(IF(AL57+1&gt;DATE(2023,9,30),"",AL57+1),""),
IF(表紙!$X$2="実績報告（２次）",IFERROR(IF(AL57+1&gt;DATE(2024,3,31),"",AL57+1),""),
IF(表紙!$X$2="交付申請兼実績報告",IFERROR(IF(AL57+1&gt;DATE(2024,3,31),"",AL57+1),"")))))))</f>
        <v>45381</v>
      </c>
      <c r="AN57" s="568">
        <f xml:space="preserve">
IF(表紙!$X$2="事前協議",IFERROR(IF(AM57+1&gt;DATE(2024,3,31),"",AM57+1),""),
IF(表紙!$X$2="交付申請（２次）",IFERROR(IF(AM57+1&gt;DATE(2024,3,31),"",AM57+1),""),
IF(表紙!$X$2="変更申請",IFERROR(IF(AM57+1&gt;DATE(2024,3,31),"",AM57+1),""),
IF(表紙!$X$2="実績報告（１次）",IFERROR(IF(AM57+1&gt;DATE(2023,9,30),"",AM57+1),""),
IF(表紙!$X$2="実績報告（２次）",IFERROR(IF(AM57+1&gt;DATE(2024,3,31),"",AM57+1),""),
IF(表紙!$X$2="交付申請兼実績報告",IFERROR(IF(AM57+1&gt;DATE(2024,3,31),"",AM57+1),"")))))))</f>
        <v>45382</v>
      </c>
      <c r="AO57" s="1492"/>
      <c r="AP57" s="1493"/>
      <c r="AQ57" s="1494"/>
      <c r="AR57" s="1492"/>
      <c r="AS57" s="1493"/>
      <c r="AT57" s="1494"/>
      <c r="AU57" s="1412"/>
      <c r="AV57" s="795"/>
      <c r="AW57" s="1638" t="s">
        <v>1483</v>
      </c>
      <c r="AX57" s="1639"/>
      <c r="AY57" s="1640"/>
      <c r="AZ57" s="820" t="s">
        <v>1485</v>
      </c>
      <c r="BA57" s="235" t="str">
        <f>TEXT(H57&amp;":"&amp;J57,"hh:mm")</f>
        <v>:45352</v>
      </c>
      <c r="BB57" s="235" t="str">
        <f>TEXT(L57&amp;":"&amp;N57,"hh:mm")</f>
        <v>45354:45356</v>
      </c>
      <c r="BC57" s="235" t="str">
        <f>TEXT(O57&amp;":"&amp;Q57,"hh:mm")</f>
        <v>45357:45359</v>
      </c>
      <c r="BD57" s="235" t="str">
        <f>TEXT(S57&amp;":"&amp;U57,"hh:mm")</f>
        <v>45361:45363</v>
      </c>
      <c r="BE57" s="235" t="str">
        <f>TEXT(V57&amp;":"&amp;X57,"hh:mm")</f>
        <v>45364:45366</v>
      </c>
      <c r="BF57" s="235" t="str">
        <f>TEXT(Z57&amp;":"&amp;AB57,"hh:mm")</f>
        <v>45368:45370</v>
      </c>
    </row>
    <row r="58" spans="1:78" ht="18" customHeight="1" thickBot="1">
      <c r="A58" s="316" t="s">
        <v>1026</v>
      </c>
      <c r="B58" s="1507"/>
      <c r="C58" s="1508"/>
      <c r="D58" s="1508"/>
      <c r="E58" s="1508"/>
      <c r="F58" s="1508"/>
      <c r="G58" s="1508"/>
      <c r="H58" s="1508"/>
      <c r="I58" s="1509"/>
      <c r="J58" s="317" t="str">
        <f>TEXT(J57,"aaa")</f>
        <v>金</v>
      </c>
      <c r="K58" s="318" t="str">
        <f>TEXT(K57,"aaa")</f>
        <v>土</v>
      </c>
      <c r="L58" s="318" t="str">
        <f t="shared" ref="L58" si="67">TEXT(L57,"aaa")</f>
        <v>日</v>
      </c>
      <c r="M58" s="318" t="str">
        <f t="shared" ref="M58" si="68">TEXT(M57,"aaa")</f>
        <v>月</v>
      </c>
      <c r="N58" s="318" t="str">
        <f t="shared" ref="N58" si="69">TEXT(N57,"aaa")</f>
        <v>火</v>
      </c>
      <c r="O58" s="318" t="str">
        <f t="shared" ref="O58" si="70">TEXT(O57,"aaa")</f>
        <v>水</v>
      </c>
      <c r="P58" s="318" t="str">
        <f t="shared" ref="P58" si="71">TEXT(P57,"aaa")</f>
        <v>木</v>
      </c>
      <c r="Q58" s="318" t="str">
        <f t="shared" ref="Q58" si="72">TEXT(Q57,"aaa")</f>
        <v>金</v>
      </c>
      <c r="R58" s="318" t="str">
        <f t="shared" ref="R58" si="73">TEXT(R57,"aaa")</f>
        <v>土</v>
      </c>
      <c r="S58" s="318" t="str">
        <f t="shared" ref="S58" si="74">TEXT(S57,"aaa")</f>
        <v>日</v>
      </c>
      <c r="T58" s="318" t="str">
        <f t="shared" ref="T58" si="75">TEXT(T57,"aaa")</f>
        <v>月</v>
      </c>
      <c r="U58" s="318" t="str">
        <f t="shared" ref="U58" si="76">TEXT(U57,"aaa")</f>
        <v>火</v>
      </c>
      <c r="V58" s="318" t="str">
        <f t="shared" ref="V58" si="77">TEXT(V57,"aaa")</f>
        <v>水</v>
      </c>
      <c r="W58" s="318" t="str">
        <f t="shared" ref="W58" si="78">TEXT(W57,"aaa")</f>
        <v>木</v>
      </c>
      <c r="X58" s="318" t="str">
        <f t="shared" ref="X58" si="79">TEXT(X57,"aaa")</f>
        <v>金</v>
      </c>
      <c r="Y58" s="318" t="str">
        <f t="shared" ref="Y58" si="80">TEXT(Y57,"aaa")</f>
        <v>土</v>
      </c>
      <c r="Z58" s="318" t="str">
        <f t="shared" ref="Z58" si="81">TEXT(Z57,"aaa")</f>
        <v>日</v>
      </c>
      <c r="AA58" s="318" t="str">
        <f t="shared" ref="AA58" si="82">TEXT(AA57,"aaa")</f>
        <v>月</v>
      </c>
      <c r="AB58" s="318" t="str">
        <f t="shared" ref="AB58" si="83">TEXT(AB57,"aaa")</f>
        <v>火</v>
      </c>
      <c r="AC58" s="318" t="str">
        <f t="shared" ref="AC58" si="84">TEXT(AC57,"aaa")</f>
        <v>水</v>
      </c>
      <c r="AD58" s="318" t="str">
        <f t="shared" ref="AD58" si="85">TEXT(AD57,"aaa")</f>
        <v>木</v>
      </c>
      <c r="AE58" s="318" t="str">
        <f t="shared" ref="AE58" si="86">TEXT(AE57,"aaa")</f>
        <v>金</v>
      </c>
      <c r="AF58" s="318" t="str">
        <f t="shared" ref="AF58" si="87">TEXT(AF57,"aaa")</f>
        <v>土</v>
      </c>
      <c r="AG58" s="318" t="str">
        <f t="shared" ref="AG58" si="88">TEXT(AG57,"aaa")</f>
        <v>日</v>
      </c>
      <c r="AH58" s="318" t="str">
        <f t="shared" ref="AH58" si="89">TEXT(AH57,"aaa")</f>
        <v>月</v>
      </c>
      <c r="AI58" s="318" t="str">
        <f t="shared" ref="AI58" si="90">TEXT(AI57,"aaa")</f>
        <v>火</v>
      </c>
      <c r="AJ58" s="318" t="str">
        <f t="shared" ref="AJ58" si="91">TEXT(AJ57,"aaa")</f>
        <v>水</v>
      </c>
      <c r="AK58" s="318" t="str">
        <f t="shared" ref="AK58" si="92">TEXT(AK57,"aaa")</f>
        <v>木</v>
      </c>
      <c r="AL58" s="318" t="str">
        <f t="shared" ref="AL58" si="93">TEXT(AL57,"aaa")</f>
        <v>金</v>
      </c>
      <c r="AM58" s="318" t="str">
        <f t="shared" ref="AM58" si="94">TEXT(AM57,"aaa")</f>
        <v>土</v>
      </c>
      <c r="AN58" s="318" t="str">
        <f t="shared" ref="AN58" si="95">TEXT(AN57,"aaa")</f>
        <v>日</v>
      </c>
      <c r="AO58" s="1480" t="str">
        <f xml:space="preserve">
IF(AU60="×","×",
IF(表紙!$X$2="事前協議",COUNTIF(J60:AN60,"&gt;0"),
IF(表紙!$X$2="交付申請（２次）",COUNTIF(J60:AN60,"&gt;0"),
IF(表紙!$X$2="変更申請",COUNTIF(J60:AN60,"&gt;0"),
IF(表紙!$X$2="実績報告（１次）",COUNTIF(J60:AM60,"&gt;0"),
IF(AND(OR(表紙!$X$2="実績報告（２次）",表紙!$X$2="交付申請兼実績報告"),$AW$57="引き上げなし"),COUNTIF(J60:U60,"&gt;0"),
IF(AND(OR(表紙!$X$2="実績報告（２次）",表紙!$X$2="交付申請兼実績報告"),$AW$57="引き上げあり"),COUNTIF(J60:AN60,"&gt;0"))))))))</f>
        <v>×</v>
      </c>
      <c r="AP58" s="1481"/>
      <c r="AQ58" s="1482"/>
      <c r="AR58" s="1480" t="s">
        <v>1050</v>
      </c>
      <c r="AS58" s="1481"/>
      <c r="AT58" s="1482"/>
      <c r="AU58" s="1412"/>
      <c r="AV58" s="795"/>
      <c r="AW58" s="795"/>
      <c r="AX58" s="315"/>
      <c r="AY58" s="315"/>
      <c r="BA58" s="235" t="str">
        <f>TEXT(H58&amp;":"&amp;J58,"hh:mm")</f>
        <v>:金</v>
      </c>
      <c r="BB58" s="235" t="str">
        <f>TEXT(L58&amp;":"&amp;N58,"hh:mm")</f>
        <v>日:火</v>
      </c>
      <c r="BC58" s="235" t="str">
        <f>TEXT(O58&amp;":"&amp;Q58,"hh:mm")</f>
        <v>水:金</v>
      </c>
      <c r="BD58" s="235" t="str">
        <f>TEXT(S58&amp;":"&amp;U58,"hh:mm")</f>
        <v>日:火</v>
      </c>
      <c r="BE58" s="235" t="str">
        <f>TEXT(V58&amp;":"&amp;X58,"hh:mm")</f>
        <v>水:金</v>
      </c>
      <c r="BF58" s="235" t="str">
        <f>TEXT(Z58&amp;":"&amp;AB58,"hh:mm")</f>
        <v>日:火</v>
      </c>
    </row>
    <row r="59" spans="1:78" ht="18" customHeight="1" thickTop="1" thickBot="1">
      <c r="A59" s="316"/>
      <c r="B59" s="1408" t="s">
        <v>1458</v>
      </c>
      <c r="C59" s="1409"/>
      <c r="D59" s="1409"/>
      <c r="E59" s="1409"/>
      <c r="F59" s="1409"/>
      <c r="G59" s="1409"/>
      <c r="H59" s="1409"/>
      <c r="I59" s="1410"/>
      <c r="J59" s="728">
        <v>1</v>
      </c>
      <c r="K59" s="729">
        <v>1</v>
      </c>
      <c r="L59" s="729">
        <v>1</v>
      </c>
      <c r="M59" s="729">
        <v>1</v>
      </c>
      <c r="N59" s="729">
        <v>1</v>
      </c>
      <c r="O59" s="729">
        <v>1</v>
      </c>
      <c r="P59" s="729">
        <v>1</v>
      </c>
      <c r="Q59" s="729">
        <v>1</v>
      </c>
      <c r="R59" s="729">
        <v>1</v>
      </c>
      <c r="S59" s="729">
        <v>1</v>
      </c>
      <c r="T59" s="729">
        <v>1</v>
      </c>
      <c r="U59" s="729">
        <v>1</v>
      </c>
      <c r="V59" s="729">
        <v>0</v>
      </c>
      <c r="W59" s="729">
        <v>0</v>
      </c>
      <c r="X59" s="729">
        <v>0</v>
      </c>
      <c r="Y59" s="729">
        <v>0</v>
      </c>
      <c r="Z59" s="729">
        <v>0</v>
      </c>
      <c r="AA59" s="729">
        <v>0</v>
      </c>
      <c r="AB59" s="729">
        <v>0</v>
      </c>
      <c r="AC59" s="729">
        <v>0</v>
      </c>
      <c r="AD59" s="729">
        <v>0</v>
      </c>
      <c r="AE59" s="729">
        <v>0</v>
      </c>
      <c r="AF59" s="729">
        <v>0</v>
      </c>
      <c r="AG59" s="729">
        <v>0</v>
      </c>
      <c r="AH59" s="729">
        <v>0</v>
      </c>
      <c r="AI59" s="729">
        <f t="shared" ref="AI59:AN59" si="96" xml:space="preserve">
IF($AW$57="引き上げなし",0,
IF($AW$57="引き上げあり",1,0))</f>
        <v>0</v>
      </c>
      <c r="AJ59" s="729">
        <f t="shared" si="96"/>
        <v>0</v>
      </c>
      <c r="AK59" s="729">
        <f t="shared" si="96"/>
        <v>0</v>
      </c>
      <c r="AL59" s="729">
        <f t="shared" si="96"/>
        <v>0</v>
      </c>
      <c r="AM59" s="729">
        <f t="shared" si="96"/>
        <v>0</v>
      </c>
      <c r="AN59" s="729">
        <f t="shared" si="96"/>
        <v>0</v>
      </c>
      <c r="AO59" s="1414">
        <f xml:space="preserve">
COUNTIF(J59:AN59,1)</f>
        <v>12</v>
      </c>
      <c r="AP59" s="1415"/>
      <c r="AQ59" s="1416"/>
      <c r="AR59" s="731"/>
      <c r="AS59" s="732"/>
      <c r="AT59" s="733"/>
      <c r="AU59" s="1413"/>
      <c r="AV59" s="795"/>
      <c r="AW59" s="795"/>
      <c r="AX59" s="315"/>
      <c r="AY59" s="315"/>
      <c r="BA59" s="235"/>
      <c r="BB59" s="235"/>
      <c r="BC59" s="235"/>
      <c r="BD59" s="235"/>
      <c r="BE59" s="235"/>
      <c r="BF59" s="235"/>
      <c r="BG59" s="819" t="s">
        <v>1483</v>
      </c>
    </row>
    <row r="60" spans="1:78" ht="18" customHeight="1" thickTop="1">
      <c r="A60" s="316" t="s">
        <v>1029</v>
      </c>
      <c r="B60" s="1512" t="s">
        <v>1150</v>
      </c>
      <c r="C60" s="1513"/>
      <c r="D60" s="1513"/>
      <c r="E60" s="1513"/>
      <c r="F60" s="1513"/>
      <c r="G60" s="1513"/>
      <c r="H60" s="1513"/>
      <c r="I60" s="1514"/>
      <c r="J60" s="304"/>
      <c r="K60" s="305"/>
      <c r="L60" s="305"/>
      <c r="M60" s="305"/>
      <c r="N60" s="305"/>
      <c r="O60" s="305"/>
      <c r="P60" s="305"/>
      <c r="Q60" s="305"/>
      <c r="R60" s="305"/>
      <c r="S60" s="305"/>
      <c r="T60" s="305"/>
      <c r="U60" s="305"/>
      <c r="V60" s="305"/>
      <c r="W60" s="305"/>
      <c r="X60" s="305"/>
      <c r="Y60" s="305"/>
      <c r="Z60" s="305"/>
      <c r="AA60" s="305"/>
      <c r="AB60" s="305"/>
      <c r="AC60" s="305"/>
      <c r="AD60" s="305"/>
      <c r="AE60" s="305"/>
      <c r="AF60" s="305"/>
      <c r="AG60" s="305"/>
      <c r="AH60" s="305"/>
      <c r="AI60" s="305"/>
      <c r="AJ60" s="305"/>
      <c r="AK60" s="305"/>
      <c r="AL60" s="305"/>
      <c r="AM60" s="306"/>
      <c r="AN60" s="305"/>
      <c r="AO60" s="1515" t="str">
        <f xml:space="preserve">
IF(AU60="×","×",
IF(表紙!$X$2="事前協議",SUM(J60:AN60),
IF(表紙!$X$2="交付申請（２次）",SUM(J60:AN60),
IF(表紙!$X$2="変更申請",SUM(J60:AN60),
IF(表紙!$X$2="実績報告（１次）",SUM(J60:AM60),
IF(AND(OR(表紙!$X$2="実績報告（２次）",表紙!$X$2="交付申請兼実績報告"),$AW$57="引き上げなし"),SUM(J60:U60),
IF(AND(OR(表紙!$X$2="実績報告（２次）",表紙!$X$2="交付申請兼実績報告"),$AW$57="引き上げあり"),SUM(J60:AN60))))))))</f>
        <v>×</v>
      </c>
      <c r="AP60" s="1516"/>
      <c r="AQ60" s="1517"/>
      <c r="AR60" s="1496" t="str">
        <f>IF(AU60="○",ROUNDDOWN(AO60/AO58,1),"×")</f>
        <v>×</v>
      </c>
      <c r="AS60" s="1497"/>
      <c r="AT60" s="1498"/>
      <c r="AU60" s="1510" t="str">
        <f xml:space="preserve">
IF(AND(表紙!$X$2="実績報告（１次）",
OR(COUNTA(J60:AN61)&lt;&gt;62,J61&gt;J60,K61&gt;K60,L61&gt;L60,M61&gt;M60,N61&gt;N60,O61&gt;O60,P61&gt;P60,Q61&gt;Q60,R61&gt;R60,S61&gt;S60,T61&gt;T60,U61&gt;U60,V61&gt;V60,W61&gt;W60,X61&gt;X60,Y61&gt;Y60,Z61&gt;Z60,AA61&gt;AA60,AB61&gt;AB60,AC61&gt;AC60,AD61&gt;AD60,AE61&gt;AE60,AF61&gt;AF60,AG61&gt;AG60,AH61&gt;AH60,AI61&gt;AI60,AJ61&gt;AJ60,AK61&gt;AK60,AL61&gt;AL60)),"×",
IF(AND(OR(表紙!$X$2="実績報告（２次）",表紙!$X$2="交付申請兼実績報告"),AW57="引き上げあり",
OR(COUNTA(J60:AN61)&lt;&gt;62,J61&gt;J60,K61&gt;K60,L61&gt;L60,M61&gt;M60,N61&gt;N60,O61&gt;O60,P61&gt;P60,Q61&gt;Q60,R61&gt;R60,S61&gt;S60,T61&gt;T60,U61&gt;U60,AI61&gt;AI60,AJ61&gt;AJ60,AK61&gt;AK60,AL61&gt;AL60,AM61&gt;AM60,AN61&gt;AN60)),"×",
IF(AND(OR(表紙!$X$2="実績報告（２次）",表紙!$X$2="交付申請兼実績報告"),AW57="引き上げなし",
OR(COUNTA(J60:U61)&lt;&gt;24,J61&gt;J60,K61&gt;K60,L61&gt;L60,M61&gt;M60,N61&gt;N60,O61&gt;O60,P61&gt;P60,Q61&gt;Q60,R61&gt;R60,S61&gt;S60,T61&gt;T60,U61&gt;U60)),"×",
"○")))</f>
        <v>×</v>
      </c>
      <c r="AV60" s="795"/>
      <c r="AW60" s="795"/>
      <c r="AX60" s="315"/>
      <c r="AY60" s="315"/>
      <c r="BA60" s="235" t="e">
        <f>TEXT(#REF!&amp;":"&amp;#REF!,"hh:mm")</f>
        <v>#REF!</v>
      </c>
      <c r="BB60" s="235" t="e">
        <f>TEXT(#REF!&amp;":"&amp;#REF!,"hh:mm")</f>
        <v>#REF!</v>
      </c>
      <c r="BC60" s="235" t="e">
        <f>TEXT(#REF!&amp;":"&amp;#REF!,"hh:mm")</f>
        <v>#REF!</v>
      </c>
      <c r="BD60" s="235" t="e">
        <f>TEXT(#REF!&amp;":"&amp;#REF!,"hh:mm")</f>
        <v>#REF!</v>
      </c>
      <c r="BE60" s="235" t="e">
        <f>TEXT(#REF!&amp;":"&amp;#REF!,"hh:mm")</f>
        <v>#REF!</v>
      </c>
      <c r="BF60" s="235" t="e">
        <f>TEXT(#REF!&amp;":"&amp;#REF!,"hh:mm")</f>
        <v>#REF!</v>
      </c>
      <c r="BG60" s="819" t="s">
        <v>1484</v>
      </c>
    </row>
    <row r="61" spans="1:78" ht="18" customHeight="1" thickBot="1">
      <c r="A61" s="316" t="s">
        <v>1031</v>
      </c>
      <c r="B61" s="1420" t="s">
        <v>1052</v>
      </c>
      <c r="C61" s="1421"/>
      <c r="D61" s="1421"/>
      <c r="E61" s="1421"/>
      <c r="F61" s="1421"/>
      <c r="G61" s="1421"/>
      <c r="H61" s="1421"/>
      <c r="I61" s="1422"/>
      <c r="J61" s="736"/>
      <c r="K61" s="737"/>
      <c r="L61" s="737"/>
      <c r="M61" s="737"/>
      <c r="N61" s="737"/>
      <c r="O61" s="737"/>
      <c r="P61" s="737"/>
      <c r="Q61" s="737"/>
      <c r="R61" s="737"/>
      <c r="S61" s="737"/>
      <c r="T61" s="737"/>
      <c r="U61" s="737"/>
      <c r="V61" s="737"/>
      <c r="W61" s="737"/>
      <c r="X61" s="737"/>
      <c r="Y61" s="737"/>
      <c r="Z61" s="737"/>
      <c r="AA61" s="737"/>
      <c r="AB61" s="737"/>
      <c r="AC61" s="737"/>
      <c r="AD61" s="737"/>
      <c r="AE61" s="737"/>
      <c r="AF61" s="737"/>
      <c r="AG61" s="737"/>
      <c r="AH61" s="737"/>
      <c r="AI61" s="737"/>
      <c r="AJ61" s="737"/>
      <c r="AK61" s="737"/>
      <c r="AL61" s="737"/>
      <c r="AM61" s="738"/>
      <c r="AN61" s="737"/>
      <c r="AO61" s="1423" t="str">
        <f xml:space="preserve">
IF(AU60="×","×",
IF(表紙!$X$2="事前協議",SUM(J61:AN61),
IF(表紙!$X$2="交付申請（２次）",SUM(J61:AN61),
IF(表紙!$X$2="変更申請",SUM(J61:AN61),
IF(表紙!$X$2="実績報告（１次）",SUM(J61:AM61),
IF(AND(OR(表紙!$X$2="実績報告（２次）",表紙!$X$2="交付申請兼実績報告"),$AW$57="引き上げなし"),SUM(J61:U61),
IF(AND(OR(表紙!$X$2="実績報告（２次）",表紙!$X$2="交付申請兼実績報告"),$AW$57="引き上げあり"),SUM(J61:AN61))))))))</f>
        <v>×</v>
      </c>
      <c r="AP61" s="1635"/>
      <c r="AQ61" s="1636"/>
      <c r="AR61" s="1417" t="str">
        <f>IF(AU60="○",ROUNDDOWN(AO61/AO58,1),"×")</f>
        <v>×</v>
      </c>
      <c r="AS61" s="1418"/>
      <c r="AT61" s="1419"/>
      <c r="AU61" s="1511"/>
      <c r="AV61" s="795"/>
      <c r="AW61" s="795"/>
      <c r="AX61" s="319"/>
      <c r="AY61" s="315"/>
      <c r="BA61" s="235" t="str">
        <f>TEXT(H60&amp;":"&amp;J60,"hh:mm")</f>
        <v>:</v>
      </c>
      <c r="BB61" s="235" t="str">
        <f>TEXT(L60&amp;":"&amp;N60,"hh:mm")</f>
        <v>:</v>
      </c>
      <c r="BC61" s="235" t="str">
        <f>TEXT(O60&amp;":"&amp;Q60,"hh:mm")</f>
        <v>:</v>
      </c>
      <c r="BD61" s="235" t="str">
        <f>TEXT(S60&amp;":"&amp;U60,"hh:mm")</f>
        <v>:</v>
      </c>
      <c r="BE61" s="235" t="str">
        <f>TEXT(V60&amp;":"&amp;X60,"hh:mm")</f>
        <v>:</v>
      </c>
      <c r="BF61" s="235" t="str">
        <f>TEXT(Z60&amp;":"&amp;AB60,"hh:mm")</f>
        <v>:</v>
      </c>
      <c r="BG61" s="222"/>
    </row>
    <row r="62" spans="1:78">
      <c r="V62" s="224" t="str">
        <f>IF(AW57="引き上げなし","→3/13以降の入院患者数は入力不要です。","")</f>
        <v>→3/13以降の入院患者数は入力不要です。</v>
      </c>
      <c r="BZ62" s="237"/>
    </row>
    <row r="63" spans="1:78" ht="45" customHeight="1" thickBot="1">
      <c r="B63" s="1356" t="str">
        <f>"２．職員情報　　【総合判定】"&amp;AZ63&amp;"："&amp;BG63</f>
        <v>２．職員情報　　【総合判定】×：上段の「１．勤務体制及び入院患者情報」が入力不十分です。（上の段から適切に入力していくようにしてください。）</v>
      </c>
      <c r="C63" s="1228"/>
      <c r="D63" s="1228"/>
      <c r="E63" s="1228"/>
      <c r="F63" s="1228"/>
      <c r="G63" s="1228"/>
      <c r="H63" s="1228"/>
      <c r="I63" s="1228"/>
      <c r="J63" s="1228"/>
      <c r="K63" s="1228"/>
      <c r="L63" s="1228"/>
      <c r="M63" s="1228"/>
      <c r="N63" s="1228"/>
      <c r="O63" s="1228"/>
      <c r="P63" s="1228"/>
      <c r="Q63" s="1228"/>
      <c r="R63" s="1228"/>
      <c r="S63" s="1228"/>
      <c r="T63" s="1228"/>
      <c r="U63" s="1228"/>
      <c r="V63" s="1228"/>
      <c r="W63" s="1228"/>
      <c r="X63" s="1228"/>
      <c r="Y63" s="1228"/>
      <c r="Z63" s="1228"/>
      <c r="AA63" s="1228"/>
      <c r="AB63" s="1228"/>
      <c r="AC63" s="1228"/>
      <c r="AD63" s="1228"/>
      <c r="AE63" s="1228"/>
      <c r="AF63" s="1228"/>
      <c r="AG63" s="1228"/>
      <c r="AH63" s="1228"/>
      <c r="AI63" s="1228"/>
      <c r="AJ63" s="1228"/>
      <c r="AK63" s="1228"/>
      <c r="AL63" s="1228"/>
      <c r="AM63" s="1228"/>
      <c r="AN63" s="1228"/>
      <c r="AO63" s="1228"/>
      <c r="AP63" s="1228"/>
      <c r="AQ63" s="1228"/>
      <c r="AR63" s="1228"/>
      <c r="AS63" s="1228"/>
      <c r="AT63" s="1228"/>
      <c r="AU63" s="1228"/>
      <c r="AV63" s="1228"/>
      <c r="AW63" s="1228"/>
      <c r="AX63" s="1228"/>
      <c r="AY63" s="1228"/>
      <c r="AZ63" s="804" t="str">
        <f xml:space="preserve">
IF(AZ15="×","×",
IF(AND(AS65&gt;0,AS68&gt;0),"○","×"))</f>
        <v>×</v>
      </c>
      <c r="BG63" s="570" t="str">
        <f xml:space="preserve">
IF(AZ15="×","上段の「１．勤務体制及び入院患者情報」が入力不十分です。（上の段から適切に入力していくようにしてください。）",
IF(AND(AS65&gt;0,AS68&gt;0),"適切に入力がされました。","医師または看護師の指名入力欄のいずれかが未入力の状態です。"))</f>
        <v>上段の「１．勤務体制及び入院患者情報」が入力不十分です。（上の段から適切に入力していくようにしてください。）</v>
      </c>
      <c r="BZ63" s="237"/>
    </row>
    <row r="64" spans="1:78" ht="24.75" thickBot="1">
      <c r="B64" s="1605" t="s">
        <v>1038</v>
      </c>
      <c r="C64" s="1606"/>
      <c r="D64" s="1606"/>
      <c r="E64" s="1607" t="s">
        <v>1192</v>
      </c>
      <c r="F64" s="1608"/>
      <c r="G64" s="1608"/>
      <c r="H64" s="1608"/>
      <c r="I64" s="1608"/>
      <c r="J64" s="1608"/>
      <c r="K64" s="1608"/>
      <c r="L64" s="1608"/>
      <c r="M64" s="1608"/>
      <c r="N64" s="1608"/>
      <c r="O64" s="1608"/>
      <c r="P64" s="1608"/>
      <c r="Q64" s="1608"/>
      <c r="R64" s="1608"/>
      <c r="S64" s="1608"/>
      <c r="T64" s="1608"/>
      <c r="U64" s="1608"/>
      <c r="V64" s="1608"/>
      <c r="W64" s="1608"/>
      <c r="X64" s="1608"/>
      <c r="Y64" s="1608"/>
      <c r="Z64" s="1608"/>
      <c r="AA64" s="1608"/>
      <c r="AB64" s="1608"/>
      <c r="AC64" s="1608"/>
      <c r="AD64" s="1608"/>
      <c r="AE64" s="1608"/>
      <c r="AF64" s="1608"/>
      <c r="AG64" s="1608"/>
      <c r="AH64" s="1608"/>
      <c r="AI64" s="1608"/>
      <c r="AJ64" s="1608"/>
      <c r="AK64" s="1608"/>
      <c r="AL64" s="1608"/>
      <c r="AM64" s="1608"/>
      <c r="AN64" s="1608"/>
      <c r="AO64" s="1608"/>
      <c r="AP64" s="1608"/>
      <c r="AQ64" s="1608"/>
      <c r="AR64" s="1609"/>
      <c r="AS64" s="1610" t="s">
        <v>512</v>
      </c>
      <c r="AT64" s="1611"/>
      <c r="AU64" s="1611"/>
      <c r="AV64" s="1611"/>
      <c r="AW64" s="1611"/>
      <c r="AX64" s="1612"/>
      <c r="AY64" s="803"/>
      <c r="AZ64" s="1365" t="s">
        <v>1040</v>
      </c>
      <c r="BA64" s="1366"/>
      <c r="BB64" s="1366"/>
      <c r="BC64" s="1366"/>
      <c r="BD64" s="1366"/>
      <c r="BE64" s="1366"/>
      <c r="BF64" s="1366"/>
      <c r="BG64" s="1366"/>
      <c r="BH64" s="1366"/>
      <c r="BI64" s="1366"/>
      <c r="BJ64" s="1366"/>
      <c r="BK64" s="1366"/>
      <c r="BL64" s="1366"/>
      <c r="BM64" s="1366"/>
      <c r="BN64" s="1366"/>
      <c r="BO64" s="1366"/>
      <c r="BP64" s="1371"/>
      <c r="BZ64" s="237"/>
    </row>
    <row r="65" spans="2:78" ht="24" customHeight="1" thickTop="1">
      <c r="B65" s="1442" t="s">
        <v>1041</v>
      </c>
      <c r="C65" s="1518"/>
      <c r="D65" s="1518"/>
      <c r="E65" s="1522" t="s">
        <v>1042</v>
      </c>
      <c r="F65" s="1523"/>
      <c r="G65" s="1523"/>
      <c r="H65" s="1524"/>
      <c r="I65" s="1525"/>
      <c r="J65" s="1526"/>
      <c r="K65" s="1526"/>
      <c r="L65" s="1527"/>
      <c r="M65" s="1525"/>
      <c r="N65" s="1526"/>
      <c r="O65" s="1526"/>
      <c r="P65" s="1527"/>
      <c r="Q65" s="1525"/>
      <c r="R65" s="1526"/>
      <c r="S65" s="1526"/>
      <c r="T65" s="1527"/>
      <c r="U65" s="1525"/>
      <c r="V65" s="1526"/>
      <c r="W65" s="1526"/>
      <c r="X65" s="1527"/>
      <c r="Y65" s="1525"/>
      <c r="Z65" s="1526"/>
      <c r="AA65" s="1526"/>
      <c r="AB65" s="1527"/>
      <c r="AC65" s="1525"/>
      <c r="AD65" s="1526"/>
      <c r="AE65" s="1526"/>
      <c r="AF65" s="1527"/>
      <c r="AG65" s="1525"/>
      <c r="AH65" s="1526"/>
      <c r="AI65" s="1526"/>
      <c r="AJ65" s="1527"/>
      <c r="AK65" s="1525"/>
      <c r="AL65" s="1526"/>
      <c r="AM65" s="1526"/>
      <c r="AN65" s="1527"/>
      <c r="AO65" s="1525"/>
      <c r="AP65" s="1526"/>
      <c r="AQ65" s="1526"/>
      <c r="AR65" s="1527"/>
      <c r="AS65" s="1348">
        <f>IF(BR65="",COUNTA(E65:AR67)-1,BR65)</f>
        <v>0</v>
      </c>
      <c r="AT65" s="1349"/>
      <c r="AU65" s="1349"/>
      <c r="AV65" s="1349"/>
      <c r="AW65" s="1603" t="str">
        <f>IF(AS65&gt;0,"○","×")</f>
        <v>×</v>
      </c>
      <c r="AX65" s="1604"/>
      <c r="AY65" s="800"/>
      <c r="AZ65" s="1344" t="str">
        <f xml:space="preserve">
IF(AW65="×",
"【要修正】医師の氏名を１名以上記入してください。"
&amp;CHAR(10)&amp;CHAR(10)&amp;
"　　　　　また、１つの欄に姓と名を併せて入力してください。",
"適切に入力がされました。"
)</f>
        <v>【要修正】医師の氏名を１名以上記入してください。
　　　　　また、１つの欄に姓と名を併せて入力してください。</v>
      </c>
      <c r="BA65" s="1345"/>
      <c r="BB65" s="1345"/>
      <c r="BC65" s="1345"/>
      <c r="BD65" s="1345"/>
      <c r="BE65" s="1345"/>
      <c r="BF65" s="1345"/>
      <c r="BG65" s="1345"/>
      <c r="BH65" s="1345"/>
      <c r="BI65" s="1345"/>
      <c r="BJ65" s="1345"/>
      <c r="BK65" s="1345"/>
      <c r="BL65" s="1345"/>
      <c r="BM65" s="1345"/>
      <c r="BN65" s="1345"/>
      <c r="BO65" s="1345"/>
      <c r="BP65" s="1346"/>
      <c r="BR65" s="556"/>
      <c r="BS65" s="795" t="s">
        <v>1268</v>
      </c>
      <c r="BZ65" s="237"/>
    </row>
    <row r="66" spans="2:78" ht="24" customHeight="1">
      <c r="B66" s="1519"/>
      <c r="C66" s="1441"/>
      <c r="D66" s="1441"/>
      <c r="E66" s="1598"/>
      <c r="F66" s="1601"/>
      <c r="G66" s="1601"/>
      <c r="H66" s="1602"/>
      <c r="I66" s="1598"/>
      <c r="J66" s="1601"/>
      <c r="K66" s="1601"/>
      <c r="L66" s="1602"/>
      <c r="M66" s="1598"/>
      <c r="N66" s="1601"/>
      <c r="O66" s="1601"/>
      <c r="P66" s="1602"/>
      <c r="Q66" s="1598"/>
      <c r="R66" s="1601"/>
      <c r="S66" s="1601"/>
      <c r="T66" s="1602"/>
      <c r="U66" s="1598"/>
      <c r="V66" s="1601"/>
      <c r="W66" s="1601"/>
      <c r="X66" s="1602"/>
      <c r="Y66" s="1598"/>
      <c r="Z66" s="1601"/>
      <c r="AA66" s="1601"/>
      <c r="AB66" s="1602"/>
      <c r="AC66" s="1598"/>
      <c r="AD66" s="1601"/>
      <c r="AE66" s="1601"/>
      <c r="AF66" s="1602"/>
      <c r="AG66" s="1598"/>
      <c r="AH66" s="1601"/>
      <c r="AI66" s="1601"/>
      <c r="AJ66" s="1602"/>
      <c r="AK66" s="1598"/>
      <c r="AL66" s="1601"/>
      <c r="AM66" s="1601"/>
      <c r="AN66" s="1602"/>
      <c r="AO66" s="1598"/>
      <c r="AP66" s="1601"/>
      <c r="AQ66" s="1601"/>
      <c r="AR66" s="1602"/>
      <c r="AS66" s="1350"/>
      <c r="AT66" s="1351"/>
      <c r="AU66" s="1351"/>
      <c r="AV66" s="1351"/>
      <c r="AW66" s="1340"/>
      <c r="AX66" s="1341"/>
      <c r="AY66" s="800"/>
      <c r="AZ66" s="1347"/>
      <c r="BA66" s="1345"/>
      <c r="BB66" s="1345"/>
      <c r="BC66" s="1345"/>
      <c r="BD66" s="1345"/>
      <c r="BE66" s="1345"/>
      <c r="BF66" s="1345"/>
      <c r="BG66" s="1345"/>
      <c r="BH66" s="1345"/>
      <c r="BI66" s="1345"/>
      <c r="BJ66" s="1345"/>
      <c r="BK66" s="1345"/>
      <c r="BL66" s="1345"/>
      <c r="BM66" s="1345"/>
      <c r="BN66" s="1345"/>
      <c r="BO66" s="1345"/>
      <c r="BP66" s="1346"/>
      <c r="BR66" s="795"/>
      <c r="BS66" s="795"/>
      <c r="BZ66" s="237"/>
    </row>
    <row r="67" spans="2:78" ht="24.75" customHeight="1" thickBot="1">
      <c r="B67" s="1521"/>
      <c r="C67" s="1450"/>
      <c r="D67" s="1450"/>
      <c r="E67" s="1534"/>
      <c r="F67" s="1535"/>
      <c r="G67" s="1535"/>
      <c r="H67" s="1536"/>
      <c r="I67" s="1534"/>
      <c r="J67" s="1535"/>
      <c r="K67" s="1535"/>
      <c r="L67" s="1536"/>
      <c r="M67" s="1534"/>
      <c r="N67" s="1535"/>
      <c r="O67" s="1535"/>
      <c r="P67" s="1536"/>
      <c r="Q67" s="1534"/>
      <c r="R67" s="1535"/>
      <c r="S67" s="1535"/>
      <c r="T67" s="1536"/>
      <c r="U67" s="1534"/>
      <c r="V67" s="1535"/>
      <c r="W67" s="1535"/>
      <c r="X67" s="1536"/>
      <c r="Y67" s="1534"/>
      <c r="Z67" s="1535"/>
      <c r="AA67" s="1535"/>
      <c r="AB67" s="1536"/>
      <c r="AC67" s="1534"/>
      <c r="AD67" s="1535"/>
      <c r="AE67" s="1535"/>
      <c r="AF67" s="1536"/>
      <c r="AG67" s="1534"/>
      <c r="AH67" s="1535"/>
      <c r="AI67" s="1535"/>
      <c r="AJ67" s="1536"/>
      <c r="AK67" s="1534"/>
      <c r="AL67" s="1535"/>
      <c r="AM67" s="1535"/>
      <c r="AN67" s="1536"/>
      <c r="AO67" s="1534"/>
      <c r="AP67" s="1535"/>
      <c r="AQ67" s="1535"/>
      <c r="AR67" s="1536"/>
      <c r="AS67" s="1352"/>
      <c r="AT67" s="1353"/>
      <c r="AU67" s="1353"/>
      <c r="AV67" s="1353"/>
      <c r="AW67" s="1340"/>
      <c r="AX67" s="1341"/>
      <c r="AY67" s="800"/>
      <c r="AZ67" s="1347"/>
      <c r="BA67" s="1345"/>
      <c r="BB67" s="1345"/>
      <c r="BC67" s="1345"/>
      <c r="BD67" s="1345"/>
      <c r="BE67" s="1345"/>
      <c r="BF67" s="1345"/>
      <c r="BG67" s="1345"/>
      <c r="BH67" s="1345"/>
      <c r="BI67" s="1345"/>
      <c r="BJ67" s="1345"/>
      <c r="BK67" s="1345"/>
      <c r="BL67" s="1345"/>
      <c r="BM67" s="1345"/>
      <c r="BN67" s="1345"/>
      <c r="BO67" s="1345"/>
      <c r="BP67" s="1346"/>
      <c r="BR67" s="795"/>
      <c r="BS67" s="795"/>
      <c r="BZ67" s="237"/>
    </row>
    <row r="68" spans="2:78" ht="24" customHeight="1">
      <c r="B68" s="1442" t="s">
        <v>1269</v>
      </c>
      <c r="C68" s="1518"/>
      <c r="D68" s="1518"/>
      <c r="E68" s="1522" t="s">
        <v>1043</v>
      </c>
      <c r="F68" s="1523"/>
      <c r="G68" s="1523"/>
      <c r="H68" s="1524"/>
      <c r="I68" s="1525"/>
      <c r="J68" s="1526"/>
      <c r="K68" s="1526"/>
      <c r="L68" s="1527"/>
      <c r="M68" s="1525"/>
      <c r="N68" s="1526"/>
      <c r="O68" s="1526"/>
      <c r="P68" s="1527"/>
      <c r="Q68" s="1525"/>
      <c r="R68" s="1526"/>
      <c r="S68" s="1526"/>
      <c r="T68" s="1527"/>
      <c r="U68" s="1525"/>
      <c r="V68" s="1526"/>
      <c r="W68" s="1526"/>
      <c r="X68" s="1527"/>
      <c r="Y68" s="1525"/>
      <c r="Z68" s="1526"/>
      <c r="AA68" s="1526"/>
      <c r="AB68" s="1527"/>
      <c r="AC68" s="1525"/>
      <c r="AD68" s="1526"/>
      <c r="AE68" s="1526"/>
      <c r="AF68" s="1527"/>
      <c r="AG68" s="1525"/>
      <c r="AH68" s="1526"/>
      <c r="AI68" s="1526"/>
      <c r="AJ68" s="1527"/>
      <c r="AK68" s="1525"/>
      <c r="AL68" s="1526"/>
      <c r="AM68" s="1526"/>
      <c r="AN68" s="1527"/>
      <c r="AO68" s="1525"/>
      <c r="AP68" s="1526"/>
      <c r="AQ68" s="1526"/>
      <c r="AR68" s="1527"/>
      <c r="AS68" s="1348">
        <f>IF(BR68="",COUNTA(E68:AR75)-1,BR68)</f>
        <v>0</v>
      </c>
      <c r="AT68" s="1349"/>
      <c r="AU68" s="1349"/>
      <c r="AV68" s="1349"/>
      <c r="AW68" s="1619" t="str">
        <f>IF(AS68&gt;0,"○","×")</f>
        <v>×</v>
      </c>
      <c r="AX68" s="1339"/>
      <c r="AY68" s="800"/>
      <c r="AZ68" s="1344" t="str">
        <f>IF(AW68="×",
"【要修正】看護要員の氏名を１名以上記入してください。"
&amp;CHAR(10)&amp;CHAR(10)&amp;
"　　　　　また、１つの欄に姓と名を併せて入力してください。",
"適切に入力がされました。")</f>
        <v>【要修正】看護要員の氏名を１名以上記入してください。
　　　　　また、１つの欄に姓と名を併せて入力してください。</v>
      </c>
      <c r="BA68" s="1345"/>
      <c r="BB68" s="1345"/>
      <c r="BC68" s="1345"/>
      <c r="BD68" s="1345"/>
      <c r="BE68" s="1345"/>
      <c r="BF68" s="1345"/>
      <c r="BG68" s="1345"/>
      <c r="BH68" s="1345"/>
      <c r="BI68" s="1345"/>
      <c r="BJ68" s="1345"/>
      <c r="BK68" s="1345"/>
      <c r="BL68" s="1345"/>
      <c r="BM68" s="1345"/>
      <c r="BN68" s="1345"/>
      <c r="BO68" s="1345"/>
      <c r="BP68" s="1346"/>
      <c r="BR68" s="556"/>
      <c r="BS68" s="795" t="s">
        <v>1272</v>
      </c>
      <c r="BZ68" s="237"/>
    </row>
    <row r="69" spans="2:78" ht="24" customHeight="1">
      <c r="B69" s="1519"/>
      <c r="C69" s="1441"/>
      <c r="D69" s="1441"/>
      <c r="E69" s="1598"/>
      <c r="F69" s="1601"/>
      <c r="G69" s="1601"/>
      <c r="H69" s="1602"/>
      <c r="I69" s="1598"/>
      <c r="J69" s="1601"/>
      <c r="K69" s="1601"/>
      <c r="L69" s="1602"/>
      <c r="M69" s="1598"/>
      <c r="N69" s="1601"/>
      <c r="O69" s="1601"/>
      <c r="P69" s="1602"/>
      <c r="Q69" s="1598"/>
      <c r="R69" s="1601"/>
      <c r="S69" s="1601"/>
      <c r="T69" s="1602"/>
      <c r="U69" s="1598"/>
      <c r="V69" s="1601"/>
      <c r="W69" s="1601"/>
      <c r="X69" s="1602"/>
      <c r="Y69" s="1598"/>
      <c r="Z69" s="1601"/>
      <c r="AA69" s="1601"/>
      <c r="AB69" s="1602"/>
      <c r="AC69" s="1598"/>
      <c r="AD69" s="1601"/>
      <c r="AE69" s="1601"/>
      <c r="AF69" s="1602"/>
      <c r="AG69" s="1598"/>
      <c r="AH69" s="1601"/>
      <c r="AI69" s="1601"/>
      <c r="AJ69" s="1602"/>
      <c r="AK69" s="1598"/>
      <c r="AL69" s="1601"/>
      <c r="AM69" s="1601"/>
      <c r="AN69" s="1602"/>
      <c r="AO69" s="1598"/>
      <c r="AP69" s="1601"/>
      <c r="AQ69" s="1601"/>
      <c r="AR69" s="1602"/>
      <c r="AS69" s="1350"/>
      <c r="AT69" s="1351"/>
      <c r="AU69" s="1351"/>
      <c r="AV69" s="1351"/>
      <c r="AW69" s="1340"/>
      <c r="AX69" s="1341"/>
      <c r="AY69" s="800"/>
      <c r="AZ69" s="1347"/>
      <c r="BA69" s="1345"/>
      <c r="BB69" s="1345"/>
      <c r="BC69" s="1345"/>
      <c r="BD69" s="1345"/>
      <c r="BE69" s="1345"/>
      <c r="BF69" s="1345"/>
      <c r="BG69" s="1345"/>
      <c r="BH69" s="1345"/>
      <c r="BI69" s="1345"/>
      <c r="BJ69" s="1345"/>
      <c r="BK69" s="1345"/>
      <c r="BL69" s="1345"/>
      <c r="BM69" s="1345"/>
      <c r="BN69" s="1345"/>
      <c r="BO69" s="1345"/>
      <c r="BP69" s="1346"/>
      <c r="BZ69" s="237"/>
    </row>
    <row r="70" spans="2:78" ht="24" customHeight="1">
      <c r="B70" s="1519"/>
      <c r="C70" s="1441"/>
      <c r="D70" s="1441"/>
      <c r="E70" s="1598"/>
      <c r="F70" s="1601"/>
      <c r="G70" s="1601"/>
      <c r="H70" s="1602"/>
      <c r="I70" s="1598"/>
      <c r="J70" s="1601"/>
      <c r="K70" s="1601"/>
      <c r="L70" s="1602"/>
      <c r="M70" s="1598"/>
      <c r="N70" s="1601"/>
      <c r="O70" s="1601"/>
      <c r="P70" s="1602"/>
      <c r="Q70" s="1598"/>
      <c r="R70" s="1601"/>
      <c r="S70" s="1601"/>
      <c r="T70" s="1602"/>
      <c r="U70" s="1598"/>
      <c r="V70" s="1601"/>
      <c r="W70" s="1601"/>
      <c r="X70" s="1602"/>
      <c r="Y70" s="1598"/>
      <c r="Z70" s="1601"/>
      <c r="AA70" s="1601"/>
      <c r="AB70" s="1602"/>
      <c r="AC70" s="1598"/>
      <c r="AD70" s="1601"/>
      <c r="AE70" s="1601"/>
      <c r="AF70" s="1602"/>
      <c r="AG70" s="1598"/>
      <c r="AH70" s="1601"/>
      <c r="AI70" s="1601"/>
      <c r="AJ70" s="1602"/>
      <c r="AK70" s="1598"/>
      <c r="AL70" s="1601"/>
      <c r="AM70" s="1601"/>
      <c r="AN70" s="1602"/>
      <c r="AO70" s="1598"/>
      <c r="AP70" s="1601"/>
      <c r="AQ70" s="1601"/>
      <c r="AR70" s="1602"/>
      <c r="AS70" s="1350"/>
      <c r="AT70" s="1351"/>
      <c r="AU70" s="1351"/>
      <c r="AV70" s="1351"/>
      <c r="AW70" s="1340"/>
      <c r="AX70" s="1341"/>
      <c r="AY70" s="800"/>
      <c r="AZ70" s="1347"/>
      <c r="BA70" s="1345"/>
      <c r="BB70" s="1345"/>
      <c r="BC70" s="1345"/>
      <c r="BD70" s="1345"/>
      <c r="BE70" s="1345"/>
      <c r="BF70" s="1345"/>
      <c r="BG70" s="1345"/>
      <c r="BH70" s="1345"/>
      <c r="BI70" s="1345"/>
      <c r="BJ70" s="1345"/>
      <c r="BK70" s="1345"/>
      <c r="BL70" s="1345"/>
      <c r="BM70" s="1345"/>
      <c r="BN70" s="1345"/>
      <c r="BO70" s="1345"/>
      <c r="BP70" s="1346"/>
      <c r="BZ70" s="237"/>
    </row>
    <row r="71" spans="2:78" ht="24" customHeight="1">
      <c r="B71" s="1519"/>
      <c r="C71" s="1441"/>
      <c r="D71" s="1441"/>
      <c r="E71" s="1598"/>
      <c r="F71" s="1601"/>
      <c r="G71" s="1601"/>
      <c r="H71" s="1602"/>
      <c r="I71" s="1598"/>
      <c r="J71" s="1601"/>
      <c r="K71" s="1601"/>
      <c r="L71" s="1602"/>
      <c r="M71" s="1598"/>
      <c r="N71" s="1601"/>
      <c r="O71" s="1601"/>
      <c r="P71" s="1602"/>
      <c r="Q71" s="1598"/>
      <c r="R71" s="1601"/>
      <c r="S71" s="1601"/>
      <c r="T71" s="1602"/>
      <c r="U71" s="1598"/>
      <c r="V71" s="1601"/>
      <c r="W71" s="1601"/>
      <c r="X71" s="1602"/>
      <c r="Y71" s="1598"/>
      <c r="Z71" s="1601"/>
      <c r="AA71" s="1601"/>
      <c r="AB71" s="1602"/>
      <c r="AC71" s="1598"/>
      <c r="AD71" s="1601"/>
      <c r="AE71" s="1601"/>
      <c r="AF71" s="1602"/>
      <c r="AG71" s="1598"/>
      <c r="AH71" s="1601"/>
      <c r="AI71" s="1601"/>
      <c r="AJ71" s="1602"/>
      <c r="AK71" s="1598"/>
      <c r="AL71" s="1601"/>
      <c r="AM71" s="1601"/>
      <c r="AN71" s="1602"/>
      <c r="AO71" s="1598"/>
      <c r="AP71" s="1601"/>
      <c r="AQ71" s="1601"/>
      <c r="AR71" s="1602"/>
      <c r="AS71" s="1350"/>
      <c r="AT71" s="1351"/>
      <c r="AU71" s="1351"/>
      <c r="AV71" s="1351"/>
      <c r="AW71" s="1340"/>
      <c r="AX71" s="1341"/>
      <c r="AY71" s="800"/>
      <c r="AZ71" s="1347"/>
      <c r="BA71" s="1345"/>
      <c r="BB71" s="1345"/>
      <c r="BC71" s="1345"/>
      <c r="BD71" s="1345"/>
      <c r="BE71" s="1345"/>
      <c r="BF71" s="1345"/>
      <c r="BG71" s="1345"/>
      <c r="BH71" s="1345"/>
      <c r="BI71" s="1345"/>
      <c r="BJ71" s="1345"/>
      <c r="BK71" s="1345"/>
      <c r="BL71" s="1345"/>
      <c r="BM71" s="1345"/>
      <c r="BN71" s="1345"/>
      <c r="BO71" s="1345"/>
      <c r="BP71" s="1346"/>
      <c r="BZ71" s="237"/>
    </row>
    <row r="72" spans="2:78" ht="24" customHeight="1">
      <c r="B72" s="1519"/>
      <c r="C72" s="1441"/>
      <c r="D72" s="1441"/>
      <c r="E72" s="1598"/>
      <c r="F72" s="1601"/>
      <c r="G72" s="1601"/>
      <c r="H72" s="1602"/>
      <c r="I72" s="1598"/>
      <c r="J72" s="1601"/>
      <c r="K72" s="1601"/>
      <c r="L72" s="1602"/>
      <c r="M72" s="1598"/>
      <c r="N72" s="1601"/>
      <c r="O72" s="1601"/>
      <c r="P72" s="1602"/>
      <c r="Q72" s="1598"/>
      <c r="R72" s="1601"/>
      <c r="S72" s="1601"/>
      <c r="T72" s="1602"/>
      <c r="U72" s="1598"/>
      <c r="V72" s="1601"/>
      <c r="W72" s="1601"/>
      <c r="X72" s="1602"/>
      <c r="Y72" s="1598"/>
      <c r="Z72" s="1601"/>
      <c r="AA72" s="1601"/>
      <c r="AB72" s="1602"/>
      <c r="AC72" s="1598"/>
      <c r="AD72" s="1601"/>
      <c r="AE72" s="1601"/>
      <c r="AF72" s="1602"/>
      <c r="AG72" s="1598"/>
      <c r="AH72" s="1601"/>
      <c r="AI72" s="1601"/>
      <c r="AJ72" s="1602"/>
      <c r="AK72" s="1598"/>
      <c r="AL72" s="1601"/>
      <c r="AM72" s="1601"/>
      <c r="AN72" s="1602"/>
      <c r="AO72" s="1598"/>
      <c r="AP72" s="1601"/>
      <c r="AQ72" s="1601"/>
      <c r="AR72" s="1602"/>
      <c r="AS72" s="1350"/>
      <c r="AT72" s="1351"/>
      <c r="AU72" s="1351"/>
      <c r="AV72" s="1351"/>
      <c r="AW72" s="1340"/>
      <c r="AX72" s="1341"/>
      <c r="AY72" s="800"/>
      <c r="AZ72" s="1347"/>
      <c r="BA72" s="1345"/>
      <c r="BB72" s="1345"/>
      <c r="BC72" s="1345"/>
      <c r="BD72" s="1345"/>
      <c r="BE72" s="1345"/>
      <c r="BF72" s="1345"/>
      <c r="BG72" s="1345"/>
      <c r="BH72" s="1345"/>
      <c r="BI72" s="1345"/>
      <c r="BJ72" s="1345"/>
      <c r="BK72" s="1345"/>
      <c r="BL72" s="1345"/>
      <c r="BM72" s="1345"/>
      <c r="BN72" s="1345"/>
      <c r="BO72" s="1345"/>
      <c r="BP72" s="1346"/>
      <c r="BZ72" s="237"/>
    </row>
    <row r="73" spans="2:78" ht="24" customHeight="1">
      <c r="B73" s="1520"/>
      <c r="C73" s="1441"/>
      <c r="D73" s="1441"/>
      <c r="E73" s="1598"/>
      <c r="F73" s="1601"/>
      <c r="G73" s="1601"/>
      <c r="H73" s="1602"/>
      <c r="I73" s="1598"/>
      <c r="J73" s="1601"/>
      <c r="K73" s="1601"/>
      <c r="L73" s="1602"/>
      <c r="M73" s="1598"/>
      <c r="N73" s="1601"/>
      <c r="O73" s="1601"/>
      <c r="P73" s="1602"/>
      <c r="Q73" s="1598"/>
      <c r="R73" s="1601"/>
      <c r="S73" s="1601"/>
      <c r="T73" s="1602"/>
      <c r="U73" s="1598"/>
      <c r="V73" s="1601"/>
      <c r="W73" s="1601"/>
      <c r="X73" s="1602"/>
      <c r="Y73" s="1598"/>
      <c r="Z73" s="1601"/>
      <c r="AA73" s="1601"/>
      <c r="AB73" s="1602"/>
      <c r="AC73" s="1598"/>
      <c r="AD73" s="1601"/>
      <c r="AE73" s="1601"/>
      <c r="AF73" s="1602"/>
      <c r="AG73" s="1598"/>
      <c r="AH73" s="1601"/>
      <c r="AI73" s="1601"/>
      <c r="AJ73" s="1602"/>
      <c r="AK73" s="1598"/>
      <c r="AL73" s="1601"/>
      <c r="AM73" s="1601"/>
      <c r="AN73" s="1602"/>
      <c r="AO73" s="1598"/>
      <c r="AP73" s="1601"/>
      <c r="AQ73" s="1601"/>
      <c r="AR73" s="1602"/>
      <c r="AS73" s="1350"/>
      <c r="AT73" s="1351"/>
      <c r="AU73" s="1351"/>
      <c r="AV73" s="1351"/>
      <c r="AW73" s="1340"/>
      <c r="AX73" s="1341"/>
      <c r="AY73" s="800"/>
      <c r="AZ73" s="1347"/>
      <c r="BA73" s="1345"/>
      <c r="BB73" s="1345"/>
      <c r="BC73" s="1345"/>
      <c r="BD73" s="1345"/>
      <c r="BE73" s="1345"/>
      <c r="BF73" s="1345"/>
      <c r="BG73" s="1345"/>
      <c r="BH73" s="1345"/>
      <c r="BI73" s="1345"/>
      <c r="BJ73" s="1345"/>
      <c r="BK73" s="1345"/>
      <c r="BL73" s="1345"/>
      <c r="BM73" s="1345"/>
      <c r="BN73" s="1345"/>
      <c r="BO73" s="1345"/>
      <c r="BP73" s="1346"/>
      <c r="BZ73" s="237"/>
    </row>
    <row r="74" spans="2:78" ht="24" customHeight="1">
      <c r="B74" s="1520"/>
      <c r="C74" s="1441"/>
      <c r="D74" s="1441"/>
      <c r="E74" s="1598"/>
      <c r="F74" s="1599"/>
      <c r="G74" s="1599"/>
      <c r="H74" s="1600"/>
      <c r="I74" s="1598"/>
      <c r="J74" s="1599"/>
      <c r="K74" s="1599"/>
      <c r="L74" s="1600"/>
      <c r="M74" s="1598"/>
      <c r="N74" s="1599"/>
      <c r="O74" s="1599"/>
      <c r="P74" s="1600"/>
      <c r="Q74" s="1598"/>
      <c r="R74" s="1599"/>
      <c r="S74" s="1599"/>
      <c r="T74" s="1600"/>
      <c r="U74" s="1598"/>
      <c r="V74" s="1599"/>
      <c r="W74" s="1599"/>
      <c r="X74" s="1600"/>
      <c r="Y74" s="1598"/>
      <c r="Z74" s="1599"/>
      <c r="AA74" s="1599"/>
      <c r="AB74" s="1600"/>
      <c r="AC74" s="1598"/>
      <c r="AD74" s="1599"/>
      <c r="AE74" s="1599"/>
      <c r="AF74" s="1600"/>
      <c r="AG74" s="1598"/>
      <c r="AH74" s="1599"/>
      <c r="AI74" s="1599"/>
      <c r="AJ74" s="1600"/>
      <c r="AK74" s="1598"/>
      <c r="AL74" s="1599"/>
      <c r="AM74" s="1599"/>
      <c r="AN74" s="1600"/>
      <c r="AO74" s="1598"/>
      <c r="AP74" s="1599"/>
      <c r="AQ74" s="1599"/>
      <c r="AR74" s="1600"/>
      <c r="AS74" s="1350"/>
      <c r="AT74" s="1351"/>
      <c r="AU74" s="1351"/>
      <c r="AV74" s="1351"/>
      <c r="AW74" s="1340"/>
      <c r="AX74" s="1341"/>
      <c r="AY74" s="800"/>
      <c r="AZ74" s="1347"/>
      <c r="BA74" s="1345"/>
      <c r="BB74" s="1345"/>
      <c r="BC74" s="1345"/>
      <c r="BD74" s="1345"/>
      <c r="BE74" s="1345"/>
      <c r="BF74" s="1345"/>
      <c r="BG74" s="1345"/>
      <c r="BH74" s="1345"/>
      <c r="BI74" s="1345"/>
      <c r="BJ74" s="1345"/>
      <c r="BK74" s="1345"/>
      <c r="BL74" s="1345"/>
      <c r="BM74" s="1345"/>
      <c r="BN74" s="1345"/>
      <c r="BO74" s="1345"/>
      <c r="BP74" s="1346"/>
      <c r="BZ74" s="237"/>
    </row>
    <row r="75" spans="2:78" ht="24.75" customHeight="1" thickBot="1">
      <c r="B75" s="1521"/>
      <c r="C75" s="1450"/>
      <c r="D75" s="1450"/>
      <c r="E75" s="1534"/>
      <c r="F75" s="1535"/>
      <c r="G75" s="1535"/>
      <c r="H75" s="1536"/>
      <c r="I75" s="1534"/>
      <c r="J75" s="1535"/>
      <c r="K75" s="1535"/>
      <c r="L75" s="1536"/>
      <c r="M75" s="1534"/>
      <c r="N75" s="1535"/>
      <c r="O75" s="1535"/>
      <c r="P75" s="1536"/>
      <c r="Q75" s="1534"/>
      <c r="R75" s="1535"/>
      <c r="S75" s="1535"/>
      <c r="T75" s="1536"/>
      <c r="U75" s="1534"/>
      <c r="V75" s="1535"/>
      <c r="W75" s="1535"/>
      <c r="X75" s="1536"/>
      <c r="Y75" s="1534"/>
      <c r="Z75" s="1535"/>
      <c r="AA75" s="1535"/>
      <c r="AB75" s="1536"/>
      <c r="AC75" s="1534"/>
      <c r="AD75" s="1535"/>
      <c r="AE75" s="1535"/>
      <c r="AF75" s="1536"/>
      <c r="AG75" s="1534"/>
      <c r="AH75" s="1535"/>
      <c r="AI75" s="1535"/>
      <c r="AJ75" s="1536"/>
      <c r="AK75" s="1534"/>
      <c r="AL75" s="1535"/>
      <c r="AM75" s="1535"/>
      <c r="AN75" s="1536"/>
      <c r="AO75" s="1534"/>
      <c r="AP75" s="1535"/>
      <c r="AQ75" s="1535"/>
      <c r="AR75" s="1536"/>
      <c r="AS75" s="1352"/>
      <c r="AT75" s="1353"/>
      <c r="AU75" s="1353"/>
      <c r="AV75" s="1353"/>
      <c r="AW75" s="1342"/>
      <c r="AX75" s="1343"/>
      <c r="AY75" s="800"/>
      <c r="AZ75" s="1347"/>
      <c r="BA75" s="1345"/>
      <c r="BB75" s="1345"/>
      <c r="BC75" s="1345"/>
      <c r="BD75" s="1345"/>
      <c r="BE75" s="1345"/>
      <c r="BF75" s="1345"/>
      <c r="BG75" s="1345"/>
      <c r="BH75" s="1345"/>
      <c r="BI75" s="1345"/>
      <c r="BJ75" s="1345"/>
      <c r="BK75" s="1345"/>
      <c r="BL75" s="1345"/>
      <c r="BM75" s="1345"/>
      <c r="BN75" s="1345"/>
      <c r="BO75" s="1345"/>
      <c r="BP75" s="1346"/>
      <c r="BZ75" s="237"/>
    </row>
    <row r="76" spans="2:78">
      <c r="AP76" s="795"/>
      <c r="AQ76" s="795"/>
      <c r="AR76" s="795"/>
      <c r="AS76" s="795"/>
      <c r="AT76" s="795"/>
      <c r="AU76" s="795"/>
      <c r="AV76" s="795"/>
      <c r="AW76" s="795"/>
      <c r="AX76" s="795"/>
      <c r="AY76" s="795"/>
      <c r="AZ76" s="795"/>
      <c r="BD76" s="795"/>
      <c r="BE76" s="795"/>
      <c r="BG76" s="795"/>
    </row>
    <row r="77" spans="2:78" s="796" customFormat="1" ht="45" customHeight="1">
      <c r="B77" s="1372" t="str">
        <f xml:space="preserve">
"３．配置情報　　【総合判定】"&amp;AZ77&amp;"："&amp;BG77&amp;CHAR(10)&amp;
"　　コロナ患者入院対応を行う職員分のみ入力すること"</f>
        <v>３．配置情報　　【総合判定】×：上段の「２．職員情報」が入力不十分です。（上の段から適切に入力していくようにしてください。）
　　コロナ患者入院対応を行う職員分のみ入力すること</v>
      </c>
      <c r="C77" s="1552"/>
      <c r="D77" s="1552"/>
      <c r="E77" s="1552"/>
      <c r="F77" s="1552"/>
      <c r="G77" s="1552"/>
      <c r="H77" s="1552"/>
      <c r="I77" s="1552"/>
      <c r="J77" s="1552"/>
      <c r="K77" s="1552"/>
      <c r="L77" s="1552"/>
      <c r="M77" s="1552"/>
      <c r="N77" s="1552"/>
      <c r="O77" s="1552"/>
      <c r="P77" s="1552"/>
      <c r="Q77" s="1552"/>
      <c r="R77" s="1552"/>
      <c r="S77" s="1552"/>
      <c r="T77" s="1552"/>
      <c r="U77" s="1552"/>
      <c r="V77" s="1552"/>
      <c r="W77" s="1552"/>
      <c r="X77" s="1552"/>
      <c r="Y77" s="1552"/>
      <c r="Z77" s="1552"/>
      <c r="AA77" s="1552"/>
      <c r="AB77" s="1552"/>
      <c r="AC77" s="1552"/>
      <c r="AD77" s="1552"/>
      <c r="AE77" s="1552"/>
      <c r="AF77" s="1552"/>
      <c r="AG77" s="1552"/>
      <c r="AH77" s="1552"/>
      <c r="AI77" s="1552"/>
      <c r="AJ77" s="1552"/>
      <c r="AK77" s="1552"/>
      <c r="AL77" s="1552"/>
      <c r="AM77" s="1552"/>
      <c r="AN77" s="1552"/>
      <c r="AO77" s="1552"/>
      <c r="AP77" s="1552"/>
      <c r="AQ77" s="1552"/>
      <c r="AR77" s="1552"/>
      <c r="AS77" s="1552"/>
      <c r="AT77" s="1552"/>
      <c r="AU77" s="1552"/>
      <c r="AV77" s="1552"/>
      <c r="AW77" s="1552"/>
      <c r="AX77" s="1552"/>
      <c r="AY77" s="1552"/>
      <c r="AZ77" s="238" t="str">
        <f xml:space="preserve">
IF(AZ63="×","×",
IF(COUNTIF(AP84:AP97,"○")=2,"○","×"))</f>
        <v>×</v>
      </c>
      <c r="BD77" s="238"/>
      <c r="BE77" s="238"/>
      <c r="BF77" s="238"/>
      <c r="BG77" s="571" t="str">
        <f xml:space="preserve">
IF(AZ63="×","上段の「２．職員情報」が入力不十分です。（上の段から適切に入力していくようにしてください。）",
IF(COUNTIF(AP84:AP97,"○")=2,"適切に入力がされました。","各月の入院患者情報、各月の医師看護職員の配置員数または勤務時間数計が未入力の状態または修正が必要です。"))</f>
        <v>上段の「２．職員情報」が入力不十分です。（上の段から適切に入力していくようにしてください。）</v>
      </c>
    </row>
    <row r="78" spans="2:78" ht="48" customHeight="1">
      <c r="B78" s="1308" t="s">
        <v>1168</v>
      </c>
      <c r="C78" s="1617"/>
      <c r="D78" s="1617"/>
      <c r="E78" s="1617"/>
      <c r="F78" s="1617"/>
      <c r="G78" s="1617"/>
      <c r="H78" s="1617"/>
      <c r="I78" s="1617"/>
      <c r="J78" s="1617"/>
      <c r="K78" s="1617"/>
      <c r="L78" s="1617"/>
      <c r="M78" s="1617"/>
      <c r="N78" s="1617"/>
      <c r="O78" s="1617"/>
      <c r="P78" s="1617"/>
      <c r="Q78" s="1617"/>
      <c r="R78" s="1617"/>
      <c r="S78" s="1617"/>
      <c r="T78" s="1617"/>
      <c r="U78" s="1617"/>
      <c r="V78" s="1617"/>
      <c r="W78" s="1617"/>
      <c r="X78" s="1617"/>
      <c r="Y78" s="1617"/>
      <c r="Z78" s="1617"/>
      <c r="AA78" s="1617"/>
      <c r="AB78" s="1617"/>
      <c r="AC78" s="1617"/>
      <c r="AD78" s="1617"/>
      <c r="AE78" s="1617"/>
      <c r="AF78" s="1617"/>
      <c r="AG78" s="1617"/>
      <c r="AH78" s="1617"/>
      <c r="AI78" s="1617"/>
      <c r="AJ78" s="1617"/>
      <c r="AK78" s="1617"/>
      <c r="AL78" s="1617"/>
      <c r="AM78" s="1617"/>
      <c r="AN78" s="1617"/>
      <c r="AO78" s="1617"/>
      <c r="AP78" s="1617"/>
      <c r="AQ78" s="1617"/>
      <c r="AR78" s="1617"/>
      <c r="AS78" s="1617"/>
      <c r="AT78" s="1617"/>
      <c r="AU78" s="1617"/>
      <c r="AV78" s="1617"/>
      <c r="AW78" s="1617"/>
      <c r="AX78" s="1618"/>
      <c r="AY78" s="1618"/>
      <c r="BD78" s="222"/>
      <c r="BE78" s="222"/>
      <c r="BF78" s="222"/>
      <c r="BG78" s="222"/>
    </row>
    <row r="79" spans="2:78" ht="48" customHeight="1">
      <c r="B79" s="1232" t="s">
        <v>1151</v>
      </c>
      <c r="C79" s="1233"/>
      <c r="D79" s="1233"/>
      <c r="E79" s="1233"/>
      <c r="F79" s="1233"/>
      <c r="G79" s="1233"/>
      <c r="H79" s="1233"/>
      <c r="I79" s="1233"/>
      <c r="J79" s="1233"/>
      <c r="K79" s="1233"/>
      <c r="L79" s="1233"/>
      <c r="M79" s="1233"/>
      <c r="N79" s="1233"/>
      <c r="O79" s="1233"/>
      <c r="P79" s="1233"/>
      <c r="Q79" s="1233"/>
      <c r="R79" s="1233"/>
      <c r="S79" s="1233"/>
      <c r="T79" s="1233"/>
      <c r="U79" s="1233"/>
      <c r="V79" s="1233"/>
      <c r="W79" s="1233"/>
      <c r="X79" s="1233"/>
      <c r="Y79" s="1233"/>
      <c r="Z79" s="1233"/>
      <c r="AA79" s="1233"/>
      <c r="AB79" s="1233"/>
      <c r="AC79" s="1233"/>
      <c r="AD79" s="1233"/>
      <c r="AE79" s="1233"/>
      <c r="AF79" s="1233"/>
      <c r="AG79" s="1233"/>
      <c r="AH79" s="1233"/>
      <c r="AI79" s="1233"/>
      <c r="AJ79" s="1233"/>
      <c r="AK79" s="1233"/>
      <c r="AL79" s="1233"/>
      <c r="AM79" s="1233"/>
      <c r="AN79" s="1233"/>
      <c r="AO79" s="1233"/>
      <c r="AP79" s="1233"/>
      <c r="AQ79" s="1233"/>
      <c r="AR79" s="1233"/>
      <c r="AS79" s="1233"/>
      <c r="AT79" s="1233"/>
      <c r="AU79" s="1233"/>
      <c r="AV79" s="1233"/>
      <c r="AW79" s="1233"/>
      <c r="AX79" s="1618"/>
      <c r="AY79" s="1618"/>
      <c r="BD79" s="222"/>
      <c r="BE79" s="222"/>
      <c r="BF79" s="222"/>
      <c r="BG79" s="222"/>
    </row>
    <row r="80" spans="2:78" ht="48" customHeight="1" thickBot="1">
      <c r="B80" s="1232" t="s">
        <v>1044</v>
      </c>
      <c r="C80" s="1231"/>
      <c r="D80" s="1231"/>
      <c r="E80" s="1231"/>
      <c r="F80" s="1231"/>
      <c r="G80" s="1231"/>
      <c r="H80" s="1231"/>
      <c r="I80" s="1231"/>
      <c r="J80" s="1231"/>
      <c r="K80" s="1231"/>
      <c r="L80" s="1231"/>
      <c r="M80" s="1231"/>
      <c r="N80" s="1231"/>
      <c r="O80" s="1231"/>
      <c r="P80" s="1231"/>
      <c r="Q80" s="1231"/>
      <c r="R80" s="1231"/>
      <c r="S80" s="1231"/>
      <c r="T80" s="1231"/>
      <c r="U80" s="1231"/>
      <c r="V80" s="1231"/>
      <c r="W80" s="1231"/>
      <c r="X80" s="1231"/>
      <c r="Y80" s="1231"/>
      <c r="Z80" s="1231"/>
      <c r="AA80" s="1231"/>
      <c r="AB80" s="1231"/>
      <c r="AC80" s="1231"/>
      <c r="AD80" s="1231"/>
      <c r="AE80" s="1231"/>
      <c r="AF80" s="1231"/>
      <c r="AG80" s="1231"/>
      <c r="AH80" s="1231"/>
      <c r="AI80" s="1231"/>
      <c r="AJ80" s="1231"/>
      <c r="AK80" s="1231"/>
      <c r="AL80" s="1231"/>
      <c r="AM80" s="1231"/>
      <c r="AN80" s="1231"/>
      <c r="AO80" s="1231"/>
      <c r="AP80" s="1231"/>
      <c r="AQ80" s="1231"/>
      <c r="AR80" s="1231"/>
      <c r="AS80" s="1231"/>
      <c r="AT80" s="1231"/>
      <c r="AU80" s="1231"/>
      <c r="AV80" s="1231"/>
      <c r="AW80" s="1231"/>
      <c r="AX80" s="1231"/>
      <c r="AY80" s="1618"/>
      <c r="BD80" s="222"/>
      <c r="BE80" s="222"/>
      <c r="BF80" s="222"/>
      <c r="BG80" s="222"/>
    </row>
    <row r="81" spans="2:67" ht="48" hidden="1" customHeight="1">
      <c r="B81" s="798"/>
      <c r="C81" s="797"/>
      <c r="D81" s="797"/>
      <c r="E81" s="797"/>
      <c r="F81" s="797"/>
      <c r="G81" s="797"/>
      <c r="H81" s="797"/>
      <c r="I81" s="797"/>
      <c r="J81" s="797"/>
      <c r="K81" s="797"/>
      <c r="L81" s="797"/>
      <c r="M81" s="797"/>
      <c r="N81" s="797"/>
      <c r="O81" s="797"/>
      <c r="P81" s="797"/>
      <c r="Q81" s="797"/>
      <c r="R81" s="797"/>
      <c r="S81" s="797"/>
      <c r="T81" s="797"/>
      <c r="U81" s="797"/>
      <c r="V81" s="797"/>
      <c r="W81" s="797"/>
      <c r="X81" s="797"/>
      <c r="Y81" s="797"/>
      <c r="Z81" s="797"/>
      <c r="AA81" s="797"/>
      <c r="AB81" s="797"/>
      <c r="AC81" s="797"/>
      <c r="AD81" s="797"/>
      <c r="AE81" s="797"/>
      <c r="AF81" s="797"/>
      <c r="AG81" s="797"/>
      <c r="AH81" s="797"/>
      <c r="AI81" s="797"/>
      <c r="AJ81" s="797"/>
      <c r="AK81" s="797"/>
      <c r="AL81" s="797"/>
      <c r="AM81" s="797"/>
      <c r="AN81" s="797"/>
      <c r="AO81" s="797"/>
      <c r="AP81" s="797"/>
      <c r="AQ81" s="797"/>
      <c r="AR81" s="797"/>
      <c r="AS81" s="797"/>
      <c r="AT81" s="797"/>
      <c r="AU81" s="797"/>
      <c r="AV81" s="797"/>
      <c r="AW81" s="797"/>
      <c r="AX81" s="797"/>
      <c r="BD81" s="222"/>
      <c r="BE81" s="222"/>
      <c r="BF81" s="222"/>
      <c r="BG81" s="222"/>
    </row>
    <row r="82" spans="2:67" ht="48" hidden="1" customHeight="1" thickBot="1">
      <c r="B82" s="798"/>
      <c r="C82" s="797"/>
      <c r="D82" s="797"/>
      <c r="E82" s="797"/>
      <c r="F82" s="797"/>
      <c r="G82" s="797"/>
      <c r="H82" s="797"/>
      <c r="I82" s="797"/>
      <c r="J82" s="797"/>
      <c r="K82" s="797"/>
      <c r="L82" s="797"/>
      <c r="M82" s="797"/>
      <c r="N82" s="797"/>
      <c r="O82" s="797"/>
      <c r="P82" s="797"/>
      <c r="Q82" s="797"/>
      <c r="R82" s="797"/>
      <c r="S82" s="797"/>
      <c r="T82" s="797"/>
      <c r="U82" s="797"/>
      <c r="V82" s="797"/>
      <c r="W82" s="797"/>
      <c r="X82" s="797"/>
      <c r="Y82" s="797"/>
      <c r="Z82" s="797"/>
      <c r="AA82" s="797"/>
      <c r="AB82" s="797"/>
      <c r="AC82" s="797"/>
      <c r="AD82" s="797"/>
      <c r="AE82" s="797"/>
      <c r="AF82" s="797"/>
      <c r="AG82" s="797"/>
      <c r="AH82" s="797"/>
      <c r="AI82" s="797"/>
      <c r="AJ82" s="797"/>
      <c r="AK82" s="797"/>
      <c r="AL82" s="797"/>
      <c r="AM82" s="797"/>
      <c r="AN82" s="797"/>
      <c r="AO82" s="797"/>
      <c r="AP82" s="797"/>
      <c r="AQ82" s="797"/>
      <c r="AR82" s="797"/>
      <c r="AS82" s="797"/>
      <c r="AT82" s="797"/>
      <c r="AU82" s="797"/>
      <c r="AV82" s="797"/>
      <c r="AW82" s="797"/>
      <c r="AX82" s="797"/>
      <c r="BD82" s="222"/>
      <c r="BE82" s="222"/>
      <c r="BF82" s="222"/>
      <c r="BG82" s="222"/>
    </row>
    <row r="83" spans="2:67" ht="24" customHeight="1">
      <c r="B83" s="1442" t="s">
        <v>496</v>
      </c>
      <c r="C83" s="1443"/>
      <c r="D83" s="1443"/>
      <c r="E83" s="1443"/>
      <c r="F83" s="1443"/>
      <c r="G83" s="1443"/>
      <c r="H83" s="1443"/>
      <c r="I83" s="1443"/>
      <c r="J83" s="1443"/>
      <c r="K83" s="1443"/>
      <c r="L83" s="1444"/>
      <c r="M83" s="1454">
        <f>G16</f>
        <v>10</v>
      </c>
      <c r="N83" s="1444"/>
      <c r="O83" s="1444"/>
      <c r="P83" s="1444"/>
      <c r="Q83" s="1454">
        <f>L16</f>
        <v>11</v>
      </c>
      <c r="R83" s="1444"/>
      <c r="S83" s="1444"/>
      <c r="T83" s="1444"/>
      <c r="U83" s="1454">
        <f>Q16</f>
        <v>12</v>
      </c>
      <c r="V83" s="1444"/>
      <c r="W83" s="1444"/>
      <c r="X83" s="1444"/>
      <c r="Y83" s="1454">
        <f>V16</f>
        <v>1</v>
      </c>
      <c r="Z83" s="1444"/>
      <c r="AA83" s="1444"/>
      <c r="AB83" s="1444"/>
      <c r="AC83" s="1454">
        <f>AA16</f>
        <v>2</v>
      </c>
      <c r="AD83" s="1444"/>
      <c r="AE83" s="1444"/>
      <c r="AF83" s="1444"/>
      <c r="AG83" s="1454">
        <f>AF16</f>
        <v>3</v>
      </c>
      <c r="AH83" s="1444"/>
      <c r="AI83" s="1444"/>
      <c r="AJ83" s="1444"/>
      <c r="AK83" s="1593" t="s">
        <v>1093</v>
      </c>
      <c r="AL83" s="1518"/>
      <c r="AM83" s="1518"/>
      <c r="AN83" s="1518"/>
      <c r="AO83" s="1518"/>
      <c r="AP83" s="1594" t="s">
        <v>98</v>
      </c>
      <c r="AQ83" s="1518"/>
      <c r="AR83" s="1518"/>
      <c r="AS83" s="1518"/>
      <c r="AT83" s="1518"/>
      <c r="AU83" s="1518"/>
      <c r="AV83" s="1518"/>
      <c r="AW83" s="1518"/>
      <c r="AX83" s="1595"/>
      <c r="BD83" s="222"/>
      <c r="BE83" s="222"/>
      <c r="BF83" s="222"/>
      <c r="BG83" s="222"/>
    </row>
    <row r="84" spans="2:67" ht="24" customHeight="1">
      <c r="B84" s="1439" t="s">
        <v>1173</v>
      </c>
      <c r="C84" s="1440"/>
      <c r="D84" s="1440"/>
      <c r="E84" s="1440"/>
      <c r="F84" s="1440"/>
      <c r="G84" s="1440"/>
      <c r="H84" s="1440"/>
      <c r="I84" s="1440"/>
      <c r="J84" s="1441"/>
      <c r="K84" s="1441"/>
      <c r="L84" s="857"/>
      <c r="M84" s="1455" t="str">
        <f>IF(AU25="○",AO23,"")</f>
        <v/>
      </c>
      <c r="N84" s="1456"/>
      <c r="O84" s="1456"/>
      <c r="P84" s="1456"/>
      <c r="Q84" s="1455" t="str">
        <f>IF(AU32="○",AO30,"")</f>
        <v/>
      </c>
      <c r="R84" s="1456"/>
      <c r="S84" s="1456"/>
      <c r="T84" s="1456"/>
      <c r="U84" s="1455" t="str">
        <f>IF(AU39="○",AO37,"")</f>
        <v/>
      </c>
      <c r="V84" s="1456"/>
      <c r="W84" s="1456"/>
      <c r="X84" s="1456"/>
      <c r="Y84" s="1455" t="str">
        <f>IF(AU46="○",AO44,"")</f>
        <v/>
      </c>
      <c r="Z84" s="857"/>
      <c r="AA84" s="857"/>
      <c r="AB84" s="857"/>
      <c r="AC84" s="1455" t="str">
        <f>IF(AU53="○",AO51,"")</f>
        <v/>
      </c>
      <c r="AD84" s="857"/>
      <c r="AE84" s="857"/>
      <c r="AF84" s="857"/>
      <c r="AG84" s="1455" t="str">
        <f>IF(AU60="○",AO58,"")</f>
        <v/>
      </c>
      <c r="AH84" s="857"/>
      <c r="AI84" s="857"/>
      <c r="AJ84" s="857"/>
      <c r="AK84" s="1587" t="str">
        <f>IF(AP84="×","×",IFERROR(SUM(M84:AJ84),0))</f>
        <v>×</v>
      </c>
      <c r="AL84" s="1587"/>
      <c r="AM84" s="1588"/>
      <c r="AN84" s="1588"/>
      <c r="AO84" s="1588"/>
      <c r="AP84" s="1458" t="str">
        <f>IF(COUNTIF(M87:AJ87,"○")=6,"○","×")</f>
        <v>×</v>
      </c>
      <c r="AQ84" s="1559" t="str">
        <f xml:space="preserve">
IF(COUNTIF(M87:AJ87,"○")=6,"適切に入力がされました。",
"【要修正】"&amp;CHAR(10)&amp;"「×」表示の入力内容"&amp;CHAR(10)&amp;"を確認してください。")</f>
        <v>【要修正】
「×」表示の入力内容
を確認してください。</v>
      </c>
      <c r="AR84" s="1564"/>
      <c r="AS84" s="1564"/>
      <c r="AT84" s="1564"/>
      <c r="AU84" s="1564"/>
      <c r="AV84" s="1564"/>
      <c r="AW84" s="1564"/>
      <c r="AX84" s="1565"/>
      <c r="AY84" s="800"/>
      <c r="AZ84" s="1326" t="s">
        <v>1094</v>
      </c>
      <c r="BA84" s="1589"/>
      <c r="BB84" s="1589"/>
      <c r="BC84" s="1589"/>
      <c r="BD84" s="1589"/>
      <c r="BE84" s="1589"/>
      <c r="BF84" s="1589"/>
      <c r="BG84" s="1589"/>
      <c r="BH84" s="1589"/>
      <c r="BI84" s="1589"/>
      <c r="BJ84" s="1589"/>
      <c r="BK84" s="1589"/>
      <c r="BL84" s="1589"/>
      <c r="BM84" s="1589"/>
      <c r="BN84" s="1589"/>
      <c r="BO84" s="1590"/>
    </row>
    <row r="85" spans="2:67" ht="24" customHeight="1">
      <c r="B85" s="1439" t="s">
        <v>1171</v>
      </c>
      <c r="C85" s="1440"/>
      <c r="D85" s="1440"/>
      <c r="E85" s="1440"/>
      <c r="F85" s="1440"/>
      <c r="G85" s="1440"/>
      <c r="H85" s="1440"/>
      <c r="I85" s="1440"/>
      <c r="J85" s="1441"/>
      <c r="K85" s="1441"/>
      <c r="L85" s="857"/>
      <c r="M85" s="1457" t="str">
        <f>IF(AU25="○",AO25,"")</f>
        <v/>
      </c>
      <c r="N85" s="1456"/>
      <c r="O85" s="1456"/>
      <c r="P85" s="1456"/>
      <c r="Q85" s="1457" t="str">
        <f>IF(AU32="○",AO32,"")</f>
        <v/>
      </c>
      <c r="R85" s="1456"/>
      <c r="S85" s="1456"/>
      <c r="T85" s="1456"/>
      <c r="U85" s="1457" t="str">
        <f>IF(AU39="○",AO39,"")</f>
        <v/>
      </c>
      <c r="V85" s="1456"/>
      <c r="W85" s="1456"/>
      <c r="X85" s="1456"/>
      <c r="Y85" s="1457" t="str">
        <f>IF(AU46="○",AO46,"")</f>
        <v/>
      </c>
      <c r="Z85" s="857"/>
      <c r="AA85" s="857"/>
      <c r="AB85" s="857"/>
      <c r="AC85" s="1457" t="str">
        <f>IF(AU53="○",AO53,"")</f>
        <v/>
      </c>
      <c r="AD85" s="857"/>
      <c r="AE85" s="857"/>
      <c r="AF85" s="857"/>
      <c r="AG85" s="1457" t="str">
        <f>IF(AU60="○",AO60,"")</f>
        <v/>
      </c>
      <c r="AH85" s="857"/>
      <c r="AI85" s="857"/>
      <c r="AJ85" s="857"/>
      <c r="AK85" s="1587" t="str">
        <f>IF(AP84="×","×",IFERROR(SUM(M85:AJ85),0))</f>
        <v>×</v>
      </c>
      <c r="AL85" s="1587"/>
      <c r="AM85" s="1588"/>
      <c r="AN85" s="1588"/>
      <c r="AO85" s="1588"/>
      <c r="AP85" s="1560"/>
      <c r="AQ85" s="1564"/>
      <c r="AR85" s="1564"/>
      <c r="AS85" s="1564"/>
      <c r="AT85" s="1564"/>
      <c r="AU85" s="1564"/>
      <c r="AV85" s="1564"/>
      <c r="AW85" s="1564"/>
      <c r="AX85" s="1565"/>
      <c r="AY85" s="800"/>
      <c r="AZ85" s="1347"/>
      <c r="BA85" s="1591"/>
      <c r="BB85" s="1591"/>
      <c r="BC85" s="1591"/>
      <c r="BD85" s="1591"/>
      <c r="BE85" s="1591"/>
      <c r="BF85" s="1591"/>
      <c r="BG85" s="1591"/>
      <c r="BH85" s="1591"/>
      <c r="BI85" s="1591"/>
      <c r="BJ85" s="1591"/>
      <c r="BK85" s="1591"/>
      <c r="BL85" s="1591"/>
      <c r="BM85" s="1591"/>
      <c r="BN85" s="1591"/>
      <c r="BO85" s="1592"/>
    </row>
    <row r="86" spans="2:67" ht="24">
      <c r="B86" s="1439" t="s">
        <v>1172</v>
      </c>
      <c r="C86" s="1440"/>
      <c r="D86" s="1440"/>
      <c r="E86" s="1440"/>
      <c r="F86" s="1440"/>
      <c r="G86" s="1440"/>
      <c r="H86" s="1440"/>
      <c r="I86" s="1440"/>
      <c r="J86" s="1441"/>
      <c r="K86" s="1441"/>
      <c r="L86" s="857"/>
      <c r="M86" s="1457" t="str">
        <f>IF(AU25="○",AO26,"")</f>
        <v/>
      </c>
      <c r="N86" s="1456"/>
      <c r="O86" s="1456"/>
      <c r="P86" s="1456"/>
      <c r="Q86" s="1457" t="str">
        <f>IF(AU32="○",AO33,"")</f>
        <v/>
      </c>
      <c r="R86" s="1456"/>
      <c r="S86" s="1456"/>
      <c r="T86" s="1456"/>
      <c r="U86" s="1457" t="str">
        <f>IF(AU39="○",AO40,"")</f>
        <v/>
      </c>
      <c r="V86" s="1456"/>
      <c r="W86" s="1456"/>
      <c r="X86" s="1456"/>
      <c r="Y86" s="1457" t="str">
        <f>IF(AU46="○",AO47,"")</f>
        <v/>
      </c>
      <c r="Z86" s="857"/>
      <c r="AA86" s="857"/>
      <c r="AB86" s="857"/>
      <c r="AC86" s="1457" t="str">
        <f>IF(AU53="○",AO54,"")</f>
        <v/>
      </c>
      <c r="AD86" s="857"/>
      <c r="AE86" s="857"/>
      <c r="AF86" s="857"/>
      <c r="AG86" s="1457" t="str">
        <f>IF(AU60="○",AO61,"")</f>
        <v/>
      </c>
      <c r="AH86" s="857"/>
      <c r="AI86" s="857"/>
      <c r="AJ86" s="857"/>
      <c r="AK86" s="1596" t="str">
        <f xml:space="preserve">
IF(AP84="×","×",IFERROR(SUM(M86:AJ86),0))</f>
        <v>×</v>
      </c>
      <c r="AL86" s="1596"/>
      <c r="AM86" s="1597"/>
      <c r="AN86" s="1597"/>
      <c r="AO86" s="1597"/>
      <c r="AP86" s="1560"/>
      <c r="AQ86" s="1564"/>
      <c r="AR86" s="1564"/>
      <c r="AS86" s="1564"/>
      <c r="AT86" s="1564"/>
      <c r="AU86" s="1564"/>
      <c r="AV86" s="1564"/>
      <c r="AW86" s="1564"/>
      <c r="AX86" s="1565"/>
      <c r="AY86" s="800"/>
      <c r="AZ86" s="1553"/>
      <c r="BA86" s="1554"/>
      <c r="BB86" s="1554"/>
      <c r="BC86" s="1554"/>
      <c r="BD86" s="1554"/>
      <c r="BE86" s="1554"/>
      <c r="BF86" s="1554"/>
      <c r="BG86" s="1554"/>
      <c r="BH86" s="1554"/>
      <c r="BI86" s="1554"/>
      <c r="BJ86" s="1554"/>
      <c r="BK86" s="1554"/>
      <c r="BL86" s="1554"/>
      <c r="BM86" s="1554"/>
      <c r="BN86" s="1554"/>
      <c r="BO86" s="1554"/>
    </row>
    <row r="87" spans="2:67" ht="18.75">
      <c r="B87" s="1439" t="s">
        <v>98</v>
      </c>
      <c r="C87" s="1440"/>
      <c r="D87" s="1440"/>
      <c r="E87" s="1440"/>
      <c r="F87" s="1440"/>
      <c r="G87" s="1440"/>
      <c r="H87" s="1440"/>
      <c r="I87" s="1440"/>
      <c r="J87" s="1441"/>
      <c r="K87" s="1441"/>
      <c r="L87" s="857"/>
      <c r="M87" s="1458" t="str">
        <f>AU25</f>
        <v>×</v>
      </c>
      <c r="N87" s="857"/>
      <c r="O87" s="857"/>
      <c r="P87" s="857"/>
      <c r="Q87" s="1458" t="str">
        <f>AU32</f>
        <v>×</v>
      </c>
      <c r="R87" s="857"/>
      <c r="S87" s="857"/>
      <c r="T87" s="857"/>
      <c r="U87" s="1458" t="str">
        <f>AU39</f>
        <v>×</v>
      </c>
      <c r="V87" s="857"/>
      <c r="W87" s="857"/>
      <c r="X87" s="857"/>
      <c r="Y87" s="1458" t="str">
        <f>AU46</f>
        <v>×</v>
      </c>
      <c r="Z87" s="857"/>
      <c r="AA87" s="857"/>
      <c r="AB87" s="857"/>
      <c r="AC87" s="1458" t="str">
        <f>AU53</f>
        <v>×</v>
      </c>
      <c r="AD87" s="857"/>
      <c r="AE87" s="857"/>
      <c r="AF87" s="857"/>
      <c r="AG87" s="1458" t="str">
        <f>AU60</f>
        <v>×</v>
      </c>
      <c r="AH87" s="857"/>
      <c r="AI87" s="857"/>
      <c r="AJ87" s="857"/>
      <c r="AK87" s="1585" t="s">
        <v>1169</v>
      </c>
      <c r="AL87" s="1586"/>
      <c r="AM87" s="1586"/>
      <c r="AN87" s="1586"/>
      <c r="AO87" s="1586"/>
      <c r="AP87" s="1560"/>
      <c r="AQ87" s="1564"/>
      <c r="AR87" s="1564"/>
      <c r="AS87" s="1564"/>
      <c r="AT87" s="1564"/>
      <c r="AU87" s="1564"/>
      <c r="AV87" s="1564"/>
      <c r="AW87" s="1564"/>
      <c r="AX87" s="1565"/>
      <c r="AY87" s="800"/>
      <c r="AZ87" s="309"/>
      <c r="BA87" s="309"/>
      <c r="BB87" s="309"/>
      <c r="BC87" s="309"/>
      <c r="BD87" s="309"/>
      <c r="BE87" s="309"/>
      <c r="BF87" s="309"/>
      <c r="BG87" s="309"/>
      <c r="BH87" s="309"/>
      <c r="BI87" s="309"/>
      <c r="BJ87" s="309"/>
      <c r="BK87" s="309"/>
      <c r="BL87" s="309"/>
      <c r="BM87" s="309"/>
      <c r="BN87" s="309"/>
      <c r="BO87" s="309"/>
    </row>
    <row r="88" spans="2:67" ht="24" hidden="1">
      <c r="B88" s="572"/>
      <c r="C88" s="573"/>
      <c r="D88" s="573"/>
      <c r="E88" s="573"/>
      <c r="F88" s="573"/>
      <c r="G88" s="573"/>
      <c r="H88" s="573"/>
      <c r="I88" s="573"/>
      <c r="J88" s="573"/>
      <c r="K88" s="573"/>
      <c r="L88" s="282"/>
      <c r="M88" s="574"/>
      <c r="N88" s="574"/>
      <c r="O88" s="574"/>
      <c r="P88" s="574"/>
      <c r="Q88" s="574"/>
      <c r="R88" s="574"/>
      <c r="S88" s="574"/>
      <c r="T88" s="574"/>
      <c r="U88" s="574"/>
      <c r="V88" s="282"/>
      <c r="W88" s="574"/>
      <c r="X88" s="574"/>
      <c r="Y88" s="574"/>
      <c r="Z88" s="574"/>
      <c r="AA88" s="282"/>
      <c r="AB88" s="282"/>
      <c r="AC88" s="574"/>
      <c r="AD88" s="574"/>
      <c r="AE88" s="574"/>
      <c r="AF88" s="282"/>
      <c r="AG88" s="574"/>
      <c r="AH88" s="574"/>
      <c r="AI88" s="574"/>
      <c r="AJ88" s="574"/>
      <c r="AK88" s="575"/>
      <c r="AL88" s="575"/>
      <c r="AM88" s="575"/>
      <c r="AN88" s="575"/>
      <c r="AO88" s="575"/>
      <c r="AP88" s="573"/>
      <c r="AQ88" s="576"/>
      <c r="AR88" s="573"/>
      <c r="AS88" s="573"/>
      <c r="AT88" s="573"/>
      <c r="AU88" s="573"/>
      <c r="AV88" s="573"/>
      <c r="AW88" s="573"/>
      <c r="AX88" s="577"/>
      <c r="AY88" s="800"/>
      <c r="AZ88" s="1553"/>
      <c r="BA88" s="1554"/>
      <c r="BB88" s="1554"/>
      <c r="BC88" s="1554"/>
      <c r="BD88" s="1554"/>
      <c r="BE88" s="1554"/>
      <c r="BF88" s="1554"/>
      <c r="BG88" s="1554"/>
      <c r="BH88" s="1554"/>
      <c r="BI88" s="1554"/>
      <c r="BJ88" s="1554"/>
      <c r="BK88" s="1554"/>
      <c r="BL88" s="1554"/>
      <c r="BM88" s="1554"/>
      <c r="BN88" s="1554"/>
      <c r="BO88" s="1554"/>
    </row>
    <row r="89" spans="2:67" ht="24">
      <c r="B89" s="1439" t="s">
        <v>1096</v>
      </c>
      <c r="C89" s="1441"/>
      <c r="D89" s="1441"/>
      <c r="E89" s="1441"/>
      <c r="F89" s="1441"/>
      <c r="G89" s="1441"/>
      <c r="H89" s="1441"/>
      <c r="I89" s="1441"/>
      <c r="J89" s="1441"/>
      <c r="K89" s="1441"/>
      <c r="L89" s="857"/>
      <c r="M89" s="1459">
        <f>IFERROR(ROUNDDOWN(M96/(24*M84),1),0)</f>
        <v>0</v>
      </c>
      <c r="N89" s="857"/>
      <c r="O89" s="857"/>
      <c r="P89" s="857"/>
      <c r="Q89" s="1459">
        <f>IFERROR(ROUNDDOWN(Q96/(24*Q84),1),0)</f>
        <v>0</v>
      </c>
      <c r="R89" s="857"/>
      <c r="S89" s="857"/>
      <c r="T89" s="857"/>
      <c r="U89" s="1459">
        <f>IFERROR(ROUNDDOWN(U96/(24*U84),3),0)</f>
        <v>0</v>
      </c>
      <c r="V89" s="857"/>
      <c r="W89" s="857"/>
      <c r="X89" s="857"/>
      <c r="Y89" s="1459">
        <f>IFERROR(ROUNDDOWN(Y96/(24*Y84),1),0)</f>
        <v>0</v>
      </c>
      <c r="Z89" s="857"/>
      <c r="AA89" s="857"/>
      <c r="AB89" s="857"/>
      <c r="AC89" s="1459">
        <f>IFERROR(ROUNDDOWN(AC96/(24*AC84),3),0)</f>
        <v>0</v>
      </c>
      <c r="AD89" s="857"/>
      <c r="AE89" s="857"/>
      <c r="AF89" s="857"/>
      <c r="AG89" s="1459">
        <f>IFERROR(ROUNDDOWN(AG96/(24*AG84),1),0)</f>
        <v>0</v>
      </c>
      <c r="AH89" s="857"/>
      <c r="AI89" s="857"/>
      <c r="AJ89" s="857"/>
      <c r="AK89" s="1579" t="str">
        <f>IF(AP94="○",ROUNDDOWN(SUM(M96:AJ96)/(24*AK84),2),"×")</f>
        <v>×</v>
      </c>
      <c r="AL89" s="1579"/>
      <c r="AM89" s="1580"/>
      <c r="AN89" s="1580"/>
      <c r="AO89" s="1529"/>
      <c r="AP89" s="805" t="s">
        <v>1169</v>
      </c>
      <c r="AQ89" s="1581" t="s">
        <v>1169</v>
      </c>
      <c r="AR89" s="1581"/>
      <c r="AS89" s="1581"/>
      <c r="AT89" s="1581"/>
      <c r="AU89" s="1581"/>
      <c r="AV89" s="1581"/>
      <c r="AW89" s="1581"/>
      <c r="AX89" s="1582"/>
      <c r="AY89" s="800"/>
      <c r="AZ89" s="1553"/>
      <c r="BA89" s="1554"/>
      <c r="BB89" s="1554"/>
      <c r="BC89" s="1554"/>
      <c r="BD89" s="1554"/>
      <c r="BE89" s="1554"/>
      <c r="BF89" s="1554"/>
      <c r="BG89" s="1554"/>
      <c r="BH89" s="1554"/>
      <c r="BI89" s="1554"/>
      <c r="BJ89" s="1554"/>
      <c r="BK89" s="1554"/>
      <c r="BL89" s="1554"/>
      <c r="BM89" s="1554"/>
      <c r="BN89" s="1554"/>
      <c r="BO89" s="1554"/>
    </row>
    <row r="90" spans="2:67" ht="24" hidden="1">
      <c r="B90" s="572"/>
      <c r="C90" s="573"/>
      <c r="D90" s="573"/>
      <c r="E90" s="573"/>
      <c r="F90" s="573"/>
      <c r="G90" s="573"/>
      <c r="H90" s="573"/>
      <c r="I90" s="573"/>
      <c r="J90" s="573"/>
      <c r="K90" s="573"/>
      <c r="L90" s="282"/>
      <c r="M90" s="574"/>
      <c r="N90" s="574"/>
      <c r="O90" s="574"/>
      <c r="P90" s="574"/>
      <c r="Q90" s="574"/>
      <c r="R90" s="574"/>
      <c r="S90" s="574"/>
      <c r="T90" s="574"/>
      <c r="U90" s="574"/>
      <c r="V90" s="282"/>
      <c r="W90" s="574"/>
      <c r="X90" s="574"/>
      <c r="Y90" s="574"/>
      <c r="Z90" s="574"/>
      <c r="AA90" s="282"/>
      <c r="AB90" s="282"/>
      <c r="AC90" s="574"/>
      <c r="AD90" s="574"/>
      <c r="AE90" s="574"/>
      <c r="AF90" s="282"/>
      <c r="AG90" s="574"/>
      <c r="AH90" s="574"/>
      <c r="AI90" s="574"/>
      <c r="AJ90" s="574"/>
      <c r="AK90" s="575"/>
      <c r="AL90" s="575"/>
      <c r="AM90" s="575"/>
      <c r="AN90" s="575"/>
      <c r="AO90" s="575"/>
      <c r="AP90" s="573"/>
      <c r="AQ90" s="573"/>
      <c r="AR90" s="573"/>
      <c r="AS90" s="573"/>
      <c r="AT90" s="573"/>
      <c r="AU90" s="573"/>
      <c r="AV90" s="573"/>
      <c r="AW90" s="573"/>
      <c r="AX90" s="577"/>
      <c r="AY90" s="800"/>
      <c r="AZ90" s="1553" t="s">
        <v>1097</v>
      </c>
      <c r="BA90" s="1554"/>
      <c r="BB90" s="1554"/>
      <c r="BC90" s="1554"/>
      <c r="BD90" s="1554"/>
      <c r="BE90" s="1554"/>
      <c r="BF90" s="1554"/>
      <c r="BG90" s="1554"/>
      <c r="BH90" s="1554"/>
      <c r="BI90" s="1554"/>
      <c r="BJ90" s="1554"/>
      <c r="BK90" s="1554"/>
      <c r="BL90" s="1554"/>
      <c r="BM90" s="1554"/>
      <c r="BN90" s="1554"/>
      <c r="BO90" s="1554"/>
    </row>
    <row r="91" spans="2:67" ht="24" hidden="1">
      <c r="B91" s="1528"/>
      <c r="C91" s="1529"/>
      <c r="D91" s="1529"/>
      <c r="E91" s="1531"/>
      <c r="F91" s="1533"/>
      <c r="G91" s="1533"/>
      <c r="H91" s="1533"/>
      <c r="I91" s="1533"/>
      <c r="J91" s="1533"/>
      <c r="K91" s="1533"/>
      <c r="L91" s="282"/>
      <c r="M91" s="578"/>
      <c r="N91" s="579"/>
      <c r="O91" s="579"/>
      <c r="P91" s="579"/>
      <c r="Q91" s="578"/>
      <c r="R91" s="579"/>
      <c r="S91" s="579"/>
      <c r="T91" s="579"/>
      <c r="U91" s="578"/>
      <c r="V91" s="282"/>
      <c r="W91" s="579"/>
      <c r="X91" s="579"/>
      <c r="Y91" s="578"/>
      <c r="Z91" s="579"/>
      <c r="AA91" s="282"/>
      <c r="AB91" s="282"/>
      <c r="AC91" s="578"/>
      <c r="AD91" s="579"/>
      <c r="AE91" s="579"/>
      <c r="AF91" s="282"/>
      <c r="AG91" s="578"/>
      <c r="AH91" s="579"/>
      <c r="AI91" s="579"/>
      <c r="AJ91" s="579"/>
      <c r="AK91" s="1583"/>
      <c r="AL91" s="1583"/>
      <c r="AM91" s="1584"/>
      <c r="AN91" s="1584"/>
      <c r="AO91" s="1584"/>
      <c r="AP91" s="580"/>
      <c r="AQ91" s="1568"/>
      <c r="AR91" s="1568"/>
      <c r="AS91" s="1568"/>
      <c r="AT91" s="1568"/>
      <c r="AU91" s="1568"/>
      <c r="AV91" s="1568"/>
      <c r="AW91" s="1568"/>
      <c r="AX91" s="1569"/>
      <c r="AY91" s="332"/>
      <c r="AZ91" s="1575"/>
      <c r="BA91" s="1576"/>
      <c r="BB91" s="1576"/>
      <c r="BC91" s="1576"/>
      <c r="BD91" s="1576"/>
      <c r="BE91" s="1576"/>
      <c r="BF91" s="1576"/>
      <c r="BG91" s="1576"/>
      <c r="BH91" s="1576"/>
      <c r="BI91" s="1576"/>
      <c r="BJ91" s="1576"/>
      <c r="BK91" s="1576"/>
      <c r="BL91" s="1576"/>
      <c r="BM91" s="1576"/>
      <c r="BN91" s="1576"/>
      <c r="BO91" s="1576"/>
    </row>
    <row r="92" spans="2:67" ht="24" hidden="1">
      <c r="B92" s="1530"/>
      <c r="C92" s="1529"/>
      <c r="D92" s="1529"/>
      <c r="E92" s="1531"/>
      <c r="F92" s="1532"/>
      <c r="G92" s="1532"/>
      <c r="H92" s="1532"/>
      <c r="I92" s="1532"/>
      <c r="J92" s="1532"/>
      <c r="K92" s="1532"/>
      <c r="L92" s="282"/>
      <c r="M92" s="581"/>
      <c r="N92" s="582"/>
      <c r="O92" s="582"/>
      <c r="P92" s="582"/>
      <c r="Q92" s="581"/>
      <c r="R92" s="582"/>
      <c r="S92" s="582"/>
      <c r="T92" s="582"/>
      <c r="U92" s="581"/>
      <c r="V92" s="282"/>
      <c r="W92" s="582"/>
      <c r="X92" s="582"/>
      <c r="Y92" s="581"/>
      <c r="Z92" s="582"/>
      <c r="AA92" s="282"/>
      <c r="AB92" s="282"/>
      <c r="AC92" s="581"/>
      <c r="AD92" s="582"/>
      <c r="AE92" s="582"/>
      <c r="AF92" s="282"/>
      <c r="AG92" s="581"/>
      <c r="AH92" s="582"/>
      <c r="AI92" s="582"/>
      <c r="AJ92" s="582"/>
      <c r="AK92" s="1557"/>
      <c r="AL92" s="1557"/>
      <c r="AM92" s="1529"/>
      <c r="AN92" s="1529"/>
      <c r="AO92" s="1529"/>
      <c r="AP92" s="333"/>
      <c r="AQ92" s="1577"/>
      <c r="AR92" s="1577"/>
      <c r="AS92" s="1577"/>
      <c r="AT92" s="1577"/>
      <c r="AU92" s="1577"/>
      <c r="AV92" s="1577"/>
      <c r="AW92" s="1577"/>
      <c r="AX92" s="1578"/>
      <c r="AY92" s="332"/>
      <c r="AZ92" s="1575"/>
      <c r="BA92" s="1576"/>
      <c r="BB92" s="1576"/>
      <c r="BC92" s="1576"/>
      <c r="BD92" s="1576"/>
      <c r="BE92" s="1576"/>
      <c r="BF92" s="1576"/>
      <c r="BG92" s="1576"/>
      <c r="BH92" s="1576"/>
      <c r="BI92" s="1576"/>
      <c r="BJ92" s="1576"/>
      <c r="BK92" s="1576"/>
      <c r="BL92" s="1576"/>
      <c r="BM92" s="1576"/>
      <c r="BN92" s="1576"/>
      <c r="BO92" s="1576"/>
    </row>
    <row r="93" spans="2:67" ht="24" hidden="1">
      <c r="B93" s="1530"/>
      <c r="C93" s="1529"/>
      <c r="D93" s="1529"/>
      <c r="E93" s="1531"/>
      <c r="F93" s="1532"/>
      <c r="G93" s="1532"/>
      <c r="H93" s="1532"/>
      <c r="I93" s="1532"/>
      <c r="J93" s="1532"/>
      <c r="K93" s="1532"/>
      <c r="L93" s="282"/>
      <c r="M93" s="583"/>
      <c r="N93" s="582"/>
      <c r="O93" s="582"/>
      <c r="P93" s="582"/>
      <c r="Q93" s="583"/>
      <c r="R93" s="582"/>
      <c r="S93" s="582"/>
      <c r="T93" s="582"/>
      <c r="U93" s="583"/>
      <c r="V93" s="282"/>
      <c r="W93" s="582"/>
      <c r="X93" s="582"/>
      <c r="Y93" s="583"/>
      <c r="Z93" s="582"/>
      <c r="AA93" s="282"/>
      <c r="AB93" s="282"/>
      <c r="AC93" s="583"/>
      <c r="AD93" s="582"/>
      <c r="AE93" s="582"/>
      <c r="AF93" s="282"/>
      <c r="AG93" s="583"/>
      <c r="AH93" s="582"/>
      <c r="AI93" s="582"/>
      <c r="AJ93" s="582"/>
      <c r="AK93" s="1573"/>
      <c r="AL93" s="1574"/>
      <c r="AM93" s="1574"/>
      <c r="AN93" s="1574"/>
      <c r="AO93" s="1574"/>
      <c r="AP93" s="806"/>
      <c r="AQ93" s="1568"/>
      <c r="AR93" s="1568"/>
      <c r="AS93" s="1568"/>
      <c r="AT93" s="1568"/>
      <c r="AU93" s="1568"/>
      <c r="AV93" s="1568"/>
      <c r="AW93" s="1568"/>
      <c r="AX93" s="1569"/>
      <c r="AY93" s="332"/>
      <c r="AZ93" s="1570"/>
      <c r="BA93" s="1571"/>
      <c r="BB93" s="1571"/>
      <c r="BC93" s="1571"/>
      <c r="BD93" s="1571"/>
      <c r="BE93" s="1571"/>
      <c r="BF93" s="1571"/>
      <c r="BG93" s="1571"/>
      <c r="BH93" s="1571"/>
      <c r="BI93" s="1571"/>
      <c r="BJ93" s="1571"/>
      <c r="BK93" s="1571"/>
      <c r="BL93" s="1571"/>
      <c r="BM93" s="1571"/>
      <c r="BN93" s="1571"/>
      <c r="BO93" s="1572"/>
    </row>
    <row r="94" spans="2:67" ht="24.75" customHeight="1">
      <c r="B94" s="1451" t="s">
        <v>1270</v>
      </c>
      <c r="C94" s="1452"/>
      <c r="D94" s="1452"/>
      <c r="E94" s="1440" t="s">
        <v>1098</v>
      </c>
      <c r="F94" s="1441"/>
      <c r="G94" s="1441"/>
      <c r="H94" s="1441"/>
      <c r="I94" s="1441"/>
      <c r="J94" s="1441"/>
      <c r="K94" s="1441"/>
      <c r="L94" s="857"/>
      <c r="M94" s="1460"/>
      <c r="N94" s="1461"/>
      <c r="O94" s="1461"/>
      <c r="P94" s="1461"/>
      <c r="Q94" s="1460"/>
      <c r="R94" s="1461"/>
      <c r="S94" s="1461"/>
      <c r="T94" s="1461"/>
      <c r="U94" s="1460"/>
      <c r="V94" s="1461"/>
      <c r="W94" s="1461"/>
      <c r="X94" s="1461"/>
      <c r="Y94" s="1460"/>
      <c r="Z94" s="1461"/>
      <c r="AA94" s="1461"/>
      <c r="AB94" s="1461"/>
      <c r="AC94" s="1460"/>
      <c r="AD94" s="1461"/>
      <c r="AE94" s="1461"/>
      <c r="AF94" s="1461"/>
      <c r="AG94" s="1460"/>
      <c r="AH94" s="1461"/>
      <c r="AI94" s="1461"/>
      <c r="AJ94" s="1461"/>
      <c r="AK94" s="1557" t="s">
        <v>1169</v>
      </c>
      <c r="AL94" s="1557"/>
      <c r="AM94" s="1558"/>
      <c r="AN94" s="1529"/>
      <c r="AO94" s="1529"/>
      <c r="AP94" s="1559" t="str">
        <f>IF(COUNTIF(M97:AJ97,"○")=6,"○","×")</f>
        <v>×</v>
      </c>
      <c r="AQ94" s="1562" t="str">
        <f xml:space="preserve">
IF(COUNTIF(M97:AJ97,"○")=6,"適切に入力がされました。",
"【要修正】"&amp;CHAR(10)&amp;"「×」表示の入力内容"&amp;CHAR(10)&amp;"を確認してください。")</f>
        <v>【要修正】
「×」表示の入力内容
を確認してください。</v>
      </c>
      <c r="AR94" s="1562"/>
      <c r="AS94" s="1562"/>
      <c r="AT94" s="1562"/>
      <c r="AU94" s="1562"/>
      <c r="AV94" s="1562"/>
      <c r="AW94" s="1562"/>
      <c r="AX94" s="1563"/>
      <c r="AY94" s="800"/>
      <c r="AZ94" s="1553" t="s">
        <v>1275</v>
      </c>
      <c r="BA94" s="1554"/>
      <c r="BB94" s="1554"/>
      <c r="BC94" s="1554"/>
      <c r="BD94" s="1554"/>
      <c r="BE94" s="1554"/>
      <c r="BF94" s="1554"/>
      <c r="BG94" s="1554"/>
      <c r="BH94" s="1554"/>
      <c r="BI94" s="1554"/>
      <c r="BJ94" s="1554"/>
      <c r="BK94" s="1554"/>
      <c r="BL94" s="1554"/>
      <c r="BM94" s="1554"/>
      <c r="BN94" s="1554"/>
      <c r="BO94" s="1554"/>
    </row>
    <row r="95" spans="2:67" ht="24">
      <c r="B95" s="1453"/>
      <c r="C95" s="1452"/>
      <c r="D95" s="1452"/>
      <c r="E95" s="1440" t="s">
        <v>1170</v>
      </c>
      <c r="F95" s="1441"/>
      <c r="G95" s="1441"/>
      <c r="H95" s="1441"/>
      <c r="I95" s="1441"/>
      <c r="J95" s="1441"/>
      <c r="K95" s="1441"/>
      <c r="L95" s="857"/>
      <c r="M95" s="1462">
        <f>IF(OR(M87="×",$AZ$15="×"),0,IFERROR(ROUNDUP(M85/$G$18*24,1),0))</f>
        <v>0</v>
      </c>
      <c r="N95" s="1390"/>
      <c r="O95" s="1390"/>
      <c r="P95" s="1390"/>
      <c r="Q95" s="1462">
        <f>IF(OR(Q87="×",$AZ$15="×"),0,IFERROR(ROUNDUP(Q85/$L$18*24,1),0))</f>
        <v>0</v>
      </c>
      <c r="R95" s="1390"/>
      <c r="S95" s="1390"/>
      <c r="T95" s="1390"/>
      <c r="U95" s="1462">
        <f>IF(OR(U87="×",$AZ$15="×"),0,IFERROR(ROUNDUP(U85/$Q$18*24,1),0))</f>
        <v>0</v>
      </c>
      <c r="V95" s="1390"/>
      <c r="W95" s="1390"/>
      <c r="X95" s="1390"/>
      <c r="Y95" s="1462">
        <f>IF(OR(Y87="×",$AZ$15="×"),0,IFERROR(ROUNDUP(Y85/$V$18*24,1),0))</f>
        <v>0</v>
      </c>
      <c r="Z95" s="1390"/>
      <c r="AA95" s="1390"/>
      <c r="AB95" s="1390"/>
      <c r="AC95" s="1462">
        <f>IF(OR(AC87="×",$AZ$15="×"),0,IFERROR(ROUNDUP(AC85/$AA$18*24,1),0))</f>
        <v>0</v>
      </c>
      <c r="AD95" s="1390"/>
      <c r="AE95" s="1390"/>
      <c r="AF95" s="1390"/>
      <c r="AG95" s="1462">
        <f>IF(OR(AG87="×",$AZ$15="×"),0,IFERROR(ROUNDUP(AG85/$AF$18*24,1),0))</f>
        <v>0</v>
      </c>
      <c r="AH95" s="1390"/>
      <c r="AI95" s="1390"/>
      <c r="AJ95" s="1390"/>
      <c r="AK95" s="1555" t="s">
        <v>1169</v>
      </c>
      <c r="AL95" s="1556"/>
      <c r="AM95" s="1556"/>
      <c r="AN95" s="1556"/>
      <c r="AO95" s="1556"/>
      <c r="AP95" s="1560"/>
      <c r="AQ95" s="1564"/>
      <c r="AR95" s="1564"/>
      <c r="AS95" s="1564"/>
      <c r="AT95" s="1564"/>
      <c r="AU95" s="1564"/>
      <c r="AV95" s="1564"/>
      <c r="AW95" s="1564"/>
      <c r="AX95" s="1565"/>
      <c r="AY95" s="800"/>
      <c r="AZ95" s="1553" t="s">
        <v>1276</v>
      </c>
      <c r="BA95" s="1554"/>
      <c r="BB95" s="1554"/>
      <c r="BC95" s="1554"/>
      <c r="BD95" s="1554"/>
      <c r="BE95" s="1554"/>
      <c r="BF95" s="1554"/>
      <c r="BG95" s="1554"/>
      <c r="BH95" s="1554"/>
      <c r="BI95" s="1554"/>
      <c r="BJ95" s="1554"/>
      <c r="BK95" s="1554"/>
      <c r="BL95" s="1554"/>
      <c r="BM95" s="1554"/>
      <c r="BN95" s="1554"/>
      <c r="BO95" s="1554"/>
    </row>
    <row r="96" spans="2:67" ht="24">
      <c r="B96" s="1453"/>
      <c r="C96" s="1452"/>
      <c r="D96" s="1452"/>
      <c r="E96" s="1440" t="s">
        <v>1099</v>
      </c>
      <c r="F96" s="1441"/>
      <c r="G96" s="1441"/>
      <c r="H96" s="1441"/>
      <c r="I96" s="1441"/>
      <c r="J96" s="1441"/>
      <c r="K96" s="1441"/>
      <c r="L96" s="857"/>
      <c r="M96" s="1445"/>
      <c r="N96" s="1392"/>
      <c r="O96" s="1392"/>
      <c r="P96" s="1392"/>
      <c r="Q96" s="1445"/>
      <c r="R96" s="1392"/>
      <c r="S96" s="1392"/>
      <c r="T96" s="1392"/>
      <c r="U96" s="1445"/>
      <c r="V96" s="1392"/>
      <c r="W96" s="1392"/>
      <c r="X96" s="1392"/>
      <c r="Y96" s="1445"/>
      <c r="Z96" s="1392"/>
      <c r="AA96" s="1392"/>
      <c r="AB96" s="1392"/>
      <c r="AC96" s="1445"/>
      <c r="AD96" s="1392"/>
      <c r="AE96" s="1392"/>
      <c r="AF96" s="1392"/>
      <c r="AG96" s="1445"/>
      <c r="AH96" s="1392"/>
      <c r="AI96" s="1392"/>
      <c r="AJ96" s="1392"/>
      <c r="AK96" s="1555" t="s">
        <v>1169</v>
      </c>
      <c r="AL96" s="1556"/>
      <c r="AM96" s="1556"/>
      <c r="AN96" s="1556"/>
      <c r="AO96" s="1556"/>
      <c r="AP96" s="1560"/>
      <c r="AQ96" s="1564"/>
      <c r="AR96" s="1564"/>
      <c r="AS96" s="1564"/>
      <c r="AT96" s="1564"/>
      <c r="AU96" s="1564"/>
      <c r="AV96" s="1564"/>
      <c r="AW96" s="1564"/>
      <c r="AX96" s="1565"/>
      <c r="AY96" s="266"/>
      <c r="AZ96" s="1553" t="s">
        <v>1095</v>
      </c>
      <c r="BA96" s="1554"/>
      <c r="BB96" s="1554"/>
      <c r="BC96" s="1554"/>
      <c r="BD96" s="1554"/>
      <c r="BE96" s="1554"/>
      <c r="BF96" s="1554"/>
      <c r="BG96" s="1554"/>
      <c r="BH96" s="1554"/>
      <c r="BI96" s="1554"/>
      <c r="BJ96" s="1554"/>
      <c r="BK96" s="1554"/>
      <c r="BL96" s="1554"/>
      <c r="BM96" s="1554"/>
      <c r="BN96" s="1554"/>
      <c r="BO96" s="1554"/>
    </row>
    <row r="97" spans="2:78" ht="24.75" thickBot="1">
      <c r="B97" s="1448" t="s">
        <v>98</v>
      </c>
      <c r="C97" s="1449"/>
      <c r="D97" s="1449"/>
      <c r="E97" s="1449"/>
      <c r="F97" s="1449"/>
      <c r="G97" s="1449"/>
      <c r="H97" s="1449"/>
      <c r="I97" s="1449"/>
      <c r="J97" s="1450"/>
      <c r="K97" s="1450"/>
      <c r="L97" s="1447"/>
      <c r="M97" s="1446" t="str">
        <f xml:space="preserve">
IF(COUNTA(M94,M96)&lt;&gt;2,"×",
IF(AND(M95=0,M96&lt;&gt;0),"×",
IF(AND(COUNTA(M94,M96)=2,M94&lt;=SUM($AS$65:$AV$75),M96&gt;=M95),"○","×")))</f>
        <v>×</v>
      </c>
      <c r="N97" s="1447"/>
      <c r="O97" s="1447"/>
      <c r="P97" s="1447"/>
      <c r="Q97" s="1446" t="str">
        <f xml:space="preserve">
IF(COUNTA(Q94,Q96)&lt;&gt;2,"×",
IF(AND(Q95=0,Q96&lt;&gt;0),"×",
IF(AND(COUNTA(Q94,Q96)=2,Q94&lt;=SUM($AS$65:$AV$75),Q96&gt;=Q95),"○","×")))</f>
        <v>×</v>
      </c>
      <c r="R97" s="1447"/>
      <c r="S97" s="1447"/>
      <c r="T97" s="1447"/>
      <c r="U97" s="1446" t="str">
        <f xml:space="preserve">
IF(COUNTA(U94,U96)&lt;&gt;2,"×",
IF(AND(U95=0,U96&lt;&gt;0),"×",
IF(AND(COUNTA(U94,U96)=2,U94&lt;=SUM($AS$65:$AV$75),U96&gt;=U95),"○","×")))</f>
        <v>×</v>
      </c>
      <c r="V97" s="1447"/>
      <c r="W97" s="1447"/>
      <c r="X97" s="1447"/>
      <c r="Y97" s="1446" t="str">
        <f xml:space="preserve">
IF(COUNTA(Y94,Y96)&lt;&gt;2,"×",
IF(AND(Y95=0,Y96&lt;&gt;0),"×",
IF(AND(COUNTA(Y94,Y96)=2,Y94&lt;=SUM($AS$65:$AV$75),Y96&gt;=Y95),"○","×")))</f>
        <v>×</v>
      </c>
      <c r="Z97" s="1447"/>
      <c r="AA97" s="1447"/>
      <c r="AB97" s="1447"/>
      <c r="AC97" s="1446" t="str">
        <f xml:space="preserve">
IF(COUNTA(AC94,AC96)&lt;&gt;2,"×",
IF(AND(AC95=0,AC96&lt;&gt;0),"×",
IF(AND(COUNTA(AC94,AC96)=2,AC94&lt;=SUM($AS$65:$AV$75),AC96&gt;=AC95),"○","×")))</f>
        <v>×</v>
      </c>
      <c r="AD97" s="1447"/>
      <c r="AE97" s="1447"/>
      <c r="AF97" s="1447"/>
      <c r="AG97" s="1446" t="str">
        <f xml:space="preserve">
IF(COUNTA(AG94,AG96)&lt;&gt;2,"×",
IF(AND(AG95=0,AG96&lt;&gt;0),"×",
IF(AND(COUNTA(AG94,AG96)=2,AG94&lt;=SUM($AS$65:$AV$75),AG96&gt;=AG95),"○","×")))</f>
        <v>×</v>
      </c>
      <c r="AH97" s="1447"/>
      <c r="AI97" s="1447"/>
      <c r="AJ97" s="1447"/>
      <c r="AK97" s="1537" t="s">
        <v>1169</v>
      </c>
      <c r="AL97" s="1538"/>
      <c r="AM97" s="1538"/>
      <c r="AN97" s="1538"/>
      <c r="AO97" s="1538"/>
      <c r="AP97" s="1561"/>
      <c r="AQ97" s="1566"/>
      <c r="AR97" s="1566"/>
      <c r="AS97" s="1566"/>
      <c r="AT97" s="1566"/>
      <c r="AU97" s="1566"/>
      <c r="AV97" s="1566"/>
      <c r="AW97" s="1566"/>
      <c r="AX97" s="1567"/>
      <c r="AY97" s="266"/>
      <c r="AZ97" s="334"/>
      <c r="BA97" s="335"/>
      <c r="BB97" s="335"/>
      <c r="BC97" s="335"/>
      <c r="BD97" s="335"/>
      <c r="BE97" s="335"/>
      <c r="BF97" s="335"/>
      <c r="BG97" s="335"/>
      <c r="BH97" s="335"/>
      <c r="BI97" s="335"/>
      <c r="BJ97" s="335"/>
      <c r="BK97" s="335"/>
      <c r="BL97" s="335"/>
      <c r="BM97" s="335"/>
      <c r="BN97" s="335"/>
      <c r="BO97" s="335"/>
    </row>
    <row r="98" spans="2:78" ht="24">
      <c r="B98" s="1549" t="s">
        <v>1234</v>
      </c>
      <c r="C98" s="1550"/>
      <c r="D98" s="1550"/>
      <c r="E98" s="1550"/>
      <c r="F98" s="1550"/>
      <c r="G98" s="1550"/>
      <c r="H98" s="1550"/>
      <c r="I98" s="1550"/>
      <c r="J98" s="1550"/>
      <c r="K98" s="1550"/>
      <c r="L98" s="1550"/>
      <c r="M98" s="1550"/>
      <c r="N98" s="1550"/>
      <c r="O98" s="1550"/>
      <c r="P98" s="1550"/>
      <c r="Q98" s="1550"/>
      <c r="R98" s="1550"/>
      <c r="S98" s="1550"/>
      <c r="T98" s="1550"/>
      <c r="U98" s="1550"/>
      <c r="V98" s="1550"/>
      <c r="W98" s="1550"/>
      <c r="X98" s="1550"/>
      <c r="Y98" s="1550"/>
      <c r="Z98" s="1550"/>
      <c r="AA98" s="1550"/>
      <c r="AB98" s="1550"/>
      <c r="AC98" s="1550"/>
      <c r="AD98" s="1550"/>
      <c r="AE98" s="1550"/>
      <c r="AF98" s="1550"/>
      <c r="AG98" s="1550"/>
      <c r="AH98" s="1550"/>
      <c r="AI98" s="1550"/>
      <c r="AJ98" s="1550"/>
      <c r="AK98" s="1551"/>
      <c r="AL98" s="1551"/>
      <c r="AM98" s="1551"/>
      <c r="AN98" s="1551"/>
      <c r="AO98" s="1551"/>
      <c r="AP98" s="1550"/>
      <c r="AQ98" s="1550"/>
      <c r="AR98" s="1550"/>
      <c r="AS98" s="1550"/>
      <c r="AT98" s="1550"/>
      <c r="AU98" s="1550"/>
      <c r="AV98" s="1550"/>
      <c r="AW98" s="1550"/>
      <c r="AX98" s="1550"/>
      <c r="AZ98" s="224"/>
      <c r="BA98" s="1181"/>
      <c r="BB98" s="1181"/>
      <c r="BC98" s="1181"/>
      <c r="BD98" s="271"/>
      <c r="BF98" s="272"/>
      <c r="BG98" s="225"/>
      <c r="BH98" s="273"/>
      <c r="BI98" s="273"/>
      <c r="BJ98" s="274"/>
      <c r="BK98" s="273"/>
      <c r="BL98" s="225"/>
    </row>
    <row r="99" spans="2:78" s="796" customFormat="1" ht="45" customHeight="1">
      <c r="B99" s="1372" t="str">
        <f xml:space="preserve">
"４．入院患者あたり対応人数及び品目毎の平均着脱使用枚数"&amp;CHAR(10)&amp;
"　　【総合判定】"&amp;AZ99&amp;"："&amp;BG99</f>
        <v>４．入院患者あたり対応人数及び品目毎の平均着脱使用枚数
　　【総合判定】×：上段の「３．配置情報」が入力不十分です。（上の段から適切に入力していくようにしてください。）</v>
      </c>
      <c r="C99" s="1552"/>
      <c r="D99" s="1552"/>
      <c r="E99" s="1552"/>
      <c r="F99" s="1552"/>
      <c r="G99" s="1552"/>
      <c r="H99" s="1552"/>
      <c r="I99" s="1552"/>
      <c r="J99" s="1552"/>
      <c r="K99" s="1552"/>
      <c r="L99" s="1552"/>
      <c r="M99" s="1552"/>
      <c r="N99" s="1552"/>
      <c r="O99" s="1552"/>
      <c r="P99" s="1552"/>
      <c r="Q99" s="1552"/>
      <c r="R99" s="1552"/>
      <c r="S99" s="1552"/>
      <c r="T99" s="1552"/>
      <c r="U99" s="1552"/>
      <c r="V99" s="1552"/>
      <c r="W99" s="1552"/>
      <c r="X99" s="1552"/>
      <c r="Y99" s="1552"/>
      <c r="Z99" s="1552"/>
      <c r="AA99" s="1552"/>
      <c r="AB99" s="1552"/>
      <c r="AC99" s="1552"/>
      <c r="AD99" s="1552"/>
      <c r="AE99" s="1552"/>
      <c r="AF99" s="1552"/>
      <c r="AG99" s="1552"/>
      <c r="AH99" s="1552"/>
      <c r="AI99" s="1552"/>
      <c r="AJ99" s="1552"/>
      <c r="AK99" s="1552"/>
      <c r="AL99" s="1552"/>
      <c r="AM99" s="1552"/>
      <c r="AN99" s="1552"/>
      <c r="AO99" s="1552"/>
      <c r="AP99" s="1552"/>
      <c r="AQ99" s="1552"/>
      <c r="AR99" s="1552"/>
      <c r="AS99" s="1552"/>
      <c r="AT99" s="1552"/>
      <c r="AU99" s="1552"/>
      <c r="AV99" s="1552"/>
      <c r="AW99" s="1552"/>
      <c r="AX99" s="1552"/>
      <c r="AY99" s="1552"/>
      <c r="AZ99" s="238" t="str">
        <f xml:space="preserve">
IF(AZ77="×","×",
IF(SUM(COUNTIF(T109,"○"),COUNTIF(AD116:AE154,"○"))=14,"○","×"))</f>
        <v>×</v>
      </c>
      <c r="BA99" s="1229"/>
      <c r="BB99" s="1229"/>
      <c r="BC99" s="1229"/>
      <c r="BD99" s="275"/>
      <c r="BE99" s="276"/>
      <c r="BF99" s="277"/>
      <c r="BG99" s="276" t="str">
        <f xml:space="preserve">
IF(AZ77="×","上段の「３．配置情報」が入力不十分です。（上の段から適切に入力していくようにしてください。）",
IF(SUM(COUNTIF(T109,"○"),COUNTIF(AD116:AE154,"○"))=14,"適切に入力がされました。","平均訪室回数、１訪室あたり平均対応員数または各品目の１訪室スタッフ１名あたり平均着脱使用量のいずれかが入力不十分です。"))</f>
        <v>上段の「３．配置情報」が入力不十分です。（上の段から適切に入力していくようにしてください。）</v>
      </c>
      <c r="BH99" s="278"/>
      <c r="BI99" s="278"/>
      <c r="BJ99" s="279"/>
      <c r="BK99" s="278"/>
      <c r="BL99" s="276"/>
    </row>
    <row r="100" spans="2:78" ht="24">
      <c r="B100" s="1230" t="s">
        <v>1161</v>
      </c>
      <c r="C100" s="1231"/>
      <c r="D100" s="1231"/>
      <c r="E100" s="1231"/>
      <c r="F100" s="1231"/>
      <c r="G100" s="1231"/>
      <c r="H100" s="1231"/>
      <c r="I100" s="1231"/>
      <c r="J100" s="1231"/>
      <c r="K100" s="1231"/>
      <c r="L100" s="1231"/>
      <c r="M100" s="1231"/>
      <c r="N100" s="1231"/>
      <c r="O100" s="1231"/>
      <c r="P100" s="1231"/>
      <c r="Q100" s="1231"/>
      <c r="R100" s="1231"/>
      <c r="S100" s="1231"/>
      <c r="T100" s="1231"/>
      <c r="U100" s="1231"/>
      <c r="V100" s="1231"/>
      <c r="W100" s="1231"/>
      <c r="X100" s="1231"/>
      <c r="Y100" s="1231"/>
      <c r="Z100" s="1231"/>
      <c r="AA100" s="1231"/>
      <c r="AB100" s="1231"/>
      <c r="AC100" s="1231"/>
      <c r="AD100" s="1231"/>
      <c r="AE100" s="1231"/>
      <c r="AF100" s="1231"/>
      <c r="AG100" s="1231"/>
      <c r="AH100" s="1231"/>
      <c r="AI100" s="1231"/>
      <c r="AJ100" s="1231"/>
      <c r="AK100" s="1231"/>
      <c r="AL100" s="1231"/>
      <c r="AM100" s="1231"/>
      <c r="AN100" s="1231"/>
      <c r="AO100" s="1231"/>
      <c r="AP100" s="1231"/>
      <c r="AQ100" s="1231"/>
      <c r="AR100" s="1231"/>
      <c r="AS100" s="1231"/>
      <c r="AT100" s="1231"/>
      <c r="AU100" s="1231"/>
      <c r="AV100" s="1231"/>
      <c r="AW100" s="1231"/>
      <c r="AX100" s="1231"/>
      <c r="AZ100" s="224"/>
      <c r="BD100" s="271"/>
      <c r="BF100" s="272"/>
      <c r="BG100" s="225"/>
      <c r="BH100" s="273"/>
      <c r="BI100" s="273"/>
      <c r="BJ100" s="274"/>
      <c r="BK100" s="273"/>
      <c r="BL100" s="225"/>
    </row>
    <row r="101" spans="2:78" ht="48" customHeight="1">
      <c r="B101" s="1232" t="s">
        <v>1158</v>
      </c>
      <c r="C101" s="1233"/>
      <c r="D101" s="1233"/>
      <c r="E101" s="1233"/>
      <c r="F101" s="1233"/>
      <c r="G101" s="1233"/>
      <c r="H101" s="1233"/>
      <c r="I101" s="1233"/>
      <c r="J101" s="1233"/>
      <c r="K101" s="1233"/>
      <c r="L101" s="1233"/>
      <c r="M101" s="1233"/>
      <c r="N101" s="1233"/>
      <c r="O101" s="1233"/>
      <c r="P101" s="1233"/>
      <c r="Q101" s="1233"/>
      <c r="R101" s="1233"/>
      <c r="S101" s="1233"/>
      <c r="T101" s="1233"/>
      <c r="U101" s="1233"/>
      <c r="V101" s="1233"/>
      <c r="W101" s="1233"/>
      <c r="X101" s="1233"/>
      <c r="Y101" s="1233"/>
      <c r="Z101" s="1233"/>
      <c r="AA101" s="1233"/>
      <c r="AB101" s="1233"/>
      <c r="AC101" s="1233"/>
      <c r="AD101" s="1233"/>
      <c r="AE101" s="1233"/>
      <c r="AF101" s="1233"/>
      <c r="AG101" s="1233"/>
      <c r="AH101" s="1233"/>
      <c r="AI101" s="1233"/>
      <c r="AJ101" s="1233"/>
      <c r="AK101" s="1233"/>
      <c r="AL101" s="1233"/>
      <c r="AM101" s="1233"/>
      <c r="AN101" s="1233"/>
      <c r="AO101" s="1233"/>
      <c r="AP101" s="1233"/>
      <c r="AQ101" s="1233"/>
      <c r="AR101" s="1233"/>
      <c r="AS101" s="1233"/>
      <c r="AT101" s="1233"/>
      <c r="AU101" s="1233"/>
      <c r="AV101" s="1233"/>
      <c r="AW101" s="1233"/>
      <c r="AX101" s="1233"/>
      <c r="AZ101" s="224"/>
      <c r="BD101" s="271"/>
      <c r="BF101" s="272"/>
      <c r="BG101" s="225"/>
      <c r="BH101" s="273"/>
      <c r="BI101" s="273"/>
      <c r="BJ101" s="274"/>
      <c r="BK101" s="273"/>
      <c r="BL101" s="225"/>
    </row>
    <row r="102" spans="2:78" ht="24" customHeight="1" thickBot="1">
      <c r="B102" s="795"/>
      <c r="C102" s="795"/>
      <c r="D102" s="795"/>
      <c r="E102" s="795"/>
      <c r="F102" s="795"/>
      <c r="G102" s="795"/>
      <c r="H102" s="795"/>
      <c r="I102" s="795"/>
      <c r="J102" s="795"/>
      <c r="K102" s="795"/>
      <c r="L102" s="795"/>
      <c r="M102" s="795"/>
      <c r="N102" s="795"/>
      <c r="O102" s="795"/>
      <c r="P102" s="795"/>
      <c r="Q102" s="795"/>
      <c r="R102" s="795"/>
      <c r="S102" s="795"/>
      <c r="T102" s="795"/>
      <c r="U102" s="795"/>
      <c r="V102" s="795"/>
      <c r="W102" s="795"/>
      <c r="X102" s="795"/>
      <c r="Y102" s="795"/>
      <c r="Z102" s="795"/>
      <c r="AA102" s="795"/>
      <c r="AB102" s="795"/>
      <c r="AC102" s="795"/>
      <c r="AD102" s="795"/>
      <c r="AE102" s="795"/>
      <c r="AF102" s="795"/>
      <c r="AG102" s="795"/>
      <c r="AH102" s="795"/>
      <c r="AI102" s="795"/>
      <c r="AJ102" s="795"/>
      <c r="AK102" s="795"/>
      <c r="AL102" s="795"/>
      <c r="AM102" s="795"/>
      <c r="AN102" s="795"/>
      <c r="AO102" s="795"/>
      <c r="AZ102" s="1542"/>
      <c r="BA102" s="1543"/>
      <c r="BB102" s="1543"/>
      <c r="BC102" s="1543"/>
      <c r="BD102" s="1543"/>
      <c r="BE102" s="1543"/>
      <c r="BF102" s="1543"/>
      <c r="BG102" s="1543"/>
      <c r="BH102" s="1543"/>
      <c r="BI102" s="1543"/>
      <c r="BJ102" s="1543"/>
      <c r="BK102" s="1543"/>
      <c r="BL102" s="1543"/>
      <c r="BM102" s="1543"/>
      <c r="BN102" s="1543"/>
      <c r="BO102" s="1544"/>
    </row>
    <row r="103" spans="2:78" ht="24" customHeight="1" thickTop="1">
      <c r="B103" s="1234" t="s">
        <v>1244</v>
      </c>
      <c r="C103" s="1235"/>
      <c r="D103" s="1235"/>
      <c r="E103" s="1235"/>
      <c r="F103" s="1235"/>
      <c r="G103" s="1235"/>
      <c r="H103" s="1235"/>
      <c r="I103" s="1235"/>
      <c r="J103" s="1235"/>
      <c r="K103" s="1235"/>
      <c r="L103" s="1235"/>
      <c r="M103" s="1235"/>
      <c r="N103" s="1235"/>
      <c r="O103" s="1235"/>
      <c r="P103" s="1235"/>
      <c r="Q103" s="1235"/>
      <c r="R103" s="1235"/>
      <c r="S103" s="1235"/>
      <c r="T103" s="1235"/>
      <c r="U103" s="1235"/>
      <c r="V103" s="1235"/>
      <c r="W103" s="1235"/>
      <c r="X103" s="1235"/>
      <c r="Y103" s="1235"/>
      <c r="Z103" s="1235"/>
      <c r="AA103" s="1235"/>
      <c r="AB103" s="1235"/>
      <c r="AC103" s="1235"/>
      <c r="AD103" s="1235"/>
      <c r="AE103" s="1235"/>
      <c r="AF103" s="1235"/>
      <c r="AG103" s="1235"/>
      <c r="AH103" s="1235"/>
      <c r="AI103" s="1235"/>
      <c r="AJ103" s="1235"/>
      <c r="AK103" s="1235"/>
      <c r="AL103" s="1235"/>
      <c r="AM103" s="1235"/>
      <c r="AN103" s="1235"/>
      <c r="AO103" s="1235"/>
      <c r="AP103" s="1235"/>
      <c r="AQ103" s="1235"/>
      <c r="AR103" s="1235"/>
      <c r="AS103" s="1235"/>
      <c r="AT103" s="1235"/>
      <c r="AU103" s="1235"/>
      <c r="AV103" s="1235"/>
      <c r="AW103" s="1236"/>
      <c r="AX103" s="1237"/>
      <c r="AY103" s="795"/>
      <c r="AZ103" s="1542"/>
      <c r="BA103" s="1543"/>
      <c r="BB103" s="1543"/>
      <c r="BC103" s="1543"/>
      <c r="BD103" s="1543"/>
      <c r="BE103" s="1543"/>
      <c r="BF103" s="1543"/>
      <c r="BG103" s="1543"/>
      <c r="BH103" s="1543"/>
      <c r="BI103" s="1543"/>
      <c r="BJ103" s="1543"/>
      <c r="BK103" s="1543"/>
      <c r="BL103" s="1543"/>
      <c r="BM103" s="1543"/>
      <c r="BN103" s="1543"/>
      <c r="BO103" s="1544"/>
    </row>
    <row r="104" spans="2:78" ht="24" customHeight="1">
      <c r="B104" s="1238"/>
      <c r="C104" s="1239"/>
      <c r="D104" s="1239"/>
      <c r="E104" s="1239"/>
      <c r="F104" s="1239"/>
      <c r="G104" s="1239"/>
      <c r="H104" s="1239"/>
      <c r="I104" s="1239"/>
      <c r="J104" s="1239"/>
      <c r="K104" s="1239"/>
      <c r="L104" s="1239"/>
      <c r="M104" s="1239"/>
      <c r="N104" s="1239"/>
      <c r="O104" s="1239"/>
      <c r="P104" s="1239"/>
      <c r="Q104" s="1239"/>
      <c r="R104" s="1239"/>
      <c r="S104" s="1239"/>
      <c r="T104" s="1239"/>
      <c r="U104" s="1239"/>
      <c r="V104" s="1239"/>
      <c r="W104" s="1239"/>
      <c r="X104" s="1239"/>
      <c r="Y104" s="1239"/>
      <c r="Z104" s="1239"/>
      <c r="AA104" s="1239"/>
      <c r="AB104" s="1239"/>
      <c r="AC104" s="1239"/>
      <c r="AD104" s="1239"/>
      <c r="AE104" s="1239"/>
      <c r="AF104" s="1239"/>
      <c r="AG104" s="1239"/>
      <c r="AH104" s="1239"/>
      <c r="AI104" s="1239"/>
      <c r="AJ104" s="1239"/>
      <c r="AK104" s="1239"/>
      <c r="AL104" s="1239"/>
      <c r="AM104" s="1239"/>
      <c r="AN104" s="1239"/>
      <c r="AO104" s="1239"/>
      <c r="AP104" s="1239"/>
      <c r="AQ104" s="1239"/>
      <c r="AR104" s="1239"/>
      <c r="AS104" s="1239"/>
      <c r="AT104" s="1239"/>
      <c r="AU104" s="1239"/>
      <c r="AV104" s="1239"/>
      <c r="AW104" s="1228"/>
      <c r="AX104" s="1240"/>
      <c r="AY104" s="795"/>
      <c r="AZ104" s="1545" t="s">
        <v>1277</v>
      </c>
      <c r="BA104" s="1546"/>
      <c r="BB104" s="1546"/>
      <c r="BC104" s="1546"/>
      <c r="BD104" s="1546"/>
      <c r="BE104" s="1546"/>
      <c r="BF104" s="1546"/>
      <c r="BG104" s="1546"/>
      <c r="BH104" s="1546"/>
      <c r="BI104" s="1546"/>
      <c r="BJ104" s="1546"/>
      <c r="BK104" s="1546"/>
      <c r="BL104" s="1546"/>
      <c r="BM104" s="1546"/>
      <c r="BN104" s="1546"/>
      <c r="BO104" s="1547"/>
      <c r="BZ104" s="237"/>
    </row>
    <row r="105" spans="2:78" ht="24" customHeight="1">
      <c r="B105" s="1238"/>
      <c r="C105" s="1239"/>
      <c r="D105" s="1239"/>
      <c r="E105" s="1239"/>
      <c r="F105" s="1239"/>
      <c r="G105" s="1239"/>
      <c r="H105" s="1239"/>
      <c r="I105" s="1239"/>
      <c r="J105" s="1239"/>
      <c r="K105" s="1239"/>
      <c r="L105" s="1239"/>
      <c r="M105" s="1239"/>
      <c r="N105" s="1239"/>
      <c r="O105" s="1239"/>
      <c r="P105" s="1239"/>
      <c r="Q105" s="1239"/>
      <c r="R105" s="1239"/>
      <c r="S105" s="1239"/>
      <c r="T105" s="1239"/>
      <c r="U105" s="1239"/>
      <c r="V105" s="1239"/>
      <c r="W105" s="1239"/>
      <c r="X105" s="1239"/>
      <c r="Y105" s="1239"/>
      <c r="Z105" s="1239"/>
      <c r="AA105" s="1239"/>
      <c r="AB105" s="1239"/>
      <c r="AC105" s="1239"/>
      <c r="AD105" s="1239"/>
      <c r="AE105" s="1239"/>
      <c r="AF105" s="1239"/>
      <c r="AG105" s="1239"/>
      <c r="AH105" s="1239"/>
      <c r="AI105" s="1239"/>
      <c r="AJ105" s="1239"/>
      <c r="AK105" s="1239"/>
      <c r="AL105" s="1239"/>
      <c r="AM105" s="1239"/>
      <c r="AN105" s="1239"/>
      <c r="AO105" s="1239"/>
      <c r="AP105" s="1239"/>
      <c r="AQ105" s="1239"/>
      <c r="AR105" s="1239"/>
      <c r="AS105" s="1239"/>
      <c r="AT105" s="1239"/>
      <c r="AU105" s="1239"/>
      <c r="AV105" s="1239"/>
      <c r="AW105" s="1228"/>
      <c r="AX105" s="1240"/>
      <c r="AZ105" s="1548"/>
      <c r="BA105" s="1546"/>
      <c r="BB105" s="1546"/>
      <c r="BC105" s="1546"/>
      <c r="BD105" s="1546"/>
      <c r="BE105" s="1546"/>
      <c r="BF105" s="1546"/>
      <c r="BG105" s="1546"/>
      <c r="BH105" s="1546"/>
      <c r="BI105" s="1546"/>
      <c r="BJ105" s="1546"/>
      <c r="BK105" s="1546"/>
      <c r="BL105" s="1546"/>
      <c r="BM105" s="1546"/>
      <c r="BN105" s="1546"/>
      <c r="BO105" s="1547"/>
      <c r="BZ105" s="237"/>
    </row>
    <row r="106" spans="2:78" ht="24" customHeight="1" thickBot="1">
      <c r="B106" s="1241"/>
      <c r="C106" s="1242"/>
      <c r="D106" s="1242"/>
      <c r="E106" s="1242"/>
      <c r="F106" s="1242"/>
      <c r="G106" s="1242"/>
      <c r="H106" s="1242"/>
      <c r="I106" s="1242"/>
      <c r="J106" s="1242"/>
      <c r="K106" s="1242"/>
      <c r="L106" s="1242"/>
      <c r="M106" s="1242"/>
      <c r="N106" s="1242"/>
      <c r="O106" s="1242"/>
      <c r="P106" s="1242"/>
      <c r="Q106" s="1242"/>
      <c r="R106" s="1242"/>
      <c r="S106" s="1242"/>
      <c r="T106" s="1242"/>
      <c r="U106" s="1242"/>
      <c r="V106" s="1242"/>
      <c r="W106" s="1242"/>
      <c r="X106" s="1242"/>
      <c r="Y106" s="1242"/>
      <c r="Z106" s="1242"/>
      <c r="AA106" s="1242"/>
      <c r="AB106" s="1242"/>
      <c r="AC106" s="1242"/>
      <c r="AD106" s="1242"/>
      <c r="AE106" s="1242"/>
      <c r="AF106" s="1242"/>
      <c r="AG106" s="1242"/>
      <c r="AH106" s="1242"/>
      <c r="AI106" s="1242"/>
      <c r="AJ106" s="1242"/>
      <c r="AK106" s="1242"/>
      <c r="AL106" s="1242"/>
      <c r="AM106" s="1242"/>
      <c r="AN106" s="1242"/>
      <c r="AO106" s="1242"/>
      <c r="AP106" s="1242"/>
      <c r="AQ106" s="1242"/>
      <c r="AR106" s="1242"/>
      <c r="AS106" s="1242"/>
      <c r="AT106" s="1242"/>
      <c r="AU106" s="1242"/>
      <c r="AV106" s="1242"/>
      <c r="AW106" s="1243"/>
      <c r="AX106" s="1244"/>
      <c r="AZ106" s="795"/>
      <c r="BD106" s="795"/>
      <c r="BE106" s="795"/>
      <c r="BG106" s="795"/>
    </row>
    <row r="107" spans="2:78" ht="24" customHeight="1" thickTop="1" thickBot="1">
      <c r="B107" s="336"/>
      <c r="C107" s="336"/>
      <c r="D107" s="336"/>
      <c r="E107" s="336"/>
      <c r="F107" s="336"/>
      <c r="G107" s="336"/>
      <c r="H107" s="336"/>
      <c r="I107" s="336"/>
      <c r="J107" s="336"/>
      <c r="K107" s="336"/>
      <c r="L107" s="336"/>
      <c r="M107" s="336"/>
      <c r="N107" s="336"/>
      <c r="O107" s="336"/>
      <c r="P107" s="336"/>
      <c r="Q107" s="336"/>
      <c r="R107" s="336"/>
      <c r="S107" s="336"/>
      <c r="T107" s="336"/>
      <c r="U107" s="336"/>
      <c r="V107" s="336"/>
      <c r="W107" s="336"/>
      <c r="X107" s="336"/>
      <c r="Y107" s="336"/>
      <c r="Z107" s="336"/>
      <c r="AA107" s="336"/>
      <c r="AB107" s="336"/>
      <c r="AC107" s="336"/>
      <c r="AD107" s="336"/>
      <c r="AE107" s="336"/>
      <c r="AF107" s="336"/>
      <c r="AG107" s="336"/>
      <c r="AH107" s="336"/>
      <c r="AI107" s="336"/>
      <c r="AJ107" s="336"/>
      <c r="AK107" s="336"/>
      <c r="AL107" s="336"/>
      <c r="AM107" s="336"/>
      <c r="AN107" s="336"/>
      <c r="AO107" s="336"/>
      <c r="AP107" s="336"/>
      <c r="AQ107" s="336"/>
      <c r="AR107" s="336"/>
      <c r="AS107" s="336"/>
      <c r="AT107" s="336"/>
      <c r="AU107" s="336"/>
      <c r="AV107" s="336"/>
      <c r="AW107" s="335"/>
      <c r="AX107" s="335"/>
      <c r="AZ107" s="795"/>
      <c r="BD107" s="795"/>
      <c r="BE107" s="795"/>
      <c r="BG107" s="795"/>
    </row>
    <row r="108" spans="2:78" ht="24" customHeight="1" thickTop="1">
      <c r="B108" s="1184" t="s">
        <v>1159</v>
      </c>
      <c r="C108" s="1390"/>
      <c r="D108" s="1390"/>
      <c r="E108" s="1390"/>
      <c r="F108" s="1390"/>
      <c r="G108" s="1390"/>
      <c r="H108" s="1184" t="s">
        <v>1160</v>
      </c>
      <c r="I108" s="1051"/>
      <c r="J108" s="1051"/>
      <c r="K108" s="1051"/>
      <c r="L108" s="1051"/>
      <c r="M108" s="1051"/>
      <c r="N108" s="1184" t="s">
        <v>1162</v>
      </c>
      <c r="O108" s="1395"/>
      <c r="P108" s="1395"/>
      <c r="Q108" s="1395"/>
      <c r="R108" s="1395"/>
      <c r="S108" s="1396"/>
      <c r="T108" s="1182" t="s">
        <v>98</v>
      </c>
      <c r="U108" s="1183"/>
      <c r="V108" s="795"/>
      <c r="W108" s="795"/>
      <c r="X108" s="1184" t="s">
        <v>1058</v>
      </c>
      <c r="Y108" s="1185"/>
      <c r="Z108" s="1185"/>
      <c r="AA108" s="1185"/>
      <c r="AB108" s="1185"/>
      <c r="AC108" s="1184" t="s">
        <v>1059</v>
      </c>
      <c r="AD108" s="1185"/>
      <c r="AE108" s="1185"/>
      <c r="AF108" s="1185"/>
      <c r="AG108" s="1185"/>
      <c r="AH108" s="795"/>
      <c r="AI108" s="1186" t="str">
        <f>"補助対象期間中の患者数("&amp;X109&amp;"人、N95・ハイラックマスクは"&amp;AC109&amp;"人)＊患者１名あたり平均対応員数(計"&amp;N109&amp;"人)＊品目毎の患者１名あたり使用数で算出されます。"</f>
        <v>補助対象期間中の患者数(×人、N95・ハイラックマスクは×人)＊患者１名あたり平均対応員数(計0人)＊品目毎の患者１名あたり使用数で算出されます。</v>
      </c>
      <c r="AJ108" s="1187"/>
      <c r="AK108" s="1187"/>
      <c r="AL108" s="1187"/>
      <c r="AM108" s="1187"/>
      <c r="AN108" s="1187"/>
      <c r="AO108" s="1187"/>
      <c r="AP108" s="1187"/>
      <c r="AQ108" s="1187"/>
      <c r="AR108" s="1187"/>
      <c r="AS108" s="1187"/>
      <c r="AT108" s="1187"/>
      <c r="AU108" s="1187"/>
      <c r="AV108" s="1187"/>
      <c r="AW108" s="1187"/>
      <c r="AX108" s="1188"/>
      <c r="AZ108" s="795"/>
      <c r="BD108" s="795"/>
      <c r="BE108" s="795"/>
      <c r="BG108" s="795"/>
    </row>
    <row r="109" spans="2:78" ht="24" customHeight="1">
      <c r="B109" s="1391"/>
      <c r="C109" s="1392"/>
      <c r="D109" s="1392"/>
      <c r="E109" s="1392"/>
      <c r="F109" s="1392"/>
      <c r="G109" s="1392"/>
      <c r="H109" s="1393"/>
      <c r="I109" s="1394"/>
      <c r="J109" s="1394"/>
      <c r="K109" s="1394"/>
      <c r="L109" s="1394"/>
      <c r="M109" s="1394"/>
      <c r="N109" s="1397">
        <f>SUM(B109*H109)</f>
        <v>0</v>
      </c>
      <c r="O109" s="1398"/>
      <c r="P109" s="1398"/>
      <c r="Q109" s="1398"/>
      <c r="R109" s="1398"/>
      <c r="S109" s="1399"/>
      <c r="T109" s="1204" t="str">
        <f xml:space="preserve">
IF($AZ$77&lt;&gt;"○","×",
IF(COUNTA($B$109:$M$110)&lt;&gt;2,"×","○"))</f>
        <v>×</v>
      </c>
      <c r="U109" s="1205"/>
      <c r="V109" s="795"/>
      <c r="W109" s="795"/>
      <c r="X109" s="1208" t="str">
        <f>AK85</f>
        <v>×</v>
      </c>
      <c r="Y109" s="1209"/>
      <c r="Z109" s="1209"/>
      <c r="AA109" s="1209"/>
      <c r="AB109" s="1209"/>
      <c r="AC109" s="1208" t="str">
        <f>AK86</f>
        <v>×</v>
      </c>
      <c r="AD109" s="1209"/>
      <c r="AE109" s="1209"/>
      <c r="AF109" s="1209"/>
      <c r="AG109" s="1209"/>
      <c r="AH109" s="795"/>
      <c r="AI109" s="1189"/>
      <c r="AJ109" s="1190"/>
      <c r="AK109" s="1190"/>
      <c r="AL109" s="1190"/>
      <c r="AM109" s="1190"/>
      <c r="AN109" s="1190"/>
      <c r="AO109" s="1190"/>
      <c r="AP109" s="1190"/>
      <c r="AQ109" s="1190"/>
      <c r="AR109" s="1190"/>
      <c r="AS109" s="1190"/>
      <c r="AT109" s="1190"/>
      <c r="AU109" s="1190"/>
      <c r="AV109" s="1190"/>
      <c r="AW109" s="1190"/>
      <c r="AX109" s="1191"/>
      <c r="AZ109" s="795"/>
      <c r="BD109" s="795"/>
      <c r="BE109" s="795"/>
      <c r="BG109" s="795"/>
    </row>
    <row r="110" spans="2:78" ht="24" customHeight="1" thickBot="1">
      <c r="B110" s="1392"/>
      <c r="C110" s="1392"/>
      <c r="D110" s="1392"/>
      <c r="E110" s="1392"/>
      <c r="F110" s="1392"/>
      <c r="G110" s="1392"/>
      <c r="H110" s="1394"/>
      <c r="I110" s="1394"/>
      <c r="J110" s="1394"/>
      <c r="K110" s="1394"/>
      <c r="L110" s="1394"/>
      <c r="M110" s="1394"/>
      <c r="N110" s="1398"/>
      <c r="O110" s="1398"/>
      <c r="P110" s="1398"/>
      <c r="Q110" s="1398"/>
      <c r="R110" s="1398"/>
      <c r="S110" s="1399"/>
      <c r="T110" s="1206"/>
      <c r="U110" s="1207"/>
      <c r="V110" s="795"/>
      <c r="W110" s="795"/>
      <c r="X110" s="1209"/>
      <c r="Y110" s="1209"/>
      <c r="Z110" s="1209"/>
      <c r="AA110" s="1209"/>
      <c r="AB110" s="1209"/>
      <c r="AC110" s="1209"/>
      <c r="AD110" s="1209"/>
      <c r="AE110" s="1209"/>
      <c r="AF110" s="1209"/>
      <c r="AG110" s="1209"/>
      <c r="AH110" s="795"/>
      <c r="AI110" s="1192"/>
      <c r="AJ110" s="1193"/>
      <c r="AK110" s="1193"/>
      <c r="AL110" s="1193"/>
      <c r="AM110" s="1193"/>
      <c r="AN110" s="1193"/>
      <c r="AO110" s="1193"/>
      <c r="AP110" s="1193"/>
      <c r="AQ110" s="1193"/>
      <c r="AR110" s="1193"/>
      <c r="AS110" s="1193"/>
      <c r="AT110" s="1193"/>
      <c r="AU110" s="1193"/>
      <c r="AV110" s="1193"/>
      <c r="AW110" s="1193"/>
      <c r="AX110" s="1194"/>
      <c r="AZ110" s="795"/>
      <c r="BD110" s="795"/>
      <c r="BE110" s="795"/>
      <c r="BG110" s="795"/>
    </row>
    <row r="111" spans="2:78" ht="24" customHeight="1" thickTop="1" thickBot="1">
      <c r="B111" s="1432" t="str">
        <f xml:space="preserve">
IF($AZ$77&lt;&gt;"○","→【要修正】本シートの上段１～３が入力不十分です。（本欄入力前に適切に入力してください。）",
IF(COUNTA($B$109:$M$110)&lt;&gt;2,"→【要修正】平均訪室回数及び平均対応員数のいずれの欄も入力するようにしてください。","→適切に入力がされました。"))</f>
        <v>→【要修正】本シートの上段１～３が入力不十分です。（本欄入力前に適切に入力してください。）</v>
      </c>
      <c r="C111" s="1433"/>
      <c r="D111" s="1433"/>
      <c r="E111" s="1433"/>
      <c r="F111" s="1433"/>
      <c r="G111" s="1433"/>
      <c r="H111" s="1433"/>
      <c r="I111" s="1433"/>
      <c r="J111" s="1433"/>
      <c r="K111" s="1433"/>
      <c r="L111" s="1433"/>
      <c r="M111" s="1433"/>
      <c r="N111" s="1433"/>
      <c r="O111" s="1433"/>
      <c r="P111" s="1433"/>
      <c r="Q111" s="1433"/>
      <c r="R111" s="1433"/>
      <c r="S111" s="1433"/>
      <c r="T111" s="1433"/>
      <c r="U111" s="1433"/>
      <c r="V111" s="1433"/>
      <c r="W111" s="1433"/>
      <c r="X111" s="1433"/>
      <c r="Y111" s="1433"/>
      <c r="Z111" s="1433"/>
      <c r="AA111" s="1433"/>
      <c r="AB111" s="1433"/>
      <c r="AI111" s="795"/>
      <c r="AJ111" s="795"/>
      <c r="AK111" s="795"/>
      <c r="AL111" s="795"/>
      <c r="AM111" s="795"/>
      <c r="AN111" s="795"/>
      <c r="AO111" s="795"/>
      <c r="BZ111" s="237"/>
    </row>
    <row r="112" spans="2:78" ht="24" customHeight="1" thickTop="1">
      <c r="B112" s="1152" t="s">
        <v>1060</v>
      </c>
      <c r="C112" s="1400"/>
      <c r="D112" s="1400"/>
      <c r="E112" s="1400"/>
      <c r="F112" s="1400"/>
      <c r="G112" s="1400"/>
      <c r="H112" s="1400"/>
      <c r="I112" s="1400"/>
      <c r="J112" s="1400"/>
      <c r="K112" s="1400"/>
      <c r="L112" s="1400"/>
      <c r="M112" s="1400"/>
      <c r="N112" s="1213" t="s">
        <v>1163</v>
      </c>
      <c r="O112" s="1214"/>
      <c r="P112" s="1214"/>
      <c r="Q112" s="1214"/>
      <c r="R112" s="1214"/>
      <c r="S112" s="1214"/>
      <c r="T112" s="1214"/>
      <c r="U112" s="1214"/>
      <c r="V112" s="1214"/>
      <c r="W112" s="1214"/>
      <c r="X112" s="1214"/>
      <c r="Y112" s="1214"/>
      <c r="Z112" s="1215"/>
      <c r="AA112" s="1215"/>
      <c r="AB112" s="1215"/>
      <c r="AC112" s="1216"/>
      <c r="AD112" s="1210" t="s">
        <v>98</v>
      </c>
      <c r="AE112" s="1211"/>
      <c r="AF112" s="1195" t="s">
        <v>61</v>
      </c>
      <c r="AG112" s="1195"/>
      <c r="AH112" s="1195"/>
      <c r="AI112" s="1195"/>
      <c r="AJ112" s="1195"/>
      <c r="AK112" s="1195"/>
      <c r="AL112" s="1195"/>
      <c r="AM112" s="1195"/>
      <c r="AN112" s="1195"/>
      <c r="AO112" s="1195"/>
      <c r="AP112" s="1196"/>
      <c r="AQ112" s="1196"/>
      <c r="AR112" s="1196"/>
      <c r="AS112" s="1196"/>
      <c r="AT112" s="1196"/>
      <c r="AU112" s="1196"/>
      <c r="AV112" s="1196"/>
      <c r="AW112" s="1196"/>
      <c r="AX112" s="1197"/>
      <c r="AY112" s="795"/>
      <c r="AZ112" s="795"/>
      <c r="BD112" s="795"/>
      <c r="BE112" s="795"/>
      <c r="BG112" s="795"/>
    </row>
    <row r="113" spans="2:80" ht="24" customHeight="1" thickBot="1">
      <c r="B113" s="1150"/>
      <c r="C113" s="1401"/>
      <c r="D113" s="1401"/>
      <c r="E113" s="1401"/>
      <c r="F113" s="1401"/>
      <c r="G113" s="1401"/>
      <c r="H113" s="1401"/>
      <c r="I113" s="1401"/>
      <c r="J113" s="1401"/>
      <c r="K113" s="1401"/>
      <c r="L113" s="1401"/>
      <c r="M113" s="1401"/>
      <c r="N113" s="1217"/>
      <c r="O113" s="1218"/>
      <c r="P113" s="1218"/>
      <c r="Q113" s="1218"/>
      <c r="R113" s="1218"/>
      <c r="S113" s="1218"/>
      <c r="T113" s="1218"/>
      <c r="U113" s="1218"/>
      <c r="V113" s="1218"/>
      <c r="W113" s="1218"/>
      <c r="X113" s="1218"/>
      <c r="Y113" s="1218"/>
      <c r="Z113" s="1219"/>
      <c r="AA113" s="1219"/>
      <c r="AB113" s="1219"/>
      <c r="AC113" s="1220"/>
      <c r="AD113" s="1116"/>
      <c r="AE113" s="1212"/>
      <c r="AF113" s="1195"/>
      <c r="AG113" s="1195"/>
      <c r="AH113" s="1195"/>
      <c r="AI113" s="1195"/>
      <c r="AJ113" s="1195"/>
      <c r="AK113" s="1195"/>
      <c r="AL113" s="1195"/>
      <c r="AM113" s="1195"/>
      <c r="AN113" s="1195"/>
      <c r="AO113" s="1195"/>
      <c r="AP113" s="1196"/>
      <c r="AQ113" s="1196"/>
      <c r="AR113" s="1196"/>
      <c r="AS113" s="1196"/>
      <c r="AT113" s="1196"/>
      <c r="AU113" s="1196"/>
      <c r="AV113" s="1196"/>
      <c r="AW113" s="1196"/>
      <c r="AX113" s="1197"/>
      <c r="AY113" s="795"/>
      <c r="AZ113" s="795"/>
      <c r="BD113" s="795"/>
      <c r="BE113" s="795"/>
      <c r="BG113" s="795"/>
    </row>
    <row r="114" spans="2:80" ht="24" customHeight="1" thickTop="1">
      <c r="B114" s="1402"/>
      <c r="C114" s="1401"/>
      <c r="D114" s="1401"/>
      <c r="E114" s="1401"/>
      <c r="F114" s="1401"/>
      <c r="G114" s="1401"/>
      <c r="H114" s="1401"/>
      <c r="I114" s="1401"/>
      <c r="J114" s="1401"/>
      <c r="K114" s="1401"/>
      <c r="L114" s="1401"/>
      <c r="M114" s="1401"/>
      <c r="N114" s="1198" t="s">
        <v>1422</v>
      </c>
      <c r="O114" s="1199"/>
      <c r="P114" s="1199"/>
      <c r="Q114" s="1200"/>
      <c r="R114" s="1150" t="s">
        <v>1164</v>
      </c>
      <c r="S114" s="1199"/>
      <c r="T114" s="1199"/>
      <c r="U114" s="1200"/>
      <c r="V114" s="1198" t="s">
        <v>1384</v>
      </c>
      <c r="W114" s="1199"/>
      <c r="X114" s="1199"/>
      <c r="Y114" s="1200"/>
      <c r="Z114" s="1541" t="s">
        <v>1421</v>
      </c>
      <c r="AA114" s="1222"/>
      <c r="AB114" s="1222"/>
      <c r="AC114" s="1223"/>
      <c r="AD114" s="1063"/>
      <c r="AE114" s="1212"/>
      <c r="AF114" s="1195"/>
      <c r="AG114" s="1195"/>
      <c r="AH114" s="1195"/>
      <c r="AI114" s="1195"/>
      <c r="AJ114" s="1195"/>
      <c r="AK114" s="1195"/>
      <c r="AL114" s="1195"/>
      <c r="AM114" s="1195"/>
      <c r="AN114" s="1195"/>
      <c r="AO114" s="1195"/>
      <c r="AP114" s="1196"/>
      <c r="AQ114" s="1196"/>
      <c r="AR114" s="1196"/>
      <c r="AS114" s="1196"/>
      <c r="AT114" s="1196"/>
      <c r="AU114" s="1196"/>
      <c r="AV114" s="1196"/>
      <c r="AW114" s="1196"/>
      <c r="AX114" s="1197"/>
      <c r="AZ114" s="224"/>
      <c r="BA114" s="1181"/>
      <c r="BB114" s="1181"/>
      <c r="BC114" s="1181"/>
      <c r="BD114" s="271"/>
      <c r="BF114" s="272"/>
      <c r="BG114" s="225"/>
      <c r="BH114" s="273"/>
      <c r="BI114" s="273"/>
      <c r="BJ114" s="274"/>
      <c r="BK114" s="273"/>
      <c r="BL114" s="225"/>
      <c r="BZ114" s="237"/>
    </row>
    <row r="115" spans="2:80" ht="24" customHeight="1">
      <c r="B115" s="1403"/>
      <c r="C115" s="1404"/>
      <c r="D115" s="1404"/>
      <c r="E115" s="1404"/>
      <c r="F115" s="1404"/>
      <c r="G115" s="1404"/>
      <c r="H115" s="1404"/>
      <c r="I115" s="1404"/>
      <c r="J115" s="1404"/>
      <c r="K115" s="1404"/>
      <c r="L115" s="1404"/>
      <c r="M115" s="1404"/>
      <c r="N115" s="1201"/>
      <c r="O115" s="1202"/>
      <c r="P115" s="1202"/>
      <c r="Q115" s="1203"/>
      <c r="R115" s="1201"/>
      <c r="S115" s="1202"/>
      <c r="T115" s="1202"/>
      <c r="U115" s="1203"/>
      <c r="V115" s="1201"/>
      <c r="W115" s="1202"/>
      <c r="X115" s="1202"/>
      <c r="Y115" s="1203"/>
      <c r="Z115" s="1224"/>
      <c r="AA115" s="1225"/>
      <c r="AB115" s="1225"/>
      <c r="AC115" s="1226"/>
      <c r="AD115" s="1063"/>
      <c r="AE115" s="1212"/>
      <c r="AF115" s="1195"/>
      <c r="AG115" s="1195"/>
      <c r="AH115" s="1195"/>
      <c r="AI115" s="1195"/>
      <c r="AJ115" s="1195"/>
      <c r="AK115" s="1195"/>
      <c r="AL115" s="1195"/>
      <c r="AM115" s="1195"/>
      <c r="AN115" s="1195"/>
      <c r="AO115" s="1195"/>
      <c r="AP115" s="1196"/>
      <c r="AQ115" s="1196"/>
      <c r="AR115" s="1196"/>
      <c r="AS115" s="1196"/>
      <c r="AT115" s="1196"/>
      <c r="AU115" s="1196"/>
      <c r="AV115" s="1196"/>
      <c r="AW115" s="1196"/>
      <c r="AX115" s="1197"/>
      <c r="AZ115" s="224"/>
      <c r="BA115" s="1181"/>
      <c r="BB115" s="1181"/>
      <c r="BC115" s="1181"/>
      <c r="BD115" s="271"/>
      <c r="BF115" s="272"/>
      <c r="BG115" s="225"/>
      <c r="BH115" s="273"/>
      <c r="BI115" s="273"/>
      <c r="BJ115" s="274"/>
      <c r="BK115" s="273"/>
      <c r="BL115" s="225"/>
      <c r="BZ115" s="237"/>
    </row>
    <row r="116" spans="2:80" ht="18" customHeight="1">
      <c r="B116" s="1152" t="s">
        <v>472</v>
      </c>
      <c r="C116" s="1129"/>
      <c r="D116" s="1129"/>
      <c r="E116" s="1130"/>
      <c r="F116" s="1112" t="s">
        <v>1061</v>
      </c>
      <c r="G116" s="1129"/>
      <c r="H116" s="1129"/>
      <c r="I116" s="1129"/>
      <c r="J116" s="1129"/>
      <c r="K116" s="1129"/>
      <c r="L116" s="1129"/>
      <c r="M116" s="1130"/>
      <c r="N116" s="1137"/>
      <c r="O116" s="1138"/>
      <c r="P116" s="1138"/>
      <c r="Q116" s="1138"/>
      <c r="R116" s="1139">
        <f>IF($X$109="×",0,$X$109)</f>
        <v>0</v>
      </c>
      <c r="S116" s="1140"/>
      <c r="T116" s="1140"/>
      <c r="U116" s="1140"/>
      <c r="V116" s="1434">
        <f>$N$109*N116</f>
        <v>0</v>
      </c>
      <c r="W116" s="1435"/>
      <c r="X116" s="1435"/>
      <c r="Y116" s="1435"/>
      <c r="Z116" s="1436">
        <f>R116*V116</f>
        <v>0</v>
      </c>
      <c r="AA116" s="1437"/>
      <c r="AB116" s="1437"/>
      <c r="AC116" s="1438"/>
      <c r="AD116" s="1116" t="str">
        <f xml:space="preserve">
IF($AZ$77&lt;&gt;"○","×",
IF(COUNTA($B$109:$M$110)&lt;&gt;2,"×",
IF(COUNTA(N116)&lt;&gt;1,"×",
IF(AND(COUNTA(N116)=1,N116&lt;=AZ116),"○",
IF(AND(COUNTA(N116)=1,N116&gt;AZ116),"○")))))</f>
        <v>×</v>
      </c>
      <c r="AE116" s="1117"/>
      <c r="AF116" s="1120" t="str">
        <f xml:space="preserve">
IF($AZ$77&lt;&gt;"○","【要修正】本シートの上段１から３までの項目を適切に入力してください。",
IF(COUNTA($B$109:$M$110)&lt;&gt;2,"【要修正】上段の平均訪室回数及び平均対応員数を入力してください。",
IF(COUNTA(N116)&lt;&gt;1,"【要修正】患者１人に対しスタッフ１人の訪室１回あたりの使用数を入力してください。(０の場合は０を入力)",
IF(AND(COUNTA(N116)=1,N116&lt;=AZ116),"適切に入力されました。",
IF(AND(COUNTA(N116)=1,N116&gt;AZ116),"患者１人への訪室１回あたりスタッフ１名が"&amp;AZ116&amp;"個を超える使用量が入力されているため、着脱を行う手順及び手順毎の数量を下段の欄に記入してください。")))))</f>
        <v>【要修正】本シートの上段１から３までの項目を適切に入力してください。</v>
      </c>
      <c r="AG116" s="1121"/>
      <c r="AH116" s="1121"/>
      <c r="AI116" s="1121"/>
      <c r="AJ116" s="1121"/>
      <c r="AK116" s="1121"/>
      <c r="AL116" s="1121"/>
      <c r="AM116" s="1121"/>
      <c r="AN116" s="1121"/>
      <c r="AO116" s="1121"/>
      <c r="AP116" s="1122"/>
      <c r="AQ116" s="1123"/>
      <c r="AR116" s="1123"/>
      <c r="AS116" s="1123"/>
      <c r="AT116" s="1123"/>
      <c r="AU116" s="1123"/>
      <c r="AV116" s="1123"/>
      <c r="AW116" s="1123"/>
      <c r="AX116" s="1124"/>
      <c r="AZ116" s="1430">
        <v>2</v>
      </c>
      <c r="BA116" s="1181"/>
      <c r="BB116" s="1181"/>
      <c r="BC116" s="1181"/>
      <c r="BD116" s="271"/>
      <c r="BF116" s="272"/>
      <c r="BG116" s="225"/>
      <c r="BH116" s="273"/>
      <c r="BI116" s="273"/>
      <c r="BJ116" s="274"/>
      <c r="BK116" s="273"/>
      <c r="BL116" s="225"/>
      <c r="BZ116" s="237"/>
    </row>
    <row r="117" spans="2:80" ht="18" customHeight="1">
      <c r="B117" s="1131"/>
      <c r="C117" s="1132"/>
      <c r="D117" s="1132"/>
      <c r="E117" s="1133"/>
      <c r="F117" s="1131"/>
      <c r="G117" s="1132"/>
      <c r="H117" s="1132"/>
      <c r="I117" s="1132"/>
      <c r="J117" s="1132"/>
      <c r="K117" s="1132"/>
      <c r="L117" s="1132"/>
      <c r="M117" s="1133"/>
      <c r="N117" s="1175"/>
      <c r="O117" s="1176"/>
      <c r="P117" s="1176"/>
      <c r="Q117" s="1177"/>
      <c r="R117" s="1165"/>
      <c r="S117" s="1166"/>
      <c r="T117" s="1166"/>
      <c r="U117" s="1167"/>
      <c r="V117" s="1434"/>
      <c r="W117" s="1435"/>
      <c r="X117" s="1435"/>
      <c r="Y117" s="1435"/>
      <c r="Z117" s="1436"/>
      <c r="AA117" s="1437"/>
      <c r="AB117" s="1437"/>
      <c r="AC117" s="1438"/>
      <c r="AD117" s="1116"/>
      <c r="AE117" s="1117"/>
      <c r="AF117" s="1120"/>
      <c r="AG117" s="1121"/>
      <c r="AH117" s="1121"/>
      <c r="AI117" s="1121"/>
      <c r="AJ117" s="1121"/>
      <c r="AK117" s="1121"/>
      <c r="AL117" s="1121"/>
      <c r="AM117" s="1121"/>
      <c r="AN117" s="1121"/>
      <c r="AO117" s="1121"/>
      <c r="AP117" s="1122"/>
      <c r="AQ117" s="1123"/>
      <c r="AR117" s="1123"/>
      <c r="AS117" s="1123"/>
      <c r="AT117" s="1123"/>
      <c r="AU117" s="1123"/>
      <c r="AV117" s="1123"/>
      <c r="AW117" s="1123"/>
      <c r="AX117" s="1124"/>
      <c r="AZ117" s="1431"/>
      <c r="BZ117" s="237"/>
    </row>
    <row r="118" spans="2:80" ht="18" customHeight="1">
      <c r="B118" s="1131"/>
      <c r="C118" s="1132"/>
      <c r="D118" s="1132"/>
      <c r="E118" s="1133"/>
      <c r="F118" s="1134"/>
      <c r="G118" s="1135"/>
      <c r="H118" s="1135"/>
      <c r="I118" s="1135"/>
      <c r="J118" s="1135"/>
      <c r="K118" s="1135"/>
      <c r="L118" s="1135"/>
      <c r="M118" s="1136"/>
      <c r="N118" s="1178"/>
      <c r="O118" s="1179"/>
      <c r="P118" s="1179"/>
      <c r="Q118" s="1180"/>
      <c r="R118" s="1168"/>
      <c r="S118" s="1169"/>
      <c r="T118" s="1169"/>
      <c r="U118" s="1170"/>
      <c r="V118" s="1435"/>
      <c r="W118" s="1435"/>
      <c r="X118" s="1435"/>
      <c r="Y118" s="1435"/>
      <c r="Z118" s="1437"/>
      <c r="AA118" s="1437"/>
      <c r="AB118" s="1437"/>
      <c r="AC118" s="1438"/>
      <c r="AD118" s="1151"/>
      <c r="AE118" s="1117"/>
      <c r="AF118" s="1121"/>
      <c r="AG118" s="1121"/>
      <c r="AH118" s="1121"/>
      <c r="AI118" s="1121"/>
      <c r="AJ118" s="1121"/>
      <c r="AK118" s="1121"/>
      <c r="AL118" s="1121"/>
      <c r="AM118" s="1121"/>
      <c r="AN118" s="1121"/>
      <c r="AO118" s="1121"/>
      <c r="AP118" s="1122"/>
      <c r="AQ118" s="1123"/>
      <c r="AR118" s="1123"/>
      <c r="AS118" s="1123"/>
      <c r="AT118" s="1123"/>
      <c r="AU118" s="1123"/>
      <c r="AV118" s="1123"/>
      <c r="AW118" s="1123"/>
      <c r="AX118" s="1124"/>
      <c r="AZ118" s="1431"/>
      <c r="BZ118" s="237"/>
    </row>
    <row r="119" spans="2:80" ht="18" customHeight="1">
      <c r="B119" s="1131"/>
      <c r="C119" s="1132"/>
      <c r="D119" s="1132"/>
      <c r="E119" s="1133"/>
      <c r="F119" s="1112" t="s">
        <v>1062</v>
      </c>
      <c r="G119" s="1129"/>
      <c r="H119" s="1129"/>
      <c r="I119" s="1129"/>
      <c r="J119" s="1129"/>
      <c r="K119" s="1129"/>
      <c r="L119" s="1129"/>
      <c r="M119" s="1130"/>
      <c r="N119" s="1172"/>
      <c r="O119" s="1173"/>
      <c r="P119" s="1173"/>
      <c r="Q119" s="1174"/>
      <c r="R119" s="1139">
        <f>IF($X$109="×",0,$X$109)</f>
        <v>0</v>
      </c>
      <c r="S119" s="1140"/>
      <c r="T119" s="1140"/>
      <c r="U119" s="1140"/>
      <c r="V119" s="1434">
        <f t="shared" ref="V119" si="97">$N$109*N119</f>
        <v>0</v>
      </c>
      <c r="W119" s="1435"/>
      <c r="X119" s="1435"/>
      <c r="Y119" s="1435"/>
      <c r="Z119" s="1436">
        <f>R119*V119</f>
        <v>0</v>
      </c>
      <c r="AA119" s="1437"/>
      <c r="AB119" s="1437"/>
      <c r="AC119" s="1438"/>
      <c r="AD119" s="1116" t="str">
        <f t="shared" ref="AD119" si="98" xml:space="preserve">
IF($AZ$77&lt;&gt;"○","×",
IF(COUNTA($B$109:$M$110)&lt;&gt;2,"×",
IF(COUNTA(N119)&lt;&gt;1,"×",
IF(AND(COUNTA(N119)=1,N119&lt;=AZ119),"○",
IF(AND(COUNTA(N119)=1,N119&gt;AZ119),"○")))))</f>
        <v>×</v>
      </c>
      <c r="AE119" s="1117"/>
      <c r="AF119" s="1120" t="str">
        <f t="shared" ref="AF119" si="99" xml:space="preserve">
IF($AZ$77&lt;&gt;"○","【要修正】本シートの上段１から３までの項目を適切に入力してください。",
IF(COUNTA($B$109:$M$110)&lt;&gt;2,"【要修正】上段の平均訪室回数及び平均対応員数を入力してください。",
IF(COUNTA(N119)&lt;&gt;1,"【要修正】患者１人に対しスタッフ１人の訪室１回あたりの使用数を入力してください。(０の場合は０を入力)",
IF(AND(COUNTA(N119)=1,N119&lt;=AZ119),"適切に入力されました。",
IF(AND(COUNTA(N119)=1,N119&gt;AZ119),"患者１人への訪室１回あたりスタッフ１名が"&amp;AZ119&amp;"個を超える使用量が入力されているため、着脱を行う手順及び手順毎の数量を下段の欄に記入してください。")))))</f>
        <v>【要修正】本シートの上段１から３までの項目を適切に入力してください。</v>
      </c>
      <c r="AG119" s="1121"/>
      <c r="AH119" s="1121"/>
      <c r="AI119" s="1121"/>
      <c r="AJ119" s="1121"/>
      <c r="AK119" s="1121"/>
      <c r="AL119" s="1121"/>
      <c r="AM119" s="1121"/>
      <c r="AN119" s="1121"/>
      <c r="AO119" s="1121"/>
      <c r="AP119" s="1122"/>
      <c r="AQ119" s="1123"/>
      <c r="AR119" s="1123"/>
      <c r="AS119" s="1123"/>
      <c r="AT119" s="1123"/>
      <c r="AU119" s="1123"/>
      <c r="AV119" s="1123"/>
      <c r="AW119" s="1123"/>
      <c r="AX119" s="1124"/>
      <c r="AZ119" s="1430">
        <v>1</v>
      </c>
      <c r="BQ119" s="552"/>
      <c r="BR119" s="311"/>
      <c r="BS119" s="311"/>
      <c r="BT119" s="551"/>
      <c r="BZ119" s="237"/>
    </row>
    <row r="120" spans="2:80" ht="18" customHeight="1">
      <c r="B120" s="1131"/>
      <c r="C120" s="1132"/>
      <c r="D120" s="1132"/>
      <c r="E120" s="1133"/>
      <c r="F120" s="1131"/>
      <c r="G120" s="1132"/>
      <c r="H120" s="1132"/>
      <c r="I120" s="1132"/>
      <c r="J120" s="1132"/>
      <c r="K120" s="1132"/>
      <c r="L120" s="1132"/>
      <c r="M120" s="1133"/>
      <c r="N120" s="1175"/>
      <c r="O120" s="1176"/>
      <c r="P120" s="1176"/>
      <c r="Q120" s="1177"/>
      <c r="R120" s="1165"/>
      <c r="S120" s="1166"/>
      <c r="T120" s="1166"/>
      <c r="U120" s="1167"/>
      <c r="V120" s="1434"/>
      <c r="W120" s="1435"/>
      <c r="X120" s="1435"/>
      <c r="Y120" s="1435"/>
      <c r="Z120" s="1436"/>
      <c r="AA120" s="1437"/>
      <c r="AB120" s="1437"/>
      <c r="AC120" s="1438"/>
      <c r="AD120" s="1116"/>
      <c r="AE120" s="1117"/>
      <c r="AF120" s="1120"/>
      <c r="AG120" s="1121"/>
      <c r="AH120" s="1121"/>
      <c r="AI120" s="1121"/>
      <c r="AJ120" s="1121"/>
      <c r="AK120" s="1121"/>
      <c r="AL120" s="1121"/>
      <c r="AM120" s="1121"/>
      <c r="AN120" s="1121"/>
      <c r="AO120" s="1121"/>
      <c r="AP120" s="1122"/>
      <c r="AQ120" s="1123"/>
      <c r="AR120" s="1123"/>
      <c r="AS120" s="1123"/>
      <c r="AT120" s="1123"/>
      <c r="AU120" s="1123"/>
      <c r="AV120" s="1123"/>
      <c r="AW120" s="1123"/>
      <c r="AX120" s="1124"/>
      <c r="AZ120" s="1431"/>
      <c r="BQ120" s="552"/>
      <c r="BR120" s="311"/>
      <c r="BS120" s="552"/>
      <c r="BT120" s="553"/>
      <c r="BZ120" s="237"/>
    </row>
    <row r="121" spans="2:80" ht="18" customHeight="1">
      <c r="B121" s="1131"/>
      <c r="C121" s="1132"/>
      <c r="D121" s="1132"/>
      <c r="E121" s="1133"/>
      <c r="F121" s="1134"/>
      <c r="G121" s="1135"/>
      <c r="H121" s="1135"/>
      <c r="I121" s="1135"/>
      <c r="J121" s="1135"/>
      <c r="K121" s="1135"/>
      <c r="L121" s="1135"/>
      <c r="M121" s="1136"/>
      <c r="N121" s="1178"/>
      <c r="O121" s="1179"/>
      <c r="P121" s="1179"/>
      <c r="Q121" s="1180"/>
      <c r="R121" s="1168"/>
      <c r="S121" s="1169"/>
      <c r="T121" s="1169"/>
      <c r="U121" s="1170"/>
      <c r="V121" s="1435"/>
      <c r="W121" s="1435"/>
      <c r="X121" s="1435"/>
      <c r="Y121" s="1435"/>
      <c r="Z121" s="1437"/>
      <c r="AA121" s="1437"/>
      <c r="AB121" s="1437"/>
      <c r="AC121" s="1438"/>
      <c r="AD121" s="1151"/>
      <c r="AE121" s="1117"/>
      <c r="AF121" s="1121"/>
      <c r="AG121" s="1121"/>
      <c r="AH121" s="1121"/>
      <c r="AI121" s="1121"/>
      <c r="AJ121" s="1121"/>
      <c r="AK121" s="1121"/>
      <c r="AL121" s="1121"/>
      <c r="AM121" s="1121"/>
      <c r="AN121" s="1121"/>
      <c r="AO121" s="1121"/>
      <c r="AP121" s="1122"/>
      <c r="AQ121" s="1123"/>
      <c r="AR121" s="1123"/>
      <c r="AS121" s="1123"/>
      <c r="AT121" s="1123"/>
      <c r="AU121" s="1123"/>
      <c r="AV121" s="1123"/>
      <c r="AW121" s="1123"/>
      <c r="AX121" s="1124"/>
      <c r="AZ121" s="1431"/>
      <c r="BQ121" s="552"/>
      <c r="BR121" s="311"/>
      <c r="BS121" s="552"/>
      <c r="BT121" s="553"/>
      <c r="BZ121" s="237"/>
    </row>
    <row r="122" spans="2:80" ht="18" customHeight="1">
      <c r="B122" s="1131"/>
      <c r="C122" s="1132"/>
      <c r="D122" s="1132"/>
      <c r="E122" s="1133"/>
      <c r="F122" s="1146" t="s">
        <v>1063</v>
      </c>
      <c r="G122" s="1129"/>
      <c r="H122" s="1129"/>
      <c r="I122" s="1129"/>
      <c r="J122" s="1129"/>
      <c r="K122" s="1129"/>
      <c r="L122" s="1129"/>
      <c r="M122" s="1130"/>
      <c r="N122" s="1172"/>
      <c r="O122" s="1173"/>
      <c r="P122" s="1173"/>
      <c r="Q122" s="1174"/>
      <c r="R122" s="1162">
        <f>IF($AC$109="×",0,$AC$109)</f>
        <v>0</v>
      </c>
      <c r="S122" s="1163"/>
      <c r="T122" s="1163"/>
      <c r="U122" s="1164"/>
      <c r="V122" s="1434">
        <f t="shared" ref="V122" si="100">$N$109*N122</f>
        <v>0</v>
      </c>
      <c r="W122" s="1435"/>
      <c r="X122" s="1435"/>
      <c r="Y122" s="1435"/>
      <c r="Z122" s="1436">
        <f>R122*V122</f>
        <v>0</v>
      </c>
      <c r="AA122" s="1437"/>
      <c r="AB122" s="1437"/>
      <c r="AC122" s="1438"/>
      <c r="AD122" s="1116" t="str">
        <f t="shared" ref="AD122" si="101" xml:space="preserve">
IF($AZ$77&lt;&gt;"○","×",
IF(COUNTA($B$109:$M$110)&lt;&gt;2,"×",
IF(COUNTA(N122)&lt;&gt;1,"×",
IF(AND(COUNTA(N122)=1,N122&lt;=AZ122),"○",
IF(AND(COUNTA(N122)=1,N122&gt;AZ122),"○")))))</f>
        <v>×</v>
      </c>
      <c r="AE122" s="1117"/>
      <c r="AF122" s="1120" t="str">
        <f t="shared" ref="AF122" si="102" xml:space="preserve">
IF($AZ$77&lt;&gt;"○","【要修正】本シートの上段１から３までの項目を適切に入力してください。",
IF(COUNTA($B$109:$M$110)&lt;&gt;2,"【要修正】上段の平均訪室回数及び平均対応員数を入力してください。",
IF(COUNTA(N122)&lt;&gt;1,"【要修正】患者１人に対しスタッフ１人の訪室１回あたりの使用数を入力してください。(０の場合は０を入力)",
IF(AND(COUNTA(N122)=1,N122&lt;=AZ122),"適切に入力されました。",
IF(AND(COUNTA(N122)=1,N122&gt;AZ122),"患者１人への訪室１回あたりスタッフ１名が"&amp;AZ122&amp;"個を超える使用量が入力されているため、着脱を行う手順及び手順毎の数量を下段の欄に記入してください。")))))</f>
        <v>【要修正】本シートの上段１から３までの項目を適切に入力してください。</v>
      </c>
      <c r="AG122" s="1121"/>
      <c r="AH122" s="1121"/>
      <c r="AI122" s="1121"/>
      <c r="AJ122" s="1121"/>
      <c r="AK122" s="1121"/>
      <c r="AL122" s="1121"/>
      <c r="AM122" s="1121"/>
      <c r="AN122" s="1121"/>
      <c r="AO122" s="1121"/>
      <c r="AP122" s="1122"/>
      <c r="AQ122" s="1123"/>
      <c r="AR122" s="1123"/>
      <c r="AS122" s="1123"/>
      <c r="AT122" s="1123"/>
      <c r="AU122" s="1123"/>
      <c r="AV122" s="1123"/>
      <c r="AW122" s="1123"/>
      <c r="AX122" s="1124"/>
      <c r="AZ122" s="1430">
        <v>1</v>
      </c>
      <c r="BQ122" s="552"/>
      <c r="BR122" s="311"/>
      <c r="BS122" s="552"/>
      <c r="BT122" s="553"/>
      <c r="BZ122" s="237"/>
    </row>
    <row r="123" spans="2:80" ht="18" customHeight="1">
      <c r="B123" s="1131"/>
      <c r="C123" s="1132"/>
      <c r="D123" s="1132"/>
      <c r="E123" s="1133"/>
      <c r="F123" s="1131"/>
      <c r="G123" s="1132"/>
      <c r="H123" s="1132"/>
      <c r="I123" s="1132"/>
      <c r="J123" s="1132"/>
      <c r="K123" s="1132"/>
      <c r="L123" s="1132"/>
      <c r="M123" s="1133"/>
      <c r="N123" s="1175"/>
      <c r="O123" s="1176"/>
      <c r="P123" s="1176"/>
      <c r="Q123" s="1177"/>
      <c r="R123" s="1165"/>
      <c r="S123" s="1166"/>
      <c r="T123" s="1166"/>
      <c r="U123" s="1167"/>
      <c r="V123" s="1434"/>
      <c r="W123" s="1435"/>
      <c r="X123" s="1435"/>
      <c r="Y123" s="1435"/>
      <c r="Z123" s="1436"/>
      <c r="AA123" s="1437"/>
      <c r="AB123" s="1437"/>
      <c r="AC123" s="1438"/>
      <c r="AD123" s="1116"/>
      <c r="AE123" s="1117"/>
      <c r="AF123" s="1120"/>
      <c r="AG123" s="1121"/>
      <c r="AH123" s="1121"/>
      <c r="AI123" s="1121"/>
      <c r="AJ123" s="1121"/>
      <c r="AK123" s="1121"/>
      <c r="AL123" s="1121"/>
      <c r="AM123" s="1121"/>
      <c r="AN123" s="1121"/>
      <c r="AO123" s="1121"/>
      <c r="AP123" s="1122"/>
      <c r="AQ123" s="1123"/>
      <c r="AR123" s="1123"/>
      <c r="AS123" s="1123"/>
      <c r="AT123" s="1123"/>
      <c r="AU123" s="1123"/>
      <c r="AV123" s="1123"/>
      <c r="AW123" s="1123"/>
      <c r="AX123" s="1124"/>
      <c r="AZ123" s="1431"/>
      <c r="BQ123" s="552"/>
      <c r="BR123" s="311"/>
      <c r="BS123" s="552"/>
      <c r="BT123" s="553"/>
      <c r="BZ123" s="237"/>
    </row>
    <row r="124" spans="2:80" ht="18" customHeight="1">
      <c r="B124" s="1134"/>
      <c r="C124" s="1135"/>
      <c r="D124" s="1135"/>
      <c r="E124" s="1136"/>
      <c r="F124" s="1134"/>
      <c r="G124" s="1135"/>
      <c r="H124" s="1135"/>
      <c r="I124" s="1135"/>
      <c r="J124" s="1135"/>
      <c r="K124" s="1135"/>
      <c r="L124" s="1135"/>
      <c r="M124" s="1136"/>
      <c r="N124" s="1178"/>
      <c r="O124" s="1179"/>
      <c r="P124" s="1179"/>
      <c r="Q124" s="1180"/>
      <c r="R124" s="1168"/>
      <c r="S124" s="1169"/>
      <c r="T124" s="1169"/>
      <c r="U124" s="1170"/>
      <c r="V124" s="1435"/>
      <c r="W124" s="1435"/>
      <c r="X124" s="1435"/>
      <c r="Y124" s="1435"/>
      <c r="Z124" s="1437"/>
      <c r="AA124" s="1437"/>
      <c r="AB124" s="1437"/>
      <c r="AC124" s="1438"/>
      <c r="AD124" s="1151"/>
      <c r="AE124" s="1117"/>
      <c r="AF124" s="1121"/>
      <c r="AG124" s="1121"/>
      <c r="AH124" s="1121"/>
      <c r="AI124" s="1121"/>
      <c r="AJ124" s="1121"/>
      <c r="AK124" s="1121"/>
      <c r="AL124" s="1121"/>
      <c r="AM124" s="1121"/>
      <c r="AN124" s="1121"/>
      <c r="AO124" s="1121"/>
      <c r="AP124" s="1122"/>
      <c r="AQ124" s="1123"/>
      <c r="AR124" s="1123"/>
      <c r="AS124" s="1123"/>
      <c r="AT124" s="1123"/>
      <c r="AU124" s="1123"/>
      <c r="AV124" s="1123"/>
      <c r="AW124" s="1123"/>
      <c r="AX124" s="1124"/>
      <c r="AZ124" s="1431"/>
      <c r="BQ124" s="552"/>
      <c r="BR124" s="311"/>
      <c r="BS124" s="552"/>
      <c r="BT124" s="551"/>
      <c r="BZ124" s="237"/>
      <c r="CB124" s="222"/>
    </row>
    <row r="125" spans="2:80" ht="18" customHeight="1">
      <c r="B125" s="1128" t="s">
        <v>474</v>
      </c>
      <c r="C125" s="1129"/>
      <c r="D125" s="1129"/>
      <c r="E125" s="1129"/>
      <c r="F125" s="1129"/>
      <c r="G125" s="1129"/>
      <c r="H125" s="1129"/>
      <c r="I125" s="1129"/>
      <c r="J125" s="1129"/>
      <c r="K125" s="1129"/>
      <c r="L125" s="1129"/>
      <c r="M125" s="1129"/>
      <c r="N125" s="1153"/>
      <c r="O125" s="1154"/>
      <c r="P125" s="1154"/>
      <c r="Q125" s="1155"/>
      <c r="R125" s="1139">
        <f>IF($X$109="×",0,$X$109)</f>
        <v>0</v>
      </c>
      <c r="S125" s="1140"/>
      <c r="T125" s="1140"/>
      <c r="U125" s="1140"/>
      <c r="V125" s="1434">
        <f t="shared" ref="V125" si="103">$N$109*N125</f>
        <v>0</v>
      </c>
      <c r="W125" s="1435"/>
      <c r="X125" s="1435"/>
      <c r="Y125" s="1435"/>
      <c r="Z125" s="1436">
        <f>R125*V125</f>
        <v>0</v>
      </c>
      <c r="AA125" s="1437"/>
      <c r="AB125" s="1437"/>
      <c r="AC125" s="1438"/>
      <c r="AD125" s="1116" t="str">
        <f t="shared" ref="AD125" si="104" xml:space="preserve">
IF($AZ$77&lt;&gt;"○","×",
IF(COUNTA($B$109:$M$110)&lt;&gt;2,"×",
IF(COUNTA(N125)&lt;&gt;1,"×",
IF(AND(COUNTA(N125)=1,N125&lt;=AZ125),"○",
IF(AND(COUNTA(N125)=1,N125&gt;AZ125),"○")))))</f>
        <v>×</v>
      </c>
      <c r="AE125" s="1117"/>
      <c r="AF125" s="1120" t="str">
        <f t="shared" ref="AF125" si="105" xml:space="preserve">
IF($AZ$77&lt;&gt;"○","【要修正】本シートの上段１から３までの項目を適切に入力してください。",
IF(COUNTA($B$109:$M$110)&lt;&gt;2,"【要修正】上段の平均訪室回数及び平均対応員数を入力してください。",
IF(COUNTA(N125)&lt;&gt;1,"【要修正】患者１人に対しスタッフ１人の訪室１回あたりの使用数を入力してください。(０の場合は０を入力)",
IF(AND(COUNTA(N125)=1,N125&lt;=AZ125),"適切に入力されました。",
IF(AND(COUNTA(N125)=1,N125&gt;AZ125),"患者１人への訪室１回あたりスタッフ１名が"&amp;AZ125&amp;"個を超える使用量が入力されているため、着脱を行う手順及び手順毎の数量を下段の欄に記入してください。")))))</f>
        <v>【要修正】本シートの上段１から３までの項目を適切に入力してください。</v>
      </c>
      <c r="AG125" s="1121"/>
      <c r="AH125" s="1121"/>
      <c r="AI125" s="1121"/>
      <c r="AJ125" s="1121"/>
      <c r="AK125" s="1121"/>
      <c r="AL125" s="1121"/>
      <c r="AM125" s="1121"/>
      <c r="AN125" s="1121"/>
      <c r="AO125" s="1121"/>
      <c r="AP125" s="1122"/>
      <c r="AQ125" s="1123"/>
      <c r="AR125" s="1123"/>
      <c r="AS125" s="1123"/>
      <c r="AT125" s="1123"/>
      <c r="AU125" s="1123"/>
      <c r="AV125" s="1123"/>
      <c r="AW125" s="1123"/>
      <c r="AX125" s="1124"/>
      <c r="AZ125" s="1430">
        <v>1</v>
      </c>
      <c r="BQ125" s="552"/>
      <c r="BR125" s="311"/>
      <c r="BS125" s="552"/>
      <c r="BT125" s="553"/>
      <c r="BZ125" s="237"/>
    </row>
    <row r="126" spans="2:80" ht="18" customHeight="1">
      <c r="B126" s="1150"/>
      <c r="C126" s="1132"/>
      <c r="D126" s="1132"/>
      <c r="E126" s="1132"/>
      <c r="F126" s="1132"/>
      <c r="G126" s="1132"/>
      <c r="H126" s="1132"/>
      <c r="I126" s="1132"/>
      <c r="J126" s="1132"/>
      <c r="K126" s="1132"/>
      <c r="L126" s="1132"/>
      <c r="M126" s="1132"/>
      <c r="N126" s="1156"/>
      <c r="O126" s="1157"/>
      <c r="P126" s="1157"/>
      <c r="Q126" s="1158"/>
      <c r="R126" s="1165"/>
      <c r="S126" s="1166"/>
      <c r="T126" s="1166"/>
      <c r="U126" s="1167"/>
      <c r="V126" s="1434"/>
      <c r="W126" s="1435"/>
      <c r="X126" s="1435"/>
      <c r="Y126" s="1435"/>
      <c r="Z126" s="1436"/>
      <c r="AA126" s="1437"/>
      <c r="AB126" s="1437"/>
      <c r="AC126" s="1438"/>
      <c r="AD126" s="1116"/>
      <c r="AE126" s="1117"/>
      <c r="AF126" s="1120"/>
      <c r="AG126" s="1121"/>
      <c r="AH126" s="1121"/>
      <c r="AI126" s="1121"/>
      <c r="AJ126" s="1121"/>
      <c r="AK126" s="1121"/>
      <c r="AL126" s="1121"/>
      <c r="AM126" s="1121"/>
      <c r="AN126" s="1121"/>
      <c r="AO126" s="1121"/>
      <c r="AP126" s="1122"/>
      <c r="AQ126" s="1123"/>
      <c r="AR126" s="1123"/>
      <c r="AS126" s="1123"/>
      <c r="AT126" s="1123"/>
      <c r="AU126" s="1123"/>
      <c r="AV126" s="1123"/>
      <c r="AW126" s="1123"/>
      <c r="AX126" s="1124"/>
      <c r="AZ126" s="1431"/>
      <c r="BQ126" s="552"/>
      <c r="BR126" s="311"/>
      <c r="BS126" s="552"/>
      <c r="BT126" s="553"/>
      <c r="BZ126" s="237"/>
    </row>
    <row r="127" spans="2:80" ht="18" customHeight="1">
      <c r="B127" s="1134"/>
      <c r="C127" s="1135"/>
      <c r="D127" s="1135"/>
      <c r="E127" s="1135"/>
      <c r="F127" s="1135"/>
      <c r="G127" s="1135"/>
      <c r="H127" s="1135"/>
      <c r="I127" s="1135"/>
      <c r="J127" s="1135"/>
      <c r="K127" s="1135"/>
      <c r="L127" s="1135"/>
      <c r="M127" s="1135"/>
      <c r="N127" s="1159"/>
      <c r="O127" s="1160"/>
      <c r="P127" s="1160"/>
      <c r="Q127" s="1161"/>
      <c r="R127" s="1168"/>
      <c r="S127" s="1169"/>
      <c r="T127" s="1169"/>
      <c r="U127" s="1170"/>
      <c r="V127" s="1435"/>
      <c r="W127" s="1435"/>
      <c r="X127" s="1435"/>
      <c r="Y127" s="1435"/>
      <c r="Z127" s="1437"/>
      <c r="AA127" s="1437"/>
      <c r="AB127" s="1437"/>
      <c r="AC127" s="1438"/>
      <c r="AD127" s="1151"/>
      <c r="AE127" s="1117"/>
      <c r="AF127" s="1121"/>
      <c r="AG127" s="1121"/>
      <c r="AH127" s="1121"/>
      <c r="AI127" s="1121"/>
      <c r="AJ127" s="1121"/>
      <c r="AK127" s="1121"/>
      <c r="AL127" s="1121"/>
      <c r="AM127" s="1121"/>
      <c r="AN127" s="1121"/>
      <c r="AO127" s="1121"/>
      <c r="AP127" s="1122"/>
      <c r="AQ127" s="1123"/>
      <c r="AR127" s="1123"/>
      <c r="AS127" s="1123"/>
      <c r="AT127" s="1123"/>
      <c r="AU127" s="1123"/>
      <c r="AV127" s="1123"/>
      <c r="AW127" s="1123"/>
      <c r="AX127" s="1124"/>
      <c r="AZ127" s="1431"/>
      <c r="BQ127" s="552"/>
      <c r="BR127" s="311"/>
      <c r="BS127" s="552"/>
      <c r="BT127" s="553"/>
      <c r="BZ127" s="237"/>
    </row>
    <row r="128" spans="2:80" ht="18" customHeight="1">
      <c r="B128" s="1128" t="s">
        <v>475</v>
      </c>
      <c r="C128" s="1129"/>
      <c r="D128" s="1129"/>
      <c r="E128" s="1129"/>
      <c r="F128" s="1129"/>
      <c r="G128" s="1129"/>
      <c r="H128" s="1129"/>
      <c r="I128" s="1129"/>
      <c r="J128" s="1129"/>
      <c r="K128" s="1129"/>
      <c r="L128" s="1129"/>
      <c r="M128" s="1129"/>
      <c r="N128" s="1137"/>
      <c r="O128" s="1138"/>
      <c r="P128" s="1138"/>
      <c r="Q128" s="1138"/>
      <c r="R128" s="1139">
        <f>IF($X$109="×",0,$X$109)</f>
        <v>0</v>
      </c>
      <c r="S128" s="1140"/>
      <c r="T128" s="1140"/>
      <c r="U128" s="1140"/>
      <c r="V128" s="1434">
        <f t="shared" ref="V128" si="106">$N$109*N128</f>
        <v>0</v>
      </c>
      <c r="W128" s="1435"/>
      <c r="X128" s="1435"/>
      <c r="Y128" s="1435"/>
      <c r="Z128" s="1436">
        <f>R128*V128</f>
        <v>0</v>
      </c>
      <c r="AA128" s="1437"/>
      <c r="AB128" s="1437"/>
      <c r="AC128" s="1438"/>
      <c r="AD128" s="1116" t="str">
        <f t="shared" ref="AD128" si="107" xml:space="preserve">
IF($AZ$77&lt;&gt;"○","×",
IF(COUNTA($B$109:$M$110)&lt;&gt;2,"×",
IF(COUNTA(N128)&lt;&gt;1,"×",
IF(AND(COUNTA(N128)=1,N128&lt;=AZ128),"○",
IF(AND(COUNTA(N128)=1,N128&gt;AZ128),"○")))))</f>
        <v>×</v>
      </c>
      <c r="AE128" s="1117"/>
      <c r="AF128" s="1120" t="str">
        <f t="shared" ref="AF128" si="108" xml:space="preserve">
IF($AZ$77&lt;&gt;"○","【要修正】本シートの上段１から３までの項目を適切に入力してください。",
IF(COUNTA($B$109:$M$110)&lt;&gt;2,"【要修正】上段の平均訪室回数及び平均対応員数を入力してください。",
IF(COUNTA(N128)&lt;&gt;1,"【要修正】患者１人に対しスタッフ１人の訪室１回あたりの使用数を入力してください。(０の場合は０を入力)",
IF(AND(COUNTA(N128)=1,N128&lt;=AZ128),"適切に入力されました。",
IF(AND(COUNTA(N128)=1,N128&gt;AZ128),"患者１人への訪室１回あたりスタッフ１名が"&amp;AZ128&amp;"個を超える使用量が入力されているため、着脱を行う手順及び手順毎の数量を下段の欄に記入してください。")))))</f>
        <v>【要修正】本シートの上段１から３までの項目を適切に入力してください。</v>
      </c>
      <c r="AG128" s="1121"/>
      <c r="AH128" s="1121"/>
      <c r="AI128" s="1121"/>
      <c r="AJ128" s="1121"/>
      <c r="AK128" s="1121"/>
      <c r="AL128" s="1121"/>
      <c r="AM128" s="1121"/>
      <c r="AN128" s="1121"/>
      <c r="AO128" s="1121"/>
      <c r="AP128" s="1122"/>
      <c r="AQ128" s="1123"/>
      <c r="AR128" s="1123"/>
      <c r="AS128" s="1123"/>
      <c r="AT128" s="1123"/>
      <c r="AU128" s="1123"/>
      <c r="AV128" s="1123"/>
      <c r="AW128" s="1123"/>
      <c r="AX128" s="1124"/>
      <c r="AZ128" s="1430">
        <v>8</v>
      </c>
      <c r="BQ128" s="552"/>
      <c r="BR128" s="311"/>
      <c r="BS128" s="552"/>
      <c r="BT128" s="553"/>
      <c r="BZ128" s="237"/>
    </row>
    <row r="129" spans="2:78" ht="18" customHeight="1">
      <c r="B129" s="1150"/>
      <c r="C129" s="1132"/>
      <c r="D129" s="1132"/>
      <c r="E129" s="1132"/>
      <c r="F129" s="1132"/>
      <c r="G129" s="1132"/>
      <c r="H129" s="1132"/>
      <c r="I129" s="1132"/>
      <c r="J129" s="1132"/>
      <c r="K129" s="1132"/>
      <c r="L129" s="1132"/>
      <c r="M129" s="1132"/>
      <c r="N129" s="1137"/>
      <c r="O129" s="1138"/>
      <c r="P129" s="1138"/>
      <c r="Q129" s="1138"/>
      <c r="R129" s="1165"/>
      <c r="S129" s="1166"/>
      <c r="T129" s="1166"/>
      <c r="U129" s="1167"/>
      <c r="V129" s="1434"/>
      <c r="W129" s="1435"/>
      <c r="X129" s="1435"/>
      <c r="Y129" s="1435"/>
      <c r="Z129" s="1436"/>
      <c r="AA129" s="1437"/>
      <c r="AB129" s="1437"/>
      <c r="AC129" s="1438"/>
      <c r="AD129" s="1116"/>
      <c r="AE129" s="1117"/>
      <c r="AF129" s="1120"/>
      <c r="AG129" s="1121"/>
      <c r="AH129" s="1121"/>
      <c r="AI129" s="1121"/>
      <c r="AJ129" s="1121"/>
      <c r="AK129" s="1121"/>
      <c r="AL129" s="1121"/>
      <c r="AM129" s="1121"/>
      <c r="AN129" s="1121"/>
      <c r="AO129" s="1121"/>
      <c r="AP129" s="1122"/>
      <c r="AQ129" s="1123"/>
      <c r="AR129" s="1123"/>
      <c r="AS129" s="1123"/>
      <c r="AT129" s="1123"/>
      <c r="AU129" s="1123"/>
      <c r="AV129" s="1123"/>
      <c r="AW129" s="1123"/>
      <c r="AX129" s="1124"/>
      <c r="AZ129" s="1431"/>
      <c r="BQ129" s="552"/>
      <c r="BR129" s="311"/>
      <c r="BS129" s="552"/>
      <c r="BT129" s="553"/>
      <c r="BZ129" s="237"/>
    </row>
    <row r="130" spans="2:78" ht="18" customHeight="1">
      <c r="B130" s="1134"/>
      <c r="C130" s="1135"/>
      <c r="D130" s="1135"/>
      <c r="E130" s="1135"/>
      <c r="F130" s="1135"/>
      <c r="G130" s="1135"/>
      <c r="H130" s="1135"/>
      <c r="I130" s="1135"/>
      <c r="J130" s="1135"/>
      <c r="K130" s="1135"/>
      <c r="L130" s="1135"/>
      <c r="M130" s="1135"/>
      <c r="N130" s="1138"/>
      <c r="O130" s="1138"/>
      <c r="P130" s="1138"/>
      <c r="Q130" s="1138"/>
      <c r="R130" s="1168"/>
      <c r="S130" s="1169"/>
      <c r="T130" s="1169"/>
      <c r="U130" s="1170"/>
      <c r="V130" s="1435"/>
      <c r="W130" s="1435"/>
      <c r="X130" s="1435"/>
      <c r="Y130" s="1435"/>
      <c r="Z130" s="1437"/>
      <c r="AA130" s="1437"/>
      <c r="AB130" s="1437"/>
      <c r="AC130" s="1438"/>
      <c r="AD130" s="1151"/>
      <c r="AE130" s="1117"/>
      <c r="AF130" s="1121"/>
      <c r="AG130" s="1121"/>
      <c r="AH130" s="1121"/>
      <c r="AI130" s="1121"/>
      <c r="AJ130" s="1121"/>
      <c r="AK130" s="1121"/>
      <c r="AL130" s="1121"/>
      <c r="AM130" s="1121"/>
      <c r="AN130" s="1121"/>
      <c r="AO130" s="1121"/>
      <c r="AP130" s="1122"/>
      <c r="AQ130" s="1123"/>
      <c r="AR130" s="1123"/>
      <c r="AS130" s="1123"/>
      <c r="AT130" s="1123"/>
      <c r="AU130" s="1123"/>
      <c r="AV130" s="1123"/>
      <c r="AW130" s="1123"/>
      <c r="AX130" s="1124"/>
      <c r="AZ130" s="1431"/>
      <c r="BQ130" s="552"/>
      <c r="BR130" s="311"/>
      <c r="BS130" s="552"/>
      <c r="BT130" s="553"/>
      <c r="BZ130" s="237"/>
    </row>
    <row r="131" spans="2:78" ht="18" customHeight="1">
      <c r="B131" s="1152" t="s">
        <v>473</v>
      </c>
      <c r="C131" s="1129"/>
      <c r="D131" s="1129"/>
      <c r="E131" s="1130"/>
      <c r="F131" s="1146" t="s">
        <v>1064</v>
      </c>
      <c r="G131" s="1129"/>
      <c r="H131" s="1129"/>
      <c r="I131" s="1129"/>
      <c r="J131" s="1129"/>
      <c r="K131" s="1129"/>
      <c r="L131" s="1129"/>
      <c r="M131" s="1130"/>
      <c r="N131" s="1147"/>
      <c r="O131" s="1148"/>
      <c r="P131" s="1148"/>
      <c r="Q131" s="1148"/>
      <c r="R131" s="1139">
        <f>IF($X$109="×",0,$X$109)</f>
        <v>0</v>
      </c>
      <c r="S131" s="1140"/>
      <c r="T131" s="1140"/>
      <c r="U131" s="1140"/>
      <c r="V131" s="1434">
        <f t="shared" ref="V131" si="109">$N$109*N131</f>
        <v>0</v>
      </c>
      <c r="W131" s="1435"/>
      <c r="X131" s="1435"/>
      <c r="Y131" s="1435"/>
      <c r="Z131" s="1436">
        <f>R131*V131</f>
        <v>0</v>
      </c>
      <c r="AA131" s="1437"/>
      <c r="AB131" s="1437"/>
      <c r="AC131" s="1438"/>
      <c r="AD131" s="1116" t="str">
        <f t="shared" ref="AD131" si="110" xml:space="preserve">
IF($AZ$77&lt;&gt;"○","×",
IF(COUNTA($B$109:$M$110)&lt;&gt;2,"×",
IF(COUNTA(N131)&lt;&gt;1,"×",
IF(AND(COUNTA(N131)=1,N131&lt;=AZ131),"○",
IF(AND(COUNTA(N131)=1,N131&gt;AZ131),"○")))))</f>
        <v>×</v>
      </c>
      <c r="AE131" s="1117"/>
      <c r="AF131" s="1120" t="str">
        <f t="shared" ref="AF131" si="111" xml:space="preserve">
IF($AZ$77&lt;&gt;"○","【要修正】本シートの上段１から３までの項目を適切に入力してください。",
IF(COUNTA($B$109:$M$110)&lt;&gt;2,"【要修正】上段の平均訪室回数及び平均対応員数を入力してください。",
IF(COUNTA(N131)&lt;&gt;1,"【要修正】患者１人に対しスタッフ１人の訪室１回あたりの使用数を入力してください。(０の場合は０を入力)",
IF(AND(COUNTA(N131)=1,N131&lt;=AZ131),"適切に入力されました。",
IF(AND(COUNTA(N131)=1,N131&gt;AZ131),"患者１人への訪室１回あたりスタッフ１名が"&amp;AZ131&amp;"個を超える使用量が入力されているため、着脱を行う手順及び手順毎の数量を下段の欄に記入してください。")))))</f>
        <v>【要修正】本シートの上段１から３までの項目を適切に入力してください。</v>
      </c>
      <c r="AG131" s="1121"/>
      <c r="AH131" s="1121"/>
      <c r="AI131" s="1121"/>
      <c r="AJ131" s="1121"/>
      <c r="AK131" s="1121"/>
      <c r="AL131" s="1121"/>
      <c r="AM131" s="1121"/>
      <c r="AN131" s="1121"/>
      <c r="AO131" s="1121"/>
      <c r="AP131" s="1122"/>
      <c r="AQ131" s="1123"/>
      <c r="AR131" s="1123"/>
      <c r="AS131" s="1123"/>
      <c r="AT131" s="1123"/>
      <c r="AU131" s="1123"/>
      <c r="AV131" s="1123"/>
      <c r="AW131" s="1123"/>
      <c r="AX131" s="1124"/>
      <c r="AZ131" s="1430">
        <v>1</v>
      </c>
      <c r="BQ131" s="552"/>
      <c r="BR131" s="311"/>
      <c r="BS131" s="552"/>
      <c r="BT131" s="553"/>
      <c r="BZ131" s="237"/>
    </row>
    <row r="132" spans="2:78" ht="18" customHeight="1">
      <c r="B132" s="1131"/>
      <c r="C132" s="1132"/>
      <c r="D132" s="1132"/>
      <c r="E132" s="1133"/>
      <c r="F132" s="1131"/>
      <c r="G132" s="1132"/>
      <c r="H132" s="1132"/>
      <c r="I132" s="1132"/>
      <c r="J132" s="1132"/>
      <c r="K132" s="1132"/>
      <c r="L132" s="1132"/>
      <c r="M132" s="1133"/>
      <c r="N132" s="1147"/>
      <c r="O132" s="1148"/>
      <c r="P132" s="1148"/>
      <c r="Q132" s="1148"/>
      <c r="R132" s="1165"/>
      <c r="S132" s="1166"/>
      <c r="T132" s="1166"/>
      <c r="U132" s="1167"/>
      <c r="V132" s="1434"/>
      <c r="W132" s="1435"/>
      <c r="X132" s="1435"/>
      <c r="Y132" s="1435"/>
      <c r="Z132" s="1436"/>
      <c r="AA132" s="1437"/>
      <c r="AB132" s="1437"/>
      <c r="AC132" s="1438"/>
      <c r="AD132" s="1116"/>
      <c r="AE132" s="1117"/>
      <c r="AF132" s="1120"/>
      <c r="AG132" s="1121"/>
      <c r="AH132" s="1121"/>
      <c r="AI132" s="1121"/>
      <c r="AJ132" s="1121"/>
      <c r="AK132" s="1121"/>
      <c r="AL132" s="1121"/>
      <c r="AM132" s="1121"/>
      <c r="AN132" s="1121"/>
      <c r="AO132" s="1121"/>
      <c r="AP132" s="1122"/>
      <c r="AQ132" s="1123"/>
      <c r="AR132" s="1123"/>
      <c r="AS132" s="1123"/>
      <c r="AT132" s="1123"/>
      <c r="AU132" s="1123"/>
      <c r="AV132" s="1123"/>
      <c r="AW132" s="1123"/>
      <c r="AX132" s="1124"/>
      <c r="AZ132" s="1431"/>
      <c r="BQ132" s="552"/>
      <c r="BR132" s="311"/>
      <c r="BS132" s="552"/>
      <c r="BT132" s="553"/>
      <c r="BZ132" s="237"/>
    </row>
    <row r="133" spans="2:78" ht="18" customHeight="1">
      <c r="B133" s="1131"/>
      <c r="C133" s="1132"/>
      <c r="D133" s="1132"/>
      <c r="E133" s="1133"/>
      <c r="F133" s="1134"/>
      <c r="G133" s="1135"/>
      <c r="H133" s="1135"/>
      <c r="I133" s="1135"/>
      <c r="J133" s="1135"/>
      <c r="K133" s="1135"/>
      <c r="L133" s="1135"/>
      <c r="M133" s="1136"/>
      <c r="N133" s="1148"/>
      <c r="O133" s="1148"/>
      <c r="P133" s="1148"/>
      <c r="Q133" s="1148"/>
      <c r="R133" s="1168"/>
      <c r="S133" s="1169"/>
      <c r="T133" s="1169"/>
      <c r="U133" s="1170"/>
      <c r="V133" s="1435"/>
      <c r="W133" s="1435"/>
      <c r="X133" s="1435"/>
      <c r="Y133" s="1435"/>
      <c r="Z133" s="1437"/>
      <c r="AA133" s="1437"/>
      <c r="AB133" s="1437"/>
      <c r="AC133" s="1438"/>
      <c r="AD133" s="1151"/>
      <c r="AE133" s="1117"/>
      <c r="AF133" s="1121"/>
      <c r="AG133" s="1121"/>
      <c r="AH133" s="1121"/>
      <c r="AI133" s="1121"/>
      <c r="AJ133" s="1121"/>
      <c r="AK133" s="1121"/>
      <c r="AL133" s="1121"/>
      <c r="AM133" s="1121"/>
      <c r="AN133" s="1121"/>
      <c r="AO133" s="1121"/>
      <c r="AP133" s="1122"/>
      <c r="AQ133" s="1123"/>
      <c r="AR133" s="1123"/>
      <c r="AS133" s="1123"/>
      <c r="AT133" s="1123"/>
      <c r="AU133" s="1123"/>
      <c r="AV133" s="1123"/>
      <c r="AW133" s="1123"/>
      <c r="AX133" s="1124"/>
      <c r="AZ133" s="1431"/>
      <c r="BQ133" s="552"/>
      <c r="BR133" s="311"/>
      <c r="BS133" s="552"/>
      <c r="BT133" s="553"/>
      <c r="BZ133" s="237"/>
    </row>
    <row r="134" spans="2:78" ht="18" customHeight="1">
      <c r="B134" s="1131"/>
      <c r="C134" s="1132"/>
      <c r="D134" s="1132"/>
      <c r="E134" s="1133"/>
      <c r="F134" s="1146" t="s">
        <v>1065</v>
      </c>
      <c r="G134" s="1129"/>
      <c r="H134" s="1129"/>
      <c r="I134" s="1129"/>
      <c r="J134" s="1129"/>
      <c r="K134" s="1129"/>
      <c r="L134" s="1129"/>
      <c r="M134" s="1130"/>
      <c r="N134" s="1147"/>
      <c r="O134" s="1148"/>
      <c r="P134" s="1148"/>
      <c r="Q134" s="1148"/>
      <c r="R134" s="1139">
        <f>IF($X$109="×",0,$X$109)</f>
        <v>0</v>
      </c>
      <c r="S134" s="1140"/>
      <c r="T134" s="1140"/>
      <c r="U134" s="1140"/>
      <c r="V134" s="1434">
        <f t="shared" ref="V134" si="112">$N$109*N134</f>
        <v>0</v>
      </c>
      <c r="W134" s="1435"/>
      <c r="X134" s="1435"/>
      <c r="Y134" s="1435"/>
      <c r="Z134" s="1436">
        <f>R134*V134</f>
        <v>0</v>
      </c>
      <c r="AA134" s="1437"/>
      <c r="AB134" s="1437"/>
      <c r="AC134" s="1438"/>
      <c r="AD134" s="1116" t="str">
        <f t="shared" ref="AD134" si="113" xml:space="preserve">
IF($AZ$77&lt;&gt;"○","×",
IF(COUNTA($B$109:$M$110)&lt;&gt;2,"×",
IF(COUNTA(N134)&lt;&gt;1,"×",
IF(AND(COUNTA(N134)=1,N134&lt;=AZ134),"○",
IF(AND(COUNTA(N134)=1,N134&gt;AZ134),"○")))))</f>
        <v>×</v>
      </c>
      <c r="AE134" s="1117"/>
      <c r="AF134" s="1120" t="str">
        <f t="shared" ref="AF134" si="114" xml:space="preserve">
IF($AZ$77&lt;&gt;"○","【要修正】本シートの上段１から３までの項目を適切に入力してください。",
IF(COUNTA($B$109:$M$110)&lt;&gt;2,"【要修正】上段の平均訪室回数及び平均対応員数を入力してください。",
IF(COUNTA(N134)&lt;&gt;1,"【要修正】患者１人に対しスタッフ１人の訪室１回あたりの使用数を入力してください。(０の場合は０を入力)",
IF(AND(COUNTA(N134)=1,N134&lt;=AZ134),"適切に入力されました。",
IF(AND(COUNTA(N134)=1,N134&gt;AZ134),"患者１人への訪室１回あたりスタッフ１名が"&amp;AZ134&amp;"個を超える使用量が入力されているため、着脱を行う手順及び手順毎の数量を下段の欄に記入してください。")))))</f>
        <v>【要修正】本シートの上段１から３までの項目を適切に入力してください。</v>
      </c>
      <c r="AG134" s="1121"/>
      <c r="AH134" s="1121"/>
      <c r="AI134" s="1121"/>
      <c r="AJ134" s="1121"/>
      <c r="AK134" s="1121"/>
      <c r="AL134" s="1121"/>
      <c r="AM134" s="1121"/>
      <c r="AN134" s="1121"/>
      <c r="AO134" s="1121"/>
      <c r="AP134" s="1122"/>
      <c r="AQ134" s="1123"/>
      <c r="AR134" s="1123"/>
      <c r="AS134" s="1123"/>
      <c r="AT134" s="1123"/>
      <c r="AU134" s="1123"/>
      <c r="AV134" s="1123"/>
      <c r="AW134" s="1123"/>
      <c r="AX134" s="1124"/>
      <c r="AZ134" s="1430">
        <v>0.5</v>
      </c>
      <c r="BQ134" s="552"/>
      <c r="BR134" s="311"/>
      <c r="BS134" s="552"/>
      <c r="BT134" s="553"/>
      <c r="BZ134" s="237"/>
    </row>
    <row r="135" spans="2:78" ht="18" customHeight="1">
      <c r="B135" s="1131"/>
      <c r="C135" s="1132"/>
      <c r="D135" s="1132"/>
      <c r="E135" s="1133"/>
      <c r="F135" s="1131"/>
      <c r="G135" s="1132"/>
      <c r="H135" s="1132"/>
      <c r="I135" s="1132"/>
      <c r="J135" s="1132"/>
      <c r="K135" s="1132"/>
      <c r="L135" s="1132"/>
      <c r="M135" s="1133"/>
      <c r="N135" s="1147"/>
      <c r="O135" s="1148"/>
      <c r="P135" s="1148"/>
      <c r="Q135" s="1148"/>
      <c r="R135" s="1165"/>
      <c r="S135" s="1166"/>
      <c r="T135" s="1166"/>
      <c r="U135" s="1167"/>
      <c r="V135" s="1434"/>
      <c r="W135" s="1435"/>
      <c r="X135" s="1435"/>
      <c r="Y135" s="1435"/>
      <c r="Z135" s="1436"/>
      <c r="AA135" s="1437"/>
      <c r="AB135" s="1437"/>
      <c r="AC135" s="1438"/>
      <c r="AD135" s="1116"/>
      <c r="AE135" s="1117"/>
      <c r="AF135" s="1120"/>
      <c r="AG135" s="1121"/>
      <c r="AH135" s="1121"/>
      <c r="AI135" s="1121"/>
      <c r="AJ135" s="1121"/>
      <c r="AK135" s="1121"/>
      <c r="AL135" s="1121"/>
      <c r="AM135" s="1121"/>
      <c r="AN135" s="1121"/>
      <c r="AO135" s="1121"/>
      <c r="AP135" s="1122"/>
      <c r="AQ135" s="1123"/>
      <c r="AR135" s="1123"/>
      <c r="AS135" s="1123"/>
      <c r="AT135" s="1123"/>
      <c r="AU135" s="1123"/>
      <c r="AV135" s="1123"/>
      <c r="AW135" s="1123"/>
      <c r="AX135" s="1124"/>
      <c r="AZ135" s="1431"/>
      <c r="BQ135" s="552"/>
      <c r="BR135" s="311"/>
      <c r="BS135" s="552"/>
      <c r="BT135" s="553"/>
      <c r="BZ135" s="237"/>
    </row>
    <row r="136" spans="2:78" ht="18" customHeight="1">
      <c r="B136" s="1131"/>
      <c r="C136" s="1132"/>
      <c r="D136" s="1132"/>
      <c r="E136" s="1133"/>
      <c r="F136" s="1134"/>
      <c r="G136" s="1135"/>
      <c r="H136" s="1135"/>
      <c r="I136" s="1135"/>
      <c r="J136" s="1135"/>
      <c r="K136" s="1135"/>
      <c r="L136" s="1135"/>
      <c r="M136" s="1136"/>
      <c r="N136" s="1148"/>
      <c r="O136" s="1148"/>
      <c r="P136" s="1148"/>
      <c r="Q136" s="1148"/>
      <c r="R136" s="1168"/>
      <c r="S136" s="1169"/>
      <c r="T136" s="1169"/>
      <c r="U136" s="1170"/>
      <c r="V136" s="1435"/>
      <c r="W136" s="1435"/>
      <c r="X136" s="1435"/>
      <c r="Y136" s="1435"/>
      <c r="Z136" s="1437"/>
      <c r="AA136" s="1437"/>
      <c r="AB136" s="1437"/>
      <c r="AC136" s="1438"/>
      <c r="AD136" s="1151"/>
      <c r="AE136" s="1117"/>
      <c r="AF136" s="1121"/>
      <c r="AG136" s="1121"/>
      <c r="AH136" s="1121"/>
      <c r="AI136" s="1121"/>
      <c r="AJ136" s="1121"/>
      <c r="AK136" s="1121"/>
      <c r="AL136" s="1121"/>
      <c r="AM136" s="1121"/>
      <c r="AN136" s="1121"/>
      <c r="AO136" s="1121"/>
      <c r="AP136" s="1122"/>
      <c r="AQ136" s="1123"/>
      <c r="AR136" s="1123"/>
      <c r="AS136" s="1123"/>
      <c r="AT136" s="1123"/>
      <c r="AU136" s="1123"/>
      <c r="AV136" s="1123"/>
      <c r="AW136" s="1123"/>
      <c r="AX136" s="1124"/>
      <c r="AZ136" s="1431"/>
      <c r="BQ136" s="552"/>
      <c r="BR136" s="311"/>
      <c r="BS136" s="552"/>
      <c r="BT136" s="553"/>
      <c r="BZ136" s="237"/>
    </row>
    <row r="137" spans="2:78" ht="18" customHeight="1">
      <c r="B137" s="1131"/>
      <c r="C137" s="1132"/>
      <c r="D137" s="1132"/>
      <c r="E137" s="1133"/>
      <c r="F137" s="1112" t="s">
        <v>1066</v>
      </c>
      <c r="G137" s="1129"/>
      <c r="H137" s="1129"/>
      <c r="I137" s="1129"/>
      <c r="J137" s="1129"/>
      <c r="K137" s="1129"/>
      <c r="L137" s="1129"/>
      <c r="M137" s="1130"/>
      <c r="N137" s="1147"/>
      <c r="O137" s="1148"/>
      <c r="P137" s="1148"/>
      <c r="Q137" s="1148"/>
      <c r="R137" s="1139">
        <f>IF($X$109="×",0,$X$109)</f>
        <v>0</v>
      </c>
      <c r="S137" s="1140"/>
      <c r="T137" s="1140"/>
      <c r="U137" s="1140"/>
      <c r="V137" s="1434">
        <f t="shared" ref="V137" si="115">$N$109*N137</f>
        <v>0</v>
      </c>
      <c r="W137" s="1435"/>
      <c r="X137" s="1435"/>
      <c r="Y137" s="1435"/>
      <c r="Z137" s="1436">
        <f>R137*V137</f>
        <v>0</v>
      </c>
      <c r="AA137" s="1437"/>
      <c r="AB137" s="1437"/>
      <c r="AC137" s="1438"/>
      <c r="AD137" s="1116" t="str">
        <f t="shared" ref="AD137" si="116" xml:space="preserve">
IF($AZ$77&lt;&gt;"○","×",
IF(COUNTA($B$109:$M$110)&lt;&gt;2,"×",
IF(COUNTA(N137)&lt;&gt;1,"×",
IF(AND(COUNTA(N137)=1,N137&lt;=AZ137),"○",
IF(AND(COUNTA(N137)=1,N137&gt;AZ137),"○")))))</f>
        <v>×</v>
      </c>
      <c r="AE137" s="1117"/>
      <c r="AF137" s="1120" t="str">
        <f t="shared" ref="AF137" si="117" xml:space="preserve">
IF($AZ$77&lt;&gt;"○","【要修正】本シートの上段１から３までの項目を適切に入力してください。",
IF(COUNTA($B$109:$M$110)&lt;&gt;2,"【要修正】上段の平均訪室回数及び平均対応員数を入力してください。",
IF(COUNTA(N137)&lt;&gt;1,"【要修正】患者１人に対しスタッフ１人の訪室１回あたりの使用数を入力してください。(０の場合は０を入力)",
IF(AND(COUNTA(N137)=1,N137&lt;=AZ137),"適切に入力されました。",
IF(AND(COUNTA(N137)=1,N137&gt;AZ137),"患者１人への訪室１回あたりスタッフ１名が"&amp;AZ137&amp;"個を超える使用量が入力されているため、着脱を行う手順及び手順毎の数量を下段の欄に記入してください。")))))</f>
        <v>【要修正】本シートの上段１から３までの項目を適切に入力してください。</v>
      </c>
      <c r="AG137" s="1121"/>
      <c r="AH137" s="1121"/>
      <c r="AI137" s="1121"/>
      <c r="AJ137" s="1121"/>
      <c r="AK137" s="1121"/>
      <c r="AL137" s="1121"/>
      <c r="AM137" s="1121"/>
      <c r="AN137" s="1121"/>
      <c r="AO137" s="1121"/>
      <c r="AP137" s="1122"/>
      <c r="AQ137" s="1123"/>
      <c r="AR137" s="1123"/>
      <c r="AS137" s="1123"/>
      <c r="AT137" s="1123"/>
      <c r="AU137" s="1123"/>
      <c r="AV137" s="1123"/>
      <c r="AW137" s="1123"/>
      <c r="AX137" s="1124"/>
      <c r="AZ137" s="1430">
        <v>1</v>
      </c>
      <c r="BQ137" s="552"/>
      <c r="BR137" s="311"/>
      <c r="BS137" s="552"/>
      <c r="BT137" s="553"/>
      <c r="BZ137" s="237"/>
    </row>
    <row r="138" spans="2:78" ht="18" customHeight="1">
      <c r="B138" s="1131"/>
      <c r="C138" s="1132"/>
      <c r="D138" s="1132"/>
      <c r="E138" s="1133"/>
      <c r="F138" s="1131"/>
      <c r="G138" s="1132"/>
      <c r="H138" s="1132"/>
      <c r="I138" s="1132"/>
      <c r="J138" s="1132"/>
      <c r="K138" s="1132"/>
      <c r="L138" s="1132"/>
      <c r="M138" s="1133"/>
      <c r="N138" s="1147"/>
      <c r="O138" s="1148"/>
      <c r="P138" s="1148"/>
      <c r="Q138" s="1148"/>
      <c r="R138" s="1165"/>
      <c r="S138" s="1166"/>
      <c r="T138" s="1166"/>
      <c r="U138" s="1167"/>
      <c r="V138" s="1434"/>
      <c r="W138" s="1435"/>
      <c r="X138" s="1435"/>
      <c r="Y138" s="1435"/>
      <c r="Z138" s="1436"/>
      <c r="AA138" s="1437"/>
      <c r="AB138" s="1437"/>
      <c r="AC138" s="1438"/>
      <c r="AD138" s="1116"/>
      <c r="AE138" s="1117"/>
      <c r="AF138" s="1120"/>
      <c r="AG138" s="1121"/>
      <c r="AH138" s="1121"/>
      <c r="AI138" s="1121"/>
      <c r="AJ138" s="1121"/>
      <c r="AK138" s="1121"/>
      <c r="AL138" s="1121"/>
      <c r="AM138" s="1121"/>
      <c r="AN138" s="1121"/>
      <c r="AO138" s="1121"/>
      <c r="AP138" s="1122"/>
      <c r="AQ138" s="1123"/>
      <c r="AR138" s="1123"/>
      <c r="AS138" s="1123"/>
      <c r="AT138" s="1123"/>
      <c r="AU138" s="1123"/>
      <c r="AV138" s="1123"/>
      <c r="AW138" s="1123"/>
      <c r="AX138" s="1124"/>
      <c r="AZ138" s="1431"/>
      <c r="BQ138" s="552"/>
      <c r="BR138" s="311"/>
      <c r="BS138" s="552"/>
      <c r="BT138" s="553"/>
      <c r="BZ138" s="237"/>
    </row>
    <row r="139" spans="2:78" ht="18" customHeight="1">
      <c r="B139" s="1134"/>
      <c r="C139" s="1135"/>
      <c r="D139" s="1135"/>
      <c r="E139" s="1136"/>
      <c r="F139" s="1134"/>
      <c r="G139" s="1135"/>
      <c r="H139" s="1135"/>
      <c r="I139" s="1135"/>
      <c r="J139" s="1135"/>
      <c r="K139" s="1135"/>
      <c r="L139" s="1135"/>
      <c r="M139" s="1136"/>
      <c r="N139" s="1148"/>
      <c r="O139" s="1148"/>
      <c r="P139" s="1148"/>
      <c r="Q139" s="1148"/>
      <c r="R139" s="1168"/>
      <c r="S139" s="1169"/>
      <c r="T139" s="1169"/>
      <c r="U139" s="1170"/>
      <c r="V139" s="1435"/>
      <c r="W139" s="1435"/>
      <c r="X139" s="1435"/>
      <c r="Y139" s="1435"/>
      <c r="Z139" s="1437"/>
      <c r="AA139" s="1437"/>
      <c r="AB139" s="1437"/>
      <c r="AC139" s="1438"/>
      <c r="AD139" s="1151"/>
      <c r="AE139" s="1117"/>
      <c r="AF139" s="1121"/>
      <c r="AG139" s="1121"/>
      <c r="AH139" s="1121"/>
      <c r="AI139" s="1121"/>
      <c r="AJ139" s="1121"/>
      <c r="AK139" s="1121"/>
      <c r="AL139" s="1121"/>
      <c r="AM139" s="1121"/>
      <c r="AN139" s="1121"/>
      <c r="AO139" s="1121"/>
      <c r="AP139" s="1122"/>
      <c r="AQ139" s="1123"/>
      <c r="AR139" s="1123"/>
      <c r="AS139" s="1123"/>
      <c r="AT139" s="1123"/>
      <c r="AU139" s="1123"/>
      <c r="AV139" s="1123"/>
      <c r="AW139" s="1123"/>
      <c r="AX139" s="1124"/>
      <c r="AZ139" s="1431"/>
      <c r="BQ139" s="552"/>
      <c r="BR139" s="311"/>
      <c r="BS139" s="552"/>
      <c r="BT139" s="553"/>
      <c r="BZ139" s="237"/>
    </row>
    <row r="140" spans="2:78" ht="18" customHeight="1">
      <c r="B140" s="1128" t="s">
        <v>476</v>
      </c>
      <c r="C140" s="1129"/>
      <c r="D140" s="1129"/>
      <c r="E140" s="1129"/>
      <c r="F140" s="1129"/>
      <c r="G140" s="1129"/>
      <c r="H140" s="1129"/>
      <c r="I140" s="1129"/>
      <c r="J140" s="1129"/>
      <c r="K140" s="1129"/>
      <c r="L140" s="1129"/>
      <c r="M140" s="1129"/>
      <c r="N140" s="1137"/>
      <c r="O140" s="1138"/>
      <c r="P140" s="1138"/>
      <c r="Q140" s="1138"/>
      <c r="R140" s="1139">
        <f>IF($X$109="×",0,$X$109)</f>
        <v>0</v>
      </c>
      <c r="S140" s="1140"/>
      <c r="T140" s="1140"/>
      <c r="U140" s="1140"/>
      <c r="V140" s="1434">
        <f t="shared" ref="V140" si="118">$N$109*N140</f>
        <v>0</v>
      </c>
      <c r="W140" s="1435"/>
      <c r="X140" s="1435"/>
      <c r="Y140" s="1435"/>
      <c r="Z140" s="1436">
        <f>R140*V140</f>
        <v>0</v>
      </c>
      <c r="AA140" s="1437"/>
      <c r="AB140" s="1437"/>
      <c r="AC140" s="1438"/>
      <c r="AD140" s="1116" t="str">
        <f t="shared" ref="AD140" si="119" xml:space="preserve">
IF($AZ$77&lt;&gt;"○","×",
IF(COUNTA($B$109:$M$110)&lt;&gt;2,"×",
IF(COUNTA(N140)&lt;&gt;1,"×",
IF(AND(COUNTA(N140)=1,N140&lt;=AZ140),"○",
IF(AND(COUNTA(N140)=1,N140&gt;AZ140),"○")))))</f>
        <v>×</v>
      </c>
      <c r="AE140" s="1117"/>
      <c r="AF140" s="1120" t="str">
        <f t="shared" ref="AF140" si="120" xml:space="preserve">
IF($AZ$77&lt;&gt;"○","【要修正】本シートの上段１から３までの項目を適切に入力してください。",
IF(COUNTA($B$109:$M$110)&lt;&gt;2,"【要修正】上段の平均訪室回数及び平均対応員数を入力してください。",
IF(COUNTA(N140)&lt;&gt;1,"【要修正】患者１人に対しスタッフ１人の訪室１回あたりの使用数を入力してください。(０の場合は０を入力)",
IF(AND(COUNTA(N140)=1,N140&lt;=AZ140),"適切に入力されました。",
IF(AND(COUNTA(N140)=1,N140&gt;AZ140),"患者１人への訪室１回あたりスタッフ１名が"&amp;AZ140&amp;"個を超える使用量が入力されているため、着脱を行う手順及び手順毎の数量を下段の欄に記入してください。")))))</f>
        <v>【要修正】本シートの上段１から３までの項目を適切に入力してください。</v>
      </c>
      <c r="AG140" s="1121"/>
      <c r="AH140" s="1121"/>
      <c r="AI140" s="1121"/>
      <c r="AJ140" s="1121"/>
      <c r="AK140" s="1121"/>
      <c r="AL140" s="1121"/>
      <c r="AM140" s="1121"/>
      <c r="AN140" s="1121"/>
      <c r="AO140" s="1121"/>
      <c r="AP140" s="1122"/>
      <c r="AQ140" s="1123"/>
      <c r="AR140" s="1123"/>
      <c r="AS140" s="1123"/>
      <c r="AT140" s="1123"/>
      <c r="AU140" s="1123"/>
      <c r="AV140" s="1123"/>
      <c r="AW140" s="1123"/>
      <c r="AX140" s="1124"/>
      <c r="AZ140" s="1430">
        <v>1</v>
      </c>
      <c r="BQ140" s="552"/>
      <c r="BR140" s="311"/>
      <c r="BS140" s="552"/>
      <c r="BT140" s="553"/>
      <c r="BZ140" s="237"/>
    </row>
    <row r="141" spans="2:78" ht="18" customHeight="1">
      <c r="B141" s="1150"/>
      <c r="C141" s="1132"/>
      <c r="D141" s="1132"/>
      <c r="E141" s="1132"/>
      <c r="F141" s="1132"/>
      <c r="G141" s="1132"/>
      <c r="H141" s="1132"/>
      <c r="I141" s="1132"/>
      <c r="J141" s="1132"/>
      <c r="K141" s="1132"/>
      <c r="L141" s="1132"/>
      <c r="M141" s="1132"/>
      <c r="N141" s="1137"/>
      <c r="O141" s="1138"/>
      <c r="P141" s="1138"/>
      <c r="Q141" s="1138"/>
      <c r="R141" s="1165"/>
      <c r="S141" s="1166"/>
      <c r="T141" s="1166"/>
      <c r="U141" s="1167"/>
      <c r="V141" s="1434"/>
      <c r="W141" s="1435"/>
      <c r="X141" s="1435"/>
      <c r="Y141" s="1435"/>
      <c r="Z141" s="1436"/>
      <c r="AA141" s="1437"/>
      <c r="AB141" s="1437"/>
      <c r="AC141" s="1438"/>
      <c r="AD141" s="1116"/>
      <c r="AE141" s="1117"/>
      <c r="AF141" s="1120"/>
      <c r="AG141" s="1121"/>
      <c r="AH141" s="1121"/>
      <c r="AI141" s="1121"/>
      <c r="AJ141" s="1121"/>
      <c r="AK141" s="1121"/>
      <c r="AL141" s="1121"/>
      <c r="AM141" s="1121"/>
      <c r="AN141" s="1121"/>
      <c r="AO141" s="1121"/>
      <c r="AP141" s="1122"/>
      <c r="AQ141" s="1123"/>
      <c r="AR141" s="1123"/>
      <c r="AS141" s="1123"/>
      <c r="AT141" s="1123"/>
      <c r="AU141" s="1123"/>
      <c r="AV141" s="1123"/>
      <c r="AW141" s="1123"/>
      <c r="AX141" s="1124"/>
      <c r="AZ141" s="1431"/>
      <c r="BQ141" s="552"/>
      <c r="BR141" s="311"/>
      <c r="BS141" s="552"/>
      <c r="BT141" s="553"/>
      <c r="BZ141" s="237"/>
    </row>
    <row r="142" spans="2:78" ht="18" customHeight="1">
      <c r="B142" s="1134"/>
      <c r="C142" s="1135"/>
      <c r="D142" s="1135"/>
      <c r="E142" s="1135"/>
      <c r="F142" s="1135"/>
      <c r="G142" s="1135"/>
      <c r="H142" s="1135"/>
      <c r="I142" s="1135"/>
      <c r="J142" s="1135"/>
      <c r="K142" s="1135"/>
      <c r="L142" s="1135"/>
      <c r="M142" s="1135"/>
      <c r="N142" s="1138"/>
      <c r="O142" s="1138"/>
      <c r="P142" s="1138"/>
      <c r="Q142" s="1138"/>
      <c r="R142" s="1168"/>
      <c r="S142" s="1169"/>
      <c r="T142" s="1169"/>
      <c r="U142" s="1170"/>
      <c r="V142" s="1435"/>
      <c r="W142" s="1435"/>
      <c r="X142" s="1435"/>
      <c r="Y142" s="1435"/>
      <c r="Z142" s="1437"/>
      <c r="AA142" s="1437"/>
      <c r="AB142" s="1437"/>
      <c r="AC142" s="1438"/>
      <c r="AD142" s="1151"/>
      <c r="AE142" s="1117"/>
      <c r="AF142" s="1121"/>
      <c r="AG142" s="1121"/>
      <c r="AH142" s="1121"/>
      <c r="AI142" s="1121"/>
      <c r="AJ142" s="1121"/>
      <c r="AK142" s="1121"/>
      <c r="AL142" s="1121"/>
      <c r="AM142" s="1121"/>
      <c r="AN142" s="1121"/>
      <c r="AO142" s="1121"/>
      <c r="AP142" s="1122"/>
      <c r="AQ142" s="1123"/>
      <c r="AR142" s="1123"/>
      <c r="AS142" s="1123"/>
      <c r="AT142" s="1123"/>
      <c r="AU142" s="1123"/>
      <c r="AV142" s="1123"/>
      <c r="AW142" s="1123"/>
      <c r="AX142" s="1124"/>
      <c r="AZ142" s="1431"/>
      <c r="BQ142" s="552"/>
      <c r="BR142" s="311"/>
      <c r="BS142" s="552"/>
      <c r="BT142" s="553"/>
      <c r="BZ142" s="237"/>
    </row>
    <row r="143" spans="2:78" ht="18" customHeight="1">
      <c r="B143" s="1128" t="s">
        <v>1067</v>
      </c>
      <c r="C143" s="1129"/>
      <c r="D143" s="1129"/>
      <c r="E143" s="1130"/>
      <c r="F143" s="1112" t="s">
        <v>1068</v>
      </c>
      <c r="G143" s="1129"/>
      <c r="H143" s="1129"/>
      <c r="I143" s="1129"/>
      <c r="J143" s="1129"/>
      <c r="K143" s="1129"/>
      <c r="L143" s="1129"/>
      <c r="M143" s="1130"/>
      <c r="N143" s="1137"/>
      <c r="O143" s="1138"/>
      <c r="P143" s="1138"/>
      <c r="Q143" s="1138"/>
      <c r="R143" s="1139">
        <f>IF($X$109="×",0,$X$109)</f>
        <v>0</v>
      </c>
      <c r="S143" s="1140"/>
      <c r="T143" s="1140"/>
      <c r="U143" s="1140"/>
      <c r="V143" s="1434">
        <f t="shared" ref="V143" si="121">$N$109*N143</f>
        <v>0</v>
      </c>
      <c r="W143" s="1435"/>
      <c r="X143" s="1435"/>
      <c r="Y143" s="1435"/>
      <c r="Z143" s="1436">
        <f>R143*V143</f>
        <v>0</v>
      </c>
      <c r="AA143" s="1437"/>
      <c r="AB143" s="1437"/>
      <c r="AC143" s="1438"/>
      <c r="AD143" s="1116" t="str">
        <f t="shared" ref="AD143" si="122" xml:space="preserve">
IF($AZ$77&lt;&gt;"○","×",
IF(COUNTA($B$109:$M$110)&lt;&gt;2,"×",
IF(COUNTA(N143)&lt;&gt;1,"×",
IF(AND(COUNTA(N143)=1,N143&lt;=AZ143),"○",
IF(AND(COUNTA(N143)=1,N143&gt;AZ143),"○")))))</f>
        <v>×</v>
      </c>
      <c r="AE143" s="1117"/>
      <c r="AF143" s="1120" t="str">
        <f t="shared" ref="AF143" si="123" xml:space="preserve">
IF($AZ$77&lt;&gt;"○","【要修正】本シートの上段１から３までの項目を適切に入力してください。",
IF(COUNTA($B$109:$M$110)&lt;&gt;2,"【要修正】上段の平均訪室回数及び平均対応員数を入力してください。",
IF(COUNTA(N143)&lt;&gt;1,"【要修正】患者１人に対しスタッフ１人の訪室１回あたりの使用数を入力してください。(０の場合は０を入力)",
IF(AND(COUNTA(N143)=1,N143&lt;=AZ143),"適切に入力されました。",
IF(AND(COUNTA(N143)=1,N143&gt;AZ143),"患者１人への訪室１回あたりスタッフ１名が"&amp;AZ143&amp;"個を超える使用量が入力されているため、着脱を行う手順及び手順毎の数量を下段の欄に記入してください。")))))</f>
        <v>【要修正】本シートの上段１から３までの項目を適切に入力してください。</v>
      </c>
      <c r="AG143" s="1121"/>
      <c r="AH143" s="1121"/>
      <c r="AI143" s="1121"/>
      <c r="AJ143" s="1121"/>
      <c r="AK143" s="1121"/>
      <c r="AL143" s="1121"/>
      <c r="AM143" s="1121"/>
      <c r="AN143" s="1121"/>
      <c r="AO143" s="1121"/>
      <c r="AP143" s="1122"/>
      <c r="AQ143" s="1123"/>
      <c r="AR143" s="1123"/>
      <c r="AS143" s="1123"/>
      <c r="AT143" s="1123"/>
      <c r="AU143" s="1123"/>
      <c r="AV143" s="1123"/>
      <c r="AW143" s="1123"/>
      <c r="AX143" s="1124"/>
      <c r="AZ143" s="1430">
        <v>1</v>
      </c>
      <c r="BQ143" s="552"/>
      <c r="BR143" s="311"/>
      <c r="BS143" s="552"/>
      <c r="BT143" s="553"/>
      <c r="BZ143" s="237"/>
    </row>
    <row r="144" spans="2:78" ht="18" customHeight="1">
      <c r="B144" s="1131"/>
      <c r="C144" s="1132"/>
      <c r="D144" s="1132"/>
      <c r="E144" s="1133"/>
      <c r="F144" s="1131"/>
      <c r="G144" s="1132"/>
      <c r="H144" s="1132"/>
      <c r="I144" s="1132"/>
      <c r="J144" s="1132"/>
      <c r="K144" s="1132"/>
      <c r="L144" s="1132"/>
      <c r="M144" s="1133"/>
      <c r="N144" s="1137"/>
      <c r="O144" s="1138"/>
      <c r="P144" s="1138"/>
      <c r="Q144" s="1138"/>
      <c r="R144" s="1165"/>
      <c r="S144" s="1166"/>
      <c r="T144" s="1166"/>
      <c r="U144" s="1167"/>
      <c r="V144" s="1434"/>
      <c r="W144" s="1435"/>
      <c r="X144" s="1435"/>
      <c r="Y144" s="1435"/>
      <c r="Z144" s="1436"/>
      <c r="AA144" s="1437"/>
      <c r="AB144" s="1437"/>
      <c r="AC144" s="1438"/>
      <c r="AD144" s="1116"/>
      <c r="AE144" s="1117"/>
      <c r="AF144" s="1120"/>
      <c r="AG144" s="1121"/>
      <c r="AH144" s="1121"/>
      <c r="AI144" s="1121"/>
      <c r="AJ144" s="1121"/>
      <c r="AK144" s="1121"/>
      <c r="AL144" s="1121"/>
      <c r="AM144" s="1121"/>
      <c r="AN144" s="1121"/>
      <c r="AO144" s="1121"/>
      <c r="AP144" s="1122"/>
      <c r="AQ144" s="1123"/>
      <c r="AR144" s="1123"/>
      <c r="AS144" s="1123"/>
      <c r="AT144" s="1123"/>
      <c r="AU144" s="1123"/>
      <c r="AV144" s="1123"/>
      <c r="AW144" s="1123"/>
      <c r="AX144" s="1124"/>
      <c r="AZ144" s="1431"/>
      <c r="BQ144" s="552"/>
      <c r="BR144" s="311"/>
      <c r="BS144" s="552"/>
      <c r="BT144" s="553"/>
      <c r="BZ144" s="237"/>
    </row>
    <row r="145" spans="2:78" ht="18" customHeight="1">
      <c r="B145" s="1131"/>
      <c r="C145" s="1132"/>
      <c r="D145" s="1132"/>
      <c r="E145" s="1133"/>
      <c r="F145" s="1134"/>
      <c r="G145" s="1135"/>
      <c r="H145" s="1135"/>
      <c r="I145" s="1135"/>
      <c r="J145" s="1135"/>
      <c r="K145" s="1135"/>
      <c r="L145" s="1135"/>
      <c r="M145" s="1136"/>
      <c r="N145" s="1138"/>
      <c r="O145" s="1138"/>
      <c r="P145" s="1138"/>
      <c r="Q145" s="1138"/>
      <c r="R145" s="1168"/>
      <c r="S145" s="1169"/>
      <c r="T145" s="1169"/>
      <c r="U145" s="1170"/>
      <c r="V145" s="1435"/>
      <c r="W145" s="1435"/>
      <c r="X145" s="1435"/>
      <c r="Y145" s="1435"/>
      <c r="Z145" s="1437"/>
      <c r="AA145" s="1437"/>
      <c r="AB145" s="1437"/>
      <c r="AC145" s="1438"/>
      <c r="AD145" s="1151"/>
      <c r="AE145" s="1117"/>
      <c r="AF145" s="1121"/>
      <c r="AG145" s="1121"/>
      <c r="AH145" s="1121"/>
      <c r="AI145" s="1121"/>
      <c r="AJ145" s="1121"/>
      <c r="AK145" s="1121"/>
      <c r="AL145" s="1121"/>
      <c r="AM145" s="1121"/>
      <c r="AN145" s="1121"/>
      <c r="AO145" s="1121"/>
      <c r="AP145" s="1122"/>
      <c r="AQ145" s="1123"/>
      <c r="AR145" s="1123"/>
      <c r="AS145" s="1123"/>
      <c r="AT145" s="1123"/>
      <c r="AU145" s="1123"/>
      <c r="AV145" s="1123"/>
      <c r="AW145" s="1123"/>
      <c r="AX145" s="1124"/>
      <c r="AZ145" s="1431"/>
      <c r="BQ145" s="552"/>
      <c r="BR145" s="311"/>
      <c r="BS145" s="552"/>
      <c r="BT145" s="553"/>
      <c r="BZ145" s="237"/>
    </row>
    <row r="146" spans="2:78" ht="18" customHeight="1">
      <c r="B146" s="1131"/>
      <c r="C146" s="1132"/>
      <c r="D146" s="1132"/>
      <c r="E146" s="1133"/>
      <c r="F146" s="1146" t="s">
        <v>1069</v>
      </c>
      <c r="G146" s="1129"/>
      <c r="H146" s="1129"/>
      <c r="I146" s="1129"/>
      <c r="J146" s="1129"/>
      <c r="K146" s="1129"/>
      <c r="L146" s="1129"/>
      <c r="M146" s="1130"/>
      <c r="N146" s="1147"/>
      <c r="O146" s="1148"/>
      <c r="P146" s="1148"/>
      <c r="Q146" s="1148"/>
      <c r="R146" s="1139">
        <f>IF($X$109="×",0,$X$109)</f>
        <v>0</v>
      </c>
      <c r="S146" s="1140"/>
      <c r="T146" s="1140"/>
      <c r="U146" s="1140"/>
      <c r="V146" s="1434">
        <f t="shared" ref="V146" si="124">$N$109*N146</f>
        <v>0</v>
      </c>
      <c r="W146" s="1435"/>
      <c r="X146" s="1435"/>
      <c r="Y146" s="1435"/>
      <c r="Z146" s="1436">
        <f>R146*V146</f>
        <v>0</v>
      </c>
      <c r="AA146" s="1437"/>
      <c r="AB146" s="1437"/>
      <c r="AC146" s="1438"/>
      <c r="AD146" s="1116" t="str">
        <f t="shared" ref="AD146" si="125" xml:space="preserve">
IF($AZ$77&lt;&gt;"○","×",
IF(COUNTA($B$109:$M$110)&lt;&gt;2,"×",
IF(COUNTA(N146)&lt;&gt;1,"×",
IF(AND(COUNTA(N146)=1,N146&lt;=AZ146),"○",
IF(AND(COUNTA(N146)=1,N146&gt;AZ146),"○")))))</f>
        <v>×</v>
      </c>
      <c r="AE146" s="1117"/>
      <c r="AF146" s="1120" t="str">
        <f t="shared" ref="AF146" si="126" xml:space="preserve">
IF($AZ$77&lt;&gt;"○","【要修正】本シートの上段１から３までの項目を適切に入力してください。",
IF(COUNTA($B$109:$M$110)&lt;&gt;2,"【要修正】上段の平均訪室回数及び平均対応員数を入力してください。",
IF(COUNTA(N146)&lt;&gt;1,"【要修正】患者１人に対しスタッフ１人の訪室１回あたりの使用数を入力してください。(０の場合は０を入力)",
IF(AND(COUNTA(N146)=1,N146&lt;=AZ146),"適切に入力されました。",
IF(AND(COUNTA(N146)=1,N146&gt;AZ146),"患者１人への訪室１回あたりスタッフ１名が"&amp;AZ146&amp;"個を超える使用量が入力されているため、着脱を行う手順及び手順毎の数量を下段の欄に記入してください。")))))</f>
        <v>【要修正】本シートの上段１から３までの項目を適切に入力してください。</v>
      </c>
      <c r="AG146" s="1121"/>
      <c r="AH146" s="1121"/>
      <c r="AI146" s="1121"/>
      <c r="AJ146" s="1121"/>
      <c r="AK146" s="1121"/>
      <c r="AL146" s="1121"/>
      <c r="AM146" s="1121"/>
      <c r="AN146" s="1121"/>
      <c r="AO146" s="1121"/>
      <c r="AP146" s="1122"/>
      <c r="AQ146" s="1123"/>
      <c r="AR146" s="1123"/>
      <c r="AS146" s="1123"/>
      <c r="AT146" s="1123"/>
      <c r="AU146" s="1123"/>
      <c r="AV146" s="1123"/>
      <c r="AW146" s="1123"/>
      <c r="AX146" s="1124"/>
      <c r="AZ146" s="1430">
        <v>0.5</v>
      </c>
      <c r="BQ146" s="552"/>
      <c r="BR146" s="311"/>
      <c r="BS146" s="552"/>
      <c r="BT146" s="553"/>
      <c r="BZ146" s="237"/>
    </row>
    <row r="147" spans="2:78" ht="18" customHeight="1">
      <c r="B147" s="1131"/>
      <c r="C147" s="1132"/>
      <c r="D147" s="1132"/>
      <c r="E147" s="1133"/>
      <c r="F147" s="1131"/>
      <c r="G147" s="1132"/>
      <c r="H147" s="1132"/>
      <c r="I147" s="1132"/>
      <c r="J147" s="1132"/>
      <c r="K147" s="1132"/>
      <c r="L147" s="1132"/>
      <c r="M147" s="1133"/>
      <c r="N147" s="1147"/>
      <c r="O147" s="1148"/>
      <c r="P147" s="1148"/>
      <c r="Q147" s="1148"/>
      <c r="R147" s="1165"/>
      <c r="S147" s="1166"/>
      <c r="T147" s="1166"/>
      <c r="U147" s="1167"/>
      <c r="V147" s="1434"/>
      <c r="W147" s="1435"/>
      <c r="X147" s="1435"/>
      <c r="Y147" s="1435"/>
      <c r="Z147" s="1436"/>
      <c r="AA147" s="1437"/>
      <c r="AB147" s="1437"/>
      <c r="AC147" s="1438"/>
      <c r="AD147" s="1116"/>
      <c r="AE147" s="1117"/>
      <c r="AF147" s="1120"/>
      <c r="AG147" s="1121"/>
      <c r="AH147" s="1121"/>
      <c r="AI147" s="1121"/>
      <c r="AJ147" s="1121"/>
      <c r="AK147" s="1121"/>
      <c r="AL147" s="1121"/>
      <c r="AM147" s="1121"/>
      <c r="AN147" s="1121"/>
      <c r="AO147" s="1121"/>
      <c r="AP147" s="1122"/>
      <c r="AQ147" s="1123"/>
      <c r="AR147" s="1123"/>
      <c r="AS147" s="1123"/>
      <c r="AT147" s="1123"/>
      <c r="AU147" s="1123"/>
      <c r="AV147" s="1123"/>
      <c r="AW147" s="1123"/>
      <c r="AX147" s="1124"/>
      <c r="AZ147" s="1431"/>
      <c r="BQ147" s="552"/>
      <c r="BR147" s="311"/>
      <c r="BS147" s="552"/>
      <c r="BT147" s="553"/>
      <c r="BZ147" s="237"/>
    </row>
    <row r="148" spans="2:78" ht="18" customHeight="1">
      <c r="B148" s="1131"/>
      <c r="C148" s="1132"/>
      <c r="D148" s="1132"/>
      <c r="E148" s="1133"/>
      <c r="F148" s="1134"/>
      <c r="G148" s="1135"/>
      <c r="H148" s="1135"/>
      <c r="I148" s="1135"/>
      <c r="J148" s="1135"/>
      <c r="K148" s="1135"/>
      <c r="L148" s="1135"/>
      <c r="M148" s="1136"/>
      <c r="N148" s="1148"/>
      <c r="O148" s="1148"/>
      <c r="P148" s="1148"/>
      <c r="Q148" s="1148"/>
      <c r="R148" s="1168"/>
      <c r="S148" s="1169"/>
      <c r="T148" s="1169"/>
      <c r="U148" s="1170"/>
      <c r="V148" s="1435"/>
      <c r="W148" s="1435"/>
      <c r="X148" s="1435"/>
      <c r="Y148" s="1435"/>
      <c r="Z148" s="1437"/>
      <c r="AA148" s="1437"/>
      <c r="AB148" s="1437"/>
      <c r="AC148" s="1438"/>
      <c r="AD148" s="1151"/>
      <c r="AE148" s="1117"/>
      <c r="AF148" s="1121"/>
      <c r="AG148" s="1121"/>
      <c r="AH148" s="1121"/>
      <c r="AI148" s="1121"/>
      <c r="AJ148" s="1121"/>
      <c r="AK148" s="1121"/>
      <c r="AL148" s="1121"/>
      <c r="AM148" s="1121"/>
      <c r="AN148" s="1121"/>
      <c r="AO148" s="1121"/>
      <c r="AP148" s="1122"/>
      <c r="AQ148" s="1123"/>
      <c r="AR148" s="1123"/>
      <c r="AS148" s="1123"/>
      <c r="AT148" s="1123"/>
      <c r="AU148" s="1123"/>
      <c r="AV148" s="1123"/>
      <c r="AW148" s="1123"/>
      <c r="AX148" s="1124"/>
      <c r="AZ148" s="1431"/>
      <c r="BQ148" s="552"/>
      <c r="BR148" s="311"/>
      <c r="BS148" s="552"/>
      <c r="BT148" s="553"/>
      <c r="BZ148" s="237"/>
    </row>
    <row r="149" spans="2:78" ht="18" customHeight="1">
      <c r="B149" s="1131"/>
      <c r="C149" s="1132"/>
      <c r="D149" s="1132"/>
      <c r="E149" s="1133"/>
      <c r="F149" s="1112" t="s">
        <v>1070</v>
      </c>
      <c r="G149" s="1129"/>
      <c r="H149" s="1129"/>
      <c r="I149" s="1129"/>
      <c r="J149" s="1129"/>
      <c r="K149" s="1129"/>
      <c r="L149" s="1129"/>
      <c r="M149" s="1130"/>
      <c r="N149" s="1137"/>
      <c r="O149" s="1138"/>
      <c r="P149" s="1138"/>
      <c r="Q149" s="1138"/>
      <c r="R149" s="1139">
        <f>IF($X$109="×",0,$X$109)</f>
        <v>0</v>
      </c>
      <c r="S149" s="1140"/>
      <c r="T149" s="1140"/>
      <c r="U149" s="1140"/>
      <c r="V149" s="1434">
        <f t="shared" ref="V149" si="127">$N$109*N149</f>
        <v>0</v>
      </c>
      <c r="W149" s="1435"/>
      <c r="X149" s="1435"/>
      <c r="Y149" s="1435"/>
      <c r="Z149" s="1436">
        <f>R149*V149</f>
        <v>0</v>
      </c>
      <c r="AA149" s="1437"/>
      <c r="AB149" s="1437"/>
      <c r="AC149" s="1438"/>
      <c r="AD149" s="1116" t="str">
        <f t="shared" ref="AD149" si="128" xml:space="preserve">
IF($AZ$77&lt;&gt;"○","×",
IF(COUNTA($B$109:$M$110)&lt;&gt;2,"×",
IF(COUNTA(N149)&lt;&gt;1,"×",
IF(AND(COUNTA(N149)=1,N149&lt;=AZ149),"○",
IF(AND(COUNTA(N149)=1,N149&gt;AZ149),"○")))))</f>
        <v>×</v>
      </c>
      <c r="AE149" s="1117"/>
      <c r="AF149" s="1120" t="str">
        <f t="shared" ref="AF149" si="129" xml:space="preserve">
IF($AZ$77&lt;&gt;"○","【要修正】本シートの上段１から３までの項目を適切に入力してください。",
IF(COUNTA($B$109:$M$110)&lt;&gt;2,"【要修正】上段の平均訪室回数及び平均対応員数を入力してください。",
IF(COUNTA(N149)&lt;&gt;1,"【要修正】患者１人に対しスタッフ１人の訪室１回あたりの使用数を入力してください。(０の場合は０を入力)",
IF(AND(COUNTA(N149)=1,N149&lt;=AZ149),"適切に入力されました。",
IF(AND(COUNTA(N149)=1,N149&gt;AZ149),"患者１人への訪室１回あたりスタッフ１名が"&amp;AZ149&amp;"個を超える使用量が入力されているため、着脱を行う手順及び手順毎の数量を下段の欄に記入してください。")))))</f>
        <v>【要修正】本シートの上段１から３までの項目を適切に入力してください。</v>
      </c>
      <c r="AG149" s="1121"/>
      <c r="AH149" s="1121"/>
      <c r="AI149" s="1121"/>
      <c r="AJ149" s="1121"/>
      <c r="AK149" s="1121"/>
      <c r="AL149" s="1121"/>
      <c r="AM149" s="1121"/>
      <c r="AN149" s="1121"/>
      <c r="AO149" s="1121"/>
      <c r="AP149" s="1122"/>
      <c r="AQ149" s="1123"/>
      <c r="AR149" s="1123"/>
      <c r="AS149" s="1123"/>
      <c r="AT149" s="1123"/>
      <c r="AU149" s="1123"/>
      <c r="AV149" s="1123"/>
      <c r="AW149" s="1123"/>
      <c r="AX149" s="1124"/>
      <c r="AZ149" s="1430">
        <v>1</v>
      </c>
      <c r="BQ149" s="552"/>
      <c r="BR149" s="311"/>
      <c r="BS149" s="552"/>
      <c r="BT149" s="553"/>
      <c r="BZ149" s="237"/>
    </row>
    <row r="150" spans="2:78" ht="18" customHeight="1">
      <c r="B150" s="1131"/>
      <c r="C150" s="1132"/>
      <c r="D150" s="1132"/>
      <c r="E150" s="1133"/>
      <c r="F150" s="1131"/>
      <c r="G150" s="1132"/>
      <c r="H150" s="1132"/>
      <c r="I150" s="1132"/>
      <c r="J150" s="1132"/>
      <c r="K150" s="1132"/>
      <c r="L150" s="1132"/>
      <c r="M150" s="1133"/>
      <c r="N150" s="1137"/>
      <c r="O150" s="1138"/>
      <c r="P150" s="1138"/>
      <c r="Q150" s="1138"/>
      <c r="R150" s="1165"/>
      <c r="S150" s="1166"/>
      <c r="T150" s="1166"/>
      <c r="U150" s="1167"/>
      <c r="V150" s="1434"/>
      <c r="W150" s="1435"/>
      <c r="X150" s="1435"/>
      <c r="Y150" s="1435"/>
      <c r="Z150" s="1436"/>
      <c r="AA150" s="1437"/>
      <c r="AB150" s="1437"/>
      <c r="AC150" s="1438"/>
      <c r="AD150" s="1116"/>
      <c r="AE150" s="1117"/>
      <c r="AF150" s="1120"/>
      <c r="AG150" s="1121"/>
      <c r="AH150" s="1121"/>
      <c r="AI150" s="1121"/>
      <c r="AJ150" s="1121"/>
      <c r="AK150" s="1121"/>
      <c r="AL150" s="1121"/>
      <c r="AM150" s="1121"/>
      <c r="AN150" s="1121"/>
      <c r="AO150" s="1121"/>
      <c r="AP150" s="1122"/>
      <c r="AQ150" s="1123"/>
      <c r="AR150" s="1123"/>
      <c r="AS150" s="1123"/>
      <c r="AT150" s="1123"/>
      <c r="AU150" s="1123"/>
      <c r="AV150" s="1123"/>
      <c r="AW150" s="1123"/>
      <c r="AX150" s="1124"/>
      <c r="AZ150" s="1431"/>
      <c r="BQ150" s="552"/>
      <c r="BR150" s="311"/>
      <c r="BS150" s="552"/>
      <c r="BT150" s="553"/>
      <c r="BZ150" s="237"/>
    </row>
    <row r="151" spans="2:78" ht="18" customHeight="1">
      <c r="B151" s="1131"/>
      <c r="C151" s="1132"/>
      <c r="D151" s="1132"/>
      <c r="E151" s="1133"/>
      <c r="F151" s="1134"/>
      <c r="G151" s="1135"/>
      <c r="H151" s="1135"/>
      <c r="I151" s="1135"/>
      <c r="J151" s="1135"/>
      <c r="K151" s="1135"/>
      <c r="L151" s="1135"/>
      <c r="M151" s="1136"/>
      <c r="N151" s="1138"/>
      <c r="O151" s="1138"/>
      <c r="P151" s="1138"/>
      <c r="Q151" s="1138"/>
      <c r="R151" s="1168"/>
      <c r="S151" s="1169"/>
      <c r="T151" s="1169"/>
      <c r="U151" s="1170"/>
      <c r="V151" s="1435"/>
      <c r="W151" s="1435"/>
      <c r="X151" s="1435"/>
      <c r="Y151" s="1435"/>
      <c r="Z151" s="1437"/>
      <c r="AA151" s="1437"/>
      <c r="AB151" s="1437"/>
      <c r="AC151" s="1438"/>
      <c r="AD151" s="1151"/>
      <c r="AE151" s="1117"/>
      <c r="AF151" s="1121"/>
      <c r="AG151" s="1121"/>
      <c r="AH151" s="1121"/>
      <c r="AI151" s="1121"/>
      <c r="AJ151" s="1121"/>
      <c r="AK151" s="1121"/>
      <c r="AL151" s="1121"/>
      <c r="AM151" s="1121"/>
      <c r="AN151" s="1121"/>
      <c r="AO151" s="1121"/>
      <c r="AP151" s="1122"/>
      <c r="AQ151" s="1123"/>
      <c r="AR151" s="1123"/>
      <c r="AS151" s="1123"/>
      <c r="AT151" s="1123"/>
      <c r="AU151" s="1123"/>
      <c r="AV151" s="1123"/>
      <c r="AW151" s="1123"/>
      <c r="AX151" s="1124"/>
      <c r="AZ151" s="1431"/>
      <c r="BQ151" s="552"/>
      <c r="BR151" s="311"/>
      <c r="BS151" s="552"/>
      <c r="BT151" s="553"/>
      <c r="BZ151" s="237"/>
    </row>
    <row r="152" spans="2:78" ht="18" customHeight="1">
      <c r="B152" s="1131"/>
      <c r="C152" s="1132"/>
      <c r="D152" s="1132"/>
      <c r="E152" s="1133"/>
      <c r="F152" s="1146" t="s">
        <v>1071</v>
      </c>
      <c r="G152" s="1129"/>
      <c r="H152" s="1129"/>
      <c r="I152" s="1129"/>
      <c r="J152" s="1129"/>
      <c r="K152" s="1129"/>
      <c r="L152" s="1129"/>
      <c r="M152" s="1130"/>
      <c r="N152" s="1137"/>
      <c r="O152" s="1138"/>
      <c r="P152" s="1138"/>
      <c r="Q152" s="1138"/>
      <c r="R152" s="1139">
        <f>IF($X$109="×",0,$X$109)</f>
        <v>0</v>
      </c>
      <c r="S152" s="1140"/>
      <c r="T152" s="1140"/>
      <c r="U152" s="1140"/>
      <c r="V152" s="1434">
        <f t="shared" ref="V152" si="130">$N$109*N152</f>
        <v>0</v>
      </c>
      <c r="W152" s="1435"/>
      <c r="X152" s="1435"/>
      <c r="Y152" s="1435"/>
      <c r="Z152" s="1436">
        <f>R152*V152</f>
        <v>0</v>
      </c>
      <c r="AA152" s="1437"/>
      <c r="AB152" s="1437"/>
      <c r="AC152" s="1438"/>
      <c r="AD152" s="1116" t="str">
        <f t="shared" ref="AD152" si="131" xml:space="preserve">
IF($AZ$77&lt;&gt;"○","×",
IF(COUNTA($B$109:$M$110)&lt;&gt;2,"×",
IF(COUNTA(N152)&lt;&gt;1,"×",
IF(AND(COUNTA(N152)=1,N152&lt;=AZ152),"○",
IF(AND(COUNTA(N152)=1,N152&gt;AZ152),"○")))))</f>
        <v>×</v>
      </c>
      <c r="AE152" s="1117"/>
      <c r="AF152" s="1120" t="str">
        <f t="shared" ref="AF152" si="132" xml:space="preserve">
IF($AZ$77&lt;&gt;"○","【要修正】本シートの上段１から３までの項目を適切に入力してください。",
IF(COUNTA($B$109:$M$110)&lt;&gt;2,"【要修正】上段の平均訪室回数及び平均対応員数を入力してください。",
IF(COUNTA(N152)&lt;&gt;1,"【要修正】患者１人に対しスタッフ１人の訪室１回あたりの使用数を入力してください。(０の場合は０を入力)",
IF(AND(COUNTA(N152)=1,N152&lt;=AZ152),"適切に入力されました。",
IF(AND(COUNTA(N152)=1,N152&gt;AZ152),"患者１人への訪室１回あたりスタッフ１名が"&amp;AZ152&amp;"個を超える使用量が入力されているため、着脱を行う手順及び手順毎の数量を下段の欄に記入してください。")))))</f>
        <v>【要修正】本シートの上段１から３までの項目を適切に入力してください。</v>
      </c>
      <c r="AG152" s="1121"/>
      <c r="AH152" s="1121"/>
      <c r="AI152" s="1121"/>
      <c r="AJ152" s="1121"/>
      <c r="AK152" s="1121"/>
      <c r="AL152" s="1121"/>
      <c r="AM152" s="1121"/>
      <c r="AN152" s="1121"/>
      <c r="AO152" s="1121"/>
      <c r="AP152" s="1122"/>
      <c r="AQ152" s="1123"/>
      <c r="AR152" s="1123"/>
      <c r="AS152" s="1123"/>
      <c r="AT152" s="1123"/>
      <c r="AU152" s="1123"/>
      <c r="AV152" s="1123"/>
      <c r="AW152" s="1123"/>
      <c r="AX152" s="1124"/>
      <c r="AZ152" s="1430">
        <v>0.5</v>
      </c>
      <c r="BQ152" s="552"/>
      <c r="BR152" s="311"/>
      <c r="BS152" s="552"/>
      <c r="BT152" s="553"/>
      <c r="BZ152" s="237"/>
    </row>
    <row r="153" spans="2:78" ht="18" customHeight="1">
      <c r="B153" s="1131"/>
      <c r="C153" s="1132"/>
      <c r="D153" s="1132"/>
      <c r="E153" s="1133"/>
      <c r="F153" s="1131"/>
      <c r="G153" s="1132"/>
      <c r="H153" s="1132"/>
      <c r="I153" s="1132"/>
      <c r="J153" s="1132"/>
      <c r="K153" s="1132"/>
      <c r="L153" s="1132"/>
      <c r="M153" s="1133"/>
      <c r="N153" s="1137"/>
      <c r="O153" s="1138"/>
      <c r="P153" s="1138"/>
      <c r="Q153" s="1138"/>
      <c r="R153" s="1165"/>
      <c r="S153" s="1166"/>
      <c r="T153" s="1166"/>
      <c r="U153" s="1167"/>
      <c r="V153" s="1434"/>
      <c r="W153" s="1435"/>
      <c r="X153" s="1435"/>
      <c r="Y153" s="1435"/>
      <c r="Z153" s="1436"/>
      <c r="AA153" s="1437"/>
      <c r="AB153" s="1437"/>
      <c r="AC153" s="1438"/>
      <c r="AD153" s="1116"/>
      <c r="AE153" s="1117"/>
      <c r="AF153" s="1120"/>
      <c r="AG153" s="1121"/>
      <c r="AH153" s="1121"/>
      <c r="AI153" s="1121"/>
      <c r="AJ153" s="1121"/>
      <c r="AK153" s="1121"/>
      <c r="AL153" s="1121"/>
      <c r="AM153" s="1121"/>
      <c r="AN153" s="1121"/>
      <c r="AO153" s="1121"/>
      <c r="AP153" s="1122"/>
      <c r="AQ153" s="1123"/>
      <c r="AR153" s="1123"/>
      <c r="AS153" s="1123"/>
      <c r="AT153" s="1123"/>
      <c r="AU153" s="1123"/>
      <c r="AV153" s="1123"/>
      <c r="AW153" s="1123"/>
      <c r="AX153" s="1124"/>
      <c r="AZ153" s="1431"/>
      <c r="BQ153" s="552"/>
      <c r="BR153" s="311"/>
      <c r="BS153" s="552"/>
      <c r="BT153" s="553"/>
      <c r="BZ153" s="237"/>
    </row>
    <row r="154" spans="2:78" ht="18.75" customHeight="1" thickBot="1">
      <c r="B154" s="1134"/>
      <c r="C154" s="1135"/>
      <c r="D154" s="1135"/>
      <c r="E154" s="1136"/>
      <c r="F154" s="1134"/>
      <c r="G154" s="1135"/>
      <c r="H154" s="1135"/>
      <c r="I154" s="1135"/>
      <c r="J154" s="1135"/>
      <c r="K154" s="1135"/>
      <c r="L154" s="1135"/>
      <c r="M154" s="1136"/>
      <c r="N154" s="1138"/>
      <c r="O154" s="1138"/>
      <c r="P154" s="1138"/>
      <c r="Q154" s="1138"/>
      <c r="R154" s="1168"/>
      <c r="S154" s="1169"/>
      <c r="T154" s="1169"/>
      <c r="U154" s="1170"/>
      <c r="V154" s="1435"/>
      <c r="W154" s="1435"/>
      <c r="X154" s="1435"/>
      <c r="Y154" s="1435"/>
      <c r="Z154" s="1437"/>
      <c r="AA154" s="1437"/>
      <c r="AB154" s="1437"/>
      <c r="AC154" s="1438"/>
      <c r="AD154" s="1118"/>
      <c r="AE154" s="1119"/>
      <c r="AF154" s="1121"/>
      <c r="AG154" s="1121"/>
      <c r="AH154" s="1121"/>
      <c r="AI154" s="1121"/>
      <c r="AJ154" s="1121"/>
      <c r="AK154" s="1121"/>
      <c r="AL154" s="1121"/>
      <c r="AM154" s="1121"/>
      <c r="AN154" s="1121"/>
      <c r="AO154" s="1121"/>
      <c r="AP154" s="1122"/>
      <c r="AQ154" s="1123"/>
      <c r="AR154" s="1123"/>
      <c r="AS154" s="1123"/>
      <c r="AT154" s="1123"/>
      <c r="AU154" s="1123"/>
      <c r="AV154" s="1123"/>
      <c r="AW154" s="1123"/>
      <c r="AX154" s="1124"/>
      <c r="AZ154" s="1431"/>
      <c r="BQ154" s="552"/>
      <c r="BR154" s="311"/>
      <c r="BS154" s="552"/>
      <c r="BT154" s="553"/>
      <c r="BZ154" s="237"/>
    </row>
    <row r="155" spans="2:78" ht="18.75" thickTop="1">
      <c r="BQ155" s="552"/>
      <c r="BR155" s="311"/>
      <c r="BS155" s="552"/>
      <c r="BT155" s="553"/>
      <c r="BZ155" s="237"/>
    </row>
    <row r="156" spans="2:78" ht="24.75" thickBot="1">
      <c r="B156" s="1125" t="s">
        <v>1072</v>
      </c>
      <c r="C156" s="1126"/>
      <c r="D156" s="1126"/>
      <c r="E156" s="1126"/>
      <c r="F156" s="1126"/>
      <c r="G156" s="1126"/>
      <c r="H156" s="1126"/>
      <c r="I156" s="1126"/>
      <c r="J156" s="1126"/>
      <c r="K156" s="1126"/>
      <c r="L156" s="1126"/>
      <c r="M156" s="1126"/>
      <c r="N156" s="1126"/>
      <c r="O156" s="1126"/>
      <c r="P156" s="1126"/>
      <c r="Q156" s="1126"/>
      <c r="R156" s="1126"/>
      <c r="S156" s="1126"/>
      <c r="T156" s="1126"/>
      <c r="U156" s="1126"/>
      <c r="V156" s="1126"/>
      <c r="W156" s="1126"/>
      <c r="X156" s="1126"/>
      <c r="Y156" s="1126"/>
      <c r="Z156" s="1126"/>
      <c r="AA156" s="1126"/>
      <c r="AB156" s="1126"/>
      <c r="AC156" s="1126"/>
      <c r="AD156" s="1126"/>
      <c r="AE156" s="1126"/>
      <c r="AF156" s="1126"/>
      <c r="AG156" s="1126"/>
      <c r="AH156" s="1126"/>
      <c r="AI156" s="1126"/>
      <c r="AJ156" s="1126"/>
      <c r="AK156" s="1126"/>
      <c r="AL156" s="1126"/>
      <c r="AM156" s="1126"/>
      <c r="AN156" s="1126"/>
      <c r="AO156" s="1126"/>
      <c r="AP156" s="1126"/>
      <c r="AQ156" s="1126"/>
      <c r="AR156" s="1126"/>
      <c r="AS156" s="1126"/>
      <c r="AT156" s="1126"/>
      <c r="AU156" s="1127"/>
      <c r="AV156" s="1127"/>
      <c r="AW156" s="1127"/>
      <c r="AX156" s="1127"/>
      <c r="BQ156" s="552"/>
      <c r="BR156" s="311"/>
      <c r="BS156" s="552"/>
      <c r="BT156" s="553"/>
      <c r="BZ156" s="237"/>
    </row>
    <row r="157" spans="2:78" ht="18.75" thickTop="1">
      <c r="B157" s="1099" t="s">
        <v>471</v>
      </c>
      <c r="C157" s="1100"/>
      <c r="D157" s="1100"/>
      <c r="E157" s="1100"/>
      <c r="F157" s="1100"/>
      <c r="G157" s="1101"/>
      <c r="H157" s="1101"/>
      <c r="I157" s="1101"/>
      <c r="J157" s="1102"/>
      <c r="K157" s="1107" t="s">
        <v>1167</v>
      </c>
      <c r="L157" s="1108"/>
      <c r="M157" s="1108"/>
      <c r="N157" s="1109"/>
      <c r="O157" s="1109"/>
      <c r="P157" s="1110"/>
      <c r="Q157" s="1112" t="s">
        <v>1073</v>
      </c>
      <c r="R157" s="1101"/>
      <c r="S157" s="1101"/>
      <c r="T157" s="1101"/>
      <c r="U157" s="1101"/>
      <c r="V157" s="1101"/>
      <c r="W157" s="1101"/>
      <c r="X157" s="1101"/>
      <c r="Y157" s="1101"/>
      <c r="Z157" s="1101"/>
      <c r="AA157" s="1101"/>
      <c r="AB157" s="1101"/>
      <c r="AC157" s="1101"/>
      <c r="AD157" s="1101"/>
      <c r="AE157" s="1101"/>
      <c r="AF157" s="1101"/>
      <c r="AG157" s="1101"/>
      <c r="AH157" s="1101"/>
      <c r="AI157" s="1101"/>
      <c r="AJ157" s="1101"/>
      <c r="AK157" s="1101"/>
      <c r="AL157" s="1101"/>
      <c r="AM157" s="1101"/>
      <c r="AN157" s="1101"/>
      <c r="AO157" s="1101"/>
      <c r="AP157" s="1101"/>
      <c r="AQ157" s="1101"/>
      <c r="AR157" s="1101"/>
      <c r="AS157" s="1101"/>
      <c r="AT157" s="1113"/>
      <c r="AU157" s="1093" t="s">
        <v>98</v>
      </c>
      <c r="AV157" s="1094"/>
      <c r="AW157" s="1095"/>
      <c r="AX157" s="1096"/>
      <c r="BQ157" s="552"/>
      <c r="BR157" s="311"/>
      <c r="BS157" s="552"/>
      <c r="BT157" s="553"/>
      <c r="BZ157" s="237"/>
    </row>
    <row r="158" spans="2:78">
      <c r="B158" s="1103"/>
      <c r="C158" s="1104"/>
      <c r="D158" s="1104"/>
      <c r="E158" s="1104"/>
      <c r="F158" s="1104"/>
      <c r="G158" s="1105"/>
      <c r="H158" s="1105"/>
      <c r="I158" s="1105"/>
      <c r="J158" s="1106"/>
      <c r="K158" s="1111"/>
      <c r="L158" s="1108"/>
      <c r="M158" s="1108"/>
      <c r="N158" s="1109"/>
      <c r="O158" s="1109"/>
      <c r="P158" s="1110"/>
      <c r="Q158" s="1114"/>
      <c r="R158" s="1105"/>
      <c r="S158" s="1105"/>
      <c r="T158" s="1105"/>
      <c r="U158" s="1105"/>
      <c r="V158" s="1105"/>
      <c r="W158" s="1105"/>
      <c r="X158" s="1105"/>
      <c r="Y158" s="1105"/>
      <c r="Z158" s="1105"/>
      <c r="AA158" s="1105"/>
      <c r="AB158" s="1105"/>
      <c r="AC158" s="1105"/>
      <c r="AD158" s="1105"/>
      <c r="AE158" s="1105"/>
      <c r="AF158" s="1105"/>
      <c r="AG158" s="1105"/>
      <c r="AH158" s="1105"/>
      <c r="AI158" s="1105"/>
      <c r="AJ158" s="1105"/>
      <c r="AK158" s="1105"/>
      <c r="AL158" s="1105"/>
      <c r="AM158" s="1105"/>
      <c r="AN158" s="1105"/>
      <c r="AO158" s="1105"/>
      <c r="AP158" s="1105"/>
      <c r="AQ158" s="1105"/>
      <c r="AR158" s="1105"/>
      <c r="AS158" s="1105"/>
      <c r="AT158" s="1115"/>
      <c r="AU158" s="1097"/>
      <c r="AV158" s="1098"/>
      <c r="AW158" s="1065"/>
      <c r="AX158" s="1066"/>
      <c r="BQ158" s="552"/>
      <c r="BR158" s="311"/>
      <c r="BS158" s="552"/>
      <c r="BT158" s="553"/>
      <c r="BZ158" s="237"/>
    </row>
    <row r="159" spans="2:78" ht="18" customHeight="1">
      <c r="B159" s="1540" t="s">
        <v>1412</v>
      </c>
      <c r="C159" s="1060"/>
      <c r="D159" s="1060"/>
      <c r="E159" s="1060"/>
      <c r="F159" s="1060"/>
      <c r="G159" s="1061"/>
      <c r="H159" s="1061"/>
      <c r="I159" s="1061"/>
      <c r="J159" s="1062"/>
      <c r="K159" s="1072">
        <f>SUM(N116:Q121)</f>
        <v>0</v>
      </c>
      <c r="L159" s="1073"/>
      <c r="M159" s="1073"/>
      <c r="N159" s="1074"/>
      <c r="O159" s="1074"/>
      <c r="P159" s="1075"/>
      <c r="Q159" s="1081"/>
      <c r="R159" s="1082"/>
      <c r="S159" s="1082"/>
      <c r="T159" s="1082"/>
      <c r="U159" s="1082"/>
      <c r="V159" s="1082"/>
      <c r="W159" s="1082"/>
      <c r="X159" s="1082"/>
      <c r="Y159" s="1082"/>
      <c r="Z159" s="1082"/>
      <c r="AA159" s="1082"/>
      <c r="AB159" s="1082"/>
      <c r="AC159" s="1082"/>
      <c r="AD159" s="1082"/>
      <c r="AE159" s="1082"/>
      <c r="AF159" s="1082"/>
      <c r="AG159" s="1082"/>
      <c r="AH159" s="1082"/>
      <c r="AI159" s="1082"/>
      <c r="AJ159" s="1082"/>
      <c r="AK159" s="1082"/>
      <c r="AL159" s="1082"/>
      <c r="AM159" s="1082"/>
      <c r="AN159" s="1082"/>
      <c r="AO159" s="1082"/>
      <c r="AP159" s="1082"/>
      <c r="AQ159" s="1082"/>
      <c r="AR159" s="1082"/>
      <c r="AS159" s="1082"/>
      <c r="AT159" s="1083"/>
      <c r="AU159" s="1063" t="str">
        <f xml:space="preserve">
IF(AND(K159&gt;3,COUNTA(Q159)&lt;&gt;1),"要入力",
IF(AND(K159&gt;3,COUNTA(Q159)=1),"入力済",
IF(K159&lt;=3,"入力"&amp;CHAR(10)&amp;"不要")))</f>
        <v>入力
不要</v>
      </c>
      <c r="AV159" s="1064"/>
      <c r="AW159" s="1065"/>
      <c r="AX159" s="1066"/>
      <c r="BQ159" s="552"/>
      <c r="BR159" s="311"/>
      <c r="BS159" s="552"/>
      <c r="BT159" s="553"/>
      <c r="BZ159" s="237"/>
    </row>
    <row r="160" spans="2:78" ht="18" customHeight="1">
      <c r="B160" s="1059"/>
      <c r="C160" s="1060"/>
      <c r="D160" s="1060"/>
      <c r="E160" s="1060"/>
      <c r="F160" s="1060"/>
      <c r="G160" s="1061"/>
      <c r="H160" s="1061"/>
      <c r="I160" s="1061"/>
      <c r="J160" s="1062"/>
      <c r="K160" s="1076"/>
      <c r="L160" s="1073"/>
      <c r="M160" s="1073"/>
      <c r="N160" s="1074"/>
      <c r="O160" s="1074"/>
      <c r="P160" s="1075"/>
      <c r="Q160" s="1084"/>
      <c r="R160" s="1085"/>
      <c r="S160" s="1085"/>
      <c r="T160" s="1085"/>
      <c r="U160" s="1085"/>
      <c r="V160" s="1085"/>
      <c r="W160" s="1085"/>
      <c r="X160" s="1085"/>
      <c r="Y160" s="1085"/>
      <c r="Z160" s="1085"/>
      <c r="AA160" s="1085"/>
      <c r="AB160" s="1085"/>
      <c r="AC160" s="1085"/>
      <c r="AD160" s="1085"/>
      <c r="AE160" s="1085"/>
      <c r="AF160" s="1085"/>
      <c r="AG160" s="1085"/>
      <c r="AH160" s="1085"/>
      <c r="AI160" s="1085"/>
      <c r="AJ160" s="1085"/>
      <c r="AK160" s="1085"/>
      <c r="AL160" s="1085"/>
      <c r="AM160" s="1085"/>
      <c r="AN160" s="1085"/>
      <c r="AO160" s="1085"/>
      <c r="AP160" s="1085"/>
      <c r="AQ160" s="1085"/>
      <c r="AR160" s="1085"/>
      <c r="AS160" s="1085"/>
      <c r="AT160" s="1086"/>
      <c r="AU160" s="1063"/>
      <c r="AV160" s="1064"/>
      <c r="AW160" s="1065"/>
      <c r="AX160" s="1066"/>
      <c r="BQ160" s="552"/>
      <c r="BR160" s="311"/>
      <c r="BS160" s="552"/>
      <c r="BT160" s="553"/>
      <c r="BZ160" s="237"/>
    </row>
    <row r="161" spans="2:78" ht="18" customHeight="1">
      <c r="B161" s="1539" t="s">
        <v>1413</v>
      </c>
      <c r="C161" s="1060"/>
      <c r="D161" s="1060"/>
      <c r="E161" s="1060"/>
      <c r="F161" s="1060"/>
      <c r="G161" s="1061"/>
      <c r="H161" s="1061"/>
      <c r="I161" s="1061"/>
      <c r="J161" s="1062"/>
      <c r="K161" s="1072">
        <f>N122</f>
        <v>0</v>
      </c>
      <c r="L161" s="1073"/>
      <c r="M161" s="1073"/>
      <c r="N161" s="1074"/>
      <c r="O161" s="1074"/>
      <c r="P161" s="1075"/>
      <c r="Q161" s="1081"/>
      <c r="R161" s="1082"/>
      <c r="S161" s="1082"/>
      <c r="T161" s="1082"/>
      <c r="U161" s="1082"/>
      <c r="V161" s="1082"/>
      <c r="W161" s="1082"/>
      <c r="X161" s="1082"/>
      <c r="Y161" s="1082"/>
      <c r="Z161" s="1082"/>
      <c r="AA161" s="1082"/>
      <c r="AB161" s="1082"/>
      <c r="AC161" s="1082"/>
      <c r="AD161" s="1082"/>
      <c r="AE161" s="1082"/>
      <c r="AF161" s="1082"/>
      <c r="AG161" s="1082"/>
      <c r="AH161" s="1082"/>
      <c r="AI161" s="1082"/>
      <c r="AJ161" s="1082"/>
      <c r="AK161" s="1082"/>
      <c r="AL161" s="1082"/>
      <c r="AM161" s="1082"/>
      <c r="AN161" s="1082"/>
      <c r="AO161" s="1082"/>
      <c r="AP161" s="1082"/>
      <c r="AQ161" s="1082"/>
      <c r="AR161" s="1082"/>
      <c r="AS161" s="1082"/>
      <c r="AT161" s="1083"/>
      <c r="AU161" s="1063" t="str">
        <f xml:space="preserve">
IF(AND(K161&gt;1,COUNTA(Q161)&lt;&gt;1),"要入力",
IF(AND(K161&gt;1,COUNTA(Q161)=1),"入力済",
IF(K161&lt;=1,"入力"&amp;CHAR(10)&amp;"不要")))</f>
        <v>入力
不要</v>
      </c>
      <c r="AV161" s="1064"/>
      <c r="AW161" s="1065"/>
      <c r="AX161" s="1066"/>
      <c r="BQ161" s="552"/>
      <c r="BR161" s="311"/>
      <c r="BS161" s="552"/>
      <c r="BT161" s="553"/>
      <c r="BZ161" s="237"/>
    </row>
    <row r="162" spans="2:78" ht="18" customHeight="1">
      <c r="B162" s="1059"/>
      <c r="C162" s="1060"/>
      <c r="D162" s="1060"/>
      <c r="E162" s="1060"/>
      <c r="F162" s="1060"/>
      <c r="G162" s="1061"/>
      <c r="H162" s="1061"/>
      <c r="I162" s="1061"/>
      <c r="J162" s="1062"/>
      <c r="K162" s="1076"/>
      <c r="L162" s="1073"/>
      <c r="M162" s="1073"/>
      <c r="N162" s="1074"/>
      <c r="O162" s="1074"/>
      <c r="P162" s="1075"/>
      <c r="Q162" s="1084"/>
      <c r="R162" s="1085"/>
      <c r="S162" s="1085"/>
      <c r="T162" s="1085"/>
      <c r="U162" s="1085"/>
      <c r="V162" s="1085"/>
      <c r="W162" s="1085"/>
      <c r="X162" s="1085"/>
      <c r="Y162" s="1085"/>
      <c r="Z162" s="1085"/>
      <c r="AA162" s="1085"/>
      <c r="AB162" s="1085"/>
      <c r="AC162" s="1085"/>
      <c r="AD162" s="1085"/>
      <c r="AE162" s="1085"/>
      <c r="AF162" s="1085"/>
      <c r="AG162" s="1085"/>
      <c r="AH162" s="1085"/>
      <c r="AI162" s="1085"/>
      <c r="AJ162" s="1085"/>
      <c r="AK162" s="1085"/>
      <c r="AL162" s="1085"/>
      <c r="AM162" s="1085"/>
      <c r="AN162" s="1085"/>
      <c r="AO162" s="1085"/>
      <c r="AP162" s="1085"/>
      <c r="AQ162" s="1085"/>
      <c r="AR162" s="1085"/>
      <c r="AS162" s="1085"/>
      <c r="AT162" s="1086"/>
      <c r="AU162" s="1063"/>
      <c r="AV162" s="1064"/>
      <c r="AW162" s="1065"/>
      <c r="AX162" s="1066"/>
      <c r="BQ162" s="552"/>
      <c r="BR162" s="311"/>
      <c r="BS162" s="552"/>
      <c r="BT162" s="553"/>
      <c r="BZ162" s="237"/>
    </row>
    <row r="163" spans="2:78" ht="18" customHeight="1">
      <c r="B163" s="1087" t="s">
        <v>474</v>
      </c>
      <c r="C163" s="1060"/>
      <c r="D163" s="1060"/>
      <c r="E163" s="1060"/>
      <c r="F163" s="1060"/>
      <c r="G163" s="1061"/>
      <c r="H163" s="1061"/>
      <c r="I163" s="1061"/>
      <c r="J163" s="1062"/>
      <c r="K163" s="1088">
        <f>N125</f>
        <v>0</v>
      </c>
      <c r="L163" s="1089"/>
      <c r="M163" s="1089"/>
      <c r="N163" s="1090"/>
      <c r="O163" s="1090"/>
      <c r="P163" s="1091"/>
      <c r="Q163" s="1081"/>
      <c r="R163" s="1082"/>
      <c r="S163" s="1082"/>
      <c r="T163" s="1082"/>
      <c r="U163" s="1082"/>
      <c r="V163" s="1082"/>
      <c r="W163" s="1082"/>
      <c r="X163" s="1082"/>
      <c r="Y163" s="1082"/>
      <c r="Z163" s="1082"/>
      <c r="AA163" s="1082"/>
      <c r="AB163" s="1082"/>
      <c r="AC163" s="1082"/>
      <c r="AD163" s="1082"/>
      <c r="AE163" s="1082"/>
      <c r="AF163" s="1082"/>
      <c r="AG163" s="1082"/>
      <c r="AH163" s="1082"/>
      <c r="AI163" s="1082"/>
      <c r="AJ163" s="1082"/>
      <c r="AK163" s="1082"/>
      <c r="AL163" s="1082"/>
      <c r="AM163" s="1082"/>
      <c r="AN163" s="1082"/>
      <c r="AO163" s="1082"/>
      <c r="AP163" s="1082"/>
      <c r="AQ163" s="1082"/>
      <c r="AR163" s="1082"/>
      <c r="AS163" s="1082"/>
      <c r="AT163" s="1083"/>
      <c r="AU163" s="1063" t="str">
        <f xml:space="preserve">
IF(AND(K163&gt;1,COUNTA(Q163)&lt;&gt;1),"要入力",
IF(AND(K163&gt;1,COUNTA(Q163)=1),"入力済",
IF(K163&lt;=1,"入力"&amp;CHAR(10)&amp;"不要")))</f>
        <v>入力
不要</v>
      </c>
      <c r="AV163" s="1064"/>
      <c r="AW163" s="1065"/>
      <c r="AX163" s="1066"/>
      <c r="BQ163" s="552"/>
      <c r="BR163" s="311"/>
      <c r="BS163" s="552"/>
      <c r="BT163" s="553"/>
      <c r="BZ163" s="237"/>
    </row>
    <row r="164" spans="2:78" ht="18" customHeight="1">
      <c r="B164" s="1059"/>
      <c r="C164" s="1060"/>
      <c r="D164" s="1060"/>
      <c r="E164" s="1060"/>
      <c r="F164" s="1060"/>
      <c r="G164" s="1061"/>
      <c r="H164" s="1061"/>
      <c r="I164" s="1061"/>
      <c r="J164" s="1062"/>
      <c r="K164" s="1092"/>
      <c r="L164" s="1089"/>
      <c r="M164" s="1089"/>
      <c r="N164" s="1090"/>
      <c r="O164" s="1090"/>
      <c r="P164" s="1091"/>
      <c r="Q164" s="1084"/>
      <c r="R164" s="1085"/>
      <c r="S164" s="1085"/>
      <c r="T164" s="1085"/>
      <c r="U164" s="1085"/>
      <c r="V164" s="1085"/>
      <c r="W164" s="1085"/>
      <c r="X164" s="1085"/>
      <c r="Y164" s="1085"/>
      <c r="Z164" s="1085"/>
      <c r="AA164" s="1085"/>
      <c r="AB164" s="1085"/>
      <c r="AC164" s="1085"/>
      <c r="AD164" s="1085"/>
      <c r="AE164" s="1085"/>
      <c r="AF164" s="1085"/>
      <c r="AG164" s="1085"/>
      <c r="AH164" s="1085"/>
      <c r="AI164" s="1085"/>
      <c r="AJ164" s="1085"/>
      <c r="AK164" s="1085"/>
      <c r="AL164" s="1085"/>
      <c r="AM164" s="1085"/>
      <c r="AN164" s="1085"/>
      <c r="AO164" s="1085"/>
      <c r="AP164" s="1085"/>
      <c r="AQ164" s="1085"/>
      <c r="AR164" s="1085"/>
      <c r="AS164" s="1085"/>
      <c r="AT164" s="1086"/>
      <c r="AU164" s="1063"/>
      <c r="AV164" s="1064"/>
      <c r="AW164" s="1065"/>
      <c r="AX164" s="1066"/>
      <c r="BQ164" s="552"/>
      <c r="BR164" s="311"/>
      <c r="BS164" s="552"/>
      <c r="BT164" s="553"/>
      <c r="BZ164" s="237"/>
    </row>
    <row r="165" spans="2:78" ht="18" customHeight="1">
      <c r="B165" s="1059" t="s">
        <v>475</v>
      </c>
      <c r="C165" s="1060"/>
      <c r="D165" s="1060"/>
      <c r="E165" s="1060"/>
      <c r="F165" s="1060"/>
      <c r="G165" s="1061"/>
      <c r="H165" s="1061"/>
      <c r="I165" s="1061"/>
      <c r="J165" s="1062"/>
      <c r="K165" s="1072">
        <f>N128</f>
        <v>0</v>
      </c>
      <c r="L165" s="1073"/>
      <c r="M165" s="1073"/>
      <c r="N165" s="1074"/>
      <c r="O165" s="1074"/>
      <c r="P165" s="1075"/>
      <c r="Q165" s="1081"/>
      <c r="R165" s="1082"/>
      <c r="S165" s="1082"/>
      <c r="T165" s="1082"/>
      <c r="U165" s="1082"/>
      <c r="V165" s="1082"/>
      <c r="W165" s="1082"/>
      <c r="X165" s="1082"/>
      <c r="Y165" s="1082"/>
      <c r="Z165" s="1082"/>
      <c r="AA165" s="1082"/>
      <c r="AB165" s="1082"/>
      <c r="AC165" s="1082"/>
      <c r="AD165" s="1082"/>
      <c r="AE165" s="1082"/>
      <c r="AF165" s="1082"/>
      <c r="AG165" s="1082"/>
      <c r="AH165" s="1082"/>
      <c r="AI165" s="1082"/>
      <c r="AJ165" s="1082"/>
      <c r="AK165" s="1082"/>
      <c r="AL165" s="1082"/>
      <c r="AM165" s="1082"/>
      <c r="AN165" s="1082"/>
      <c r="AO165" s="1082"/>
      <c r="AP165" s="1082"/>
      <c r="AQ165" s="1082"/>
      <c r="AR165" s="1082"/>
      <c r="AS165" s="1082"/>
      <c r="AT165" s="1083"/>
      <c r="AU165" s="1063" t="str">
        <f xml:space="preserve">
IF(AND(K165&gt;8,COUNTA(Q165)&lt;&gt;1),"要入力",
IF(AND(K165&gt;8,COUNTA(Q165)=1),"入力済",
IF(K165&lt;=8,"入力"&amp;CHAR(10)&amp;"不要")))</f>
        <v>入力
不要</v>
      </c>
      <c r="AV165" s="1064"/>
      <c r="AW165" s="1065"/>
      <c r="AX165" s="1066"/>
      <c r="BQ165" s="552"/>
      <c r="BR165" s="311"/>
      <c r="BS165" s="552"/>
      <c r="BT165" s="553"/>
      <c r="BZ165" s="237"/>
    </row>
    <row r="166" spans="2:78" ht="18" customHeight="1">
      <c r="B166" s="1059"/>
      <c r="C166" s="1060"/>
      <c r="D166" s="1060"/>
      <c r="E166" s="1060"/>
      <c r="F166" s="1060"/>
      <c r="G166" s="1061"/>
      <c r="H166" s="1061"/>
      <c r="I166" s="1061"/>
      <c r="J166" s="1062"/>
      <c r="K166" s="1076"/>
      <c r="L166" s="1073"/>
      <c r="M166" s="1073"/>
      <c r="N166" s="1074"/>
      <c r="O166" s="1074"/>
      <c r="P166" s="1075"/>
      <c r="Q166" s="1084"/>
      <c r="R166" s="1085"/>
      <c r="S166" s="1085"/>
      <c r="T166" s="1085"/>
      <c r="U166" s="1085"/>
      <c r="V166" s="1085"/>
      <c r="W166" s="1085"/>
      <c r="X166" s="1085"/>
      <c r="Y166" s="1085"/>
      <c r="Z166" s="1085"/>
      <c r="AA166" s="1085"/>
      <c r="AB166" s="1085"/>
      <c r="AC166" s="1085"/>
      <c r="AD166" s="1085"/>
      <c r="AE166" s="1085"/>
      <c r="AF166" s="1085"/>
      <c r="AG166" s="1085"/>
      <c r="AH166" s="1085"/>
      <c r="AI166" s="1085"/>
      <c r="AJ166" s="1085"/>
      <c r="AK166" s="1085"/>
      <c r="AL166" s="1085"/>
      <c r="AM166" s="1085"/>
      <c r="AN166" s="1085"/>
      <c r="AO166" s="1085"/>
      <c r="AP166" s="1085"/>
      <c r="AQ166" s="1085"/>
      <c r="AR166" s="1085"/>
      <c r="AS166" s="1085"/>
      <c r="AT166" s="1086"/>
      <c r="AU166" s="1063"/>
      <c r="AV166" s="1064"/>
      <c r="AW166" s="1065"/>
      <c r="AX166" s="1066"/>
      <c r="BQ166" s="552"/>
      <c r="BR166" s="311"/>
      <c r="BS166" s="552"/>
      <c r="BT166" s="553"/>
      <c r="BZ166" s="237"/>
    </row>
    <row r="167" spans="2:78" ht="18" customHeight="1">
      <c r="B167" s="1087" t="s">
        <v>1414</v>
      </c>
      <c r="C167" s="1060"/>
      <c r="D167" s="1060"/>
      <c r="E167" s="1060"/>
      <c r="F167" s="1060"/>
      <c r="G167" s="1061"/>
      <c r="H167" s="1061"/>
      <c r="I167" s="1061"/>
      <c r="J167" s="1062"/>
      <c r="K167" s="1067">
        <f>N131</f>
        <v>0</v>
      </c>
      <c r="L167" s="1068"/>
      <c r="M167" s="1068"/>
      <c r="N167" s="1069"/>
      <c r="O167" s="1069"/>
      <c r="P167" s="1070"/>
      <c r="Q167" s="1081"/>
      <c r="R167" s="1082"/>
      <c r="S167" s="1082"/>
      <c r="T167" s="1082"/>
      <c r="U167" s="1082"/>
      <c r="V167" s="1082"/>
      <c r="W167" s="1082"/>
      <c r="X167" s="1082"/>
      <c r="Y167" s="1082"/>
      <c r="Z167" s="1082"/>
      <c r="AA167" s="1082"/>
      <c r="AB167" s="1082"/>
      <c r="AC167" s="1082"/>
      <c r="AD167" s="1082"/>
      <c r="AE167" s="1082"/>
      <c r="AF167" s="1082"/>
      <c r="AG167" s="1082"/>
      <c r="AH167" s="1082"/>
      <c r="AI167" s="1082"/>
      <c r="AJ167" s="1082"/>
      <c r="AK167" s="1082"/>
      <c r="AL167" s="1082"/>
      <c r="AM167" s="1082"/>
      <c r="AN167" s="1082"/>
      <c r="AO167" s="1082"/>
      <c r="AP167" s="1082"/>
      <c r="AQ167" s="1082"/>
      <c r="AR167" s="1082"/>
      <c r="AS167" s="1082"/>
      <c r="AT167" s="1083"/>
      <c r="AU167" s="1063" t="str">
        <f xml:space="preserve">
IF(AND(K167&gt;0.5,COUNTA(Q167)&lt;&gt;1),"要入力",
IF(AND(K167&gt;0.5,COUNTA(Q167)=1),"入力済",
IF(K167&lt;=0.5,"入力"&amp;CHAR(10)&amp;"不要")))</f>
        <v>入力
不要</v>
      </c>
      <c r="AV167" s="1064"/>
      <c r="AW167" s="1065"/>
      <c r="AX167" s="1066"/>
      <c r="BQ167" s="552"/>
      <c r="BR167" s="311"/>
      <c r="BS167" s="552"/>
      <c r="BT167" s="553"/>
      <c r="BZ167" s="237"/>
    </row>
    <row r="168" spans="2:78" ht="18" customHeight="1">
      <c r="B168" s="1059"/>
      <c r="C168" s="1060"/>
      <c r="D168" s="1060"/>
      <c r="E168" s="1060"/>
      <c r="F168" s="1060"/>
      <c r="G168" s="1061"/>
      <c r="H168" s="1061"/>
      <c r="I168" s="1061"/>
      <c r="J168" s="1062"/>
      <c r="K168" s="1071"/>
      <c r="L168" s="1068"/>
      <c r="M168" s="1068"/>
      <c r="N168" s="1069"/>
      <c r="O168" s="1069"/>
      <c r="P168" s="1070"/>
      <c r="Q168" s="1084"/>
      <c r="R168" s="1085"/>
      <c r="S168" s="1085"/>
      <c r="T168" s="1085"/>
      <c r="U168" s="1085"/>
      <c r="V168" s="1085"/>
      <c r="W168" s="1085"/>
      <c r="X168" s="1085"/>
      <c r="Y168" s="1085"/>
      <c r="Z168" s="1085"/>
      <c r="AA168" s="1085"/>
      <c r="AB168" s="1085"/>
      <c r="AC168" s="1085"/>
      <c r="AD168" s="1085"/>
      <c r="AE168" s="1085"/>
      <c r="AF168" s="1085"/>
      <c r="AG168" s="1085"/>
      <c r="AH168" s="1085"/>
      <c r="AI168" s="1085"/>
      <c r="AJ168" s="1085"/>
      <c r="AK168" s="1085"/>
      <c r="AL168" s="1085"/>
      <c r="AM168" s="1085"/>
      <c r="AN168" s="1085"/>
      <c r="AO168" s="1085"/>
      <c r="AP168" s="1085"/>
      <c r="AQ168" s="1085"/>
      <c r="AR168" s="1085"/>
      <c r="AS168" s="1085"/>
      <c r="AT168" s="1086"/>
      <c r="AU168" s="1063"/>
      <c r="AV168" s="1064"/>
      <c r="AW168" s="1065"/>
      <c r="AX168" s="1066"/>
      <c r="BQ168" s="552"/>
      <c r="BR168" s="311"/>
      <c r="BS168" s="552"/>
      <c r="BT168" s="553"/>
      <c r="BZ168" s="237"/>
    </row>
    <row r="169" spans="2:78" ht="18" customHeight="1">
      <c r="B169" s="1059" t="s">
        <v>1415</v>
      </c>
      <c r="C169" s="1060"/>
      <c r="D169" s="1060"/>
      <c r="E169" s="1060"/>
      <c r="F169" s="1060"/>
      <c r="G169" s="1061"/>
      <c r="H169" s="1061"/>
      <c r="I169" s="1061"/>
      <c r="J169" s="1062"/>
      <c r="K169" s="1067">
        <f>N134</f>
        <v>0</v>
      </c>
      <c r="L169" s="1068"/>
      <c r="M169" s="1068"/>
      <c r="N169" s="1069"/>
      <c r="O169" s="1069"/>
      <c r="P169" s="1070"/>
      <c r="Q169" s="1081"/>
      <c r="R169" s="1082"/>
      <c r="S169" s="1082"/>
      <c r="T169" s="1082"/>
      <c r="U169" s="1082"/>
      <c r="V169" s="1082"/>
      <c r="W169" s="1082"/>
      <c r="X169" s="1082"/>
      <c r="Y169" s="1082"/>
      <c r="Z169" s="1082"/>
      <c r="AA169" s="1082"/>
      <c r="AB169" s="1082"/>
      <c r="AC169" s="1082"/>
      <c r="AD169" s="1082"/>
      <c r="AE169" s="1082"/>
      <c r="AF169" s="1082"/>
      <c r="AG169" s="1082"/>
      <c r="AH169" s="1082"/>
      <c r="AI169" s="1082"/>
      <c r="AJ169" s="1082"/>
      <c r="AK169" s="1082"/>
      <c r="AL169" s="1082"/>
      <c r="AM169" s="1082"/>
      <c r="AN169" s="1082"/>
      <c r="AO169" s="1082"/>
      <c r="AP169" s="1082"/>
      <c r="AQ169" s="1082"/>
      <c r="AR169" s="1082"/>
      <c r="AS169" s="1082"/>
      <c r="AT169" s="1083"/>
      <c r="AU169" s="1063" t="str">
        <f xml:space="preserve">
IF(AND(K169&gt;0.5,COUNTA(Q169)&lt;&gt;1),"要入力",
IF(AND(K169&gt;0.5,COUNTA(Q169)=1),"入力済",
IF(K169&lt;=0.5,"入力"&amp;CHAR(10)&amp;"不要")))</f>
        <v>入力
不要</v>
      </c>
      <c r="AV169" s="1064"/>
      <c r="AW169" s="1065"/>
      <c r="AX169" s="1066"/>
      <c r="BQ169" s="552"/>
      <c r="BR169" s="311"/>
      <c r="BS169" s="552"/>
      <c r="BT169" s="553"/>
      <c r="BZ169" s="237"/>
    </row>
    <row r="170" spans="2:78" ht="18" customHeight="1">
      <c r="B170" s="1059"/>
      <c r="C170" s="1060"/>
      <c r="D170" s="1060"/>
      <c r="E170" s="1060"/>
      <c r="F170" s="1060"/>
      <c r="G170" s="1061"/>
      <c r="H170" s="1061"/>
      <c r="I170" s="1061"/>
      <c r="J170" s="1062"/>
      <c r="K170" s="1071"/>
      <c r="L170" s="1068"/>
      <c r="M170" s="1068"/>
      <c r="N170" s="1069"/>
      <c r="O170" s="1069"/>
      <c r="P170" s="1070"/>
      <c r="Q170" s="1084"/>
      <c r="R170" s="1085"/>
      <c r="S170" s="1085"/>
      <c r="T170" s="1085"/>
      <c r="U170" s="1085"/>
      <c r="V170" s="1085"/>
      <c r="W170" s="1085"/>
      <c r="X170" s="1085"/>
      <c r="Y170" s="1085"/>
      <c r="Z170" s="1085"/>
      <c r="AA170" s="1085"/>
      <c r="AB170" s="1085"/>
      <c r="AC170" s="1085"/>
      <c r="AD170" s="1085"/>
      <c r="AE170" s="1085"/>
      <c r="AF170" s="1085"/>
      <c r="AG170" s="1085"/>
      <c r="AH170" s="1085"/>
      <c r="AI170" s="1085"/>
      <c r="AJ170" s="1085"/>
      <c r="AK170" s="1085"/>
      <c r="AL170" s="1085"/>
      <c r="AM170" s="1085"/>
      <c r="AN170" s="1085"/>
      <c r="AO170" s="1085"/>
      <c r="AP170" s="1085"/>
      <c r="AQ170" s="1085"/>
      <c r="AR170" s="1085"/>
      <c r="AS170" s="1085"/>
      <c r="AT170" s="1086"/>
      <c r="AU170" s="1063"/>
      <c r="AV170" s="1064"/>
      <c r="AW170" s="1065"/>
      <c r="AX170" s="1066"/>
      <c r="BQ170" s="552"/>
      <c r="BR170" s="311"/>
      <c r="BS170" s="552"/>
      <c r="BT170" s="553"/>
      <c r="BZ170" s="237"/>
    </row>
    <row r="171" spans="2:78" ht="18" customHeight="1">
      <c r="B171" s="1059" t="s">
        <v>1416</v>
      </c>
      <c r="C171" s="1060"/>
      <c r="D171" s="1060"/>
      <c r="E171" s="1060"/>
      <c r="F171" s="1060"/>
      <c r="G171" s="1061"/>
      <c r="H171" s="1061"/>
      <c r="I171" s="1061"/>
      <c r="J171" s="1062"/>
      <c r="K171" s="1067">
        <f>N137</f>
        <v>0</v>
      </c>
      <c r="L171" s="1068"/>
      <c r="M171" s="1068"/>
      <c r="N171" s="1069"/>
      <c r="O171" s="1069"/>
      <c r="P171" s="1070"/>
      <c r="Q171" s="1081"/>
      <c r="R171" s="1082"/>
      <c r="S171" s="1082"/>
      <c r="T171" s="1082"/>
      <c r="U171" s="1082"/>
      <c r="V171" s="1082"/>
      <c r="W171" s="1082"/>
      <c r="X171" s="1082"/>
      <c r="Y171" s="1082"/>
      <c r="Z171" s="1082"/>
      <c r="AA171" s="1082"/>
      <c r="AB171" s="1082"/>
      <c r="AC171" s="1082"/>
      <c r="AD171" s="1082"/>
      <c r="AE171" s="1082"/>
      <c r="AF171" s="1082"/>
      <c r="AG171" s="1082"/>
      <c r="AH171" s="1082"/>
      <c r="AI171" s="1082"/>
      <c r="AJ171" s="1082"/>
      <c r="AK171" s="1082"/>
      <c r="AL171" s="1082"/>
      <c r="AM171" s="1082"/>
      <c r="AN171" s="1082"/>
      <c r="AO171" s="1082"/>
      <c r="AP171" s="1082"/>
      <c r="AQ171" s="1082"/>
      <c r="AR171" s="1082"/>
      <c r="AS171" s="1082"/>
      <c r="AT171" s="1083"/>
      <c r="AU171" s="1063" t="str">
        <f xml:space="preserve">
IF(AND(K171&gt;1,COUNTA(Q171)&lt;&gt;1),"要入力",
IF(AND(K171&gt;1,COUNTA(Q171)=1),"入力済",
IF(K171&lt;=1,"入力"&amp;CHAR(10)&amp;"不要")))</f>
        <v>入力
不要</v>
      </c>
      <c r="AV171" s="1064"/>
      <c r="AW171" s="1065"/>
      <c r="AX171" s="1066"/>
      <c r="BQ171" s="552"/>
      <c r="BR171" s="311"/>
      <c r="BS171" s="552"/>
      <c r="BT171" s="553"/>
      <c r="BZ171" s="237"/>
    </row>
    <row r="172" spans="2:78" ht="18" customHeight="1">
      <c r="B172" s="1059"/>
      <c r="C172" s="1060"/>
      <c r="D172" s="1060"/>
      <c r="E172" s="1060"/>
      <c r="F172" s="1060"/>
      <c r="G172" s="1061"/>
      <c r="H172" s="1061"/>
      <c r="I172" s="1061"/>
      <c r="J172" s="1062"/>
      <c r="K172" s="1071"/>
      <c r="L172" s="1068"/>
      <c r="M172" s="1068"/>
      <c r="N172" s="1069"/>
      <c r="O172" s="1069"/>
      <c r="P172" s="1070"/>
      <c r="Q172" s="1084"/>
      <c r="R172" s="1085"/>
      <c r="S172" s="1085"/>
      <c r="T172" s="1085"/>
      <c r="U172" s="1085"/>
      <c r="V172" s="1085"/>
      <c r="W172" s="1085"/>
      <c r="X172" s="1085"/>
      <c r="Y172" s="1085"/>
      <c r="Z172" s="1085"/>
      <c r="AA172" s="1085"/>
      <c r="AB172" s="1085"/>
      <c r="AC172" s="1085"/>
      <c r="AD172" s="1085"/>
      <c r="AE172" s="1085"/>
      <c r="AF172" s="1085"/>
      <c r="AG172" s="1085"/>
      <c r="AH172" s="1085"/>
      <c r="AI172" s="1085"/>
      <c r="AJ172" s="1085"/>
      <c r="AK172" s="1085"/>
      <c r="AL172" s="1085"/>
      <c r="AM172" s="1085"/>
      <c r="AN172" s="1085"/>
      <c r="AO172" s="1085"/>
      <c r="AP172" s="1085"/>
      <c r="AQ172" s="1085"/>
      <c r="AR172" s="1085"/>
      <c r="AS172" s="1085"/>
      <c r="AT172" s="1086"/>
      <c r="AU172" s="1063"/>
      <c r="AV172" s="1064"/>
      <c r="AW172" s="1065"/>
      <c r="AX172" s="1066"/>
      <c r="BQ172" s="552"/>
      <c r="BR172" s="311"/>
      <c r="BS172" s="552"/>
      <c r="BT172" s="553"/>
      <c r="BZ172" s="237"/>
    </row>
    <row r="173" spans="2:78" ht="18" customHeight="1">
      <c r="B173" s="1059" t="s">
        <v>476</v>
      </c>
      <c r="C173" s="1060"/>
      <c r="D173" s="1060"/>
      <c r="E173" s="1060"/>
      <c r="F173" s="1060"/>
      <c r="G173" s="1061"/>
      <c r="H173" s="1061"/>
      <c r="I173" s="1061"/>
      <c r="J173" s="1062"/>
      <c r="K173" s="1072">
        <f>N140</f>
        <v>0</v>
      </c>
      <c r="L173" s="1073"/>
      <c r="M173" s="1073"/>
      <c r="N173" s="1074"/>
      <c r="O173" s="1074"/>
      <c r="P173" s="1075"/>
      <c r="Q173" s="1081"/>
      <c r="R173" s="1082"/>
      <c r="S173" s="1082"/>
      <c r="T173" s="1082"/>
      <c r="U173" s="1082"/>
      <c r="V173" s="1082"/>
      <c r="W173" s="1082"/>
      <c r="X173" s="1082"/>
      <c r="Y173" s="1082"/>
      <c r="Z173" s="1082"/>
      <c r="AA173" s="1082"/>
      <c r="AB173" s="1082"/>
      <c r="AC173" s="1082"/>
      <c r="AD173" s="1082"/>
      <c r="AE173" s="1082"/>
      <c r="AF173" s="1082"/>
      <c r="AG173" s="1082"/>
      <c r="AH173" s="1082"/>
      <c r="AI173" s="1082"/>
      <c r="AJ173" s="1082"/>
      <c r="AK173" s="1082"/>
      <c r="AL173" s="1082"/>
      <c r="AM173" s="1082"/>
      <c r="AN173" s="1082"/>
      <c r="AO173" s="1082"/>
      <c r="AP173" s="1082"/>
      <c r="AQ173" s="1082"/>
      <c r="AR173" s="1082"/>
      <c r="AS173" s="1082"/>
      <c r="AT173" s="1083"/>
      <c r="AU173" s="1063" t="str">
        <f xml:space="preserve">
IF(AND(K173&gt;1,COUNTA(Q173)&lt;&gt;1),"要入力",
IF(AND(K173&gt;1,COUNTA(Q173)=1),"入力済",
IF(K173&lt;=1,"入力"&amp;CHAR(10)&amp;"不要")))</f>
        <v>入力
不要</v>
      </c>
      <c r="AV173" s="1064"/>
      <c r="AW173" s="1065"/>
      <c r="AX173" s="1066"/>
      <c r="BQ173" s="552"/>
      <c r="BR173" s="311"/>
      <c r="BS173" s="552"/>
      <c r="BT173" s="553"/>
      <c r="BZ173" s="237"/>
    </row>
    <row r="174" spans="2:78" ht="18" customHeight="1">
      <c r="B174" s="1059"/>
      <c r="C174" s="1060"/>
      <c r="D174" s="1060"/>
      <c r="E174" s="1060"/>
      <c r="F174" s="1060"/>
      <c r="G174" s="1061"/>
      <c r="H174" s="1061"/>
      <c r="I174" s="1061"/>
      <c r="J174" s="1062"/>
      <c r="K174" s="1076"/>
      <c r="L174" s="1073"/>
      <c r="M174" s="1073"/>
      <c r="N174" s="1074"/>
      <c r="O174" s="1074"/>
      <c r="P174" s="1075"/>
      <c r="Q174" s="1084"/>
      <c r="R174" s="1085"/>
      <c r="S174" s="1085"/>
      <c r="T174" s="1085"/>
      <c r="U174" s="1085"/>
      <c r="V174" s="1085"/>
      <c r="W174" s="1085"/>
      <c r="X174" s="1085"/>
      <c r="Y174" s="1085"/>
      <c r="Z174" s="1085"/>
      <c r="AA174" s="1085"/>
      <c r="AB174" s="1085"/>
      <c r="AC174" s="1085"/>
      <c r="AD174" s="1085"/>
      <c r="AE174" s="1085"/>
      <c r="AF174" s="1085"/>
      <c r="AG174" s="1085"/>
      <c r="AH174" s="1085"/>
      <c r="AI174" s="1085"/>
      <c r="AJ174" s="1085"/>
      <c r="AK174" s="1085"/>
      <c r="AL174" s="1085"/>
      <c r="AM174" s="1085"/>
      <c r="AN174" s="1085"/>
      <c r="AO174" s="1085"/>
      <c r="AP174" s="1085"/>
      <c r="AQ174" s="1085"/>
      <c r="AR174" s="1085"/>
      <c r="AS174" s="1085"/>
      <c r="AT174" s="1086"/>
      <c r="AU174" s="1063"/>
      <c r="AV174" s="1064"/>
      <c r="AW174" s="1065"/>
      <c r="AX174" s="1066"/>
      <c r="BQ174" s="552"/>
      <c r="BR174" s="311"/>
      <c r="BS174" s="552"/>
      <c r="BT174" s="553"/>
      <c r="BZ174" s="237"/>
    </row>
    <row r="175" spans="2:78" ht="18" customHeight="1">
      <c r="B175" s="1059" t="s">
        <v>1417</v>
      </c>
      <c r="C175" s="1060"/>
      <c r="D175" s="1060"/>
      <c r="E175" s="1060"/>
      <c r="F175" s="1060"/>
      <c r="G175" s="1061"/>
      <c r="H175" s="1061"/>
      <c r="I175" s="1061"/>
      <c r="J175" s="1062"/>
      <c r="K175" s="1072">
        <f>N143</f>
        <v>0</v>
      </c>
      <c r="L175" s="1073"/>
      <c r="M175" s="1073"/>
      <c r="N175" s="1074"/>
      <c r="O175" s="1074"/>
      <c r="P175" s="1075"/>
      <c r="Q175" s="1081"/>
      <c r="R175" s="1082"/>
      <c r="S175" s="1082"/>
      <c r="T175" s="1082"/>
      <c r="U175" s="1082"/>
      <c r="V175" s="1082"/>
      <c r="W175" s="1082"/>
      <c r="X175" s="1082"/>
      <c r="Y175" s="1082"/>
      <c r="Z175" s="1082"/>
      <c r="AA175" s="1082"/>
      <c r="AB175" s="1082"/>
      <c r="AC175" s="1082"/>
      <c r="AD175" s="1082"/>
      <c r="AE175" s="1082"/>
      <c r="AF175" s="1082"/>
      <c r="AG175" s="1082"/>
      <c r="AH175" s="1082"/>
      <c r="AI175" s="1082"/>
      <c r="AJ175" s="1082"/>
      <c r="AK175" s="1082"/>
      <c r="AL175" s="1082"/>
      <c r="AM175" s="1082"/>
      <c r="AN175" s="1082"/>
      <c r="AO175" s="1082"/>
      <c r="AP175" s="1082"/>
      <c r="AQ175" s="1082"/>
      <c r="AR175" s="1082"/>
      <c r="AS175" s="1082"/>
      <c r="AT175" s="1083"/>
      <c r="AU175" s="1063" t="str">
        <f xml:space="preserve">
IF(AND(K175&gt;1,COUNTA(Q175)&lt;&gt;1),"要入力",
IF(AND(K175&gt;1,COUNTA(Q175)=1),"入力済",
IF(K175&lt;=1,"入力"&amp;CHAR(10)&amp;"不要")))</f>
        <v>入力
不要</v>
      </c>
      <c r="AV175" s="1064"/>
      <c r="AW175" s="1065"/>
      <c r="AX175" s="1066"/>
      <c r="BQ175" s="552"/>
      <c r="BR175" s="311"/>
      <c r="BS175" s="552"/>
      <c r="BT175" s="553"/>
      <c r="BZ175" s="237"/>
    </row>
    <row r="176" spans="2:78" ht="18" customHeight="1">
      <c r="B176" s="1059"/>
      <c r="C176" s="1060"/>
      <c r="D176" s="1060"/>
      <c r="E176" s="1060"/>
      <c r="F176" s="1060"/>
      <c r="G176" s="1061"/>
      <c r="H176" s="1061"/>
      <c r="I176" s="1061"/>
      <c r="J176" s="1062"/>
      <c r="K176" s="1076"/>
      <c r="L176" s="1073"/>
      <c r="M176" s="1073"/>
      <c r="N176" s="1074"/>
      <c r="O176" s="1074"/>
      <c r="P176" s="1075"/>
      <c r="Q176" s="1084"/>
      <c r="R176" s="1085"/>
      <c r="S176" s="1085"/>
      <c r="T176" s="1085"/>
      <c r="U176" s="1085"/>
      <c r="V176" s="1085"/>
      <c r="W176" s="1085"/>
      <c r="X176" s="1085"/>
      <c r="Y176" s="1085"/>
      <c r="Z176" s="1085"/>
      <c r="AA176" s="1085"/>
      <c r="AB176" s="1085"/>
      <c r="AC176" s="1085"/>
      <c r="AD176" s="1085"/>
      <c r="AE176" s="1085"/>
      <c r="AF176" s="1085"/>
      <c r="AG176" s="1085"/>
      <c r="AH176" s="1085"/>
      <c r="AI176" s="1085"/>
      <c r="AJ176" s="1085"/>
      <c r="AK176" s="1085"/>
      <c r="AL176" s="1085"/>
      <c r="AM176" s="1085"/>
      <c r="AN176" s="1085"/>
      <c r="AO176" s="1085"/>
      <c r="AP176" s="1085"/>
      <c r="AQ176" s="1085"/>
      <c r="AR176" s="1085"/>
      <c r="AS176" s="1085"/>
      <c r="AT176" s="1086"/>
      <c r="AU176" s="1063"/>
      <c r="AV176" s="1064"/>
      <c r="AW176" s="1065"/>
      <c r="AX176" s="1066"/>
      <c r="BQ176" s="552"/>
      <c r="BR176" s="311"/>
      <c r="BS176" s="552"/>
      <c r="BT176" s="553"/>
      <c r="BZ176" s="237"/>
    </row>
    <row r="177" spans="2:78" ht="18" customHeight="1">
      <c r="B177" s="1059" t="s">
        <v>1418</v>
      </c>
      <c r="C177" s="1060"/>
      <c r="D177" s="1060"/>
      <c r="E177" s="1060"/>
      <c r="F177" s="1060"/>
      <c r="G177" s="1061"/>
      <c r="H177" s="1061"/>
      <c r="I177" s="1061"/>
      <c r="J177" s="1062"/>
      <c r="K177" s="1067">
        <f>N146</f>
        <v>0</v>
      </c>
      <c r="L177" s="1068"/>
      <c r="M177" s="1068"/>
      <c r="N177" s="1069"/>
      <c r="O177" s="1069"/>
      <c r="P177" s="1070"/>
      <c r="Q177" s="1081"/>
      <c r="R177" s="1082"/>
      <c r="S177" s="1082"/>
      <c r="T177" s="1082"/>
      <c r="U177" s="1082"/>
      <c r="V177" s="1082"/>
      <c r="W177" s="1082"/>
      <c r="X177" s="1082"/>
      <c r="Y177" s="1082"/>
      <c r="Z177" s="1082"/>
      <c r="AA177" s="1082"/>
      <c r="AB177" s="1082"/>
      <c r="AC177" s="1082"/>
      <c r="AD177" s="1082"/>
      <c r="AE177" s="1082"/>
      <c r="AF177" s="1082"/>
      <c r="AG177" s="1082"/>
      <c r="AH177" s="1082"/>
      <c r="AI177" s="1082"/>
      <c r="AJ177" s="1082"/>
      <c r="AK177" s="1082"/>
      <c r="AL177" s="1082"/>
      <c r="AM177" s="1082"/>
      <c r="AN177" s="1082"/>
      <c r="AO177" s="1082"/>
      <c r="AP177" s="1082"/>
      <c r="AQ177" s="1082"/>
      <c r="AR177" s="1082"/>
      <c r="AS177" s="1082"/>
      <c r="AT177" s="1083"/>
      <c r="AU177" s="1063" t="str">
        <f xml:space="preserve">
IF(AND(K177&gt;0.5,COUNTA(Q177)&lt;&gt;1),"要入力",
IF(AND(K177&gt;0.5,COUNTA(Q177)=1),"入力済",
IF(K177&lt;=0.5,"入力"&amp;CHAR(10)&amp;"不要")))</f>
        <v>入力
不要</v>
      </c>
      <c r="AV177" s="1064"/>
      <c r="AW177" s="1065"/>
      <c r="AX177" s="1066"/>
      <c r="BQ177" s="552"/>
      <c r="BR177" s="311"/>
      <c r="BS177" s="552"/>
      <c r="BT177" s="553"/>
      <c r="BZ177" s="237"/>
    </row>
    <row r="178" spans="2:78" ht="18" customHeight="1">
      <c r="B178" s="1059"/>
      <c r="C178" s="1060"/>
      <c r="D178" s="1060"/>
      <c r="E178" s="1060"/>
      <c r="F178" s="1060"/>
      <c r="G178" s="1061"/>
      <c r="H178" s="1061"/>
      <c r="I178" s="1061"/>
      <c r="J178" s="1062"/>
      <c r="K178" s="1071"/>
      <c r="L178" s="1068"/>
      <c r="M178" s="1068"/>
      <c r="N178" s="1069"/>
      <c r="O178" s="1069"/>
      <c r="P178" s="1070"/>
      <c r="Q178" s="1084"/>
      <c r="R178" s="1085"/>
      <c r="S178" s="1085"/>
      <c r="T178" s="1085"/>
      <c r="U178" s="1085"/>
      <c r="V178" s="1085"/>
      <c r="W178" s="1085"/>
      <c r="X178" s="1085"/>
      <c r="Y178" s="1085"/>
      <c r="Z178" s="1085"/>
      <c r="AA178" s="1085"/>
      <c r="AB178" s="1085"/>
      <c r="AC178" s="1085"/>
      <c r="AD178" s="1085"/>
      <c r="AE178" s="1085"/>
      <c r="AF178" s="1085"/>
      <c r="AG178" s="1085"/>
      <c r="AH178" s="1085"/>
      <c r="AI178" s="1085"/>
      <c r="AJ178" s="1085"/>
      <c r="AK178" s="1085"/>
      <c r="AL178" s="1085"/>
      <c r="AM178" s="1085"/>
      <c r="AN178" s="1085"/>
      <c r="AO178" s="1085"/>
      <c r="AP178" s="1085"/>
      <c r="AQ178" s="1085"/>
      <c r="AR178" s="1085"/>
      <c r="AS178" s="1085"/>
      <c r="AT178" s="1086"/>
      <c r="AU178" s="1063"/>
      <c r="AV178" s="1064"/>
      <c r="AW178" s="1065"/>
      <c r="AX178" s="1066"/>
      <c r="BQ178" s="552"/>
      <c r="BR178" s="311"/>
      <c r="BS178" s="552"/>
      <c r="BT178" s="553"/>
      <c r="BZ178" s="237"/>
    </row>
    <row r="179" spans="2:78" ht="18" customHeight="1">
      <c r="B179" s="1059" t="s">
        <v>1419</v>
      </c>
      <c r="C179" s="1060"/>
      <c r="D179" s="1060"/>
      <c r="E179" s="1060"/>
      <c r="F179" s="1060"/>
      <c r="G179" s="1061"/>
      <c r="H179" s="1061"/>
      <c r="I179" s="1061"/>
      <c r="J179" s="1062"/>
      <c r="K179" s="1072">
        <f>N149</f>
        <v>0</v>
      </c>
      <c r="L179" s="1073"/>
      <c r="M179" s="1073"/>
      <c r="N179" s="1074"/>
      <c r="O179" s="1074"/>
      <c r="P179" s="1075"/>
      <c r="Q179" s="1081"/>
      <c r="R179" s="1082"/>
      <c r="S179" s="1082"/>
      <c r="T179" s="1082"/>
      <c r="U179" s="1082"/>
      <c r="V179" s="1082"/>
      <c r="W179" s="1082"/>
      <c r="X179" s="1082"/>
      <c r="Y179" s="1082"/>
      <c r="Z179" s="1082"/>
      <c r="AA179" s="1082"/>
      <c r="AB179" s="1082"/>
      <c r="AC179" s="1082"/>
      <c r="AD179" s="1082"/>
      <c r="AE179" s="1082"/>
      <c r="AF179" s="1082"/>
      <c r="AG179" s="1082"/>
      <c r="AH179" s="1082"/>
      <c r="AI179" s="1082"/>
      <c r="AJ179" s="1082"/>
      <c r="AK179" s="1082"/>
      <c r="AL179" s="1082"/>
      <c r="AM179" s="1082"/>
      <c r="AN179" s="1082"/>
      <c r="AO179" s="1082"/>
      <c r="AP179" s="1082"/>
      <c r="AQ179" s="1082"/>
      <c r="AR179" s="1082"/>
      <c r="AS179" s="1082"/>
      <c r="AT179" s="1083"/>
      <c r="AU179" s="1063" t="str">
        <f xml:space="preserve">
IF(AND(K179&gt;1,COUNTA(Q179)&lt;&gt;1),"要入力",
IF(AND(K179&gt;1,COUNTA(Q179)=1),"入力済",
IF(K179&lt;=1,"入力"&amp;CHAR(10)&amp;"不要")))</f>
        <v>入力
不要</v>
      </c>
      <c r="AV179" s="1064"/>
      <c r="AW179" s="1065"/>
      <c r="AX179" s="1066"/>
      <c r="BQ179" s="552"/>
      <c r="BR179" s="311"/>
      <c r="BS179" s="552"/>
      <c r="BT179" s="553"/>
      <c r="BZ179" s="237"/>
    </row>
    <row r="180" spans="2:78" ht="18" customHeight="1">
      <c r="B180" s="1059"/>
      <c r="C180" s="1060"/>
      <c r="D180" s="1060"/>
      <c r="E180" s="1060"/>
      <c r="F180" s="1060"/>
      <c r="G180" s="1061"/>
      <c r="H180" s="1061"/>
      <c r="I180" s="1061"/>
      <c r="J180" s="1062"/>
      <c r="K180" s="1076"/>
      <c r="L180" s="1073"/>
      <c r="M180" s="1073"/>
      <c r="N180" s="1074"/>
      <c r="O180" s="1074"/>
      <c r="P180" s="1075"/>
      <c r="Q180" s="1084"/>
      <c r="R180" s="1085"/>
      <c r="S180" s="1085"/>
      <c r="T180" s="1085"/>
      <c r="U180" s="1085"/>
      <c r="V180" s="1085"/>
      <c r="W180" s="1085"/>
      <c r="X180" s="1085"/>
      <c r="Y180" s="1085"/>
      <c r="Z180" s="1085"/>
      <c r="AA180" s="1085"/>
      <c r="AB180" s="1085"/>
      <c r="AC180" s="1085"/>
      <c r="AD180" s="1085"/>
      <c r="AE180" s="1085"/>
      <c r="AF180" s="1085"/>
      <c r="AG180" s="1085"/>
      <c r="AH180" s="1085"/>
      <c r="AI180" s="1085"/>
      <c r="AJ180" s="1085"/>
      <c r="AK180" s="1085"/>
      <c r="AL180" s="1085"/>
      <c r="AM180" s="1085"/>
      <c r="AN180" s="1085"/>
      <c r="AO180" s="1085"/>
      <c r="AP180" s="1085"/>
      <c r="AQ180" s="1085"/>
      <c r="AR180" s="1085"/>
      <c r="AS180" s="1085"/>
      <c r="AT180" s="1086"/>
      <c r="AU180" s="1063"/>
      <c r="AV180" s="1064"/>
      <c r="AW180" s="1065"/>
      <c r="AX180" s="1066"/>
      <c r="BQ180" s="552"/>
      <c r="BR180" s="311"/>
      <c r="BS180" s="552"/>
      <c r="BT180" s="553"/>
      <c r="BZ180" s="237"/>
    </row>
    <row r="181" spans="2:78" ht="18" customHeight="1">
      <c r="B181" s="1059" t="s">
        <v>1420</v>
      </c>
      <c r="C181" s="1060"/>
      <c r="D181" s="1060"/>
      <c r="E181" s="1060"/>
      <c r="F181" s="1060"/>
      <c r="G181" s="1061"/>
      <c r="H181" s="1061"/>
      <c r="I181" s="1061"/>
      <c r="J181" s="1062"/>
      <c r="K181" s="1072">
        <f>N152</f>
        <v>0</v>
      </c>
      <c r="L181" s="1073"/>
      <c r="M181" s="1073"/>
      <c r="N181" s="1074"/>
      <c r="O181" s="1074"/>
      <c r="P181" s="1075"/>
      <c r="Q181" s="1081"/>
      <c r="R181" s="1082"/>
      <c r="S181" s="1082"/>
      <c r="T181" s="1082"/>
      <c r="U181" s="1082"/>
      <c r="V181" s="1082"/>
      <c r="W181" s="1082"/>
      <c r="X181" s="1082"/>
      <c r="Y181" s="1082"/>
      <c r="Z181" s="1082"/>
      <c r="AA181" s="1082"/>
      <c r="AB181" s="1082"/>
      <c r="AC181" s="1082"/>
      <c r="AD181" s="1082"/>
      <c r="AE181" s="1082"/>
      <c r="AF181" s="1082"/>
      <c r="AG181" s="1082"/>
      <c r="AH181" s="1082"/>
      <c r="AI181" s="1082"/>
      <c r="AJ181" s="1082"/>
      <c r="AK181" s="1082"/>
      <c r="AL181" s="1082"/>
      <c r="AM181" s="1082"/>
      <c r="AN181" s="1082"/>
      <c r="AO181" s="1082"/>
      <c r="AP181" s="1082"/>
      <c r="AQ181" s="1082"/>
      <c r="AR181" s="1082"/>
      <c r="AS181" s="1082"/>
      <c r="AT181" s="1083"/>
      <c r="AU181" s="1063" t="str">
        <f xml:space="preserve">
IF(AND(K181&gt;0.5,COUNTA(Q181)&lt;&gt;1),"要入力",
IF(AND(K181&gt;0.5,COUNTA(Q181)=1),"入力済",
IF(K181&lt;=0.5,"入力"&amp;CHAR(10)&amp;"不要")))</f>
        <v>入力
不要</v>
      </c>
      <c r="AV181" s="1064"/>
      <c r="AW181" s="1065"/>
      <c r="AX181" s="1066"/>
      <c r="BQ181" s="552"/>
      <c r="BR181" s="311"/>
      <c r="BS181" s="552"/>
      <c r="BT181" s="553"/>
      <c r="BZ181" s="237"/>
    </row>
    <row r="182" spans="2:78" ht="18" customHeight="1" thickBot="1">
      <c r="B182" s="1059"/>
      <c r="C182" s="1060"/>
      <c r="D182" s="1060"/>
      <c r="E182" s="1060"/>
      <c r="F182" s="1060"/>
      <c r="G182" s="1061"/>
      <c r="H182" s="1061"/>
      <c r="I182" s="1061"/>
      <c r="J182" s="1062"/>
      <c r="K182" s="1076"/>
      <c r="L182" s="1073"/>
      <c r="M182" s="1073"/>
      <c r="N182" s="1074"/>
      <c r="O182" s="1074"/>
      <c r="P182" s="1075"/>
      <c r="Q182" s="1084"/>
      <c r="R182" s="1085"/>
      <c r="S182" s="1085"/>
      <c r="T182" s="1085"/>
      <c r="U182" s="1085"/>
      <c r="V182" s="1085"/>
      <c r="W182" s="1085"/>
      <c r="X182" s="1085"/>
      <c r="Y182" s="1085"/>
      <c r="Z182" s="1085"/>
      <c r="AA182" s="1085"/>
      <c r="AB182" s="1085"/>
      <c r="AC182" s="1085"/>
      <c r="AD182" s="1085"/>
      <c r="AE182" s="1085"/>
      <c r="AF182" s="1085"/>
      <c r="AG182" s="1085"/>
      <c r="AH182" s="1085"/>
      <c r="AI182" s="1085"/>
      <c r="AJ182" s="1085"/>
      <c r="AK182" s="1085"/>
      <c r="AL182" s="1085"/>
      <c r="AM182" s="1085"/>
      <c r="AN182" s="1085"/>
      <c r="AO182" s="1085"/>
      <c r="AP182" s="1085"/>
      <c r="AQ182" s="1085"/>
      <c r="AR182" s="1085"/>
      <c r="AS182" s="1085"/>
      <c r="AT182" s="1086"/>
      <c r="AU182" s="1077"/>
      <c r="AV182" s="1078"/>
      <c r="AW182" s="1079"/>
      <c r="AX182" s="1080"/>
      <c r="BQ182" s="552"/>
      <c r="BR182" s="311"/>
      <c r="BS182" s="552"/>
      <c r="BT182" s="553"/>
      <c r="BZ182" s="237"/>
    </row>
    <row r="183" spans="2:78" ht="18.75" thickTop="1">
      <c r="BQ183" s="552"/>
      <c r="BR183" s="311"/>
      <c r="BS183" s="552"/>
      <c r="BT183" s="553"/>
      <c r="BZ183" s="237"/>
    </row>
    <row r="184" spans="2:78">
      <c r="BQ184" s="552"/>
      <c r="BR184" s="311"/>
      <c r="BS184" s="552"/>
      <c r="BT184" s="553"/>
      <c r="BZ184" s="237"/>
    </row>
    <row r="185" spans="2:78">
      <c r="BQ185" s="552"/>
      <c r="BR185" s="311"/>
      <c r="BS185" s="552"/>
      <c r="BT185" s="553"/>
      <c r="BZ185" s="237"/>
    </row>
    <row r="186" spans="2:78">
      <c r="BQ186" s="552"/>
      <c r="BR186" s="311"/>
      <c r="BS186" s="552"/>
      <c r="BT186" s="553"/>
      <c r="BZ186" s="237"/>
    </row>
    <row r="187" spans="2:78">
      <c r="BQ187" s="552"/>
      <c r="BR187" s="311"/>
      <c r="BS187" s="552"/>
      <c r="BT187" s="553"/>
      <c r="BZ187" s="237"/>
    </row>
    <row r="188" spans="2:78">
      <c r="BQ188" s="552"/>
      <c r="BR188" s="311"/>
      <c r="BS188" s="552"/>
      <c r="BT188" s="553"/>
      <c r="BZ188" s="237"/>
    </row>
    <row r="189" spans="2:78">
      <c r="BQ189" s="552"/>
      <c r="BR189" s="311"/>
      <c r="BS189" s="552"/>
      <c r="BT189" s="553"/>
      <c r="BZ189" s="237"/>
    </row>
    <row r="190" spans="2:78">
      <c r="BQ190" s="552"/>
      <c r="BR190" s="311"/>
      <c r="BS190" s="552"/>
      <c r="BT190" s="553"/>
      <c r="BZ190" s="237"/>
    </row>
    <row r="191" spans="2:78">
      <c r="BQ191" s="552"/>
      <c r="BR191" s="311"/>
      <c r="BS191" s="552"/>
      <c r="BT191" s="553"/>
      <c r="BZ191" s="237"/>
    </row>
    <row r="192" spans="2:78">
      <c r="BQ192" s="552"/>
      <c r="BR192" s="311"/>
      <c r="BS192" s="552"/>
      <c r="BT192" s="553"/>
      <c r="BZ192" s="237"/>
    </row>
    <row r="193" spans="69:78">
      <c r="BQ193" s="552"/>
      <c r="BR193" s="311"/>
      <c r="BS193" s="552"/>
      <c r="BT193" s="553"/>
      <c r="BZ193" s="237"/>
    </row>
    <row r="194" spans="69:78">
      <c r="BQ194" s="552"/>
      <c r="BR194" s="311"/>
      <c r="BS194" s="552"/>
      <c r="BT194" s="553"/>
      <c r="BZ194" s="237"/>
    </row>
    <row r="195" spans="69:78">
      <c r="BQ195" s="552"/>
      <c r="BR195" s="311"/>
      <c r="BS195" s="552"/>
      <c r="BT195" s="553"/>
      <c r="BZ195" s="237"/>
    </row>
    <row r="196" spans="69:78">
      <c r="BQ196" s="552"/>
      <c r="BR196" s="311"/>
      <c r="BS196" s="552"/>
      <c r="BT196" s="553"/>
      <c r="BZ196" s="237"/>
    </row>
    <row r="197" spans="69:78">
      <c r="BQ197" s="552"/>
      <c r="BR197" s="311"/>
      <c r="BS197" s="552"/>
      <c r="BT197" s="553"/>
      <c r="BZ197" s="237"/>
    </row>
    <row r="198" spans="69:78">
      <c r="BQ198" s="552"/>
      <c r="BR198" s="311"/>
      <c r="BS198" s="552"/>
      <c r="BT198" s="553"/>
      <c r="BZ198" s="237"/>
    </row>
    <row r="199" spans="69:78">
      <c r="BQ199" s="552"/>
      <c r="BR199" s="311"/>
      <c r="BS199" s="552"/>
      <c r="BT199" s="553"/>
      <c r="BZ199" s="237"/>
    </row>
    <row r="200" spans="69:78">
      <c r="BQ200" s="552"/>
      <c r="BR200" s="311"/>
      <c r="BS200" s="552"/>
      <c r="BT200" s="553"/>
      <c r="BZ200" s="237"/>
    </row>
    <row r="201" spans="69:78">
      <c r="BQ201" s="552"/>
      <c r="BR201" s="311"/>
      <c r="BS201" s="552"/>
      <c r="BT201" s="553"/>
      <c r="BZ201" s="237"/>
    </row>
    <row r="202" spans="69:78">
      <c r="BQ202" s="552"/>
      <c r="BR202" s="311"/>
      <c r="BS202" s="552"/>
      <c r="BT202" s="553"/>
      <c r="BZ202" s="237"/>
    </row>
    <row r="203" spans="69:78">
      <c r="BQ203" s="552"/>
      <c r="BR203" s="311"/>
      <c r="BS203" s="552"/>
      <c r="BT203" s="553"/>
      <c r="BZ203" s="237"/>
    </row>
    <row r="204" spans="69:78">
      <c r="BQ204" s="552"/>
      <c r="BR204" s="311"/>
      <c r="BS204" s="552"/>
      <c r="BT204" s="553"/>
      <c r="BZ204" s="237"/>
    </row>
    <row r="205" spans="69:78">
      <c r="BQ205" s="552"/>
      <c r="BR205" s="311"/>
      <c r="BS205" s="552"/>
      <c r="BT205" s="553"/>
      <c r="BZ205" s="237"/>
    </row>
    <row r="206" spans="69:78">
      <c r="BQ206" s="552"/>
      <c r="BR206" s="311"/>
      <c r="BS206" s="552"/>
      <c r="BT206" s="553"/>
      <c r="BZ206" s="237"/>
    </row>
    <row r="207" spans="69:78">
      <c r="BQ207" s="552"/>
      <c r="BR207" s="311"/>
      <c r="BS207" s="552"/>
      <c r="BT207" s="553"/>
      <c r="BZ207" s="237"/>
    </row>
    <row r="208" spans="69:78">
      <c r="BQ208" s="552"/>
      <c r="BR208" s="311"/>
      <c r="BS208" s="552"/>
      <c r="BT208" s="553"/>
      <c r="BZ208" s="237"/>
    </row>
    <row r="209" spans="69:78">
      <c r="BQ209" s="552"/>
      <c r="BR209" s="311"/>
      <c r="BS209" s="552"/>
      <c r="BT209" s="553"/>
      <c r="BZ209" s="237"/>
    </row>
    <row r="210" spans="69:78">
      <c r="BQ210" s="552"/>
      <c r="BR210" s="311"/>
      <c r="BS210" s="552"/>
      <c r="BT210" s="553"/>
      <c r="BZ210" s="237"/>
    </row>
    <row r="211" spans="69:78">
      <c r="BQ211" s="552"/>
      <c r="BR211" s="311"/>
      <c r="BS211" s="552"/>
      <c r="BT211" s="553"/>
      <c r="BZ211" s="237"/>
    </row>
    <row r="212" spans="69:78">
      <c r="BQ212" s="552"/>
      <c r="BR212" s="311"/>
      <c r="BS212" s="552"/>
      <c r="BT212" s="553"/>
      <c r="BZ212" s="237"/>
    </row>
    <row r="213" spans="69:78">
      <c r="BQ213" s="552"/>
      <c r="BR213" s="311"/>
      <c r="BS213" s="552"/>
      <c r="BT213" s="553"/>
      <c r="BZ213" s="237"/>
    </row>
    <row r="214" spans="69:78">
      <c r="BQ214" s="552"/>
      <c r="BR214" s="311"/>
      <c r="BS214" s="552"/>
      <c r="BT214" s="553"/>
      <c r="BZ214" s="237"/>
    </row>
    <row r="215" spans="69:78">
      <c r="BQ215" s="552"/>
      <c r="BR215" s="311"/>
      <c r="BS215" s="552"/>
      <c r="BT215" s="553"/>
      <c r="BZ215" s="237"/>
    </row>
    <row r="216" spans="69:78">
      <c r="BQ216" s="552"/>
      <c r="BR216" s="311"/>
      <c r="BS216" s="552"/>
      <c r="BT216" s="553"/>
      <c r="BZ216" s="237"/>
    </row>
    <row r="217" spans="69:78">
      <c r="BQ217" s="552"/>
      <c r="BR217" s="311"/>
      <c r="BS217" s="552"/>
      <c r="BT217" s="553"/>
      <c r="BZ217" s="237"/>
    </row>
    <row r="218" spans="69:78">
      <c r="BQ218" s="552"/>
      <c r="BR218" s="311"/>
      <c r="BS218" s="552"/>
      <c r="BT218" s="553"/>
      <c r="BZ218" s="237"/>
    </row>
    <row r="219" spans="69:78">
      <c r="BQ219" s="552"/>
      <c r="BR219" s="311"/>
      <c r="BS219" s="552"/>
      <c r="BT219" s="553"/>
      <c r="BZ219" s="237"/>
    </row>
    <row r="220" spans="69:78">
      <c r="BQ220" s="552"/>
      <c r="BR220" s="311"/>
      <c r="BS220" s="552"/>
      <c r="BT220" s="553"/>
      <c r="BZ220" s="237"/>
    </row>
    <row r="221" spans="69:78">
      <c r="BQ221" s="552"/>
      <c r="BR221" s="311"/>
      <c r="BS221" s="552"/>
      <c r="BT221" s="553"/>
      <c r="BZ221" s="237"/>
    </row>
    <row r="222" spans="69:78">
      <c r="BQ222" s="552"/>
      <c r="BR222" s="311"/>
      <c r="BS222" s="552"/>
      <c r="BT222" s="553"/>
      <c r="BZ222" s="237"/>
    </row>
    <row r="223" spans="69:78">
      <c r="BQ223" s="552"/>
      <c r="BR223" s="311"/>
      <c r="BS223" s="552"/>
      <c r="BT223" s="553"/>
      <c r="BZ223" s="237"/>
    </row>
    <row r="224" spans="69:78">
      <c r="BQ224" s="552"/>
      <c r="BR224" s="311"/>
      <c r="BS224" s="552"/>
      <c r="BT224" s="553"/>
      <c r="BZ224" s="237"/>
    </row>
    <row r="225" spans="69:78">
      <c r="BQ225" s="552"/>
      <c r="BR225" s="311"/>
      <c r="BS225" s="552"/>
      <c r="BT225" s="553"/>
      <c r="BZ225" s="237"/>
    </row>
    <row r="226" spans="69:78">
      <c r="BQ226" s="552"/>
      <c r="BR226" s="311"/>
      <c r="BS226" s="552"/>
      <c r="BT226" s="553"/>
      <c r="BZ226" s="237"/>
    </row>
    <row r="227" spans="69:78">
      <c r="BQ227" s="552"/>
      <c r="BR227" s="311"/>
      <c r="BS227" s="552"/>
      <c r="BT227" s="553"/>
      <c r="BZ227" s="237"/>
    </row>
    <row r="228" spans="69:78">
      <c r="BQ228" s="552"/>
      <c r="BR228" s="311"/>
      <c r="BS228" s="552"/>
      <c r="BT228" s="553"/>
      <c r="BZ228" s="237"/>
    </row>
    <row r="229" spans="69:78">
      <c r="BQ229" s="552"/>
      <c r="BR229" s="311"/>
      <c r="BS229" s="552"/>
      <c r="BT229" s="553"/>
      <c r="BZ229" s="237"/>
    </row>
    <row r="230" spans="69:78">
      <c r="BQ230" s="552"/>
      <c r="BR230" s="311"/>
      <c r="BS230" s="552"/>
      <c r="BT230" s="553"/>
      <c r="BZ230" s="237"/>
    </row>
    <row r="231" spans="69:78">
      <c r="BQ231" s="552"/>
      <c r="BR231" s="311"/>
      <c r="BS231" s="552"/>
      <c r="BT231" s="553"/>
      <c r="BZ231" s="237"/>
    </row>
    <row r="232" spans="69:78">
      <c r="BQ232" s="552"/>
      <c r="BR232" s="311"/>
      <c r="BS232" s="552"/>
      <c r="BT232" s="553"/>
      <c r="BZ232" s="237"/>
    </row>
    <row r="233" spans="69:78">
      <c r="BQ233" s="552"/>
      <c r="BR233" s="311"/>
      <c r="BS233" s="552"/>
      <c r="BT233" s="553"/>
      <c r="BZ233" s="237"/>
    </row>
    <row r="234" spans="69:78">
      <c r="BQ234" s="552"/>
      <c r="BR234" s="311"/>
      <c r="BS234" s="552"/>
      <c r="BT234" s="553"/>
      <c r="BZ234" s="237"/>
    </row>
    <row r="235" spans="69:78">
      <c r="BQ235" s="552"/>
      <c r="BR235" s="311"/>
      <c r="BS235" s="552"/>
      <c r="BT235" s="553"/>
      <c r="BZ235" s="237"/>
    </row>
    <row r="236" spans="69:78">
      <c r="BQ236" s="552"/>
      <c r="BR236" s="311"/>
      <c r="BS236" s="552"/>
      <c r="BT236" s="553"/>
      <c r="BZ236" s="237"/>
    </row>
    <row r="237" spans="69:78">
      <c r="BQ237" s="552"/>
      <c r="BR237" s="311"/>
      <c r="BS237" s="552"/>
      <c r="BT237" s="553"/>
      <c r="BZ237" s="237"/>
    </row>
    <row r="238" spans="69:78">
      <c r="BQ238" s="552"/>
      <c r="BR238" s="311"/>
      <c r="BS238" s="552"/>
      <c r="BT238" s="553"/>
      <c r="BZ238" s="237"/>
    </row>
    <row r="239" spans="69:78">
      <c r="BQ239" s="552"/>
      <c r="BR239" s="311"/>
      <c r="BS239" s="552"/>
      <c r="BT239" s="553"/>
      <c r="BZ239" s="237"/>
    </row>
    <row r="240" spans="69:78">
      <c r="BQ240" s="552"/>
      <c r="BR240" s="311"/>
      <c r="BS240" s="552"/>
      <c r="BT240" s="553"/>
      <c r="BZ240" s="237"/>
    </row>
    <row r="241" spans="69:78">
      <c r="BQ241" s="552"/>
      <c r="BR241" s="311"/>
      <c r="BS241" s="552"/>
      <c r="BT241" s="553"/>
      <c r="BZ241" s="237"/>
    </row>
    <row r="242" spans="69:78">
      <c r="BQ242" s="552"/>
      <c r="BR242" s="311"/>
      <c r="BS242" s="552"/>
      <c r="BT242" s="553"/>
      <c r="BZ242" s="237"/>
    </row>
    <row r="243" spans="69:78">
      <c r="BQ243" s="552"/>
      <c r="BR243" s="311"/>
      <c r="BS243" s="552"/>
      <c r="BT243" s="553"/>
      <c r="BZ243" s="237"/>
    </row>
    <row r="244" spans="69:78">
      <c r="BQ244" s="552"/>
      <c r="BR244" s="311"/>
      <c r="BS244" s="552"/>
      <c r="BT244" s="553"/>
      <c r="BZ244" s="237"/>
    </row>
    <row r="245" spans="69:78">
      <c r="BQ245" s="552"/>
      <c r="BR245" s="311"/>
      <c r="BS245" s="552"/>
      <c r="BT245" s="553"/>
      <c r="BZ245" s="237"/>
    </row>
    <row r="246" spans="69:78">
      <c r="BQ246" s="552"/>
      <c r="BR246" s="311"/>
      <c r="BS246" s="552"/>
      <c r="BT246" s="553"/>
      <c r="BZ246" s="237"/>
    </row>
    <row r="247" spans="69:78">
      <c r="BQ247" s="552"/>
      <c r="BR247" s="311"/>
      <c r="BS247" s="552"/>
      <c r="BT247" s="553"/>
      <c r="BZ247" s="237"/>
    </row>
    <row r="248" spans="69:78">
      <c r="BQ248" s="552"/>
      <c r="BR248" s="311"/>
      <c r="BS248" s="552"/>
      <c r="BT248" s="553"/>
      <c r="BZ248" s="237"/>
    </row>
    <row r="249" spans="69:78">
      <c r="BQ249" s="552"/>
      <c r="BR249" s="311"/>
      <c r="BS249" s="552"/>
      <c r="BT249" s="553"/>
      <c r="BZ249" s="237"/>
    </row>
    <row r="250" spans="69:78">
      <c r="BQ250" s="552"/>
      <c r="BR250" s="311"/>
      <c r="BS250" s="552"/>
      <c r="BT250" s="553"/>
      <c r="BZ250" s="237"/>
    </row>
    <row r="251" spans="69:78">
      <c r="BQ251" s="552"/>
      <c r="BR251" s="311"/>
      <c r="BS251" s="552"/>
      <c r="BT251" s="553"/>
      <c r="BZ251" s="237"/>
    </row>
    <row r="252" spans="69:78">
      <c r="BQ252" s="552"/>
      <c r="BR252" s="311"/>
      <c r="BS252" s="552"/>
      <c r="BT252" s="553"/>
    </row>
    <row r="253" spans="69:78">
      <c r="BQ253" s="552"/>
      <c r="BR253" s="311"/>
      <c r="BS253" s="552"/>
      <c r="BT253" s="553"/>
    </row>
    <row r="254" spans="69:78">
      <c r="BQ254" s="552"/>
      <c r="BR254" s="311"/>
      <c r="BS254" s="552"/>
      <c r="BT254" s="553"/>
    </row>
    <row r="255" spans="69:78">
      <c r="BQ255" s="552"/>
      <c r="BR255" s="311"/>
      <c r="BS255" s="552"/>
      <c r="BT255" s="553"/>
    </row>
    <row r="256" spans="69:78">
      <c r="BQ256" s="552"/>
      <c r="BR256" s="311"/>
      <c r="BS256" s="552"/>
      <c r="BT256" s="553"/>
    </row>
    <row r="257" spans="69:72">
      <c r="BQ257" s="552"/>
      <c r="BR257" s="311"/>
      <c r="BS257" s="552"/>
      <c r="BT257" s="553"/>
    </row>
    <row r="258" spans="69:72">
      <c r="BQ258" s="552"/>
      <c r="BR258" s="311"/>
      <c r="BS258" s="552"/>
      <c r="BT258" s="553"/>
    </row>
    <row r="259" spans="69:72">
      <c r="BQ259" s="552"/>
      <c r="BR259" s="311"/>
      <c r="BS259" s="552"/>
      <c r="BT259" s="553"/>
    </row>
    <row r="260" spans="69:72">
      <c r="BQ260" s="552"/>
      <c r="BR260" s="311"/>
      <c r="BS260" s="552"/>
      <c r="BT260" s="553"/>
    </row>
    <row r="261" spans="69:72">
      <c r="BQ261" s="552"/>
      <c r="BR261" s="311"/>
      <c r="BS261" s="552"/>
      <c r="BT261" s="553"/>
    </row>
    <row r="262" spans="69:72">
      <c r="BQ262" s="552"/>
      <c r="BR262" s="311"/>
      <c r="BS262" s="552"/>
      <c r="BT262" s="553"/>
    </row>
    <row r="263" spans="69:72">
      <c r="BQ263" s="552"/>
      <c r="BR263" s="311"/>
      <c r="BS263" s="552"/>
      <c r="BT263" s="553"/>
    </row>
    <row r="264" spans="69:72">
      <c r="BQ264" s="552"/>
      <c r="BR264" s="311"/>
      <c r="BS264" s="552"/>
      <c r="BT264" s="553"/>
    </row>
    <row r="265" spans="69:72">
      <c r="BQ265" s="552"/>
      <c r="BR265" s="311"/>
      <c r="BS265" s="552"/>
      <c r="BT265" s="553"/>
    </row>
  </sheetData>
  <sheetProtection algorithmName="SHA-512" hashValue="qIU7V+WlSQ0g4l85oBhVSnqJdLyQLMpypjUp0898Z/3814B0QEL+50ydOfBDPudpR7s0YvuR8cAzVcHvqo489Q==" saltValue="BEmfxOchLuylxHpl8hqB5w==" spinCount="100000" sheet="1" objects="1" scenarios="1"/>
  <mergeCells count="583">
    <mergeCell ref="AW56:AY56"/>
    <mergeCell ref="AW57:AY57"/>
    <mergeCell ref="B60:I60"/>
    <mergeCell ref="AO60:AQ60"/>
    <mergeCell ref="AR60:AT60"/>
    <mergeCell ref="AU60:AU61"/>
    <mergeCell ref="B61:I61"/>
    <mergeCell ref="AO61:AQ61"/>
    <mergeCell ref="AR61:AT61"/>
    <mergeCell ref="B53:I53"/>
    <mergeCell ref="AO53:AQ53"/>
    <mergeCell ref="AR53:AT53"/>
    <mergeCell ref="AU53:AU54"/>
    <mergeCell ref="B54:I54"/>
    <mergeCell ref="AO54:AQ54"/>
    <mergeCell ref="AR54:AT54"/>
    <mergeCell ref="B56:I58"/>
    <mergeCell ref="J56:AN56"/>
    <mergeCell ref="AO56:AQ57"/>
    <mergeCell ref="AR56:AT57"/>
    <mergeCell ref="AO58:AQ58"/>
    <mergeCell ref="AR58:AT58"/>
    <mergeCell ref="AU46:AU47"/>
    <mergeCell ref="B47:I47"/>
    <mergeCell ref="AO47:AQ47"/>
    <mergeCell ref="AR47:AT47"/>
    <mergeCell ref="B49:I51"/>
    <mergeCell ref="J49:AN49"/>
    <mergeCell ref="AO49:AQ50"/>
    <mergeCell ref="AR49:AT50"/>
    <mergeCell ref="AO51:AQ51"/>
    <mergeCell ref="AR51:AT51"/>
    <mergeCell ref="B42:I44"/>
    <mergeCell ref="J42:AN42"/>
    <mergeCell ref="AO42:AQ43"/>
    <mergeCell ref="AR42:AT43"/>
    <mergeCell ref="AO44:AQ44"/>
    <mergeCell ref="AR44:AT44"/>
    <mergeCell ref="B46:I46"/>
    <mergeCell ref="AO46:AQ46"/>
    <mergeCell ref="AR46:AT46"/>
    <mergeCell ref="B15:AY15"/>
    <mergeCell ref="B20:AY20"/>
    <mergeCell ref="E70:H70"/>
    <mergeCell ref="I70:L70"/>
    <mergeCell ref="BA15:BD15"/>
    <mergeCell ref="A2:AY2"/>
    <mergeCell ref="B4:AX4"/>
    <mergeCell ref="B5:AX5"/>
    <mergeCell ref="B6:AX6"/>
    <mergeCell ref="B7:AX7"/>
    <mergeCell ref="B8:AX8"/>
    <mergeCell ref="BA19:BE19"/>
    <mergeCell ref="BA20:BE20"/>
    <mergeCell ref="BA16:BD16"/>
    <mergeCell ref="BA18:BE18"/>
    <mergeCell ref="B16:F17"/>
    <mergeCell ref="L16:P17"/>
    <mergeCell ref="Q16:U17"/>
    <mergeCell ref="B18:F19"/>
    <mergeCell ref="L18:M19"/>
    <mergeCell ref="N18:N19"/>
    <mergeCell ref="X18:X19"/>
    <mergeCell ref="Y18:Z19"/>
    <mergeCell ref="AA18:AB19"/>
    <mergeCell ref="AK66:AN66"/>
    <mergeCell ref="B78:AY78"/>
    <mergeCell ref="B79:AY79"/>
    <mergeCell ref="B80:AY80"/>
    <mergeCell ref="E71:H71"/>
    <mergeCell ref="I71:L71"/>
    <mergeCell ref="M71:P71"/>
    <mergeCell ref="Q71:T71"/>
    <mergeCell ref="AC68:AF68"/>
    <mergeCell ref="AG68:AJ68"/>
    <mergeCell ref="AK68:AN68"/>
    <mergeCell ref="AO68:AR68"/>
    <mergeCell ref="AS68:AV75"/>
    <mergeCell ref="AW68:AX75"/>
    <mergeCell ref="AO69:AR69"/>
    <mergeCell ref="AG70:AJ70"/>
    <mergeCell ref="AK70:AN70"/>
    <mergeCell ref="AO70:AR70"/>
    <mergeCell ref="AG71:AJ71"/>
    <mergeCell ref="AK71:AN71"/>
    <mergeCell ref="E69:H69"/>
    <mergeCell ref="I69:L69"/>
    <mergeCell ref="M69:P69"/>
    <mergeCell ref="Q69:T69"/>
    <mergeCell ref="B9:AX9"/>
    <mergeCell ref="B10:AX11"/>
    <mergeCell ref="B12:AX12"/>
    <mergeCell ref="B14:AY14"/>
    <mergeCell ref="E64:AR64"/>
    <mergeCell ref="AS64:AX64"/>
    <mergeCell ref="AO66:AR66"/>
    <mergeCell ref="E67:H67"/>
    <mergeCell ref="I67:L67"/>
    <mergeCell ref="M67:P67"/>
    <mergeCell ref="Q67:T67"/>
    <mergeCell ref="U67:X67"/>
    <mergeCell ref="Y67:AB67"/>
    <mergeCell ref="AC67:AF67"/>
    <mergeCell ref="AG67:AJ67"/>
    <mergeCell ref="AK67:AN67"/>
    <mergeCell ref="AO67:AR67"/>
    <mergeCell ref="B63:AY63"/>
    <mergeCell ref="AO25:AQ25"/>
    <mergeCell ref="AO26:AQ26"/>
    <mergeCell ref="B25:I25"/>
    <mergeCell ref="B26:I26"/>
    <mergeCell ref="AC18:AC19"/>
    <mergeCell ref="AD18:AE19"/>
    <mergeCell ref="AZ64:BP64"/>
    <mergeCell ref="B65:D67"/>
    <mergeCell ref="E65:H65"/>
    <mergeCell ref="I65:L65"/>
    <mergeCell ref="M65:P65"/>
    <mergeCell ref="Q65:T65"/>
    <mergeCell ref="AS65:AV67"/>
    <mergeCell ref="AW65:AX67"/>
    <mergeCell ref="AZ65:BP67"/>
    <mergeCell ref="E66:H66"/>
    <mergeCell ref="I66:L66"/>
    <mergeCell ref="M66:P66"/>
    <mergeCell ref="Q66:T66"/>
    <mergeCell ref="U66:X66"/>
    <mergeCell ref="Y66:AB66"/>
    <mergeCell ref="AC66:AF66"/>
    <mergeCell ref="U65:X65"/>
    <mergeCell ref="Y65:AB65"/>
    <mergeCell ref="AC65:AF65"/>
    <mergeCell ref="AG65:AJ65"/>
    <mergeCell ref="B64:D64"/>
    <mergeCell ref="AK65:AN65"/>
    <mergeCell ref="AO65:AR65"/>
    <mergeCell ref="AG66:AJ66"/>
    <mergeCell ref="U69:X69"/>
    <mergeCell ref="Y69:AB69"/>
    <mergeCell ref="AC69:AF69"/>
    <mergeCell ref="AG69:AJ69"/>
    <mergeCell ref="AK69:AN69"/>
    <mergeCell ref="M70:P70"/>
    <mergeCell ref="Q70:T70"/>
    <mergeCell ref="U70:X70"/>
    <mergeCell ref="Y70:AB70"/>
    <mergeCell ref="AC70:AF70"/>
    <mergeCell ref="AO71:AR71"/>
    <mergeCell ref="AO72:AR72"/>
    <mergeCell ref="E73:H73"/>
    <mergeCell ref="I73:L73"/>
    <mergeCell ref="M73:P73"/>
    <mergeCell ref="Q73:T73"/>
    <mergeCell ref="U73:X73"/>
    <mergeCell ref="Y73:AB73"/>
    <mergeCell ref="AC73:AF73"/>
    <mergeCell ref="AG73:AJ73"/>
    <mergeCell ref="AK73:AN73"/>
    <mergeCell ref="AO73:AR73"/>
    <mergeCell ref="E72:H72"/>
    <mergeCell ref="I72:L72"/>
    <mergeCell ref="M72:P72"/>
    <mergeCell ref="Q72:T72"/>
    <mergeCell ref="U72:X72"/>
    <mergeCell ref="Y72:AB72"/>
    <mergeCell ref="AC72:AF72"/>
    <mergeCell ref="AG72:AJ72"/>
    <mergeCell ref="AK72:AN72"/>
    <mergeCell ref="U71:X71"/>
    <mergeCell ref="Y71:AB71"/>
    <mergeCell ref="AC71:AF71"/>
    <mergeCell ref="AO75:AR75"/>
    <mergeCell ref="E74:H74"/>
    <mergeCell ref="I74:L74"/>
    <mergeCell ref="M74:P74"/>
    <mergeCell ref="Q74:T74"/>
    <mergeCell ref="U74:X74"/>
    <mergeCell ref="Y74:AB74"/>
    <mergeCell ref="AC74:AF74"/>
    <mergeCell ref="AG74:AJ74"/>
    <mergeCell ref="AK74:AN74"/>
    <mergeCell ref="AO74:AR74"/>
    <mergeCell ref="AC75:AF75"/>
    <mergeCell ref="AG75:AJ75"/>
    <mergeCell ref="AK75:AN75"/>
    <mergeCell ref="AZ88:BO88"/>
    <mergeCell ref="AK87:AO87"/>
    <mergeCell ref="AG87:AJ87"/>
    <mergeCell ref="AG89:AJ89"/>
    <mergeCell ref="AC87:AF87"/>
    <mergeCell ref="AZ68:BP75"/>
    <mergeCell ref="AK85:AO85"/>
    <mergeCell ref="AZ86:BO86"/>
    <mergeCell ref="AZ84:BO84"/>
    <mergeCell ref="AZ85:BO85"/>
    <mergeCell ref="B77:AY77"/>
    <mergeCell ref="AK83:AO83"/>
    <mergeCell ref="AP83:AX83"/>
    <mergeCell ref="AK84:AO84"/>
    <mergeCell ref="AP84:AP87"/>
    <mergeCell ref="AQ84:AX87"/>
    <mergeCell ref="AK86:AO86"/>
    <mergeCell ref="AG83:AJ83"/>
    <mergeCell ref="AG84:AJ84"/>
    <mergeCell ref="AG85:AJ85"/>
    <mergeCell ref="AG86:AJ86"/>
    <mergeCell ref="AC86:AF86"/>
    <mergeCell ref="AC85:AF85"/>
    <mergeCell ref="AC84:AF84"/>
    <mergeCell ref="AQ91:AX91"/>
    <mergeCell ref="AZ91:BO91"/>
    <mergeCell ref="AK92:AO92"/>
    <mergeCell ref="AQ92:AX92"/>
    <mergeCell ref="AZ92:BO92"/>
    <mergeCell ref="AK89:AO89"/>
    <mergeCell ref="AQ89:AX89"/>
    <mergeCell ref="AZ90:BO90"/>
    <mergeCell ref="AZ89:BO89"/>
    <mergeCell ref="AK91:AO91"/>
    <mergeCell ref="AZ94:BO94"/>
    <mergeCell ref="AK95:AO95"/>
    <mergeCell ref="AK94:AO94"/>
    <mergeCell ref="AZ95:BO95"/>
    <mergeCell ref="AP94:AP97"/>
    <mergeCell ref="AQ94:AX97"/>
    <mergeCell ref="AK96:AO96"/>
    <mergeCell ref="AZ96:BO96"/>
    <mergeCell ref="E92:K92"/>
    <mergeCell ref="AQ93:AX93"/>
    <mergeCell ref="AZ93:BO93"/>
    <mergeCell ref="AK93:AO93"/>
    <mergeCell ref="AG94:AJ94"/>
    <mergeCell ref="AG95:AJ95"/>
    <mergeCell ref="AG96:AJ96"/>
    <mergeCell ref="AC96:AF96"/>
    <mergeCell ref="AC95:AF95"/>
    <mergeCell ref="AC94:AF94"/>
    <mergeCell ref="Y95:AB95"/>
    <mergeCell ref="Y96:AB96"/>
    <mergeCell ref="Y94:AB94"/>
    <mergeCell ref="U94:X94"/>
    <mergeCell ref="U95:X95"/>
    <mergeCell ref="U96:X96"/>
    <mergeCell ref="Z114:AC115"/>
    <mergeCell ref="AZ102:BO103"/>
    <mergeCell ref="AZ104:BO105"/>
    <mergeCell ref="B108:G108"/>
    <mergeCell ref="T108:U108"/>
    <mergeCell ref="X108:AB108"/>
    <mergeCell ref="AC108:AG108"/>
    <mergeCell ref="B103:AX106"/>
    <mergeCell ref="B98:AX98"/>
    <mergeCell ref="BA98:BC98"/>
    <mergeCell ref="B99:AY99"/>
    <mergeCell ref="BA99:BC99"/>
    <mergeCell ref="B100:AX100"/>
    <mergeCell ref="B101:AX101"/>
    <mergeCell ref="AI108:AX110"/>
    <mergeCell ref="B109:G110"/>
    <mergeCell ref="T109:U110"/>
    <mergeCell ref="X109:AB110"/>
    <mergeCell ref="AC109:AG110"/>
    <mergeCell ref="H108:M108"/>
    <mergeCell ref="N108:S108"/>
    <mergeCell ref="H109:M110"/>
    <mergeCell ref="N109:S110"/>
    <mergeCell ref="BA116:BC116"/>
    <mergeCell ref="F119:M121"/>
    <mergeCell ref="N119:Q121"/>
    <mergeCell ref="R119:U121"/>
    <mergeCell ref="V119:Y121"/>
    <mergeCell ref="Z119:AC121"/>
    <mergeCell ref="AD119:AE121"/>
    <mergeCell ref="AF119:AX121"/>
    <mergeCell ref="BA114:BC114"/>
    <mergeCell ref="BA115:BC115"/>
    <mergeCell ref="F116:M118"/>
    <mergeCell ref="N116:Q118"/>
    <mergeCell ref="R116:U118"/>
    <mergeCell ref="V116:Y118"/>
    <mergeCell ref="Z116:AC118"/>
    <mergeCell ref="AD116:AE118"/>
    <mergeCell ref="AF116:AX118"/>
    <mergeCell ref="B112:M115"/>
    <mergeCell ref="AD112:AE115"/>
    <mergeCell ref="AF112:AX115"/>
    <mergeCell ref="N114:Q115"/>
    <mergeCell ref="R114:U115"/>
    <mergeCell ref="V114:Y115"/>
    <mergeCell ref="N112:AC113"/>
    <mergeCell ref="AF122:AX124"/>
    <mergeCell ref="B125:M127"/>
    <mergeCell ref="N125:Q127"/>
    <mergeCell ref="R125:U127"/>
    <mergeCell ref="V125:Y127"/>
    <mergeCell ref="Z125:AC127"/>
    <mergeCell ref="AD125:AE127"/>
    <mergeCell ref="AF125:AX127"/>
    <mergeCell ref="F122:M124"/>
    <mergeCell ref="N122:Q124"/>
    <mergeCell ref="R122:U124"/>
    <mergeCell ref="V122:Y124"/>
    <mergeCell ref="Z122:AC124"/>
    <mergeCell ref="AD122:AE124"/>
    <mergeCell ref="B116:E124"/>
    <mergeCell ref="B128:M130"/>
    <mergeCell ref="N128:Q130"/>
    <mergeCell ref="R128:U130"/>
    <mergeCell ref="V128:Y130"/>
    <mergeCell ref="Z128:AC130"/>
    <mergeCell ref="AD128:AE130"/>
    <mergeCell ref="AF137:AX139"/>
    <mergeCell ref="F137:M139"/>
    <mergeCell ref="N137:Q139"/>
    <mergeCell ref="R137:U139"/>
    <mergeCell ref="V137:Y139"/>
    <mergeCell ref="Z137:AC139"/>
    <mergeCell ref="AD137:AE139"/>
    <mergeCell ref="B131:E139"/>
    <mergeCell ref="F131:M133"/>
    <mergeCell ref="N131:Q133"/>
    <mergeCell ref="R131:U133"/>
    <mergeCell ref="V131:Y133"/>
    <mergeCell ref="Z131:AC133"/>
    <mergeCell ref="AD131:AE133"/>
    <mergeCell ref="AF131:AX133"/>
    <mergeCell ref="F134:M136"/>
    <mergeCell ref="Z152:AC154"/>
    <mergeCell ref="AD152:AE154"/>
    <mergeCell ref="N143:Q145"/>
    <mergeCell ref="R143:U145"/>
    <mergeCell ref="V143:Y145"/>
    <mergeCell ref="Z143:AC145"/>
    <mergeCell ref="AD149:AE151"/>
    <mergeCell ref="AF134:AX136"/>
    <mergeCell ref="AF128:AX130"/>
    <mergeCell ref="AU165:AX166"/>
    <mergeCell ref="F152:M154"/>
    <mergeCell ref="N152:Q154"/>
    <mergeCell ref="B161:J162"/>
    <mergeCell ref="K161:P162"/>
    <mergeCell ref="Q161:AT162"/>
    <mergeCell ref="AU161:AX162"/>
    <mergeCell ref="B156:AX156"/>
    <mergeCell ref="B157:J158"/>
    <mergeCell ref="K157:P158"/>
    <mergeCell ref="Q157:AT158"/>
    <mergeCell ref="AU157:AX158"/>
    <mergeCell ref="B159:J160"/>
    <mergeCell ref="K159:P160"/>
    <mergeCell ref="Q159:AT160"/>
    <mergeCell ref="AU159:AX160"/>
    <mergeCell ref="AF152:AX154"/>
    <mergeCell ref="B143:E154"/>
    <mergeCell ref="F149:M151"/>
    <mergeCell ref="N149:Q151"/>
    <mergeCell ref="R149:U151"/>
    <mergeCell ref="V149:Y151"/>
    <mergeCell ref="Z149:AC151"/>
    <mergeCell ref="AD143:AE145"/>
    <mergeCell ref="B181:J182"/>
    <mergeCell ref="K181:P182"/>
    <mergeCell ref="Q181:AT182"/>
    <mergeCell ref="AU181:AX182"/>
    <mergeCell ref="B175:J176"/>
    <mergeCell ref="K175:P176"/>
    <mergeCell ref="Q175:AT176"/>
    <mergeCell ref="AU175:AX176"/>
    <mergeCell ref="B177:J178"/>
    <mergeCell ref="K177:P178"/>
    <mergeCell ref="Q177:AT178"/>
    <mergeCell ref="AU177:AX178"/>
    <mergeCell ref="B179:J180"/>
    <mergeCell ref="K179:P180"/>
    <mergeCell ref="Q179:AT180"/>
    <mergeCell ref="AU179:AX180"/>
    <mergeCell ref="AU171:AX172"/>
    <mergeCell ref="B173:J174"/>
    <mergeCell ref="K173:P174"/>
    <mergeCell ref="Q173:AT174"/>
    <mergeCell ref="AU173:AX174"/>
    <mergeCell ref="AK97:AO97"/>
    <mergeCell ref="AG97:AJ97"/>
    <mergeCell ref="AC97:AF97"/>
    <mergeCell ref="Y97:AB97"/>
    <mergeCell ref="B167:J168"/>
    <mergeCell ref="K167:P168"/>
    <mergeCell ref="Q167:AT168"/>
    <mergeCell ref="AU167:AX168"/>
    <mergeCell ref="B169:J170"/>
    <mergeCell ref="K169:P170"/>
    <mergeCell ref="Q169:AT170"/>
    <mergeCell ref="AU169:AX170"/>
    <mergeCell ref="B163:J164"/>
    <mergeCell ref="K163:P164"/>
    <mergeCell ref="Q163:AT164"/>
    <mergeCell ref="AU163:AX164"/>
    <mergeCell ref="B165:J166"/>
    <mergeCell ref="K165:P166"/>
    <mergeCell ref="Q165:AT166"/>
    <mergeCell ref="U83:X83"/>
    <mergeCell ref="U84:X84"/>
    <mergeCell ref="U85:X85"/>
    <mergeCell ref="U86:X86"/>
    <mergeCell ref="U87:X87"/>
    <mergeCell ref="B171:J172"/>
    <mergeCell ref="K171:P172"/>
    <mergeCell ref="Q171:AT172"/>
    <mergeCell ref="B140:M142"/>
    <mergeCell ref="N140:Q142"/>
    <mergeCell ref="R140:U142"/>
    <mergeCell ref="V140:Y142"/>
    <mergeCell ref="Z140:AC142"/>
    <mergeCell ref="AD140:AE142"/>
    <mergeCell ref="AF140:AX142"/>
    <mergeCell ref="AF143:AX145"/>
    <mergeCell ref="F146:M148"/>
    <mergeCell ref="N146:Q148"/>
    <mergeCell ref="R146:U148"/>
    <mergeCell ref="V146:Y148"/>
    <mergeCell ref="Z146:AC148"/>
    <mergeCell ref="AD146:AE148"/>
    <mergeCell ref="AC89:AF89"/>
    <mergeCell ref="AC83:AF83"/>
    <mergeCell ref="B68:D75"/>
    <mergeCell ref="E68:H68"/>
    <mergeCell ref="I68:L68"/>
    <mergeCell ref="M68:P68"/>
    <mergeCell ref="Q68:T68"/>
    <mergeCell ref="U68:X68"/>
    <mergeCell ref="Y68:AB68"/>
    <mergeCell ref="B91:D93"/>
    <mergeCell ref="E93:K93"/>
    <mergeCell ref="E91:K91"/>
    <mergeCell ref="E75:H75"/>
    <mergeCell ref="I75:L75"/>
    <mergeCell ref="M75:P75"/>
    <mergeCell ref="Q75:T75"/>
    <mergeCell ref="U75:X75"/>
    <mergeCell ref="Y75:AB75"/>
    <mergeCell ref="Y83:AB83"/>
    <mergeCell ref="Y84:AB84"/>
    <mergeCell ref="Y85:AB85"/>
    <mergeCell ref="Y86:AB86"/>
    <mergeCell ref="Y87:AB87"/>
    <mergeCell ref="Y89:AB89"/>
    <mergeCell ref="U89:X89"/>
    <mergeCell ref="Q84:T84"/>
    <mergeCell ref="B35:I37"/>
    <mergeCell ref="AO35:AQ36"/>
    <mergeCell ref="AO37:AQ37"/>
    <mergeCell ref="B39:I39"/>
    <mergeCell ref="AO39:AQ39"/>
    <mergeCell ref="B28:I30"/>
    <mergeCell ref="AO28:AQ29"/>
    <mergeCell ref="AO30:AQ30"/>
    <mergeCell ref="B32:I32"/>
    <mergeCell ref="AO32:AQ32"/>
    <mergeCell ref="B33:I33"/>
    <mergeCell ref="AO33:AQ33"/>
    <mergeCell ref="AU25:AU26"/>
    <mergeCell ref="AU32:AU33"/>
    <mergeCell ref="AU39:AU40"/>
    <mergeCell ref="AR26:AT26"/>
    <mergeCell ref="AR28:AT29"/>
    <mergeCell ref="AR30:AT30"/>
    <mergeCell ref="AR32:AT32"/>
    <mergeCell ref="AR33:AT33"/>
    <mergeCell ref="AR35:AT36"/>
    <mergeCell ref="AR37:AT37"/>
    <mergeCell ref="AR39:AT39"/>
    <mergeCell ref="G16:K17"/>
    <mergeCell ref="G18:H19"/>
    <mergeCell ref="I18:I19"/>
    <mergeCell ref="J18:K19"/>
    <mergeCell ref="AR21:AT22"/>
    <mergeCell ref="AR23:AT23"/>
    <mergeCell ref="AR25:AT25"/>
    <mergeCell ref="AL18:AO18"/>
    <mergeCell ref="AL16:AO16"/>
    <mergeCell ref="AL19:AO19"/>
    <mergeCell ref="AL17:AO17"/>
    <mergeCell ref="AH18:AH19"/>
    <mergeCell ref="AI18:AJ19"/>
    <mergeCell ref="AF16:AJ17"/>
    <mergeCell ref="AF18:AG19"/>
    <mergeCell ref="O18:P19"/>
    <mergeCell ref="Q18:R19"/>
    <mergeCell ref="S18:S19"/>
    <mergeCell ref="T18:U19"/>
    <mergeCell ref="V16:Z17"/>
    <mergeCell ref="AA16:AE17"/>
    <mergeCell ref="V18:W19"/>
    <mergeCell ref="B21:I23"/>
    <mergeCell ref="AO21:AQ22"/>
    <mergeCell ref="AP17:AR17"/>
    <mergeCell ref="AP18:AR18"/>
    <mergeCell ref="AP19:AR19"/>
    <mergeCell ref="AS17:AU17"/>
    <mergeCell ref="AS18:AU18"/>
    <mergeCell ref="AS19:AU19"/>
    <mergeCell ref="AP16:AR16"/>
    <mergeCell ref="AS16:AU16"/>
    <mergeCell ref="AO23:AQ23"/>
    <mergeCell ref="U97:X97"/>
    <mergeCell ref="Q97:T97"/>
    <mergeCell ref="Q96:T96"/>
    <mergeCell ref="Q95:T95"/>
    <mergeCell ref="Q94:T94"/>
    <mergeCell ref="Q89:T89"/>
    <mergeCell ref="Q87:T87"/>
    <mergeCell ref="Q86:T86"/>
    <mergeCell ref="Q85:T85"/>
    <mergeCell ref="Q83:T83"/>
    <mergeCell ref="M83:P83"/>
    <mergeCell ref="M84:P84"/>
    <mergeCell ref="M85:P85"/>
    <mergeCell ref="M86:P86"/>
    <mergeCell ref="M87:P87"/>
    <mergeCell ref="M89:P89"/>
    <mergeCell ref="M94:P94"/>
    <mergeCell ref="M95:P95"/>
    <mergeCell ref="B85:L85"/>
    <mergeCell ref="B84:L84"/>
    <mergeCell ref="B83:L83"/>
    <mergeCell ref="M96:P96"/>
    <mergeCell ref="M97:P97"/>
    <mergeCell ref="B97:L97"/>
    <mergeCell ref="E96:L96"/>
    <mergeCell ref="E95:L95"/>
    <mergeCell ref="E94:L94"/>
    <mergeCell ref="B89:L89"/>
    <mergeCell ref="B87:L87"/>
    <mergeCell ref="B86:L86"/>
    <mergeCell ref="B94:D96"/>
    <mergeCell ref="AZ140:AZ142"/>
    <mergeCell ref="AZ143:AZ145"/>
    <mergeCell ref="AZ146:AZ148"/>
    <mergeCell ref="AZ149:AZ151"/>
    <mergeCell ref="AZ152:AZ154"/>
    <mergeCell ref="B111:AB111"/>
    <mergeCell ref="AZ116:AZ118"/>
    <mergeCell ref="AZ119:AZ121"/>
    <mergeCell ref="AZ122:AZ124"/>
    <mergeCell ref="AZ125:AZ127"/>
    <mergeCell ref="AZ128:AZ130"/>
    <mergeCell ref="AZ131:AZ133"/>
    <mergeCell ref="AZ134:AZ136"/>
    <mergeCell ref="AZ137:AZ139"/>
    <mergeCell ref="AF146:AX148"/>
    <mergeCell ref="F143:M145"/>
    <mergeCell ref="AF149:AX151"/>
    <mergeCell ref="N134:Q136"/>
    <mergeCell ref="R134:U136"/>
    <mergeCell ref="V134:Y136"/>
    <mergeCell ref="Z134:AC136"/>
    <mergeCell ref="AD134:AE136"/>
    <mergeCell ref="R152:U154"/>
    <mergeCell ref="V152:Y154"/>
    <mergeCell ref="B24:I24"/>
    <mergeCell ref="AU21:AU24"/>
    <mergeCell ref="AU28:AU31"/>
    <mergeCell ref="AU35:AU38"/>
    <mergeCell ref="AU42:AU45"/>
    <mergeCell ref="AU49:AU52"/>
    <mergeCell ref="AU56:AU59"/>
    <mergeCell ref="B31:I31"/>
    <mergeCell ref="B38:I38"/>
    <mergeCell ref="B45:I45"/>
    <mergeCell ref="B52:I52"/>
    <mergeCell ref="B59:I59"/>
    <mergeCell ref="AO24:AQ24"/>
    <mergeCell ref="AO31:AQ31"/>
    <mergeCell ref="AO38:AQ38"/>
    <mergeCell ref="AO45:AQ45"/>
    <mergeCell ref="AO52:AQ52"/>
    <mergeCell ref="AO59:AQ59"/>
    <mergeCell ref="AR40:AT40"/>
    <mergeCell ref="B40:I40"/>
    <mergeCell ref="AO40:AQ40"/>
    <mergeCell ref="J28:AN28"/>
    <mergeCell ref="J21:AN21"/>
    <mergeCell ref="J35:AN35"/>
  </mergeCells>
  <phoneticPr fontId="9"/>
  <conditionalFormatting sqref="AM34:AO34">
    <cfRule type="containsText" dxfId="222" priority="356" operator="containsText" text="表示不可">
      <formula>NOT(ISERROR(SEARCH("表示不可",AM34)))</formula>
    </cfRule>
  </conditionalFormatting>
  <conditionalFormatting sqref="AC34:AH34">
    <cfRule type="containsText" dxfId="221" priority="338" operator="containsText" text="要修正">
      <formula>NOT(ISERROR(SEARCH("要修正",AC34)))</formula>
    </cfRule>
  </conditionalFormatting>
  <conditionalFormatting sqref="AK34">
    <cfRule type="containsText" dxfId="220" priority="337" operator="containsText" text="×">
      <formula>NOT(ISERROR(SEARCH("×",AK34)))</formula>
    </cfRule>
  </conditionalFormatting>
  <conditionalFormatting sqref="AI34:AJ34">
    <cfRule type="containsText" dxfId="219" priority="336" operator="containsText" text="表示不可">
      <formula>NOT(ISERROR(SEARCH("表示不可",AI34)))</formula>
    </cfRule>
  </conditionalFormatting>
  <conditionalFormatting sqref="AW65:AX75">
    <cfRule type="containsText" dxfId="218" priority="313" operator="containsText" text="×">
      <formula>NOT(ISERROR(SEARCH("×",AW65)))</formula>
    </cfRule>
  </conditionalFormatting>
  <conditionalFormatting sqref="AZ65:BP75">
    <cfRule type="containsText" dxfId="217" priority="311" operator="containsText" text="要修正">
      <formula>NOT(ISERROR(SEARCH("要修正",AZ65)))</formula>
    </cfRule>
  </conditionalFormatting>
  <conditionalFormatting sqref="B14:AY14">
    <cfRule type="containsText" dxfId="216" priority="309" operator="containsText" text="×">
      <formula>NOT(ISERROR(SEARCH("×",B14)))</formula>
    </cfRule>
  </conditionalFormatting>
  <conditionalFormatting sqref="B77:AY77">
    <cfRule type="containsText" dxfId="215" priority="308" operator="containsText" text="×">
      <formula>NOT(ISERROR(SEARCH("×",B77)))</formula>
    </cfRule>
  </conditionalFormatting>
  <conditionalFormatting sqref="M83:AX97">
    <cfRule type="containsText" dxfId="214" priority="304" operator="containsText" text="×">
      <formula>NOT(ISERROR(SEARCH("×",M83)))</formula>
    </cfRule>
  </conditionalFormatting>
  <conditionalFormatting sqref="B99:AY99">
    <cfRule type="containsText" dxfId="213" priority="300" operator="containsText" text="×">
      <formula>NOT(ISERROR(SEARCH("×",B99)))</formula>
    </cfRule>
  </conditionalFormatting>
  <conditionalFormatting sqref="T109:U110">
    <cfRule type="containsText" dxfId="212" priority="299" operator="containsText" text="×">
      <formula>NOT(ISERROR(SEARCH("×",T109)))</formula>
    </cfRule>
  </conditionalFormatting>
  <conditionalFormatting sqref="N116:Q118">
    <cfRule type="cellIs" dxfId="211" priority="297" operator="greaterThan">
      <formula>2</formula>
    </cfRule>
  </conditionalFormatting>
  <conditionalFormatting sqref="N119:Q121">
    <cfRule type="cellIs" dxfId="210" priority="296" operator="greaterThan">
      <formula>1</formula>
    </cfRule>
  </conditionalFormatting>
  <conditionalFormatting sqref="N122:Q124">
    <cfRule type="cellIs" dxfId="209" priority="295" operator="greaterThan">
      <formula>1</formula>
    </cfRule>
  </conditionalFormatting>
  <conditionalFormatting sqref="N128:Q130">
    <cfRule type="cellIs" dxfId="208" priority="294" operator="greaterThan">
      <formula>8</formula>
    </cfRule>
  </conditionalFormatting>
  <conditionalFormatting sqref="N131:Q133">
    <cfRule type="cellIs" dxfId="207" priority="293" operator="greaterThan">
      <formula>0.5</formula>
    </cfRule>
  </conditionalFormatting>
  <conditionalFormatting sqref="N134:Q136">
    <cfRule type="cellIs" dxfId="206" priority="292" operator="greaterThan">
      <formula>0.5</formula>
    </cfRule>
  </conditionalFormatting>
  <conditionalFormatting sqref="N137:Q139">
    <cfRule type="cellIs" dxfId="205" priority="291" operator="greaterThan">
      <formula>1</formula>
    </cfRule>
  </conditionalFormatting>
  <conditionalFormatting sqref="N140:Q142">
    <cfRule type="cellIs" dxfId="204" priority="290" operator="greaterThan">
      <formula>1</formula>
    </cfRule>
  </conditionalFormatting>
  <conditionalFormatting sqref="N143:Q145">
    <cfRule type="cellIs" dxfId="203" priority="289" operator="greaterThan">
      <formula>1</formula>
    </cfRule>
  </conditionalFormatting>
  <conditionalFormatting sqref="N146:Q148">
    <cfRule type="cellIs" dxfId="202" priority="288" operator="greaterThan">
      <formula>0.5</formula>
    </cfRule>
  </conditionalFormatting>
  <conditionalFormatting sqref="N149:Q151">
    <cfRule type="cellIs" dxfId="201" priority="287" operator="greaterThan">
      <formula>1</formula>
    </cfRule>
  </conditionalFormatting>
  <conditionalFormatting sqref="N152:Q154">
    <cfRule type="cellIs" dxfId="200" priority="286" operator="greaterThan">
      <formula>0.5</formula>
    </cfRule>
  </conditionalFormatting>
  <conditionalFormatting sqref="N125:Q127">
    <cfRule type="cellIs" dxfId="199" priority="285" operator="greaterThan">
      <formula>1</formula>
    </cfRule>
  </conditionalFormatting>
  <conditionalFormatting sqref="AU159:AV182">
    <cfRule type="cellIs" dxfId="198" priority="265" operator="greaterThan">
      <formula>"要入力"</formula>
    </cfRule>
  </conditionalFormatting>
  <conditionalFormatting sqref="AU159:AV182">
    <cfRule type="containsText" dxfId="197" priority="264" operator="containsText" text="要入力">
      <formula>NOT(ISERROR(SEARCH("要入力",AU159)))</formula>
    </cfRule>
  </conditionalFormatting>
  <conditionalFormatting sqref="AU159:AV182">
    <cfRule type="containsText" dxfId="196" priority="263" operator="containsText" text="入力済">
      <formula>NOT(ISERROR(SEARCH("入力済",AU159)))</formula>
    </cfRule>
  </conditionalFormatting>
  <conditionalFormatting sqref="B159:AX182">
    <cfRule type="expression" dxfId="195" priority="280">
      <formula>$AU159="入力"&amp;CHAR(10)&amp;"不要"</formula>
    </cfRule>
  </conditionalFormatting>
  <conditionalFormatting sqref="J33:AN33 J54:AN54 J47:AN47 J40:AN40 J26:AN26 J61:AN61">
    <cfRule type="cellIs" dxfId="194" priority="221" operator="greaterThan">
      <formula>IF(J25="",0,J25)</formula>
    </cfRule>
  </conditionalFormatting>
  <conditionalFormatting sqref="AO28:AU30 AO35:AU37 AO42:AU44 AO49:AU51 AO56:AU58 AO21:AU23 AO25:AU26 AO24:AT24 AO31:AT31 AO38:AT38 AO45:AT45 AO52:AT52 AO59:AT59 AO32:AU33 AO39:AU40 AO46:AU47 AO53:AU54 AO60:AU61">
    <cfRule type="containsText" dxfId="193" priority="220" operator="containsText" text="×">
      <formula>NOT(ISERROR(SEARCH("×",AO21)))</formula>
    </cfRule>
  </conditionalFormatting>
  <conditionalFormatting sqref="AP17:AR19">
    <cfRule type="expression" dxfId="192" priority="123">
      <formula>AND(#REF!="休",AP17&gt;0)</formula>
    </cfRule>
  </conditionalFormatting>
  <conditionalFormatting sqref="AS17:AU19">
    <cfRule type="expression" dxfId="191" priority="122">
      <formula>AND(#REF!="休",AS17&gt;0)</formula>
    </cfRule>
  </conditionalFormatting>
  <conditionalFormatting sqref="AF116:AS154">
    <cfRule type="containsText" dxfId="190" priority="119" operator="containsText" text="してください">
      <formula>NOT(ISERROR(SEARCH("してください",AF116)))</formula>
    </cfRule>
    <cfRule type="containsText" dxfId="189" priority="120" operator="containsText" text="理由">
      <formula>NOT(ISERROR(SEARCH("理由",AF116)))</formula>
    </cfRule>
  </conditionalFormatting>
  <conditionalFormatting sqref="AS65:AV75">
    <cfRule type="cellIs" dxfId="188" priority="118" operator="equal">
      <formula>0</formula>
    </cfRule>
  </conditionalFormatting>
  <conditionalFormatting sqref="R116:U154 Z116:AE154">
    <cfRule type="containsText" dxfId="187" priority="106" operator="containsText" text="×">
      <formula>NOT(ISERROR(SEARCH("×",R116)))</formula>
    </cfRule>
  </conditionalFormatting>
  <conditionalFormatting sqref="X109:AG110">
    <cfRule type="containsText" dxfId="186" priority="105" operator="containsText" text="×">
      <formula>NOT(ISERROR(SEARCH("×",X109)))</formula>
    </cfRule>
  </conditionalFormatting>
  <conditionalFormatting sqref="J22:AN26">
    <cfRule type="expression" dxfId="185" priority="59">
      <formula>J$22=""</formula>
    </cfRule>
  </conditionalFormatting>
  <conditionalFormatting sqref="J29:AN30 J32:AN33 AN31">
    <cfRule type="expression" dxfId="184" priority="56">
      <formula>J$29=""</formula>
    </cfRule>
  </conditionalFormatting>
  <conditionalFormatting sqref="J36:AN37 J39:AN40 AN38:AN40">
    <cfRule type="expression" dxfId="183" priority="52">
      <formula>J$36=""</formula>
    </cfRule>
  </conditionalFormatting>
  <conditionalFormatting sqref="J43:AN44 J46:AN47">
    <cfRule type="expression" dxfId="182" priority="48">
      <formula>J$43=""</formula>
    </cfRule>
  </conditionalFormatting>
  <conditionalFormatting sqref="J50:AN54">
    <cfRule type="expression" dxfId="181" priority="40">
      <formula>J$50=""</formula>
    </cfRule>
  </conditionalFormatting>
  <conditionalFormatting sqref="J57:AN58 AN59:AN61 J60:AN61">
    <cfRule type="expression" dxfId="180" priority="29">
      <formula>J$57=""</formula>
    </cfRule>
  </conditionalFormatting>
  <conditionalFormatting sqref="M94:AJ94">
    <cfRule type="cellIs" dxfId="179" priority="21" operator="greaterThan">
      <formula>SUM($AS$65:$AV$75)</formula>
    </cfRule>
  </conditionalFormatting>
  <conditionalFormatting sqref="M86:AJ86">
    <cfRule type="cellIs" dxfId="178" priority="24" operator="greaterThan">
      <formula>M$85</formula>
    </cfRule>
  </conditionalFormatting>
  <conditionalFormatting sqref="M96:AJ96">
    <cfRule type="cellIs" dxfId="177" priority="18" operator="greaterThan">
      <formula>M$95*1.5</formula>
    </cfRule>
    <cfRule type="cellIs" dxfId="176" priority="19" operator="lessThan">
      <formula>M$95</formula>
    </cfRule>
  </conditionalFormatting>
  <conditionalFormatting sqref="B63:AY63">
    <cfRule type="containsText" dxfId="175" priority="12" operator="containsText" text="×">
      <formula>NOT(ISERROR(SEARCH("×",B63)))</formula>
    </cfRule>
  </conditionalFormatting>
  <conditionalFormatting sqref="B111:AB111">
    <cfRule type="containsText" dxfId="174" priority="11" operator="containsText" text="要修正">
      <formula>NOT(ISERROR(SEARCH("要修正",B111)))</formula>
    </cfRule>
  </conditionalFormatting>
  <conditionalFormatting sqref="K159:P182">
    <cfRule type="expression" dxfId="173" priority="10">
      <formula>$AU159="要入力"</formula>
    </cfRule>
  </conditionalFormatting>
  <conditionalFormatting sqref="J31:AM31">
    <cfRule type="expression" dxfId="172" priority="9">
      <formula>J$22=""</formula>
    </cfRule>
  </conditionalFormatting>
  <conditionalFormatting sqref="J38:AM38">
    <cfRule type="expression" dxfId="171" priority="8">
      <formula>J$22=""</formula>
    </cfRule>
  </conditionalFormatting>
  <conditionalFormatting sqref="J45:AN45">
    <cfRule type="expression" dxfId="170" priority="7">
      <formula>J$22=""</formula>
    </cfRule>
  </conditionalFormatting>
  <conditionalFormatting sqref="J52:AM52">
    <cfRule type="expression" dxfId="169" priority="6">
      <formula>J$22=""</formula>
    </cfRule>
  </conditionalFormatting>
  <conditionalFormatting sqref="J59:AN59">
    <cfRule type="expression" dxfId="168" priority="5">
      <formula>J$22=""</formula>
    </cfRule>
  </conditionalFormatting>
  <conditionalFormatting sqref="J52:AN52 J45:AN45 J38:AN38 J31:AN31 J24:AN24 J59:AN59">
    <cfRule type="containsText" dxfId="167" priority="4" operator="containsText" text="1">
      <formula>NOT(ISERROR(SEARCH("1",J24)))</formula>
    </cfRule>
  </conditionalFormatting>
  <conditionalFormatting sqref="J52:AN52 J45:AN45 J38:AN38 J31:AN31 J24:AN24 J59:AN59">
    <cfRule type="containsText" dxfId="166" priority="3" operator="containsText" text="0">
      <formula>NOT(ISERROR(SEARCH("0",J24)))</formula>
    </cfRule>
  </conditionalFormatting>
  <dataValidations count="16">
    <dataValidation type="custom" allowBlank="1" showInputMessage="1" showErrorMessage="1" errorTitle="購入箱数を超過した値の入力" error="購入箱数の範囲内の数値を入力してください。" sqref="BJ114:BJ116 BJ98:BJ101" xr:uid="{A1706DDC-D29C-4184-94CE-0D84FC1236D1}">
      <formula1>BJ98&lt;=BF98</formula1>
    </dataValidation>
    <dataValidation type="list" allowBlank="1" showInputMessage="1" showErrorMessage="1" sqref="N34 J34 Q34 U34 X34 AB34" xr:uid="{F1A4FCE5-0A08-4106-92AE-FD02F287C420}">
      <formula1>$CA$119:$CA$122</formula1>
    </dataValidation>
    <dataValidation type="list" allowBlank="1" showInputMessage="1" showErrorMessage="1" sqref="L34 H34 O34 S34 V34 Z34" xr:uid="{AB92600C-BA68-4319-B211-9331735E48BA}">
      <formula1>$BZ$119:$BZ$142</formula1>
    </dataValidation>
    <dataValidation type="list" allowBlank="1" showInputMessage="1" showErrorMessage="1" sqref="BG27 BG51:BG54 BG44:BG47 E34 BG80:BG83 BD77:BF83 BG30:BG34 BG37:BG40 BG78 BG61" xr:uid="{8F2F1F79-C5C7-4F2C-B0CE-A472A5964A4C}">
      <formula1>$BN$120:$BN$121</formula1>
    </dataValidation>
    <dataValidation type="decimal" operator="lessThanOrEqual" allowBlank="1" showInputMessage="1" showErrorMessage="1" error="上段の「２．職員情報」で入力した医師の員数の範囲内の数値を入力してください。" sqref="Q91 AG91 U91 Y91 AC91 M91" xr:uid="{419F2DDD-980A-42FF-AC4C-FDAD0F7989C8}">
      <formula1>$AS$65</formula1>
    </dataValidation>
    <dataValidation type="textLength" operator="lessThanOrEqual" allowBlank="1" showInputMessage="1" showErrorMessage="1" error="休診日とされている日には外来患者数は入力しないでください。" sqref="AK97 U97 Y97 AC97 AG97 AK87 Q97 M97" xr:uid="{B719A41A-78C0-4336-AB0B-7A2AFCB163CF}">
      <formula1>IF(M85="休",0)</formula1>
    </dataValidation>
    <dataValidation type="decimal" operator="greaterThanOrEqual" allowBlank="1" showInputMessage="1" showErrorMessage="1" sqref="L18:M19 Q18:R19 V18:W19 AA18:AB19 AF18:AG19 G18:H19" xr:uid="{7CAE9463-6BFC-44E7-9337-45B0660C6559}">
      <formula1>0</formula1>
    </dataValidation>
    <dataValidation type="whole" operator="lessThanOrEqual" allowBlank="1" showInputMessage="1" showErrorMessage="1" error="上段の入院患者数の範囲内の人数を入力してください。" sqref="J33:AN33 J47:AN47 J26:AN26 J40:AN40 J54:AN54 J61:AN61" xr:uid="{1C6B425E-64A8-4A6E-A775-D8848505E2CA}">
      <formula1>IF(J25="",0,J25)</formula1>
    </dataValidation>
    <dataValidation type="whole" operator="greaterThanOrEqual" allowBlank="1" showInputMessage="1" showErrorMessage="1" sqref="BR68" xr:uid="{CA94C981-A6F7-49A7-AF88-66F9864CA54F}">
      <formula1>80</formula1>
    </dataValidation>
    <dataValidation type="whole" operator="greaterThanOrEqual" allowBlank="1" showInputMessage="1" showErrorMessage="1" sqref="BR65" xr:uid="{65F7DB2A-246C-4663-AA32-D446B432D26C}">
      <formula1>30</formula1>
    </dataValidation>
    <dataValidation type="whole" operator="greaterThanOrEqual" allowBlank="1" showInputMessage="1" showErrorMessage="1" error="休診日とされている日には外来患者数は入力しないでください。_x000a_整数値のみ入力し、「人」等の単位は入力しないでください。" sqref="J46:AN46 J25:AN25 J32:AN32 J39:AN39 J53:AN53 J60:AN60" xr:uid="{813D020C-36F7-4A0B-8D36-9B8861118A5F}">
      <formula1>0</formula1>
    </dataValidation>
    <dataValidation type="decimal" operator="lessThanOrEqual" allowBlank="1" showInputMessage="1" showErrorMessage="1" error="「２．職員情報」に入力した医師及び看護師の員数の範囲内の数値を入力してください。" sqref="H109:M110" xr:uid="{48765FC2-170B-4D01-ABEA-A11B14F3E351}">
      <formula1>SUM(AS65:AV75)</formula1>
    </dataValidation>
    <dataValidation type="decimal" operator="lessThanOrEqual" allowBlank="1" showInputMessage="1" showErrorMessage="1" error="上段に記載の最大勤務時間数（当該月の診療時間数の合計）の範囲内の数値を入力してください。" sqref="AG93:AJ93 AC93:AE93 W93:Z93 M93:U93" xr:uid="{BCDDD339-AEFF-4222-89D1-86240C30A8FD}">
      <formula1>M92</formula1>
    </dataValidation>
    <dataValidation type="decimal" operator="greaterThanOrEqual" allowBlank="1" showInputMessage="1" showErrorMessage="1" error="患者数及び基準人員に基づく必要配置時間数以上の数値を入力してください。（但し、過大と見受けられる場合は算定根拠につき御説明をお願いします。）" sqref="Y96 AG96 AC96 U96 M96:Q96" xr:uid="{2BCD584C-5093-438F-B2AA-4BB29C2968B3}">
      <formula1>M95</formula1>
    </dataValidation>
    <dataValidation type="decimal" operator="lessThanOrEqual" allowBlank="1" showInputMessage="1" showErrorMessage="1" error="「２．職員情報」で入力した医師及び看護要員の合計数の範囲内の値を入力してください。" sqref="M94:AJ94" xr:uid="{58A4CB94-CE67-46BD-B563-0D818CD1D582}">
      <formula1>SUM($AS$65:$AV$75)</formula1>
    </dataValidation>
    <dataValidation type="list" allowBlank="1" showInputMessage="1" showErrorMessage="1" sqref="AW57:AY57" xr:uid="{AAE158FC-B37D-4DCD-AD65-9C83989E38FB}">
      <formula1>$BG$59:$BG$60</formula1>
    </dataValidation>
  </dataValidations>
  <printOptions horizontalCentered="1"/>
  <pageMargins left="0.70866141732283472" right="0.70866141732283472" top="0.74803149606299213" bottom="0.74803149606299213" header="0.31496062992125984" footer="0.31496062992125984"/>
  <pageSetup paperSize="9" scale="43" fitToHeight="0" orientation="portrait" r:id="rId1"/>
  <rowBreaks count="2" manualBreakCount="2">
    <brk id="62" max="50" man="1"/>
    <brk id="98" max="50" man="1"/>
  </rowBreaks>
  <colBreaks count="1" manualBreakCount="1">
    <brk id="64"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1" id="{513EF97A-0E02-49A1-88F7-B4D761873902}">
            <xm:f>AND(OR(表紙!$X$2="交付申請兼実績報告",表紙!$X$2="実績報告（２次）"),$AW$57="引き上げなし")</xm:f>
            <x14:dxf>
              <fill>
                <patternFill>
                  <bgColor theme="0" tint="-0.14996795556505021"/>
                </patternFill>
              </fill>
            </x14:dxf>
          </x14:cfRule>
          <xm:sqref>V59:AN61</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pageSetUpPr fitToPage="1"/>
  </sheetPr>
  <dimension ref="B1:BB57"/>
  <sheetViews>
    <sheetView showGridLines="0" view="pageBreakPreview" zoomScale="80" zoomScaleNormal="100" zoomScaleSheetLayoutView="80" workbookViewId="0"/>
  </sheetViews>
  <sheetFormatPr defaultColWidth="5.625" defaultRowHeight="20.100000000000001" customHeight="1"/>
  <cols>
    <col min="1" max="1" width="1.625" style="643" customWidth="1"/>
    <col min="2" max="18" width="5.625" style="643" customWidth="1"/>
    <col min="19" max="19" width="1.625" style="643" customWidth="1"/>
    <col min="20" max="20" width="1.75" style="643" customWidth="1"/>
    <col min="21" max="22" width="10.125" style="643" customWidth="1"/>
    <col min="23" max="23" width="10.125" style="643" hidden="1" customWidth="1"/>
    <col min="24" max="24" width="15.625" style="643" customWidth="1"/>
    <col min="25" max="25" width="10.125" style="643" customWidth="1"/>
    <col min="26" max="26" width="7" style="643" customWidth="1"/>
    <col min="27" max="38" width="10.25" style="643" customWidth="1"/>
    <col min="39" max="39" width="4.625" style="643" customWidth="1"/>
    <col min="40" max="41" width="10.625" style="643" customWidth="1"/>
    <col min="42" max="42" width="4.625" style="643" customWidth="1"/>
    <col min="43" max="44" width="10.25" style="643" customWidth="1"/>
    <col min="45" max="47" width="6.625" style="643" customWidth="1"/>
    <col min="48" max="54" width="10.25" style="643" customWidth="1"/>
    <col min="55" max="16384" width="5.625" style="643"/>
  </cols>
  <sheetData>
    <row r="1" spans="2:54" ht="45" customHeight="1"/>
    <row r="2" spans="2:54" ht="20.100000000000001" customHeight="1">
      <c r="N2" s="1641" t="str">
        <f xml:space="preserve">
IF(表紙!$X$2="事前協議","（10月１日～３月31日分）",
IF(表紙!$X$2="交付申請（２次）","（10月１日～３月31日分）",
IF(表紙!$X$2="変更申請","（10月１日～３月31日分）",
IF(表紙!$X$2="実績報告（１次）","（５月８日～10月31日分）",
IF(表紙!$X$2="実績報告（２次）","（10月１日～３月31日分）",
IF(表紙!$X$2="交付申請兼実績報告","（10月１日～３月31日分）"))))))</f>
        <v>（10月１日～３月31日分）</v>
      </c>
      <c r="O2" s="1642"/>
      <c r="P2" s="1642"/>
      <c r="Q2" s="1642"/>
      <c r="R2" s="1642"/>
      <c r="X2" s="700" t="s">
        <v>1000</v>
      </c>
    </row>
    <row r="3" spans="2:54" ht="20.100000000000001" customHeight="1">
      <c r="B3" s="643" t="str">
        <f xml:space="preserve">
IF(表紙!$X$2="事前協議","様式２",
IF(表紙!$X$2="交付申請（２次）","様式２",
IF(表紙!$X$2="変更申請","様式３",
IF(表紙!$X$2="実績報告（１次）","様式４",
IF(表紙!$X$2="実績報告（２次）","様式４",
IF(表紙!$X$2="交付申請兼実績報告","様式１"))))))</f>
        <v>様式１</v>
      </c>
    </row>
    <row r="4" spans="2:54" ht="20.100000000000001" customHeight="1">
      <c r="N4" s="1665" t="str">
        <f>IF(はじめに入力してください!H13="","",はじめに入力してください!H13)</f>
        <v/>
      </c>
      <c r="O4" s="1665"/>
      <c r="P4" s="1665"/>
      <c r="Q4" s="1665"/>
      <c r="Z4" s="1648"/>
      <c r="AA4" s="1648"/>
      <c r="AB4" s="1666"/>
      <c r="AC4" s="1648"/>
      <c r="AD4" s="1647"/>
      <c r="AE4" s="1647"/>
      <c r="AF4" s="1647"/>
      <c r="AG4" s="1648"/>
      <c r="AH4" s="1648"/>
      <c r="AI4" s="1647"/>
      <c r="AJ4" s="1647"/>
      <c r="AK4" s="1649"/>
      <c r="AL4" s="1649"/>
      <c r="AM4" s="1649"/>
      <c r="AN4" s="1649"/>
      <c r="AO4" s="1649"/>
      <c r="AP4" s="1649"/>
      <c r="AQ4" s="1649"/>
      <c r="AR4" s="1649"/>
      <c r="AS4" s="1647"/>
      <c r="AT4" s="1646"/>
      <c r="AU4" s="1646"/>
      <c r="AV4" s="1663"/>
      <c r="AW4" s="1663"/>
      <c r="AX4" s="1663"/>
      <c r="AY4" s="1663"/>
      <c r="AZ4" s="1663"/>
      <c r="BA4" s="1664"/>
      <c r="BB4" s="1664"/>
    </row>
    <row r="5" spans="2:54" ht="20.100000000000001" customHeight="1">
      <c r="N5" s="1643" t="str">
        <f>IF(はじめに入力してください!O12="×","令和　　年　月　　日",
"令和"&amp;はじめに入力してください!I12&amp;"年"&amp;はじめに入力してください!K12&amp;"月"&amp;はじめに入力してください!M12&amp;"日")</f>
        <v>令和6年3月31日</v>
      </c>
      <c r="O5" s="1644"/>
      <c r="P5" s="1644"/>
      <c r="Q5" s="1644"/>
      <c r="R5" s="935"/>
      <c r="Z5" s="1648"/>
      <c r="AA5" s="1648"/>
      <c r="AB5" s="1666"/>
      <c r="AC5" s="1648"/>
      <c r="AD5" s="1647"/>
      <c r="AE5" s="1647"/>
      <c r="AF5" s="1647"/>
      <c r="AG5" s="1648"/>
      <c r="AH5" s="1648"/>
      <c r="AI5" s="1647"/>
      <c r="AJ5" s="1647"/>
      <c r="AK5" s="419"/>
      <c r="AL5" s="642"/>
      <c r="AM5" s="419"/>
      <c r="AN5" s="642"/>
      <c r="AO5" s="1649"/>
      <c r="AP5" s="419"/>
      <c r="AQ5" s="642"/>
      <c r="AR5" s="1649"/>
      <c r="AS5" s="1647"/>
      <c r="AT5" s="1646"/>
      <c r="AU5" s="1646"/>
      <c r="AV5" s="1663"/>
      <c r="AW5" s="1663"/>
      <c r="AX5" s="1663"/>
      <c r="AY5" s="1663"/>
      <c r="AZ5" s="1663"/>
      <c r="BA5" s="1664"/>
      <c r="BB5" s="1664"/>
    </row>
    <row r="6" spans="2:54" ht="20.100000000000001" customHeight="1">
      <c r="B6" s="1656" t="s">
        <v>606</v>
      </c>
      <c r="C6" s="1656"/>
      <c r="D6" s="1656"/>
      <c r="E6" s="1656"/>
      <c r="F6" s="1656"/>
      <c r="G6" s="1656"/>
      <c r="Z6" s="420"/>
      <c r="AA6" s="647"/>
      <c r="AB6" s="647"/>
      <c r="AC6" s="421"/>
      <c r="AD6" s="421"/>
      <c r="AE6" s="421"/>
      <c r="AF6" s="421"/>
      <c r="AG6" s="421"/>
      <c r="AH6" s="421"/>
      <c r="AI6" s="421"/>
      <c r="AJ6" s="421"/>
      <c r="AK6" s="421"/>
      <c r="AL6" s="421"/>
      <c r="AM6" s="421"/>
      <c r="AN6" s="421"/>
      <c r="AO6" s="421"/>
      <c r="AP6" s="421"/>
      <c r="AQ6" s="421"/>
      <c r="AR6" s="421"/>
      <c r="AS6" s="647"/>
      <c r="AT6" s="422"/>
      <c r="AU6" s="647"/>
      <c r="AV6" s="647"/>
      <c r="AW6" s="647"/>
      <c r="AX6" s="647"/>
      <c r="AY6" s="647"/>
      <c r="AZ6" s="647"/>
      <c r="BA6" s="647"/>
      <c r="BB6" s="647"/>
    </row>
    <row r="8" spans="2:54" ht="20.100000000000001" customHeight="1">
      <c r="I8" s="1645" t="s">
        <v>607</v>
      </c>
      <c r="J8" s="1645"/>
      <c r="K8" s="1645"/>
      <c r="L8" s="1650" t="str">
        <f>IF(はじめに入力してください!O9="×","",はじめに入力してください!AF9)</f>
        <v/>
      </c>
      <c r="M8" s="1650"/>
      <c r="N8" s="1650"/>
      <c r="O8" s="1650"/>
      <c r="P8" s="1650"/>
      <c r="Q8" s="1650"/>
      <c r="R8" s="1650"/>
      <c r="V8" s="641"/>
      <c r="W8" s="643" t="s">
        <v>609</v>
      </c>
    </row>
    <row r="9" spans="2:54" ht="20.100000000000001" customHeight="1">
      <c r="I9" s="1645" t="s">
        <v>610</v>
      </c>
      <c r="J9" s="1645"/>
      <c r="K9" s="1645"/>
      <c r="L9" s="1653" t="str">
        <f xml:space="preserve">
IF(はじめに入力してください!O3="×","",
IF(はじめに入力してください!O3="○"&amp;CHAR(10)&amp;"（個人）",はじめに入力してください!AF6,
IF(はじめに入力してください!O3="○"&amp;CHAR(10)&amp;"（法人）",はじめに入力してください!AF6&amp;"("&amp;はじめに入力してください!AF10&amp;")",
IF(はじめに入力してください!O3="○"&amp;CHAR(10)&amp;"（公立）",はじめに入力してください!AF6&amp;"("&amp;はじめに入力してください!AF10&amp;")"))))</f>
        <v/>
      </c>
      <c r="M9" s="1653"/>
      <c r="N9" s="1653"/>
      <c r="O9" s="1653"/>
      <c r="P9" s="1653"/>
      <c r="Q9" s="1653"/>
      <c r="R9" s="1653"/>
      <c r="W9" s="643" t="s">
        <v>611</v>
      </c>
    </row>
    <row r="10" spans="2:54" ht="20.100000000000001" customHeight="1">
      <c r="I10" s="1645" t="s">
        <v>612</v>
      </c>
      <c r="J10" s="1645"/>
      <c r="K10" s="1645"/>
      <c r="L10" s="1654" t="str">
        <f xml:space="preserve">
IF(COUNTIF(はじめに入力してください!O7:O8,"○")&lt;&gt;2,"",はじめに入力してください!AF7&amp;"　"&amp;はじめに入力してください!AF8)</f>
        <v/>
      </c>
      <c r="M10" s="1654"/>
      <c r="N10" s="1654"/>
      <c r="O10" s="1654"/>
      <c r="P10" s="1654"/>
      <c r="Q10" s="1654"/>
      <c r="R10" s="1654"/>
      <c r="W10" s="643" t="s">
        <v>608</v>
      </c>
      <c r="AA10" s="423"/>
      <c r="AB10" s="423"/>
      <c r="AC10" s="423"/>
      <c r="AD10" s="423"/>
      <c r="AE10" s="423"/>
      <c r="AF10" s="423"/>
      <c r="AG10" s="423"/>
    </row>
    <row r="11" spans="2:54" ht="20.100000000000001" customHeight="1">
      <c r="AA11" s="423"/>
      <c r="AB11" s="423"/>
      <c r="AC11" s="423"/>
      <c r="AD11" s="423"/>
      <c r="AE11" s="423"/>
      <c r="AF11" s="423"/>
      <c r="AG11" s="423"/>
    </row>
    <row r="12" spans="2:54" ht="50.1" customHeight="1">
      <c r="B12" s="1655" t="str">
        <f xml:space="preserve">
IF(表紙!$X$2="事前協議",
"　　　　　　令和５年度新型コロナウイルス感染症患者等入院医療機関設備整備費補助金"&amp;CHAR(10)&amp;
"　　　　　　交付申請書（案）",
IF(表紙!$X$2="交付申請（２次）",
"　　　　　　令和５年度新型コロナウイルス感染症患者等入院医療機関設備整備費補助金"&amp;CHAR(10)&amp;
"　　　　　　交付申請書",
IF(表紙!$X$2="変更申請",
"　　　　　　令和５年度新型コロナウイルス感染症患者等入院医療機関設備整備費補助金"&amp;CHAR(10)&amp;
"　　　　　　変更交付申請書",
IF(表紙!$X$2="実績報告（１次）",
"　　　　　　令和５年度新型コロナウイルス感染症患者等入院医療機関設備整備費補助金"&amp;CHAR(10)&amp;
"　　　　　　事業実績報告書",
IF(表紙!$X$2="実績報告（２次）",
"　　　　　　令和５年度新型コロナウイルス感染症患者等入院医療機関設備整備費補助金"&amp;CHAR(10)&amp;
"　　　　　　事業実績報告書",
IF(表紙!$X$2="交付申請兼実績報告",
"　　　　　　令和５年度新型コロナウイルス感染症患者等入院医療機関設備整備費補助金"&amp;CHAR(10)&amp;
"　　　　　　交付申請書兼実績報告書兼請求書"))))))</f>
        <v>　　　　　　令和５年度新型コロナウイルス感染症患者等入院医療機関設備整備費補助金
　　　　　　交付申請書兼実績報告書兼請求書</v>
      </c>
      <c r="C12" s="1655"/>
      <c r="D12" s="1655"/>
      <c r="E12" s="1655"/>
      <c r="F12" s="1655"/>
      <c r="G12" s="1655"/>
      <c r="H12" s="1655"/>
      <c r="I12" s="1655"/>
      <c r="J12" s="1655"/>
      <c r="K12" s="1655"/>
      <c r="L12" s="1655"/>
      <c r="M12" s="1655"/>
      <c r="N12" s="1655"/>
      <c r="O12" s="1655"/>
      <c r="P12" s="1655"/>
      <c r="Q12" s="1655"/>
      <c r="R12" s="1655"/>
    </row>
    <row r="14" spans="2:54" s="645" customFormat="1" ht="39.950000000000003" customHeight="1">
      <c r="B14" s="1657" t="str">
        <f xml:space="preserve">
IF(表紙!$X$2="事前協議",
"　　このことについて、下記により申請します。",
IF(表紙!$X$2="交付申請（２次）",
"　　このことについて、下記により申請します。",
IF(表紙!$X$2="変更申請",
"　　このことについて、下記により申請します。",
IF(表紙!$X$2="実績報告（１次）",
"　　このことについて、下記により提出します。",
IF(表紙!$X$2="実績報告（２次）",
"　　このことについて、下記により提出します。",
IF(表紙!$X$2="交付申請兼実績報告",
"　　このことについて、下記のとおり申請、実績額を報告の上、請求します。"&amp;CHAR(10)&amp;
"　　なお、支払は下記の口座に振り込んでください。"))))))</f>
        <v>　　このことについて、下記のとおり申請、実績額を報告の上、請求します。
　　なお、支払は下記の口座に振り込んでください。</v>
      </c>
      <c r="C14" s="1662"/>
      <c r="D14" s="1662"/>
      <c r="E14" s="1662"/>
      <c r="F14" s="1662"/>
      <c r="G14" s="1662"/>
      <c r="H14" s="1662"/>
      <c r="I14" s="1662"/>
      <c r="J14" s="1662"/>
      <c r="K14" s="1662"/>
      <c r="L14" s="1662"/>
      <c r="M14" s="1662"/>
      <c r="N14" s="1662"/>
      <c r="O14" s="1662"/>
      <c r="P14" s="1662"/>
      <c r="Q14" s="1662"/>
      <c r="R14" s="1662"/>
    </row>
    <row r="15" spans="2:54" ht="20.100000000000001" customHeight="1">
      <c r="B15" s="1645" t="s">
        <v>613</v>
      </c>
      <c r="C15" s="1645"/>
      <c r="D15" s="1645"/>
      <c r="E15" s="1645"/>
      <c r="F15" s="1645"/>
      <c r="G15" s="1645"/>
      <c r="H15" s="1645"/>
      <c r="I15" s="1645"/>
      <c r="J15" s="1645"/>
      <c r="K15" s="1645"/>
      <c r="L15" s="1645"/>
      <c r="M15" s="1645"/>
      <c r="N15" s="1645"/>
      <c r="O15" s="1645"/>
      <c r="P15" s="1645"/>
      <c r="Q15" s="1645"/>
      <c r="R15" s="1645"/>
    </row>
    <row r="16" spans="2:54" ht="20.100000000000001" customHeight="1">
      <c r="B16" s="643" t="s">
        <v>6</v>
      </c>
      <c r="C16" s="641"/>
      <c r="D16" s="641"/>
      <c r="E16" s="641"/>
      <c r="F16" s="641"/>
      <c r="G16" s="641"/>
      <c r="H16" s="641"/>
      <c r="I16" s="641"/>
      <c r="J16" s="641"/>
      <c r="K16" s="641"/>
      <c r="L16" s="641"/>
      <c r="M16" s="641"/>
      <c r="N16" s="641"/>
      <c r="O16" s="641"/>
      <c r="P16" s="641"/>
      <c r="Q16" s="641"/>
      <c r="R16" s="641"/>
    </row>
    <row r="17" spans="2:21" ht="20.100000000000001" customHeight="1">
      <c r="C17" s="1656" t="str">
        <f>IF(はじめに入力してください!O10="×","",はじめに入力してください!AF10)</f>
        <v/>
      </c>
      <c r="D17" s="1656"/>
      <c r="E17" s="1656"/>
      <c r="F17" s="1656"/>
      <c r="G17" s="1656"/>
      <c r="H17" s="1656"/>
      <c r="I17" s="1656"/>
      <c r="J17" s="1656"/>
      <c r="K17" s="1656"/>
      <c r="L17" s="1656"/>
      <c r="M17" s="1656"/>
      <c r="N17" s="1656"/>
      <c r="O17" s="1656"/>
      <c r="P17" s="1656"/>
      <c r="Q17" s="1656"/>
      <c r="R17" s="1656"/>
    </row>
    <row r="18" spans="2:21" ht="20.100000000000001" customHeight="1">
      <c r="C18" s="1656" t="str">
        <f>IF(はじめに入力してください!O11="×","",はじめに入力してください!AF11)</f>
        <v/>
      </c>
      <c r="D18" s="1656"/>
      <c r="E18" s="1656"/>
      <c r="F18" s="1656"/>
      <c r="G18" s="1656"/>
      <c r="H18" s="1656"/>
      <c r="I18" s="1656"/>
      <c r="J18" s="1656"/>
      <c r="K18" s="1656"/>
      <c r="L18" s="1656"/>
      <c r="M18" s="1656"/>
      <c r="N18" s="1656"/>
      <c r="O18" s="1656"/>
      <c r="P18" s="1656"/>
      <c r="Q18" s="1656"/>
      <c r="R18" s="1656"/>
    </row>
    <row r="19" spans="2:21" ht="20.100000000000001" customHeight="1">
      <c r="B19" s="1651" t="str">
        <f xml:space="preserve">
IF(表紙!$X$2="事前協議","２　補助金申請額",
IF(表紙!$X$2="交付申請（２次）","２　補助金申請額",
IF(表紙!$X$2="変更申請","２　補助金申請額",
IF(表紙!$X$2="実績報告（１次）","２　補助金精算額",
IF(表紙!$X$2="実績報告（２次）","２　補助金精算額",
IF(表紙!$X$2="交付申請兼実績報告","２　補助金精算額"))))))</f>
        <v>２　補助金精算額</v>
      </c>
      <c r="C19" s="1651"/>
      <c r="D19" s="1651"/>
      <c r="E19" s="1651"/>
      <c r="F19" s="1651"/>
      <c r="G19" s="1651"/>
      <c r="H19" s="1651"/>
      <c r="I19" s="1651"/>
      <c r="J19" s="1651"/>
      <c r="K19" s="1651"/>
      <c r="L19" s="1651"/>
      <c r="M19" s="1651"/>
      <c r="N19" s="1651"/>
      <c r="O19" s="1651"/>
      <c r="P19" s="1651"/>
      <c r="Q19" s="1651"/>
    </row>
    <row r="20" spans="2:21" ht="20.100000000000001" customHeight="1">
      <c r="B20" s="1657" t="str">
        <f xml:space="preserve">
IF(表紙!$X$2="事前協議","",
IF(表紙!$X$2="交付申請（２次）","",
IF(表紙!$X$2="変更申請","（１）申請額",
IF(表紙!$X$2="実績報告（１次）","",
IF(表紙!$X$2="実績報告（２次）","",
IF(表紙!$X$2="交付申請兼実績報告",""))))))</f>
        <v/>
      </c>
      <c r="C20" s="1651"/>
      <c r="D20" s="1651"/>
      <c r="E20" s="1651"/>
      <c r="F20" s="1651"/>
      <c r="G20" s="1658" t="str">
        <f xml:space="preserve">
IF(はじめに入力してください!F58="×","金　　　　　　　　　円",
IF(表紙!$X$2="事前協議",経費書!K47,
IF(表紙!$X$2="交付申請（２次）",経費書!K47,
IF(表紙!$X$2="変更申請",経費書!K47,
IF(表紙!$X$2="実績報告（１次）",経費書!O48,
IF(表紙!$X$2="実績報告（２次）",経費書!O48,
IF(表紙!$X$2="交付申請兼実績報告",経費書!K47)))))))</f>
        <v>金　　　　　　　　　円</v>
      </c>
      <c r="H20" s="1659"/>
      <c r="I20" s="1659"/>
      <c r="J20" s="1659"/>
      <c r="K20" s="1659"/>
      <c r="L20" s="646"/>
      <c r="M20" s="1660" t="str">
        <f xml:space="preserve">
IF(表紙!$X$2="事前協議","",
IF(表紙!$X$2="交付申請（２次）","",
IF(表紙!$X$2="変更申請","",
IF(AND(表紙!$X$2="実績報告（１次）",はじめに入力してください!F58="×"),"",
IF(AND(表紙!$X$2="実績報告（１次）",はじめに入力してください!F58="○"),
"　　交付決定額：　"&amp;TEXT(経費書!O47,"#,###円")&amp;CHAR(10)
&amp;IF(経費書!O47=経費書!O48,"　→交付決定の額と一致","　→差　引　額："&amp;TEXT(経費書!O48-経費書!O47,"△"&amp;"#,##0円")),
IF(AND(表紙!$X$2="実績報告（２次）",はじめに入力してください!F58="×"),"",
IF(AND(表紙!$X$2="実績報告（２次）",はじめに入力してください!F58="○"),
"　　交付決定額：　"&amp;TEXT(経費書!O47,"#,###円")&amp;CHAR(10)
&amp;IF(経費書!O47=経費書!O48,"　→交付決定の額と一致","　→差　引　額："&amp;TEXT(経費書!O48-経費書!O47,"△"&amp;"#,##0円")),
IF(表紙!$X$2="交付申請兼実績報告",""))))))))</f>
        <v/>
      </c>
      <c r="N20" s="1661"/>
      <c r="O20" s="1661"/>
      <c r="P20" s="1661"/>
      <c r="Q20" s="1661"/>
      <c r="R20" s="1661"/>
    </row>
    <row r="21" spans="2:21" ht="20.100000000000001" customHeight="1">
      <c r="B21" s="1651" t="str">
        <f xml:space="preserve">
IF(表紙!$X$2="事前協議","",
IF(表紙!$X$2="交付申請（２次）","",
IF(表紙!$X$2="変更申請","（２）既交付決定額",
IF(表紙!$X$2="実績報告（１次）","",
IF(表紙!$X$2="実績報告（２次）","",
IF(表紙!$X$2="交付申請兼実績報告",""))))))</f>
        <v/>
      </c>
      <c r="C21" s="1651"/>
      <c r="D21" s="1651"/>
      <c r="E21" s="1651"/>
      <c r="F21" s="1651"/>
      <c r="G21" s="1652" t="str">
        <f xml:space="preserve">
IF(表紙!$X$2="事前協議","",
IF(表紙!$X$2="交付申請（２次）","",
IF(AND(表紙!$X$2="変更申請",はじめに入力してください!L18=""),"金　　　　　　　　　円",
IF(AND(表紙!$X$2="変更申請",はじめに入力してください!L18&lt;&gt;""),VLOOKUP(はじめに入力してください!L18,リスト!A:B,2,FALSE),
IF(表紙!$X$2="実績報告（１次）","",
IF(表紙!$X$2="実績報告（２次）","",
IF(表紙!$X$2="交付申請兼実績報告","")))))))</f>
        <v/>
      </c>
      <c r="H21" s="1652"/>
      <c r="I21" s="1652"/>
      <c r="J21" s="1652"/>
      <c r="K21" s="1652"/>
      <c r="L21" s="644"/>
      <c r="M21" s="1661"/>
      <c r="N21" s="1661"/>
      <c r="O21" s="1661"/>
      <c r="P21" s="1661"/>
      <c r="Q21" s="1661"/>
      <c r="R21" s="1661"/>
    </row>
    <row r="22" spans="2:21" ht="20.100000000000001" customHeight="1">
      <c r="B22" s="1657" t="str">
        <f xml:space="preserve">
IF(表紙!$X$2="事前協議","",
IF(表紙!$X$2="交付申請（２次）","",
IF(表紙!$X$2="変更申請","（３）差引増減額",
IF(表紙!$X$2="実績報告（１次）","",
IF(表紙!$X$2="実績報告（２次）","",
IF(表紙!$X$2="交付申請兼実績報告",""))))))</f>
        <v/>
      </c>
      <c r="C22" s="1651"/>
      <c r="D22" s="1651"/>
      <c r="E22" s="1651"/>
      <c r="F22" s="1651"/>
      <c r="G22" s="1667" t="str">
        <f xml:space="preserve">
IF(表紙!$X$2="事前協議","",
IF(表紙!$X$2="交付申請（２次）","",
IF(AND(表紙!$X$2="変更申請",はじめに入力してください!L18=""),"金　　　　　　　　　円",
IF(AND(表紙!$X$2="変更申請",はじめに入力してください!L18&lt;&gt;""),G20-G21,
IF(表紙!$X$2="実績報告（１次）","",
IF(表紙!$X$2="実績報告（２次）","",
IF(表紙!$X$2="交付申請兼実績報告","")))))))</f>
        <v/>
      </c>
      <c r="H22" s="1667"/>
      <c r="I22" s="1667"/>
      <c r="J22" s="1667"/>
      <c r="K22" s="1667"/>
      <c r="L22" s="644"/>
      <c r="M22" s="644"/>
      <c r="N22" s="644"/>
      <c r="O22" s="644"/>
      <c r="P22" s="644"/>
    </row>
    <row r="23" spans="2:21" ht="20.100000000000001" customHeight="1">
      <c r="B23" s="1654" t="str">
        <f xml:space="preserve">
IF(表紙!$X$2="事前協議","３　所要額調書設備整備基準算出内訳及び対象経費支出予定額内訳（様式２－４、２－５）",
IF(表紙!$X$2="交付申請（２次）","３　所要額調書設備整備基準算出内訳及び対象経費支出予定額内訳（様式２－４、２－５）",
IF(表紙!$X$2="変更申請","３　所要額調書設備整備基準算出内訳及び対象経費支出予定額内訳（様式２－４、２－５）",
IF(表紙!$X$2="実績報告（１次）","３　経費精算書、設備整備基準算出内訳及び対象経費実支出額内訳（様式１－１、１－２）",
IF(表紙!$X$2="実績報告（２次）","３　経費精算書、設備整備基準算出内訳及び対象経費実支出額内訳（様式１－４、１－５）",
IF(表紙!$X$2="交付申請兼実績報告","３　経費精算書、設備整備基準算出内訳及び対象経費実支出額内訳（様式１－４、１－５）"))))))</f>
        <v>３　経費精算書、設備整備基準算出内訳及び対象経費実支出額内訳（様式１－４、１－５）</v>
      </c>
      <c r="C23" s="938"/>
      <c r="D23" s="938"/>
      <c r="E23" s="938"/>
      <c r="F23" s="938"/>
      <c r="G23" s="938"/>
      <c r="H23" s="938"/>
      <c r="I23" s="938"/>
      <c r="J23" s="938"/>
      <c r="K23" s="938"/>
      <c r="L23" s="938"/>
      <c r="M23" s="938"/>
      <c r="N23" s="938"/>
      <c r="O23" s="938"/>
      <c r="P23" s="938"/>
      <c r="Q23" s="938"/>
      <c r="R23" s="938"/>
    </row>
    <row r="24" spans="2:21" ht="20.100000000000001" customHeight="1">
      <c r="B24" s="424" t="s">
        <v>614</v>
      </c>
      <c r="C24" s="425"/>
      <c r="D24" s="425"/>
      <c r="E24" s="425"/>
      <c r="F24" s="425"/>
      <c r="G24" s="425"/>
      <c r="H24" s="425"/>
      <c r="I24" s="425"/>
      <c r="J24" s="425"/>
      <c r="K24" s="425"/>
      <c r="L24" s="425"/>
      <c r="M24" s="425"/>
    </row>
    <row r="25" spans="2:21" ht="20.100000000000001" customHeight="1">
      <c r="B25" s="1655" t="str">
        <f xml:space="preserve">
IF(表紙!$X$2="事前協議","（１）歳入歳出予算書（又は見込書）抄本（様式２－３）",
IF(表紙!$X$2="交付申請（２次）","（１）歳入歳出予算書（又は見込書）抄本（様式２－３）",
IF(表紙!$X$2="変更申請","（１）歳入歳出予算書（又は見込書）抄本（様式２－３）",
IF(表紙!$X$2="実績報告（１次）","（１）歳入歳出決算書（見込書）抄本（様式１－３）",
IF(表紙!$X$2="実績報告（２次）","（１）歳入歳出決算書（見込書）抄本（様式１－３）",
IF(表紙!$X$2="交付申請兼実績報告","（１）歳入歳出決算書（見込書）抄本（様式１－３）"))))))</f>
        <v>（１）歳入歳出決算書（見込書）抄本（様式１－３）</v>
      </c>
      <c r="C25" s="1655"/>
      <c r="D25" s="1655"/>
      <c r="E25" s="1655"/>
      <c r="F25" s="1655"/>
      <c r="G25" s="1655"/>
      <c r="H25" s="1655"/>
      <c r="I25" s="1655"/>
      <c r="J25" s="1655"/>
      <c r="K25" s="1655"/>
      <c r="L25" s="1655"/>
      <c r="M25" s="1655"/>
      <c r="N25" s="1655"/>
      <c r="O25" s="1655"/>
      <c r="P25" s="1655"/>
      <c r="Q25" s="1655"/>
      <c r="R25" s="1655"/>
    </row>
    <row r="26" spans="2:21" ht="20.100000000000001" customHeight="1">
      <c r="B26" s="1655" t="str">
        <f xml:space="preserve">
IF(表紙!$X$2="事前協議","　　（注）予算書には、当該事業の補助対象事業に係る額を備考欄に記入すること。",
IF(表紙!$X$2="交付申請（２次）","　　（注）予算書には、当該事業の補助対象事業に係る額を備考欄に記入すること。",
IF(表紙!$X$2="変更申請","　　（注）予算書には、当該事業の補助対象事業に係る額を備考欄に記入すること。",
IF(表紙!$X$2="実績報告（１次）","　　（注）決算書には、当該事業の補助対象事業に係る額を備考欄に記入すること。",
IF(表紙!$X$2="実績報告（２次）","　　（注）決算書には、当該事業の補助対象事業に係る額を備考欄に記入すること。",
IF(表紙!$X$2="交付申請兼実績報告","　　（注）決算書には、当該事業の補助対象事業に係る額を備考欄に記入すること。"))))))</f>
        <v>　　（注）決算書には、当該事業の補助対象事業に係る額を備考欄に記入すること。</v>
      </c>
      <c r="C26" s="1655"/>
      <c r="D26" s="1655"/>
      <c r="E26" s="1655"/>
      <c r="F26" s="1655"/>
      <c r="G26" s="1655"/>
      <c r="H26" s="1655"/>
      <c r="I26" s="1655"/>
      <c r="J26" s="1655"/>
      <c r="K26" s="1655"/>
      <c r="L26" s="1655"/>
      <c r="M26" s="1655"/>
      <c r="N26" s="1655"/>
      <c r="O26" s="1655"/>
      <c r="P26" s="1655"/>
      <c r="Q26" s="1655"/>
      <c r="R26" s="1655"/>
    </row>
    <row r="27" spans="2:21" ht="20.100000000000001" customHeight="1">
      <c r="B27" s="1655" t="str">
        <f xml:space="preserve">
IF(表紙!$X$2="事前協議","（２）見積書の写し等整備品目の規格（型式）、数量、単価及び金額の確認資料",
IF(表紙!$X$2="交付申請（２次）","（２）見積書の写し等整備品目の規格（型式）、数量、単価及び金額の確認資料",
IF(表紙!$X$2="変更申請","（２）見積書の写し等整備品目の規格（型式）、数量、単価及び金額の確認資料",
IF(表紙!$X$2="実績報告（１次）","（２）設備を配置したフロアの平面図、整備仕様書、作業手順書",
IF(表紙!$X$2="実績報告（２次）","（２）設備を配置したフロアの平面図、整備仕様書、作業手順書",
IF(表紙!$X$2="交付申請兼実績報告","（２）設備を配置したフロアの平面図、整備仕様書、作業手順書"))))))</f>
        <v>（２）設備を配置したフロアの平面図、整備仕様書、作業手順書</v>
      </c>
      <c r="C27" s="1655"/>
      <c r="D27" s="1655"/>
      <c r="E27" s="1655"/>
      <c r="F27" s="1655"/>
      <c r="G27" s="1655"/>
      <c r="H27" s="1655"/>
      <c r="I27" s="1655"/>
      <c r="J27" s="1655"/>
      <c r="K27" s="1655"/>
      <c r="L27" s="1655"/>
      <c r="M27" s="1655"/>
      <c r="N27" s="1655"/>
      <c r="O27" s="1655"/>
      <c r="P27" s="1655"/>
      <c r="Q27" s="1655"/>
      <c r="R27" s="1655"/>
    </row>
    <row r="28" spans="2:21" ht="20.100000000000001" customHeight="1">
      <c r="B28" s="1655" t="str">
        <f xml:space="preserve">
IF(表紙!$X$2="事前協議","",
IF(表紙!$X$2="交付申請（２次）","",
IF(表紙!$X$2="変更申請","",
IF(表紙!$X$2="実績報告（１次）","　（注）交付申請書又は変更交付申請書に添付した書類に変更がない場合は、省略することができる。",
IF(表紙!$X$2="実績報告（２次）","　（注）交付申請書又は変更交付申請書に添付した書類に変更がない場合は、省略することができる。",
IF(表紙!$X$2="交付申請兼実績報告","　（注）交付申請書又は変更交付申請書に添付した書類に変更がない場合は、省略することができる。"))))))</f>
        <v>　（注）交付申請書又は変更交付申請書に添付した書類に変更がない場合は、省略することができる。</v>
      </c>
      <c r="C28" s="1655"/>
      <c r="D28" s="1655"/>
      <c r="E28" s="1655"/>
      <c r="F28" s="1655"/>
      <c r="G28" s="1655"/>
      <c r="H28" s="1655"/>
      <c r="I28" s="1655"/>
      <c r="J28" s="1655"/>
      <c r="K28" s="1655"/>
      <c r="L28" s="1655"/>
      <c r="M28" s="1655"/>
      <c r="N28" s="1655"/>
      <c r="O28" s="1655"/>
      <c r="P28" s="1655"/>
      <c r="Q28" s="1655"/>
      <c r="R28" s="1655"/>
    </row>
    <row r="29" spans="2:21" ht="20.100000000000001" customHeight="1">
      <c r="B29" s="1655" t="str">
        <f xml:space="preserve">
IF(表紙!$X$2="事前協議","（３）以下に示す内容がわかる資料",
IF(表紙!$X$2="交付申請（２次）","（３）以下に示す内容がわかる資料",
IF(表紙!$X$2="変更申請","（３）以下に示す内容がわかる資料",
IF(表紙!$X$2="実績報告（１次）","（３）契約書及び納品書の写し、検収調書の写し等事業経費等を確認できる書類",
IF(表紙!$X$2="実績報告（２次）","（３）契約書及び納品書の写し、検収調書の写し等事業経費等を確認できる書類",
IF(表紙!$X$2="交付申請兼実績報告","（３）契約書及び納品書の写し、検収調書の写し等事業経費等を確認できる書類及び以下の内容がわかる資料"))))))</f>
        <v>（３）契約書及び納品書の写し、検収調書の写し等事業経費等を確認できる書類及び以下の内容がわかる資料</v>
      </c>
      <c r="C29" s="1655"/>
      <c r="D29" s="1655"/>
      <c r="E29" s="1655"/>
      <c r="F29" s="1655"/>
      <c r="G29" s="1655"/>
      <c r="H29" s="1655"/>
      <c r="I29" s="1655"/>
      <c r="J29" s="1655"/>
      <c r="K29" s="1655"/>
      <c r="L29" s="1655"/>
      <c r="M29" s="1655"/>
      <c r="N29" s="1655"/>
      <c r="O29" s="1655"/>
      <c r="P29" s="1655"/>
      <c r="Q29" s="1655"/>
      <c r="R29" s="1655"/>
    </row>
    <row r="30" spans="2:21" ht="20.100000000000001" customHeight="1">
      <c r="B30" s="644" t="s">
        <v>615</v>
      </c>
      <c r="C30" s="1657" t="str">
        <f xml:space="preserve">
IF(表紙!$X$2="事前協議","ア　初度設備関係",
IF(表紙!$X$2="交付申請（２次）","ア　初度設備関係",
IF(表紙!$X$2="変更申請","ア　初度設備関係",
IF(表紙!$X$2="実績報告（１次）","",
IF(表紙!$X$2="実績報告（２次）","",
IF(表紙!$X$2="交付申請兼実績報告","ア　初度設備関係"))))))</f>
        <v>ア　初度設備関係</v>
      </c>
      <c r="D30" s="1657"/>
      <c r="E30" s="1657"/>
      <c r="F30" s="1657"/>
      <c r="G30" s="1657"/>
      <c r="H30" s="1657"/>
      <c r="I30" s="1657"/>
      <c r="J30" s="1657"/>
      <c r="K30" s="1657"/>
      <c r="L30" s="1657"/>
      <c r="M30" s="1657"/>
      <c r="N30" s="1657"/>
      <c r="O30" s="1657"/>
      <c r="P30" s="1657"/>
      <c r="Q30" s="1657"/>
      <c r="R30" s="1657"/>
      <c r="U30" s="645" t="s">
        <v>616</v>
      </c>
    </row>
    <row r="31" spans="2:21" ht="20.100000000000001" customHeight="1">
      <c r="B31" s="644"/>
      <c r="C31" s="1657" t="str">
        <f xml:space="preserve">
IF(表紙!$X$2="事前協議",
"　　設備を配置するフロアの平面図、整備仕様書等、院内感染防止に配慮した病床"&amp;CHAR(10)&amp;
"　の新築又は増築する数及びこれに伴う整備であることのがわかる確認資料",
IF(表紙!$X$2="交付申請（２次）",
"　　設備を配置するフロアの平面図、整備仕様書等、院内感染防止に配慮した病床"&amp;CHAR(10)&amp;
"　の新築又は増築する数及びこれに伴う整備であることのがわかる確認資料",
IF(表紙!$X$2="変更申請",
"　　設備を配置するフロアの平面図、整備仕様書等、院内感染防止に配慮した病床"&amp;CHAR(10)&amp;
"　の新築又は増築する数及びこれに伴う整備であることのがわかる確認資料",
IF(表紙!$X$2="実績報告（１次）","",
IF(表紙!$X$2="実績報告（２次）","",
IF(表紙!$X$2="交付申請兼実績報告",
"　　設備を配置するフロアの平面図、整備仕様書等、院内感染防止に配慮した病床"&amp;CHAR(10)&amp;
"　の新築又は増築する数及びこれに伴う整備であることのがわかる確認資料"))))))</f>
        <v>　　設備を配置するフロアの平面図、整備仕様書等、院内感染防止に配慮した病床
　の新築又は増築する数及びこれに伴う整備であることのがわかる確認資料</v>
      </c>
      <c r="D31" s="1657"/>
      <c r="E31" s="1657"/>
      <c r="F31" s="1657"/>
      <c r="G31" s="1657"/>
      <c r="H31" s="1657"/>
      <c r="I31" s="1657"/>
      <c r="J31" s="1657"/>
      <c r="K31" s="1657"/>
      <c r="L31" s="1657"/>
      <c r="M31" s="1657"/>
      <c r="N31" s="1657"/>
      <c r="O31" s="1657"/>
      <c r="P31" s="1657"/>
      <c r="Q31" s="1657"/>
      <c r="R31" s="1657"/>
      <c r="U31" s="645" t="s">
        <v>617</v>
      </c>
    </row>
    <row r="32" spans="2:21" ht="20.100000000000001" customHeight="1">
      <c r="B32" s="644"/>
      <c r="C32" s="1657" t="str">
        <f xml:space="preserve">
IF(表紙!$X$2="事前協議","イ　簡易病室関係及び紫外線照射装置導入関係"&amp;CHAR(10)&amp;
"　　使用する場所・設備の仕様"&amp;CHAR(10)&amp;
"　　事業の完成を確認できる全景及び室内主要部の写真",
IF(表紙!$X$2="交付申請（２次）",
"イ　簡易病室関係及び紫外線照射装置導入関係"&amp;CHAR(10)&amp;
"　　使用する場所・設備の仕様"&amp;CHAR(10)&amp;
"　　事業の完成を確認できる全景及び室内主要部の写真",
IF(表紙!$X$2="変更申請",
"イ　簡易病室関係及び紫外線照射装置導入関係"&amp;CHAR(10)&amp;
"　　使用する場所・設備の仕様"&amp;CHAR(10)&amp;
"　　事業の完成を確認できる全景及び室内主要部の写真",
IF(表紙!$X$2="実績報告（１次）","",
IF(表紙!$X$2="実績報告（２次）","",
IF(表紙!$X$2="交付申請兼実績報告",
"イ　簡易病室関係及び紫外線照射装置導入関係"&amp;CHAR(10)&amp;
"　　使用する場所・設備の仕様"&amp;CHAR(10)&amp;
"　　事業の完成を確認できる全景及び室内主要部の写真"))))))</f>
        <v>イ　簡易病室関係及び紫外線照射装置導入関係
　　使用する場所・設備の仕様
　　事業の完成を確認できる全景及び室内主要部の写真</v>
      </c>
      <c r="D32" s="1657"/>
      <c r="E32" s="1657"/>
      <c r="F32" s="1657"/>
      <c r="G32" s="1657"/>
      <c r="H32" s="1657"/>
      <c r="I32" s="1657"/>
      <c r="J32" s="1657"/>
      <c r="K32" s="1657"/>
      <c r="L32" s="1657"/>
      <c r="M32" s="1657"/>
      <c r="N32" s="1657"/>
      <c r="O32" s="1657"/>
      <c r="P32" s="1657"/>
      <c r="Q32" s="1657"/>
      <c r="R32" s="1657"/>
    </row>
    <row r="33" spans="2:18" ht="20.100000000000001" customHeight="1">
      <c r="B33" s="1655" t="s">
        <v>1349</v>
      </c>
      <c r="C33" s="1655"/>
      <c r="D33" s="1655"/>
      <c r="E33" s="1655"/>
      <c r="F33" s="1655"/>
      <c r="G33" s="1655"/>
      <c r="H33" s="1655"/>
      <c r="I33" s="1655"/>
      <c r="J33" s="1655"/>
      <c r="K33" s="1655"/>
      <c r="L33" s="1655"/>
      <c r="M33" s="1655"/>
      <c r="N33" s="1655"/>
      <c r="O33" s="1655"/>
      <c r="P33" s="1655"/>
      <c r="Q33" s="1655"/>
      <c r="R33" s="1655"/>
    </row>
    <row r="34" spans="2:18" ht="39.950000000000003" customHeight="1">
      <c r="B34" s="1655" t="str">
        <f xml:space="preserve">
IF(表紙!$X$2="事前協議","",
IF(表紙!$X$2="交付申請（２次）","",
IF(表紙!$X$2="変更申請","",
IF(表紙!$X$2="実績報告（１次）","",
IF(表紙!$X$2="実績報告（２次）","",
IF(表紙!$X$2="交付申請兼実績報告",
"５　支払先口座情報（金融機関名・支店名・口座種別・口座番号）"&amp;CHAR(10)
&amp;IF(はじめに入力してください!O20="○","　　"&amp;はじめに入力してください!H20,"")
&amp;IF(はじめに入力してください!O22="○","・"&amp;はじめに入力してください!H22,"")
&amp;IF(はじめに入力してください!H23=1,"・普通",IF(はじめに入力してください!H23=2,"・当座",""))
&amp;IF(はじめに入力してください!O24="○","・"&amp;はじめに入力してください!AF24,"")))))))</f>
        <v xml:space="preserve">５　支払先口座情報（金融機関名・支店名・口座種別・口座番号）
</v>
      </c>
      <c r="C34" s="1672"/>
      <c r="D34" s="1672"/>
      <c r="E34" s="1672"/>
      <c r="F34" s="1672"/>
      <c r="G34" s="1672"/>
      <c r="H34" s="1672"/>
      <c r="I34" s="1672"/>
      <c r="J34" s="1672"/>
      <c r="K34" s="1672"/>
      <c r="L34" s="1672"/>
      <c r="M34" s="1672"/>
      <c r="N34" s="1672"/>
      <c r="O34" s="1672"/>
      <c r="P34" s="1672"/>
      <c r="Q34" s="1672"/>
      <c r="R34" s="1672"/>
    </row>
    <row r="35" spans="2:18" ht="20.100000000000001" customHeight="1">
      <c r="B35" s="644"/>
      <c r="C35" s="644"/>
      <c r="D35" s="644"/>
      <c r="E35" s="644"/>
      <c r="F35" s="644"/>
      <c r="G35" s="644"/>
      <c r="H35" s="644"/>
      <c r="I35" s="644"/>
      <c r="J35" s="644"/>
      <c r="K35" s="644"/>
      <c r="L35" s="644"/>
      <c r="M35" s="644"/>
      <c r="N35" s="644"/>
      <c r="O35" s="644"/>
      <c r="P35" s="644"/>
      <c r="Q35" s="644"/>
      <c r="R35" s="644"/>
    </row>
    <row r="36" spans="2:18" ht="20.100000000000001" customHeight="1">
      <c r="B36" s="1651" t="str">
        <f xml:space="preserve">
IF(表紙!$X$2="事前協議","【申請にあたっての申立事項】",
IF(表紙!$X$2="交付申請（２次）","【申請にあたっての申立事項】",
IF(表紙!$X$2="変更申請","",
IF(表紙!$X$2="実績報告（１次）","",
IF(表紙!$X$2="実績報告（２次）","",
IF(表紙!$X$2="交付申請兼実績報告","【申請にあたっての申立事項】"))))))</f>
        <v>【申請にあたっての申立事項】</v>
      </c>
      <c r="C36" s="1661"/>
      <c r="D36" s="1661"/>
      <c r="E36" s="1661"/>
      <c r="F36" s="1661"/>
      <c r="G36" s="1661"/>
      <c r="H36" s="1661"/>
      <c r="I36" s="1661"/>
      <c r="J36" s="1661"/>
      <c r="K36" s="1661"/>
      <c r="L36" s="1661"/>
      <c r="M36" s="1661"/>
      <c r="N36" s="1661"/>
      <c r="O36" s="1661"/>
      <c r="P36" s="1661"/>
      <c r="Q36" s="1661"/>
      <c r="R36" s="1661"/>
    </row>
    <row r="37" spans="2:18" ht="20.100000000000001" customHeight="1">
      <c r="B37" s="1657" t="str">
        <f xml:space="preserve">
IF(AND(表紙!$X$2="事前協議",はじめに入力してください!O48="×"),U30,
IF(AND(表紙!$X$2="事前協議",はじめに入力してください!O48="○"),U31,
IF(AND(表紙!$X$2="交付申請（２次）",はじめに入力してください!O48="×"),U30,
IF(AND(表紙!$X$2="交付申請（２次）",はじめに入力してください!O48="○"),U31,
 IF(表紙!$X$2="変更申請","",
IF(表紙!$X$2="実績報告（１次）","",
IF(表紙!$X$2="実績報告（２次）","",
IF(AND(表紙!$X$2="交付申請兼実績報告",はじめに入力してください!O48="×"),U30,
IF(AND(表紙!$X$2="交付申請兼実績報告",はじめに入力してください!O48="○"),U31)))))))))</f>
        <v>　申請者は、以下いずれの事項にも該当するものであることを申し立てます。
□　補助を受ける経費について他の補助金等の交付を受けていないこと。
□　本補助金により整備した設備は新型コロナウイルス感染症対策の目的以外に使用しないこと。
□　本補助金の収入、支出等に係る証拠書類を５年間適切に整備保管すること。
□　暴力団員又は暴力団関係者と実質的を含めいかなる関係も有していないこと。</v>
      </c>
      <c r="C37" s="1657"/>
      <c r="D37" s="1657"/>
      <c r="E37" s="1657"/>
      <c r="F37" s="1657"/>
      <c r="G37" s="1657"/>
      <c r="H37" s="1657"/>
      <c r="I37" s="1657"/>
      <c r="J37" s="1657"/>
      <c r="K37" s="1657"/>
      <c r="L37" s="1657"/>
      <c r="M37" s="1657"/>
      <c r="N37" s="1657"/>
      <c r="O37" s="1657"/>
      <c r="P37" s="1657"/>
      <c r="Q37" s="1657"/>
      <c r="R37" s="1657"/>
    </row>
    <row r="38" spans="2:18" ht="20.100000000000001" customHeight="1">
      <c r="B38" s="1657"/>
      <c r="C38" s="1657"/>
      <c r="D38" s="1657"/>
      <c r="E38" s="1657"/>
      <c r="F38" s="1657"/>
      <c r="G38" s="1657"/>
      <c r="H38" s="1657"/>
      <c r="I38" s="1657"/>
      <c r="J38" s="1657"/>
      <c r="K38" s="1657"/>
      <c r="L38" s="1657"/>
      <c r="M38" s="1657"/>
      <c r="N38" s="1657"/>
      <c r="O38" s="1657"/>
      <c r="P38" s="1657"/>
      <c r="Q38" s="1657"/>
      <c r="R38" s="1657"/>
    </row>
    <row r="39" spans="2:18" ht="20.100000000000001" customHeight="1">
      <c r="B39" s="1657"/>
      <c r="C39" s="1657"/>
      <c r="D39" s="1657"/>
      <c r="E39" s="1657"/>
      <c r="F39" s="1657"/>
      <c r="G39" s="1657"/>
      <c r="H39" s="1657"/>
      <c r="I39" s="1657"/>
      <c r="J39" s="1657"/>
      <c r="K39" s="1657"/>
      <c r="L39" s="1657"/>
      <c r="M39" s="1657"/>
      <c r="N39" s="1657"/>
      <c r="O39" s="1657"/>
      <c r="P39" s="1657"/>
      <c r="Q39" s="1657"/>
      <c r="R39" s="1657"/>
    </row>
    <row r="40" spans="2:18" ht="20.100000000000001" customHeight="1">
      <c r="B40" s="1657"/>
      <c r="C40" s="1657"/>
      <c r="D40" s="1657"/>
      <c r="E40" s="1657"/>
      <c r="F40" s="1657"/>
      <c r="G40" s="1657"/>
      <c r="H40" s="1657"/>
      <c r="I40" s="1657"/>
      <c r="J40" s="1657"/>
      <c r="K40" s="1657"/>
      <c r="L40" s="1657"/>
      <c r="M40" s="1657"/>
      <c r="N40" s="1657"/>
      <c r="O40" s="1657"/>
      <c r="P40" s="1657"/>
      <c r="Q40" s="1657"/>
      <c r="R40" s="1657"/>
    </row>
    <row r="41" spans="2:18" ht="20.100000000000001" customHeight="1">
      <c r="B41" s="1657"/>
      <c r="C41" s="1657"/>
      <c r="D41" s="1657"/>
      <c r="E41" s="1657"/>
      <c r="F41" s="1657"/>
      <c r="G41" s="1657"/>
      <c r="H41" s="1657"/>
      <c r="I41" s="1657"/>
      <c r="J41" s="1657"/>
      <c r="K41" s="1657"/>
      <c r="L41" s="1657"/>
      <c r="M41" s="1657"/>
      <c r="N41" s="1657"/>
      <c r="O41" s="1657"/>
      <c r="P41" s="1657"/>
      <c r="Q41" s="1657"/>
      <c r="R41" s="1657"/>
    </row>
    <row r="43" spans="2:18" ht="20.100000000000001" customHeight="1">
      <c r="B43" s="1674" t="str">
        <f xml:space="preserve">
IF(表紙!$X$2="事前協議","",
IF(表紙!$X$2="事前協議","",
IF(表紙!$X$2="交付申請（２次）","",
IF(表紙!$X$2="交付申請（２次）","",
IF(表紙!$X$2="変更申請",
"（注）様式１－１において当初申請と異なる"&amp;CHAR(10)&amp;
"　　　箇所については、変更前を下段に（）"&amp;CHAR(10)&amp;
"　　　書きし、変更後を上段に対応して記入"&amp;CHAR(10)&amp;
" 　　　すること。",
IF(表紙!$X$2="実績報告（１次）","",
IF(表紙!$X$2="実績報告（２次）","",
IF(表紙!$X$2="交付申請兼実績報告",""))))))))</f>
        <v/>
      </c>
      <c r="C43" s="1675"/>
      <c r="D43" s="1675"/>
      <c r="E43" s="1675"/>
      <c r="F43" s="1675"/>
      <c r="G43" s="1675"/>
      <c r="H43" s="1675"/>
      <c r="J43" s="1668" t="s">
        <v>83</v>
      </c>
      <c r="K43" s="1668"/>
      <c r="L43" s="1669" t="str">
        <f>IF(はじめに入力してください!O14="×","",はじめに入力してください!AF14)</f>
        <v/>
      </c>
      <c r="M43" s="1669"/>
      <c r="N43" s="1669"/>
      <c r="O43" s="1669"/>
      <c r="P43" s="1669"/>
      <c r="Q43" s="1669"/>
      <c r="R43" s="1669"/>
    </row>
    <row r="44" spans="2:18" ht="20.100000000000001" customHeight="1">
      <c r="B44" s="1675"/>
      <c r="C44" s="1675"/>
      <c r="D44" s="1675"/>
      <c r="E44" s="1675"/>
      <c r="F44" s="1675"/>
      <c r="G44" s="1675"/>
      <c r="H44" s="1675"/>
      <c r="J44" s="1668" t="s">
        <v>84</v>
      </c>
      <c r="K44" s="1668"/>
      <c r="L44" s="1669" t="str">
        <f>IF(はじめに入力してください!O15="×","",はじめに入力してください!AF15)</f>
        <v/>
      </c>
      <c r="M44" s="1669"/>
      <c r="N44" s="1669"/>
      <c r="O44" s="1669"/>
      <c r="P44" s="1669"/>
      <c r="Q44" s="1669"/>
      <c r="R44" s="1669"/>
    </row>
    <row r="45" spans="2:18" ht="20.100000000000001" customHeight="1">
      <c r="B45" s="1675"/>
      <c r="C45" s="1675"/>
      <c r="D45" s="1675"/>
      <c r="E45" s="1675"/>
      <c r="F45" s="1675"/>
      <c r="G45" s="1675"/>
      <c r="H45" s="1675"/>
      <c r="J45" s="1668" t="s">
        <v>618</v>
      </c>
      <c r="K45" s="1668"/>
      <c r="L45" s="1669" t="str">
        <f>IF(はじめに入力してください!O16="×","",はじめに入力してください!AF16)</f>
        <v/>
      </c>
      <c r="M45" s="1669"/>
      <c r="N45" s="1669"/>
      <c r="O45" s="1669"/>
      <c r="P45" s="1669"/>
      <c r="Q45" s="1669"/>
      <c r="R45" s="1669"/>
    </row>
    <row r="46" spans="2:18" ht="20.100000000000001" customHeight="1">
      <c r="B46" s="1675"/>
      <c r="C46" s="1675"/>
      <c r="D46" s="1675"/>
      <c r="E46" s="1675"/>
      <c r="F46" s="1675"/>
      <c r="G46" s="1675"/>
      <c r="H46" s="1675"/>
      <c r="J46" s="1668" t="s">
        <v>619</v>
      </c>
      <c r="K46" s="1668"/>
      <c r="L46" s="1669" t="str">
        <f>IF(はじめに入力してください!O17="×","",はじめに入力してください!AF17)</f>
        <v/>
      </c>
      <c r="M46" s="1669"/>
      <c r="N46" s="1669"/>
      <c r="O46" s="1669"/>
      <c r="P46" s="1669"/>
      <c r="Q46" s="1669"/>
      <c r="R46" s="1669"/>
    </row>
    <row r="48" spans="2:18" ht="18" customHeight="1"/>
    <row r="49" spans="37:42" ht="18" customHeight="1"/>
    <row r="50" spans="37:42" ht="18" customHeight="1"/>
    <row r="51" spans="37:42" ht="30" customHeight="1">
      <c r="AM51" s="426"/>
      <c r="AN51" s="427"/>
      <c r="AO51" s="427"/>
      <c r="AP51" s="428"/>
    </row>
    <row r="52" spans="37:42" ht="30" customHeight="1">
      <c r="AM52" s="429"/>
      <c r="AN52" s="647"/>
      <c r="AO52" s="647"/>
      <c r="AP52" s="430"/>
    </row>
    <row r="53" spans="37:42" ht="27" customHeight="1">
      <c r="AM53" s="409"/>
      <c r="AN53" s="1670" t="str">
        <f>N5</f>
        <v>令和6年3月31日</v>
      </c>
      <c r="AO53" s="1671"/>
      <c r="AP53" s="410"/>
    </row>
    <row r="54" spans="37:42" ht="27" customHeight="1">
      <c r="AK54" s="437"/>
      <c r="AM54" s="411"/>
      <c r="AN54" s="1673" t="str">
        <f>IF(AK54="","","５入院第"&amp;AK54&amp;"号")</f>
        <v/>
      </c>
      <c r="AO54" s="1673"/>
      <c r="AP54" s="410"/>
    </row>
    <row r="55" spans="37:42" ht="24.95" customHeight="1">
      <c r="AM55" s="431"/>
      <c r="AN55" s="432"/>
      <c r="AO55" s="432"/>
      <c r="AP55" s="433"/>
    </row>
    <row r="56" spans="37:42" ht="30" customHeight="1">
      <c r="AM56" s="429"/>
      <c r="AN56" s="647"/>
      <c r="AO56" s="647"/>
      <c r="AP56" s="430"/>
    </row>
    <row r="57" spans="37:42" ht="20.100000000000001" customHeight="1">
      <c r="AM57" s="434"/>
      <c r="AN57" s="435"/>
      <c r="AO57" s="435"/>
      <c r="AP57" s="436"/>
    </row>
  </sheetData>
  <sheetProtection algorithmName="SHA-512" hashValue="cj4x3cpEJwFtSe6AwL5VU23WBGD0eWg85ookK8wUgdZwQrkCbWfueMR0nlCJY4pi6VlDYqVjLEvWOmp3IPV12A==" saltValue="iuwVleZgT6QeXst21r1Efw==" spinCount="100000" sheet="1" formatCells="0" formatColumns="0" formatRows="0"/>
  <mergeCells count="73">
    <mergeCell ref="AN54:AO54"/>
    <mergeCell ref="B37:R41"/>
    <mergeCell ref="J43:K43"/>
    <mergeCell ref="L43:R43"/>
    <mergeCell ref="J44:K44"/>
    <mergeCell ref="L44:R44"/>
    <mergeCell ref="J45:K45"/>
    <mergeCell ref="L45:R45"/>
    <mergeCell ref="B43:H46"/>
    <mergeCell ref="B33:R33"/>
    <mergeCell ref="B23:R23"/>
    <mergeCell ref="J46:K46"/>
    <mergeCell ref="L46:R46"/>
    <mergeCell ref="AN53:AO53"/>
    <mergeCell ref="B28:R28"/>
    <mergeCell ref="B29:R29"/>
    <mergeCell ref="C30:R30"/>
    <mergeCell ref="C31:R31"/>
    <mergeCell ref="C32:R32"/>
    <mergeCell ref="B36:R36"/>
    <mergeCell ref="B34:R34"/>
    <mergeCell ref="B22:F22"/>
    <mergeCell ref="G22:K22"/>
    <mergeCell ref="B25:R25"/>
    <mergeCell ref="B26:R26"/>
    <mergeCell ref="B27:R27"/>
    <mergeCell ref="AZ4:AZ5"/>
    <mergeCell ref="BA4:BA5"/>
    <mergeCell ref="BB4:BB5"/>
    <mergeCell ref="B6:G6"/>
    <mergeCell ref="AW4:AW5"/>
    <mergeCell ref="AX4:AX5"/>
    <mergeCell ref="AY4:AY5"/>
    <mergeCell ref="AJ4:AJ5"/>
    <mergeCell ref="N4:Q4"/>
    <mergeCell ref="Z4:Z5"/>
    <mergeCell ref="AA4:AA5"/>
    <mergeCell ref="AB4:AB5"/>
    <mergeCell ref="AC4:AC5"/>
    <mergeCell ref="AD4:AD5"/>
    <mergeCell ref="AU4:AU5"/>
    <mergeCell ref="AV4:AV5"/>
    <mergeCell ref="B21:F21"/>
    <mergeCell ref="G21:K21"/>
    <mergeCell ref="I9:K9"/>
    <mergeCell ref="L9:R9"/>
    <mergeCell ref="I10:K10"/>
    <mergeCell ref="L10:R10"/>
    <mergeCell ref="B12:R12"/>
    <mergeCell ref="B15:R15"/>
    <mergeCell ref="C17:R17"/>
    <mergeCell ref="C18:R18"/>
    <mergeCell ref="B19:Q19"/>
    <mergeCell ref="B20:F20"/>
    <mergeCell ref="G20:K20"/>
    <mergeCell ref="M20:R21"/>
    <mergeCell ref="B14:R14"/>
    <mergeCell ref="N2:R2"/>
    <mergeCell ref="N5:R5"/>
    <mergeCell ref="I8:K8"/>
    <mergeCell ref="AT4:AT5"/>
    <mergeCell ref="AE4:AE5"/>
    <mergeCell ref="AF4:AF5"/>
    <mergeCell ref="AG4:AG5"/>
    <mergeCell ref="AH4:AH5"/>
    <mergeCell ref="AI4:AI5"/>
    <mergeCell ref="AS4:AS5"/>
    <mergeCell ref="AK4:AL4"/>
    <mergeCell ref="AM4:AN4"/>
    <mergeCell ref="AO4:AO5"/>
    <mergeCell ref="AP4:AQ4"/>
    <mergeCell ref="AR4:AR5"/>
    <mergeCell ref="L8:R8"/>
  </mergeCells>
  <phoneticPr fontId="9"/>
  <conditionalFormatting sqref="G20:G22">
    <cfRule type="containsText" dxfId="164" priority="1" operator="containsText" text="不備">
      <formula>NOT(ISERROR(SEARCH("不備",G20)))</formula>
    </cfRule>
  </conditionalFormatting>
  <dataValidations count="1">
    <dataValidation type="list" allowBlank="1" showInputMessage="1" showErrorMessage="1" sqref="V8" xr:uid="{00000000-0002-0000-0700-000000000000}">
      <formula1>$W$8:$W$10</formula1>
    </dataValidation>
  </dataValidations>
  <printOptions horizontalCentered="1"/>
  <pageMargins left="0.59055118110236227" right="0.39370078740157483" top="0.39370078740157483" bottom="0.39370078740157483" header="0.31496062992125984" footer="0.31496062992125984"/>
  <pageSetup paperSize="9" scale="80"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0000000}">
          <x14:formula1>
            <xm:f>テーブル!$C$2:$C$8</xm:f>
          </x14:formula1>
          <xm:sqref>X2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34</vt:i4>
      </vt:variant>
      <vt:variant>
        <vt:lpstr>名前付き一覧</vt:lpstr>
      </vt:variant>
      <vt:variant>
        <vt:i4>37</vt:i4>
      </vt:variant>
    </vt:vector>
  </HeadingPairs>
  <TitlesOfParts>
    <vt:vector size="71" baseType="lpstr">
      <vt:lpstr>テーブル</vt:lpstr>
      <vt:lpstr>リスト</vt:lpstr>
      <vt:lpstr>計上</vt:lpstr>
      <vt:lpstr>はじめに入力してください</vt:lpstr>
      <vt:lpstr>協議書</vt:lpstr>
      <vt:lpstr>別紙</vt:lpstr>
      <vt:lpstr>《基礎情報》</vt:lpstr>
      <vt:lpstr>基礎情報</vt:lpstr>
      <vt:lpstr>表紙</vt:lpstr>
      <vt:lpstr>振込先情報</vt:lpstr>
      <vt:lpstr>請求書</vt:lpstr>
      <vt:lpstr>経費書</vt:lpstr>
      <vt:lpstr>額内訳書</vt:lpstr>
      <vt:lpstr>歳入歳出抄本</vt:lpstr>
      <vt:lpstr>明細→</vt:lpstr>
      <vt:lpstr>初度設備</vt:lpstr>
      <vt:lpstr>人工呼吸器</vt:lpstr>
      <vt:lpstr>防護具</vt:lpstr>
      <vt:lpstr>増減推移</vt:lpstr>
      <vt:lpstr>簡易陰圧装置</vt:lpstr>
      <vt:lpstr>消毒経費</vt:lpstr>
      <vt:lpstr>人件費積算</vt:lpstr>
      <vt:lpstr>空清機・パーテ・ベッド</vt:lpstr>
      <vt:lpstr>体外式膜型人工肺</vt:lpstr>
      <vt:lpstr>簡易病室</vt:lpstr>
      <vt:lpstr>紫外線照射装置</vt:lpstr>
      <vt:lpstr>超音波画像診断装置</vt:lpstr>
      <vt:lpstr>血液浄化装置</vt:lpstr>
      <vt:lpstr>気管支鏡</vt:lpstr>
      <vt:lpstr>CT撮影装置</vt:lpstr>
      <vt:lpstr>生体情報モニタ</vt:lpstr>
      <vt:lpstr>分娩監視装置</vt:lpstr>
      <vt:lpstr>新生児モニタ</vt:lpstr>
      <vt:lpstr>審査意見書（申請の際は入力不要です。）</vt:lpstr>
      <vt:lpstr>《基礎情報》!Print_Area</vt:lpstr>
      <vt:lpstr>CT撮影装置!Print_Area</vt:lpstr>
      <vt:lpstr>はじめに入力してください!Print_Area</vt:lpstr>
      <vt:lpstr>リスト!Print_Area</vt:lpstr>
      <vt:lpstr>額内訳書!Print_Area</vt:lpstr>
      <vt:lpstr>簡易陰圧装置!Print_Area</vt:lpstr>
      <vt:lpstr>簡易病室!Print_Area</vt:lpstr>
      <vt:lpstr>基礎情報!Print_Area</vt:lpstr>
      <vt:lpstr>気管支鏡!Print_Area</vt:lpstr>
      <vt:lpstr>協議書!Print_Area</vt:lpstr>
      <vt:lpstr>空清機・パーテ・ベッド!Print_Area</vt:lpstr>
      <vt:lpstr>経費書!Print_Area</vt:lpstr>
      <vt:lpstr>血液浄化装置!Print_Area</vt:lpstr>
      <vt:lpstr>歳入歳出抄本!Print_Area</vt:lpstr>
      <vt:lpstr>紫外線照射装置!Print_Area</vt:lpstr>
      <vt:lpstr>初度設備!Print_Area</vt:lpstr>
      <vt:lpstr>消毒経費!Print_Area</vt:lpstr>
      <vt:lpstr>'審査意見書（申請の際は入力不要です。）'!Print_Area</vt:lpstr>
      <vt:lpstr>振込先情報!Print_Area</vt:lpstr>
      <vt:lpstr>新生児モニタ!Print_Area</vt:lpstr>
      <vt:lpstr>人件費積算!Print_Area</vt:lpstr>
      <vt:lpstr>人工呼吸器!Print_Area</vt:lpstr>
      <vt:lpstr>生体情報モニタ!Print_Area</vt:lpstr>
      <vt:lpstr>請求書!Print_Area</vt:lpstr>
      <vt:lpstr>体外式膜型人工肺!Print_Area</vt:lpstr>
      <vt:lpstr>超音波画像診断装置!Print_Area</vt:lpstr>
      <vt:lpstr>表紙!Print_Area</vt:lpstr>
      <vt:lpstr>分娩監視装置!Print_Area</vt:lpstr>
      <vt:lpstr>別紙!Print_Area</vt:lpstr>
      <vt:lpstr>防護具!Print_Area</vt:lpstr>
      <vt:lpstr>額内訳書!Print_Titles</vt:lpstr>
      <vt:lpstr>ガウン</vt:lpstr>
      <vt:lpstr>キャップ</vt:lpstr>
      <vt:lpstr>グローブ</vt:lpstr>
      <vt:lpstr>ゴーグル</vt:lpstr>
      <vt:lpstr>フェイスシールド</vt:lpstr>
      <vt:lpstr>マスク</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2024-03-21T06:57:44Z</dcterms:modified>
</cp:coreProperties>
</file>